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6360" yWindow="2370" windowWidth="23850" windowHeight="10815" activeTab="5"/>
  </bookViews>
  <sheets>
    <sheet name="Setup" sheetId="30" r:id="rId1"/>
    <sheet name="Gear" sheetId="12" r:id="rId2"/>
    <sheet name="Data" sheetId="29" r:id="rId3"/>
    <sheet name="Weaponskill" sheetId="49" r:id="rId4"/>
    <sheet name="Melee" sheetId="48" r:id="rId5"/>
    <sheet name="Gear Lists" sheetId="13" r:id="rId6"/>
    <sheet name="Other Lists" sheetId="14" r:id="rId7"/>
    <sheet name="Stats" sheetId="31" r:id="rId8"/>
    <sheet name="Endark" sheetId="26" r:id="rId9"/>
    <sheet name="Sets" sheetId="50" r:id="rId10"/>
  </sheets>
  <definedNames>
    <definedName name="AM2Table">Data!$N$17:$P$23</definedName>
    <definedName name="Ammo">'Gear Lists'!$A$68:$AO$95</definedName>
    <definedName name="AmmoList">'Gear Lists'!$A$69:$A$95</definedName>
    <definedName name="AtmaHeader">'Other Lists'!$A$123:$U$123</definedName>
    <definedName name="AtmaList">'Other Lists'!$A$124:$U$137</definedName>
    <definedName name="Atmas">'Other Lists'!$A$124:$A$137</definedName>
    <definedName name="AvgHitsPerHand1TP1">Melee!$F$16</definedName>
    <definedName name="AvgHitsPerHand1TP2">Melee!$F$56</definedName>
    <definedName name="AvgHitsPerHand2TP1">Melee!$F$32</definedName>
    <definedName name="AvgHitsPerHand2TP2">Melee!$F$72</definedName>
    <definedName name="AvgHitsPerRound1">Melee!$E$38</definedName>
    <definedName name="AvgHitsPerRound2">Melee!$E$78</definedName>
    <definedName name="AvgRoundsSet1">Melee!$Q$12:$R$112</definedName>
    <definedName name="AvgRoundsSet2">Melee!$T$12:$U$112</definedName>
    <definedName name="Axe">'Gear Lists'!$A$40:$BC$44</definedName>
    <definedName name="AxeList">'Gear Lists'!$A$41:$A$44</definedName>
    <definedName name="AxeWS">'Other Lists'!$A$44:$A$47</definedName>
    <definedName name="Back">'Gear Lists'!$A$323:$AO$340</definedName>
    <definedName name="BackList">'Gear Lists'!$A$324:$A$340</definedName>
    <definedName name="Body">'Gear Lists'!$A$204:$AO$244</definedName>
    <definedName name="BodyList">'Gear Lists'!$A$205:$A$244</definedName>
    <definedName name="Boosts">'Other Lists'!$A$184:$A$185</definedName>
    <definedName name="Earring">'Gear Lists'!$A$172:$AO$201</definedName>
    <definedName name="EarringList">'Gear Lists'!$A$173:$A$201</definedName>
    <definedName name="EndarkTable">Endark!$A$4:$J$53</definedName>
    <definedName name="Entropy">Setup!$C$36</definedName>
    <definedName name="Feet">'Gear Lists'!$A$403:$AO$447</definedName>
    <definedName name="FeetList">'Gear Lists'!$A$404:$A$447</definedName>
    <definedName name="Food">'Other Lists'!$A$2:$Q$24</definedName>
    <definedName name="FoodHeader">'Other Lists'!$A$2:$Q$2</definedName>
    <definedName name="FoodList">'Other Lists'!$A$3:$A$24</definedName>
    <definedName name="GradeRates">Stats!$A$36:$J$43</definedName>
    <definedName name="Grades">Stats!$A$8:$I$33</definedName>
    <definedName name="GreatAxe">'Gear Lists'!$A$22:$BC$24</definedName>
    <definedName name="GreatAxeList">'Gear Lists'!$A$23:$A$24</definedName>
    <definedName name="GreatAxeWS">'Other Lists'!$A$50</definedName>
    <definedName name="GreatSword">'Gear Lists'!$A$27:$BC$37</definedName>
    <definedName name="GreatSwordList">'Gear Lists'!$A$28:$A$37</definedName>
    <definedName name="GreatSwordWS">'Other Lists'!$A$37:$A$41</definedName>
    <definedName name="Grip">'Gear Lists'!$A$47:$BC$65</definedName>
    <definedName name="GripList">'Gear Lists'!$A$48:$A$65</definedName>
    <definedName name="Hands">'Gear Lists'!$A$247:$AO$281</definedName>
    <definedName name="HandsList">'Gear Lists'!$A$248:$A$281</definedName>
    <definedName name="Hastes">'Other Lists'!$A$180:$A$181</definedName>
    <definedName name="Head">'Gear Lists'!$A$98:$AO$141</definedName>
    <definedName name="HeadList">'Gear Lists'!$A$99:$A$141</definedName>
    <definedName name="Ionis">'Other Lists'!$A$116:$B$120</definedName>
    <definedName name="Legs">'Gear Lists'!$A$364:$AO$400</definedName>
    <definedName name="LegsList">'Gear Lists'!$A$365:$A$400</definedName>
    <definedName name="MainWeapons">'Other Lists'!$A$59:$A$62</definedName>
    <definedName name="MainWeaponsGroup">'Other Lists'!$A$59:$B$62</definedName>
    <definedName name="MobHeader">'Other Lists'!$A$161:$J$161</definedName>
    <definedName name="MobList">'Other Lists'!$A$162:$A$176</definedName>
    <definedName name="Mobs">'Other Lists'!$A$161:$J$176</definedName>
    <definedName name="Neck">'Gear Lists'!$A$144:$AO$169</definedName>
    <definedName name="NeckList">'Gear Lists'!$A$145:$A$169</definedName>
    <definedName name="PlayerStats">Stats!$A$2:$I$3</definedName>
    <definedName name="Races">'Other Lists'!$A$155:$A$159</definedName>
    <definedName name="RateTiers">Stats!$A$36:$J$36</definedName>
    <definedName name="Ring">'Gear Lists'!$A$284:$AO$320</definedName>
    <definedName name="RingList">'Gear Lists'!$A$285:$A$320</definedName>
    <definedName name="Scythe">'Gear Lists'!$A$4:$BC$19</definedName>
    <definedName name="ScytheList">'Gear Lists'!$A$5:$A$19</definedName>
    <definedName name="ScytheWS">'Other Lists'!$A$28:$A$34</definedName>
    <definedName name="Set1AM3">Weaponskill!$E$6</definedName>
    <definedName name="Set1AM32">Weaponskill!$E$7</definedName>
    <definedName name="Set1AM33">Weaponskill!$E$8</definedName>
    <definedName name="Set1ConserveTP">Data!$D$234</definedName>
    <definedName name="Set1CRatio">Data!$D$80</definedName>
    <definedName name="Set1CritDmg">Data!$D$197</definedName>
    <definedName name="Set1CritMain">Data!$D$196</definedName>
    <definedName name="Set1CritOff">Data!$D$196</definedName>
    <definedName name="Set1DA">Data!$D$182</definedName>
    <definedName name="Set1FTP">Data!$D$233</definedName>
    <definedName name="Set1MainDmg">Data!$D$119</definedName>
    <definedName name="Set1MeleeTP">Data!$B$192</definedName>
    <definedName name="Set1MinTP">Setup!$F$47</definedName>
    <definedName name="Set1OffDmg">Data!$D$179</definedName>
    <definedName name="Set1OverTP">Setup!$F$45</definedName>
    <definedName name="Set1QA">Data!$D$184</definedName>
    <definedName name="Set1Regain">Data!$D$239</definedName>
    <definedName name="Set1SaveTP">Data!$K$25</definedName>
    <definedName name="Set1TA">Data!$D$183</definedName>
    <definedName name="Set1TPBonus">Data!$D$235</definedName>
    <definedName name="Set1WSAgi">Data!$D$33</definedName>
    <definedName name="Set1WSDex">Data!$D$32</definedName>
    <definedName name="Set1WSDmg">Data!$D$236</definedName>
    <definedName name="Set1WSHitRate">Data!$D$114</definedName>
    <definedName name="Set1WSInt">Data!$D$35</definedName>
    <definedName name="Set1WSMnd">Data!$D$36</definedName>
    <definedName name="Set1WSStoreTP">Data!$D$191</definedName>
    <definedName name="Set1WSStr">Data!$D$31</definedName>
    <definedName name="Set1WSTP">Data!$D$192</definedName>
    <definedName name="Set1WSVit">Data!$D$34</definedName>
    <definedName name="Set2AM3">Weaponskill!$E$539</definedName>
    <definedName name="Set2AM32">Weaponskill!$E$540</definedName>
    <definedName name="Set2AM33">Weaponskill!$E$541</definedName>
    <definedName name="Set2ConserveTP">Data!$E$234</definedName>
    <definedName name="Set2CRatio">Data!$E$80</definedName>
    <definedName name="Set2CritDmg">Data!$E$197</definedName>
    <definedName name="Set2CritMain">Data!$E$196</definedName>
    <definedName name="Set2CritOff">Data!$E$196</definedName>
    <definedName name="Set2DA">Data!$E$182</definedName>
    <definedName name="Set2FTP">Data!$E$233</definedName>
    <definedName name="Set2MainDmg">Data!$E$119</definedName>
    <definedName name="Set2MeleeTP">Data!$C$192</definedName>
    <definedName name="Set2MinTP">Setup!$G$47</definedName>
    <definedName name="Set2OffDmg">Data!$E$179</definedName>
    <definedName name="Set2OverTP">Setup!$G$45</definedName>
    <definedName name="Set2QA">Data!$E$184</definedName>
    <definedName name="Set2Regain">Data!$E$239</definedName>
    <definedName name="Set2SaveTP">Data!$L$25</definedName>
    <definedName name="Set2TA">Data!$E$183</definedName>
    <definedName name="Set2TPBonus">Data!$E$235</definedName>
    <definedName name="Set2WSAgi">Data!$E$33</definedName>
    <definedName name="Set2WSDex">Data!$E$32</definedName>
    <definedName name="Set2WSDmg">Data!$E$236</definedName>
    <definedName name="Set2WSHitRate">Data!$E$114</definedName>
    <definedName name="Set2WSInt">Data!$E$35</definedName>
    <definedName name="Set2WSMnd">Data!$E$36</definedName>
    <definedName name="Set2WSStoreTP">Data!$E$191</definedName>
    <definedName name="Set2WSStr">Data!$E$31</definedName>
    <definedName name="Set2WSTP">Data!$E$192</definedName>
    <definedName name="Set2WSVit">Data!$E$34</definedName>
    <definedName name="SetBonusLookup">'Other Lists'!$C$99:$M$111</definedName>
    <definedName name="Skills">'Other Lists'!$A$71:$D$75</definedName>
    <definedName name="Slots">Gear!$A$3:$A$21</definedName>
    <definedName name="Souleater10">Melee!$A$87:$F$96</definedName>
    <definedName name="Souleater12">Melee!$H$87:$M$96</definedName>
    <definedName name="SouleaterOptions">'Other Lists'!$A$145:$A$147</definedName>
    <definedName name="StatHeader">'Gear Lists'!$A$1:$BC$1</definedName>
    <definedName name="Stats">Stats!$A$8:$I$8</definedName>
    <definedName name="Sub1HWeapons">'Other Lists'!$A$68</definedName>
    <definedName name="Sub2HWeapons">'Other Lists'!$A$65</definedName>
    <definedName name="Subjobs">'Other Lists'!$A$150:$A$152</definedName>
    <definedName name="Toggle">'Other Lists'!$A$141:$A$142</definedName>
    <definedName name="TPSet1">Gear!$A$2:$X$21</definedName>
    <definedName name="TPSet1Gear">Gear!$B$3:$B$17</definedName>
    <definedName name="TPSet2">Gear!$AA$2:$AX$21</definedName>
    <definedName name="TPSet2Gear">Gear!$AB$3:$AB$17</definedName>
    <definedName name="Waist">'Gear Lists'!$A$343:$AO$361</definedName>
    <definedName name="WaistList">'Gear Lists'!$A$344:$A$361</definedName>
    <definedName name="WeaponskillData">'Other Lists'!$A$78:$T$94</definedName>
    <definedName name="WeaponskillDataCols">'Other Lists'!$A$77:$T$77</definedName>
    <definedName name="WeaponTypes">'Other Lists'!$A$53:$A$56</definedName>
    <definedName name="WSSet1">Gear!$A$25:$X$44</definedName>
    <definedName name="WSSet1Gear">Gear!$B$26:$B$40</definedName>
    <definedName name="WSSet2">Gear!$AA$25:$AX$44</definedName>
    <definedName name="WSSet2Gear">Gear!$AB$26:$AB$40</definedName>
  </definedNames>
  <calcPr calcId="125725" iterate="1"/>
</workbook>
</file>

<file path=xl/calcChain.xml><?xml version="1.0" encoding="utf-8"?>
<calcChain xmlns="http://schemas.openxmlformats.org/spreadsheetml/2006/main">
  <c r="AB27" i="12"/>
  <c r="D19" i="29"/>
  <c r="N244" i="13" l="1"/>
  <c r="H244"/>
  <c r="I126"/>
  <c r="O126"/>
  <c r="N126"/>
  <c r="Q27" i="50" l="1"/>
  <c r="P27"/>
  <c r="N27"/>
  <c r="M27"/>
  <c r="K27"/>
  <c r="J27"/>
  <c r="H27"/>
  <c r="G27"/>
  <c r="E27"/>
  <c r="D27"/>
  <c r="B27"/>
  <c r="A27"/>
  <c r="Q26"/>
  <c r="P26"/>
  <c r="N26"/>
  <c r="M26"/>
  <c r="K26"/>
  <c r="J26"/>
  <c r="H26"/>
  <c r="G26"/>
  <c r="E26"/>
  <c r="D26"/>
  <c r="B26"/>
  <c r="A26"/>
  <c r="C78" i="26"/>
  <c r="B78"/>
  <c r="C77"/>
  <c r="B77"/>
  <c r="C76"/>
  <c r="B76"/>
  <c r="C75"/>
  <c r="B75"/>
  <c r="C74"/>
  <c r="B74"/>
  <c r="C73"/>
  <c r="B73"/>
  <c r="C72"/>
  <c r="B72"/>
  <c r="C71"/>
  <c r="B71"/>
  <c r="C70"/>
  <c r="B70"/>
  <c r="C69"/>
  <c r="B69"/>
  <c r="C68"/>
  <c r="B68"/>
  <c r="C67"/>
  <c r="B67"/>
  <c r="C66"/>
  <c r="B66"/>
  <c r="C65"/>
  <c r="B65"/>
  <c r="C64"/>
  <c r="B64"/>
  <c r="C63"/>
  <c r="B63"/>
  <c r="C62"/>
  <c r="B62"/>
  <c r="C61"/>
  <c r="B61"/>
  <c r="C60"/>
  <c r="B60"/>
  <c r="C59"/>
  <c r="B59"/>
  <c r="C58"/>
  <c r="B58"/>
  <c r="C57"/>
  <c r="B57"/>
  <c r="C56"/>
  <c r="B56"/>
  <c r="C55"/>
  <c r="B55"/>
  <c r="C54"/>
  <c r="B54"/>
  <c r="C53"/>
  <c r="B53"/>
  <c r="C52"/>
  <c r="B52"/>
  <c r="C51"/>
  <c r="B51"/>
  <c r="C50"/>
  <c r="B50"/>
  <c r="C49"/>
  <c r="B49"/>
  <c r="C48"/>
  <c r="B48"/>
  <c r="C47"/>
  <c r="B47"/>
  <c r="C46"/>
  <c r="B46"/>
  <c r="C45"/>
  <c r="B45"/>
  <c r="C44"/>
  <c r="B44"/>
  <c r="C43"/>
  <c r="B43"/>
  <c r="C42"/>
  <c r="B42"/>
  <c r="C41"/>
  <c r="B41"/>
  <c r="C40"/>
  <c r="B40"/>
  <c r="C39"/>
  <c r="B39"/>
  <c r="C38"/>
  <c r="B38"/>
  <c r="C37"/>
  <c r="B37"/>
  <c r="C36"/>
  <c r="B36"/>
  <c r="C35"/>
  <c r="B35"/>
  <c r="C34"/>
  <c r="B34"/>
  <c r="C33"/>
  <c r="B33"/>
  <c r="C32"/>
  <c r="B32"/>
  <c r="C31"/>
  <c r="B31"/>
  <c r="C30"/>
  <c r="B30"/>
  <c r="C29"/>
  <c r="B29"/>
  <c r="C28"/>
  <c r="B28"/>
  <c r="C27"/>
  <c r="B27"/>
  <c r="C26"/>
  <c r="B26"/>
  <c r="C25"/>
  <c r="B25"/>
  <c r="C24"/>
  <c r="B24"/>
  <c r="C23"/>
  <c r="B23"/>
  <c r="C22"/>
  <c r="B22"/>
  <c r="C21"/>
  <c r="B21"/>
  <c r="C20"/>
  <c r="B20"/>
  <c r="C19"/>
  <c r="B19"/>
  <c r="C18"/>
  <c r="B18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D58"/>
  <c r="D57"/>
  <c r="D56"/>
  <c r="D55"/>
  <c r="D54"/>
  <c r="D40"/>
  <c r="D32"/>
  <c r="F53"/>
  <c r="F32"/>
  <c r="F42"/>
  <c r="D27"/>
  <c r="D44"/>
  <c r="D41"/>
  <c r="F22"/>
  <c r="F36"/>
  <c r="F39"/>
  <c r="D34"/>
  <c r="D31"/>
  <c r="D25"/>
  <c r="F38"/>
  <c r="F28"/>
  <c r="F26"/>
  <c r="F50"/>
  <c r="F35"/>
  <c r="D38"/>
  <c r="F27"/>
  <c r="F34"/>
  <c r="D33"/>
  <c r="F30"/>
  <c r="F37"/>
  <c r="D50"/>
  <c r="F20"/>
  <c r="D48"/>
  <c r="F41"/>
  <c r="D53"/>
  <c r="F47"/>
  <c r="F44"/>
  <c r="D18"/>
  <c r="D49"/>
  <c r="D35"/>
  <c r="D52"/>
  <c r="D20"/>
  <c r="F48"/>
  <c r="D45"/>
  <c r="D19"/>
  <c r="F33"/>
  <c r="D37"/>
  <c r="F25"/>
  <c r="F52"/>
  <c r="F18"/>
  <c r="D28"/>
  <c r="F43"/>
  <c r="D26"/>
  <c r="D30"/>
  <c r="F31"/>
  <c r="D29"/>
  <c r="F45"/>
  <c r="D43"/>
  <c r="F29"/>
  <c r="F40"/>
  <c r="D42"/>
  <c r="D22"/>
  <c r="F21"/>
  <c r="D47"/>
  <c r="D23"/>
  <c r="F49"/>
  <c r="D46"/>
  <c r="D39"/>
  <c r="D24"/>
  <c r="F17"/>
  <c r="D51"/>
  <c r="D21"/>
  <c r="F51"/>
  <c r="F23"/>
  <c r="D36"/>
  <c r="F24"/>
  <c r="F46"/>
  <c r="F19"/>
  <c r="E54" l="1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G67"/>
  <c r="G68"/>
  <c r="G69"/>
  <c r="G72"/>
  <c r="G73"/>
  <c r="G74"/>
  <c r="G54"/>
  <c r="G57"/>
  <c r="G70"/>
  <c r="G75"/>
  <c r="G58"/>
  <c r="G59"/>
  <c r="G61"/>
  <c r="G65"/>
  <c r="G76"/>
  <c r="G60"/>
  <c r="G62"/>
  <c r="G77"/>
  <c r="G55"/>
  <c r="G78"/>
  <c r="G56"/>
  <c r="G71"/>
  <c r="G66"/>
  <c r="G63"/>
  <c r="G64"/>
  <c r="G19"/>
  <c r="G21"/>
  <c r="G22"/>
  <c r="G24"/>
  <c r="G27"/>
  <c r="G28"/>
  <c r="G31"/>
  <c r="G32"/>
  <c r="G33"/>
  <c r="G34"/>
  <c r="G35"/>
  <c r="G36"/>
  <c r="G37"/>
  <c r="G39"/>
  <c r="G40"/>
  <c r="G42"/>
  <c r="G43"/>
  <c r="G44"/>
  <c r="G45"/>
  <c r="G46"/>
  <c r="G47"/>
  <c r="G48"/>
  <c r="G49"/>
  <c r="G50"/>
  <c r="G51"/>
  <c r="G52"/>
  <c r="G26"/>
  <c r="G30"/>
  <c r="E20"/>
  <c r="E21"/>
  <c r="E24"/>
  <c r="E25"/>
  <c r="E27"/>
  <c r="E29"/>
  <c r="E33"/>
  <c r="E53"/>
  <c r="G25"/>
  <c r="G29"/>
  <c r="E18"/>
  <c r="E19"/>
  <c r="E22"/>
  <c r="E23"/>
  <c r="E26"/>
  <c r="E28"/>
  <c r="E30"/>
  <c r="E31"/>
  <c r="E32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G18"/>
  <c r="G20"/>
  <c r="G23"/>
  <c r="G38"/>
  <c r="G41"/>
  <c r="G53"/>
  <c r="C17"/>
  <c r="B17"/>
  <c r="C16"/>
  <c r="B16"/>
  <c r="C15"/>
  <c r="B15"/>
  <c r="F16"/>
  <c r="F15"/>
  <c r="D15"/>
  <c r="D16"/>
  <c r="D17"/>
  <c r="G15" l="1"/>
  <c r="G16"/>
  <c r="E15"/>
  <c r="E16"/>
  <c r="E17"/>
  <c r="G17"/>
  <c r="C14"/>
  <c r="B14"/>
  <c r="C13"/>
  <c r="B13"/>
  <c r="C12"/>
  <c r="B12"/>
  <c r="C11"/>
  <c r="B11"/>
  <c r="C10"/>
  <c r="B10"/>
  <c r="C9"/>
  <c r="B9"/>
  <c r="C8"/>
  <c r="B8"/>
  <c r="C7"/>
  <c r="B7"/>
  <c r="D7"/>
  <c r="D11"/>
  <c r="D9"/>
  <c r="D13"/>
  <c r="F9"/>
  <c r="F11"/>
  <c r="F12"/>
  <c r="D12"/>
  <c r="F8"/>
  <c r="F10"/>
  <c r="F13"/>
  <c r="F14"/>
  <c r="D10"/>
  <c r="D14"/>
  <c r="D8"/>
  <c r="F7"/>
  <c r="E8" l="1"/>
  <c r="E9"/>
  <c r="E10"/>
  <c r="E11"/>
  <c r="E12"/>
  <c r="E13"/>
  <c r="E14"/>
  <c r="G7"/>
  <c r="G9"/>
  <c r="G10"/>
  <c r="G11"/>
  <c r="G13"/>
  <c r="G14"/>
  <c r="G8"/>
  <c r="G12"/>
  <c r="E7"/>
  <c r="C6"/>
  <c r="B6"/>
  <c r="C5"/>
  <c r="B5"/>
  <c r="C4"/>
  <c r="B4"/>
  <c r="A47" i="31"/>
  <c r="H47" s="1"/>
  <c r="J43"/>
  <c r="I43"/>
  <c r="J42"/>
  <c r="I42"/>
  <c r="J41"/>
  <c r="I41"/>
  <c r="J40"/>
  <c r="I40"/>
  <c r="J39"/>
  <c r="I39"/>
  <c r="J38"/>
  <c r="I38"/>
  <c r="J37"/>
  <c r="I37"/>
  <c r="H175" i="14"/>
  <c r="D5" i="26"/>
  <c r="D4"/>
  <c r="F6"/>
  <c r="F5"/>
  <c r="F4"/>
  <c r="D6"/>
  <c r="H49" i="31" l="1"/>
  <c r="H51"/>
  <c r="H48"/>
  <c r="B47"/>
  <c r="G47"/>
  <c r="F47"/>
  <c r="D47"/>
  <c r="I47"/>
  <c r="C47"/>
  <c r="G6" i="26"/>
  <c r="G4"/>
  <c r="E4"/>
  <c r="E5"/>
  <c r="E6"/>
  <c r="G5"/>
  <c r="G175" i="14"/>
  <c r="F175"/>
  <c r="D175"/>
  <c r="K111"/>
  <c r="J101"/>
  <c r="K107"/>
  <c r="K102"/>
  <c r="J104"/>
  <c r="K103"/>
  <c r="J111"/>
  <c r="K108"/>
  <c r="J110"/>
  <c r="J109"/>
  <c r="K100"/>
  <c r="K105"/>
  <c r="J100"/>
  <c r="K110"/>
  <c r="J108"/>
  <c r="K106"/>
  <c r="K101"/>
  <c r="J105"/>
  <c r="K104"/>
  <c r="J106"/>
  <c r="J103"/>
  <c r="K109"/>
  <c r="J107"/>
  <c r="J102"/>
  <c r="G49" i="31" l="1"/>
  <c r="G51"/>
  <c r="G50"/>
  <c r="F50" s="1"/>
  <c r="E47"/>
  <c r="F51"/>
  <c r="F48"/>
  <c r="F49"/>
  <c r="D48"/>
  <c r="D50"/>
  <c r="D51"/>
  <c r="G48"/>
  <c r="C50"/>
  <c r="C51"/>
  <c r="C48"/>
  <c r="I50"/>
  <c r="H50" s="1"/>
  <c r="I48"/>
  <c r="I49"/>
  <c r="B51"/>
  <c r="B49"/>
  <c r="B48"/>
  <c r="B50"/>
  <c r="E94" i="14"/>
  <c r="E93"/>
  <c r="E89"/>
  <c r="E84"/>
  <c r="D74"/>
  <c r="D73"/>
  <c r="D72"/>
  <c r="D71"/>
  <c r="O447" i="13"/>
  <c r="N447"/>
  <c r="O445"/>
  <c r="N445"/>
  <c r="O444"/>
  <c r="N444"/>
  <c r="E51" i="31" l="1"/>
  <c r="E48"/>
  <c r="E50"/>
  <c r="E49"/>
  <c r="D49" s="1"/>
  <c r="C49" s="1"/>
  <c r="N437" i="13"/>
  <c r="G437"/>
  <c r="N436"/>
  <c r="G436"/>
  <c r="N435" l="1"/>
  <c r="G435"/>
  <c r="G431"/>
  <c r="O428"/>
  <c r="G428"/>
  <c r="AN420"/>
  <c r="N419"/>
  <c r="I419"/>
  <c r="N415"/>
  <c r="AN408"/>
  <c r="I408"/>
  <c r="N407"/>
  <c r="H407"/>
  <c r="G407"/>
  <c r="N406"/>
  <c r="H406"/>
  <c r="G406"/>
  <c r="N405"/>
  <c r="H405"/>
  <c r="G405"/>
  <c r="N404"/>
  <c r="H404"/>
  <c r="G404"/>
  <c r="O399"/>
  <c r="O398" l="1"/>
  <c r="I394"/>
  <c r="N392"/>
  <c r="G392"/>
  <c r="N391"/>
  <c r="O390" l="1"/>
  <c r="N390"/>
  <c r="AN379"/>
  <c r="O378"/>
  <c r="L378"/>
  <c r="N368"/>
  <c r="G368"/>
  <c r="N367"/>
  <c r="G367"/>
  <c r="N366"/>
  <c r="G366"/>
  <c r="G365"/>
  <c r="O339"/>
  <c r="N270"/>
  <c r="G270"/>
  <c r="N267"/>
  <c r="AN260"/>
  <c r="O259"/>
  <c r="G259"/>
  <c r="N255"/>
  <c r="H249"/>
  <c r="G249"/>
  <c r="H248"/>
  <c r="G248"/>
  <c r="O234"/>
  <c r="AE232"/>
  <c r="O232"/>
  <c r="I232"/>
  <c r="AN219"/>
  <c r="N214"/>
  <c r="O208"/>
  <c r="N208"/>
  <c r="H208" l="1"/>
  <c r="G208"/>
  <c r="O207"/>
  <c r="N207"/>
  <c r="H207"/>
  <c r="G207"/>
  <c r="O206"/>
  <c r="N206"/>
  <c r="H206"/>
  <c r="G206"/>
  <c r="N205"/>
  <c r="H205" l="1"/>
  <c r="G205"/>
  <c r="N138"/>
  <c r="G138"/>
  <c r="N137"/>
  <c r="G137"/>
  <c r="N136" l="1"/>
  <c r="I136"/>
  <c r="H136"/>
  <c r="N135"/>
  <c r="H135" l="1"/>
  <c r="G135"/>
  <c r="O125"/>
  <c r="N125"/>
  <c r="J125"/>
  <c r="L122"/>
  <c r="AN115"/>
  <c r="N112"/>
  <c r="H112"/>
  <c r="S107"/>
  <c r="N107"/>
  <c r="O102"/>
  <c r="H102"/>
  <c r="G102"/>
  <c r="O101"/>
  <c r="H101"/>
  <c r="G101"/>
  <c r="H100"/>
  <c r="G100"/>
  <c r="H99"/>
  <c r="G99"/>
  <c r="AP32"/>
  <c r="AP14"/>
  <c r="L96" i="48"/>
  <c r="K96" s="1"/>
  <c r="J96" l="1"/>
  <c r="I96" l="1"/>
  <c r="F96" s="1"/>
  <c r="E96"/>
  <c r="D96" s="1"/>
  <c r="C96" l="1"/>
  <c r="B96"/>
  <c r="L95"/>
  <c r="K95" s="1"/>
  <c r="J95"/>
  <c r="I95"/>
  <c r="F95" s="1"/>
  <c r="E95"/>
  <c r="D95" s="1"/>
  <c r="C95"/>
  <c r="B95" l="1"/>
  <c r="L94"/>
  <c r="K94" s="1"/>
  <c r="J94"/>
  <c r="I94"/>
  <c r="F94" s="1"/>
  <c r="E94"/>
  <c r="D94" s="1"/>
  <c r="C94"/>
  <c r="B94"/>
  <c r="L93"/>
  <c r="K93" s="1"/>
  <c r="J93"/>
  <c r="I93"/>
  <c r="F93" s="1"/>
  <c r="E93"/>
  <c r="D93" s="1"/>
  <c r="C93"/>
  <c r="B93"/>
  <c r="L92"/>
  <c r="K92" s="1"/>
  <c r="J92"/>
  <c r="I92"/>
  <c r="F92" s="1"/>
  <c r="E92"/>
  <c r="D92" s="1"/>
  <c r="C92"/>
  <c r="B92" l="1"/>
  <c r="L91"/>
  <c r="K91" s="1"/>
  <c r="J91"/>
  <c r="I91"/>
  <c r="F91" s="1"/>
  <c r="E91"/>
  <c r="D91" s="1"/>
  <c r="C91"/>
  <c r="B91"/>
  <c r="L90"/>
  <c r="K90" s="1"/>
  <c r="J90"/>
  <c r="I90"/>
  <c r="F90" s="1"/>
  <c r="E90"/>
  <c r="D90" s="1"/>
  <c r="C90"/>
  <c r="B90"/>
  <c r="L89"/>
  <c r="K89" s="1"/>
  <c r="J89"/>
  <c r="I89" s="1"/>
  <c r="F89" s="1"/>
  <c r="E89"/>
  <c r="D89" s="1"/>
  <c r="C89"/>
  <c r="B89"/>
  <c r="L88"/>
  <c r="K88" s="1"/>
  <c r="J88"/>
  <c r="F88" s="1"/>
  <c r="E88"/>
  <c r="D88" s="1"/>
  <c r="C88"/>
  <c r="N68" l="1"/>
  <c r="N67"/>
  <c r="M67"/>
  <c r="N66"/>
  <c r="M66"/>
  <c r="L66"/>
  <c r="N65"/>
  <c r="M65"/>
  <c r="L65"/>
  <c r="K65"/>
  <c r="N64"/>
  <c r="M64"/>
  <c r="L64"/>
  <c r="K64"/>
  <c r="J64"/>
  <c r="N63"/>
  <c r="M63"/>
  <c r="L63"/>
  <c r="K63"/>
  <c r="J63"/>
  <c r="I63"/>
  <c r="N62"/>
  <c r="M62"/>
  <c r="L62"/>
  <c r="K62"/>
  <c r="J62"/>
  <c r="I62"/>
  <c r="H62"/>
  <c r="N61"/>
  <c r="M61"/>
  <c r="L61"/>
  <c r="K61"/>
  <c r="J61"/>
  <c r="I61"/>
  <c r="H61"/>
  <c r="G61"/>
  <c r="B67"/>
  <c r="B66"/>
  <c r="B65"/>
  <c r="N52" l="1"/>
  <c r="N51"/>
  <c r="M51"/>
  <c r="N50"/>
  <c r="M50"/>
  <c r="L50"/>
  <c r="N49"/>
  <c r="M49"/>
  <c r="L49"/>
  <c r="K49"/>
  <c r="N48"/>
  <c r="M48"/>
  <c r="L48"/>
  <c r="K48"/>
  <c r="J48"/>
  <c r="N47"/>
  <c r="M47"/>
  <c r="L47"/>
  <c r="K47"/>
  <c r="J47"/>
  <c r="I47"/>
  <c r="N46"/>
  <c r="M46"/>
  <c r="L46"/>
  <c r="K46"/>
  <c r="J46"/>
  <c r="I46"/>
  <c r="H46"/>
  <c r="B53"/>
  <c r="B51"/>
  <c r="B49"/>
  <c r="B52"/>
  <c r="B54"/>
  <c r="B50"/>
  <c r="B55"/>
  <c r="B48"/>
  <c r="N45" l="1"/>
  <c r="M45"/>
  <c r="L45"/>
  <c r="K45"/>
  <c r="J45"/>
  <c r="I45"/>
  <c r="H45"/>
  <c r="G45"/>
  <c r="N28" l="1"/>
  <c r="N27" l="1"/>
  <c r="M27"/>
  <c r="B27"/>
  <c r="N26" l="1"/>
  <c r="M26"/>
  <c r="L26"/>
  <c r="B26"/>
  <c r="N25" l="1"/>
  <c r="M25"/>
  <c r="L25"/>
  <c r="K25"/>
  <c r="B25"/>
  <c r="N24" l="1"/>
  <c r="M24"/>
  <c r="L24"/>
  <c r="K24"/>
  <c r="J24"/>
  <c r="N23" l="1"/>
  <c r="M23"/>
  <c r="L23"/>
  <c r="K23"/>
  <c r="J23"/>
  <c r="I23"/>
  <c r="N22"/>
  <c r="M22"/>
  <c r="L22"/>
  <c r="K22"/>
  <c r="J22"/>
  <c r="I22"/>
  <c r="H22"/>
  <c r="N21"/>
  <c r="M21"/>
  <c r="L21"/>
  <c r="K21"/>
  <c r="J21"/>
  <c r="I21"/>
  <c r="H21"/>
  <c r="G21"/>
  <c r="N12" l="1"/>
  <c r="N11"/>
  <c r="M11"/>
  <c r="N10"/>
  <c r="M10"/>
  <c r="L10"/>
  <c r="N9"/>
  <c r="M9"/>
  <c r="L9"/>
  <c r="K9"/>
  <c r="N8"/>
  <c r="M8"/>
  <c r="L8"/>
  <c r="K8"/>
  <c r="J8"/>
  <c r="N7"/>
  <c r="M7"/>
  <c r="L7"/>
  <c r="K7"/>
  <c r="J7"/>
  <c r="I7"/>
  <c r="N6"/>
  <c r="M6"/>
  <c r="L6"/>
  <c r="K6"/>
  <c r="J6"/>
  <c r="I6"/>
  <c r="H6"/>
  <c r="N5"/>
  <c r="M5"/>
  <c r="L5"/>
  <c r="K5"/>
  <c r="J5"/>
  <c r="I5"/>
  <c r="H5"/>
  <c r="G5"/>
  <c r="B8"/>
  <c r="B13"/>
  <c r="B10"/>
  <c r="B15"/>
  <c r="B9"/>
  <c r="B12"/>
  <c r="B14"/>
  <c r="B11"/>
  <c r="K545" i="49" l="1"/>
  <c r="B545"/>
  <c r="Y628" s="1"/>
  <c r="Q544"/>
  <c r="Q541"/>
  <c r="E541"/>
  <c r="E540"/>
  <c r="E539"/>
  <c r="A535"/>
  <c r="B542" s="1"/>
  <c r="I536" l="1"/>
  <c r="Y554"/>
  <c r="Y558"/>
  <c r="Y562"/>
  <c r="Y566"/>
  <c r="Y570"/>
  <c r="Y574"/>
  <c r="Y578"/>
  <c r="Y582"/>
  <c r="Y586"/>
  <c r="Y590"/>
  <c r="Y594"/>
  <c r="Y598"/>
  <c r="Y602"/>
  <c r="Y606"/>
  <c r="Y610"/>
  <c r="Y614"/>
  <c r="Y618"/>
  <c r="Y622"/>
  <c r="Y626"/>
  <c r="Y630"/>
  <c r="K535"/>
  <c r="L538"/>
  <c r="K538" s="1"/>
  <c r="J541"/>
  <c r="Y553"/>
  <c r="Y557"/>
  <c r="Y561"/>
  <c r="Y565"/>
  <c r="Y569"/>
  <c r="Y573"/>
  <c r="Y577"/>
  <c r="Y581"/>
  <c r="Y585"/>
  <c r="Y589"/>
  <c r="Y593"/>
  <c r="Y597"/>
  <c r="Y601"/>
  <c r="Y605"/>
  <c r="Y609"/>
  <c r="Y613"/>
  <c r="Y617"/>
  <c r="Y621"/>
  <c r="Y625"/>
  <c r="Y629"/>
  <c r="I535"/>
  <c r="J538"/>
  <c r="Y552"/>
  <c r="Y556"/>
  <c r="Y560"/>
  <c r="Y564"/>
  <c r="Y568"/>
  <c r="Y572"/>
  <c r="Y576"/>
  <c r="Y580"/>
  <c r="Y584"/>
  <c r="Y588"/>
  <c r="Y592"/>
  <c r="Y596"/>
  <c r="Y600"/>
  <c r="Y604"/>
  <c r="Y608"/>
  <c r="Y612"/>
  <c r="Y616"/>
  <c r="Y620"/>
  <c r="Y624"/>
  <c r="Y1059"/>
  <c r="Y1055"/>
  <c r="Y1051"/>
  <c r="Y1047"/>
  <c r="Y1043"/>
  <c r="Y1039"/>
  <c r="Y1035"/>
  <c r="Y1031"/>
  <c r="Y1027"/>
  <c r="Y1023"/>
  <c r="Y1019"/>
  <c r="Y1015"/>
  <c r="Y1011"/>
  <c r="Y1007"/>
  <c r="Y1003"/>
  <c r="Y999"/>
  <c r="Y1060"/>
  <c r="Y1056"/>
  <c r="Y1052"/>
  <c r="Y1048"/>
  <c r="Y1044"/>
  <c r="Y1040"/>
  <c r="Y1036"/>
  <c r="Y1032"/>
  <c r="Y1028"/>
  <c r="Y1024"/>
  <c r="Y1020"/>
  <c r="Y1016"/>
  <c r="Y1012"/>
  <c r="Y1008"/>
  <c r="Y1004"/>
  <c r="Y1000"/>
  <c r="Y1061"/>
  <c r="Y1057"/>
  <c r="Y1053"/>
  <c r="Y1049"/>
  <c r="Y1045"/>
  <c r="Y1041"/>
  <c r="Y1037"/>
  <c r="Y1033"/>
  <c r="Y1029"/>
  <c r="Y1025"/>
  <c r="Y1021"/>
  <c r="Y1017"/>
  <c r="Y1013"/>
  <c r="Y1009"/>
  <c r="Y1005"/>
  <c r="Y1001"/>
  <c r="Y997"/>
  <c r="Y1062"/>
  <c r="Y1058"/>
  <c r="Y1054"/>
  <c r="Y1050"/>
  <c r="Y1046"/>
  <c r="Y1042"/>
  <c r="Y1038"/>
  <c r="Y1034"/>
  <c r="Y1030"/>
  <c r="Y1026"/>
  <c r="Y1022"/>
  <c r="Y1018"/>
  <c r="Y1014"/>
  <c r="Y1010"/>
  <c r="Y1006"/>
  <c r="Y1002"/>
  <c r="Y998"/>
  <c r="Y993"/>
  <c r="Y989"/>
  <c r="Y985"/>
  <c r="Y981"/>
  <c r="Y977"/>
  <c r="Y973"/>
  <c r="Y969"/>
  <c r="Y965"/>
  <c r="Y961"/>
  <c r="Y957"/>
  <c r="Y953"/>
  <c r="Y949"/>
  <c r="Y945"/>
  <c r="Y941"/>
  <c r="Y937"/>
  <c r="Y933"/>
  <c r="Y929"/>
  <c r="Y925"/>
  <c r="Y921"/>
  <c r="Y917"/>
  <c r="Y913"/>
  <c r="Y994"/>
  <c r="Y990"/>
  <c r="Y986"/>
  <c r="Y982"/>
  <c r="Y978"/>
  <c r="Y974"/>
  <c r="Y970"/>
  <c r="Y966"/>
  <c r="Y962"/>
  <c r="Y958"/>
  <c r="Y954"/>
  <c r="Y950"/>
  <c r="Y946"/>
  <c r="Y942"/>
  <c r="Y938"/>
  <c r="Y934"/>
  <c r="Y930"/>
  <c r="Y926"/>
  <c r="Y922"/>
  <c r="Y918"/>
  <c r="Y914"/>
  <c r="Y995"/>
  <c r="Y991"/>
  <c r="Y987"/>
  <c r="Y983"/>
  <c r="Y979"/>
  <c r="Y975"/>
  <c r="Y971"/>
  <c r="Y967"/>
  <c r="Y963"/>
  <c r="Y959"/>
  <c r="Y955"/>
  <c r="Y951"/>
  <c r="Y947"/>
  <c r="Y943"/>
  <c r="Y939"/>
  <c r="Y935"/>
  <c r="Y931"/>
  <c r="Y927"/>
  <c r="Y923"/>
  <c r="Y919"/>
  <c r="Y915"/>
  <c r="Y996"/>
  <c r="Y992"/>
  <c r="Y988"/>
  <c r="Y984"/>
  <c r="Y980"/>
  <c r="Y976"/>
  <c r="Y972"/>
  <c r="Y968"/>
  <c r="Y964"/>
  <c r="Y960"/>
  <c r="Y956"/>
  <c r="Y952"/>
  <c r="Y948"/>
  <c r="Y944"/>
  <c r="Y940"/>
  <c r="Y936"/>
  <c r="Y932"/>
  <c r="Y928"/>
  <c r="Y924"/>
  <c r="Y920"/>
  <c r="Y916"/>
  <c r="Y912"/>
  <c r="Y908"/>
  <c r="Y904"/>
  <c r="Y900"/>
  <c r="Y896"/>
  <c r="Y892"/>
  <c r="Y888"/>
  <c r="Y884"/>
  <c r="Y880"/>
  <c r="Y876"/>
  <c r="Y872"/>
  <c r="Y868"/>
  <c r="Y864"/>
  <c r="Y860"/>
  <c r="Y856"/>
  <c r="Y909"/>
  <c r="Y905"/>
  <c r="Y901"/>
  <c r="Y897"/>
  <c r="Y893"/>
  <c r="Y889"/>
  <c r="Y885"/>
  <c r="Y881"/>
  <c r="Y877"/>
  <c r="Y873"/>
  <c r="Y869"/>
  <c r="Y865"/>
  <c r="Y861"/>
  <c r="Y857"/>
  <c r="Y910"/>
  <c r="Y906"/>
  <c r="Y902"/>
  <c r="Y898"/>
  <c r="Y894"/>
  <c r="Y890"/>
  <c r="Y886"/>
  <c r="Y882"/>
  <c r="Y878"/>
  <c r="Y874"/>
  <c r="Y870"/>
  <c r="Y866"/>
  <c r="Y862"/>
  <c r="Y858"/>
  <c r="Y911"/>
  <c r="Y907"/>
  <c r="Y903"/>
  <c r="Y899"/>
  <c r="Y895"/>
  <c r="Y891"/>
  <c r="Y887"/>
  <c r="Y883"/>
  <c r="Y879"/>
  <c r="Y875"/>
  <c r="Y871"/>
  <c r="Y867"/>
  <c r="Y863"/>
  <c r="Y859"/>
  <c r="Y852"/>
  <c r="Y848"/>
  <c r="Y844"/>
  <c r="Y840"/>
  <c r="Y836"/>
  <c r="Y832"/>
  <c r="Y828"/>
  <c r="Y824"/>
  <c r="Y820"/>
  <c r="Y816"/>
  <c r="Y812"/>
  <c r="Y808"/>
  <c r="Y804"/>
  <c r="Y800"/>
  <c r="Y796"/>
  <c r="Y792"/>
  <c r="Y788"/>
  <c r="Y784"/>
  <c r="Y780"/>
  <c r="Y776"/>
  <c r="Y772"/>
  <c r="Y768"/>
  <c r="Y853"/>
  <c r="Y849"/>
  <c r="Y845"/>
  <c r="Y841"/>
  <c r="Y837"/>
  <c r="Y833"/>
  <c r="Y829"/>
  <c r="Y825"/>
  <c r="Y821"/>
  <c r="Y817"/>
  <c r="Y813"/>
  <c r="Y809"/>
  <c r="Y805"/>
  <c r="Y801"/>
  <c r="Y797"/>
  <c r="Y793"/>
  <c r="Y789"/>
  <c r="Y785"/>
  <c r="Y781"/>
  <c r="Y777"/>
  <c r="Y773"/>
  <c r="Y769"/>
  <c r="Y854"/>
  <c r="Y850"/>
  <c r="Y846"/>
  <c r="Y842"/>
  <c r="Y838"/>
  <c r="Y834"/>
  <c r="Y830"/>
  <c r="Y826"/>
  <c r="Y822"/>
  <c r="Y818"/>
  <c r="Y814"/>
  <c r="Y810"/>
  <c r="Y806"/>
  <c r="Y802"/>
  <c r="Y798"/>
  <c r="Y794"/>
  <c r="Y790"/>
  <c r="Y786"/>
  <c r="Y782"/>
  <c r="Y778"/>
  <c r="Y774"/>
  <c r="Y770"/>
  <c r="Y855"/>
  <c r="Y851"/>
  <c r="Y847"/>
  <c r="Y843"/>
  <c r="Y839"/>
  <c r="Y835"/>
  <c r="Y831"/>
  <c r="Y827"/>
  <c r="Y823"/>
  <c r="Y819"/>
  <c r="Y815"/>
  <c r="Y811"/>
  <c r="Y807"/>
  <c r="Y803"/>
  <c r="Y799"/>
  <c r="Y795"/>
  <c r="Y791"/>
  <c r="Y787"/>
  <c r="Y783"/>
  <c r="Y779"/>
  <c r="Y775"/>
  <c r="Y771"/>
  <c r="Y767"/>
  <c r="Y763"/>
  <c r="Y759"/>
  <c r="Y761"/>
  <c r="Y762"/>
  <c r="Y764"/>
  <c r="Y760"/>
  <c r="Y766"/>
  <c r="Y765"/>
  <c r="Y758"/>
  <c r="Y754"/>
  <c r="Y750"/>
  <c r="Y746"/>
  <c r="Y742"/>
  <c r="Y738"/>
  <c r="Y734"/>
  <c r="Y730"/>
  <c r="Y726"/>
  <c r="Y722"/>
  <c r="Y718"/>
  <c r="Y714"/>
  <c r="Y710"/>
  <c r="Y706"/>
  <c r="Y702"/>
  <c r="Y698"/>
  <c r="Y694"/>
  <c r="Y690"/>
  <c r="Y686"/>
  <c r="Y682"/>
  <c r="Y678"/>
  <c r="Y674"/>
  <c r="Y670"/>
  <c r="Y666"/>
  <c r="Y662"/>
  <c r="Y658"/>
  <c r="Y654"/>
  <c r="Y755"/>
  <c r="Y751"/>
  <c r="Y747"/>
  <c r="Y743"/>
  <c r="Y739"/>
  <c r="Y735"/>
  <c r="Y731"/>
  <c r="Y727"/>
  <c r="Y723"/>
  <c r="Y719"/>
  <c r="Y715"/>
  <c r="Y711"/>
  <c r="Y707"/>
  <c r="Y703"/>
  <c r="Y699"/>
  <c r="Y695"/>
  <c r="Y691"/>
  <c r="Y687"/>
  <c r="Y683"/>
  <c r="Y679"/>
  <c r="Y675"/>
  <c r="Y671"/>
  <c r="Y667"/>
  <c r="Y663"/>
  <c r="Y659"/>
  <c r="Y655"/>
  <c r="Y651"/>
  <c r="Y756"/>
  <c r="Y752"/>
  <c r="Y748"/>
  <c r="Y744"/>
  <c r="Y740"/>
  <c r="Y736"/>
  <c r="Y732"/>
  <c r="Y728"/>
  <c r="Y724"/>
  <c r="Y720"/>
  <c r="Y716"/>
  <c r="Y712"/>
  <c r="Y708"/>
  <c r="Y704"/>
  <c r="Y700"/>
  <c r="Y696"/>
  <c r="Y692"/>
  <c r="Y688"/>
  <c r="Y684"/>
  <c r="Y680"/>
  <c r="Y676"/>
  <c r="Y672"/>
  <c r="Y668"/>
  <c r="Y664"/>
  <c r="Y660"/>
  <c r="Y656"/>
  <c r="Y652"/>
  <c r="Y757"/>
  <c r="Y753"/>
  <c r="Y749"/>
  <c r="Y745"/>
  <c r="Y741"/>
  <c r="Y737"/>
  <c r="Y733"/>
  <c r="Y729"/>
  <c r="Y725"/>
  <c r="Y721"/>
  <c r="Y717"/>
  <c r="Y713"/>
  <c r="Y709"/>
  <c r="Y705"/>
  <c r="Y701"/>
  <c r="Y697"/>
  <c r="Y693"/>
  <c r="Y689"/>
  <c r="Y685"/>
  <c r="Y681"/>
  <c r="Y677"/>
  <c r="Y673"/>
  <c r="Y669"/>
  <c r="Y665"/>
  <c r="Y661"/>
  <c r="Y657"/>
  <c r="Y653"/>
  <c r="Y647"/>
  <c r="Y643"/>
  <c r="Y639"/>
  <c r="Y635"/>
  <c r="Y637"/>
  <c r="Y646"/>
  <c r="Y648"/>
  <c r="Y644"/>
  <c r="Y640"/>
  <c r="Y636"/>
  <c r="Y632"/>
  <c r="Y645"/>
  <c r="Y633"/>
  <c r="Y634"/>
  <c r="Y649"/>
  <c r="Y641"/>
  <c r="Y638"/>
  <c r="Y650"/>
  <c r="Y642"/>
  <c r="Y631"/>
  <c r="Y551"/>
  <c r="Y555"/>
  <c r="Y559"/>
  <c r="Y563"/>
  <c r="Y567"/>
  <c r="Y571"/>
  <c r="Y575"/>
  <c r="Y579"/>
  <c r="Y583"/>
  <c r="Y587"/>
  <c r="Y591"/>
  <c r="Y595"/>
  <c r="Y599"/>
  <c r="Y603"/>
  <c r="Y607"/>
  <c r="Y611"/>
  <c r="Y615"/>
  <c r="Y619"/>
  <c r="Y623"/>
  <c r="Y627"/>
  <c r="L543" l="1"/>
  <c r="L545"/>
  <c r="L544"/>
  <c r="L546"/>
  <c r="K12" l="1"/>
  <c r="B12"/>
  <c r="Y25" s="1"/>
  <c r="Q11"/>
  <c r="Y19" l="1"/>
  <c r="Y23"/>
  <c r="Y27"/>
  <c r="Y18"/>
  <c r="Y22"/>
  <c r="Y26"/>
  <c r="Y21"/>
  <c r="Y527"/>
  <c r="Y523"/>
  <c r="Y519"/>
  <c r="Y515"/>
  <c r="Y511"/>
  <c r="Y507"/>
  <c r="Y503"/>
  <c r="Y499"/>
  <c r="Y495"/>
  <c r="Y491"/>
  <c r="Y487"/>
  <c r="Y483"/>
  <c r="Y479"/>
  <c r="Y475"/>
  <c r="Y471"/>
  <c r="Y467"/>
  <c r="Y463"/>
  <c r="Y459"/>
  <c r="Y455"/>
  <c r="Y451"/>
  <c r="Y447"/>
  <c r="Y443"/>
  <c r="Y446"/>
  <c r="Y528"/>
  <c r="Y524"/>
  <c r="Y520"/>
  <c r="Y516"/>
  <c r="Y512"/>
  <c r="Y508"/>
  <c r="Y504"/>
  <c r="Y500"/>
  <c r="Y496"/>
  <c r="Y492"/>
  <c r="Y488"/>
  <c r="Y484"/>
  <c r="Y480"/>
  <c r="Y476"/>
  <c r="Y472"/>
  <c r="Y468"/>
  <c r="Y464"/>
  <c r="Y460"/>
  <c r="Y456"/>
  <c r="Y452"/>
  <c r="Y448"/>
  <c r="Y444"/>
  <c r="Y450"/>
  <c r="Y529"/>
  <c r="Y525"/>
  <c r="Y521"/>
  <c r="Y517"/>
  <c r="Y513"/>
  <c r="Y509"/>
  <c r="Y505"/>
  <c r="Y501"/>
  <c r="Y497"/>
  <c r="Y493"/>
  <c r="Y489"/>
  <c r="Y485"/>
  <c r="Y481"/>
  <c r="Y477"/>
  <c r="Y473"/>
  <c r="Y469"/>
  <c r="Y465"/>
  <c r="Y461"/>
  <c r="Y457"/>
  <c r="Y453"/>
  <c r="Y449"/>
  <c r="Y445"/>
  <c r="Y458"/>
  <c r="Y526"/>
  <c r="Y522"/>
  <c r="Y518"/>
  <c r="Y514"/>
  <c r="Y510"/>
  <c r="Y506"/>
  <c r="Y502"/>
  <c r="Y498"/>
  <c r="Y494"/>
  <c r="Y490"/>
  <c r="Y486"/>
  <c r="Y482"/>
  <c r="Y478"/>
  <c r="Y474"/>
  <c r="Y470"/>
  <c r="Y466"/>
  <c r="Y462"/>
  <c r="Y454"/>
  <c r="Y439"/>
  <c r="Y435"/>
  <c r="Y431"/>
  <c r="Y427"/>
  <c r="Y423"/>
  <c r="Y419"/>
  <c r="Y415"/>
  <c r="Y411"/>
  <c r="Y407"/>
  <c r="Y403"/>
  <c r="Y399"/>
  <c r="Y395"/>
  <c r="Y391"/>
  <c r="Y387"/>
  <c r="Y383"/>
  <c r="Y379"/>
  <c r="Y375"/>
  <c r="Y371"/>
  <c r="Y440"/>
  <c r="Y436"/>
  <c r="Y432"/>
  <c r="Y428"/>
  <c r="Y424"/>
  <c r="Y420"/>
  <c r="Y416"/>
  <c r="Y412"/>
  <c r="Y408"/>
  <c r="Y404"/>
  <c r="Y400"/>
  <c r="Y396"/>
  <c r="Y392"/>
  <c r="Y388"/>
  <c r="Y384"/>
  <c r="Y380"/>
  <c r="Y376"/>
  <c r="Y372"/>
  <c r="Y441"/>
  <c r="Y437"/>
  <c r="Y433"/>
  <c r="Y429"/>
  <c r="Y425"/>
  <c r="Y421"/>
  <c r="Y417"/>
  <c r="Y413"/>
  <c r="Y409"/>
  <c r="Y405"/>
  <c r="Y401"/>
  <c r="Y397"/>
  <c r="Y393"/>
  <c r="Y389"/>
  <c r="Y385"/>
  <c r="Y381"/>
  <c r="Y377"/>
  <c r="Y373"/>
  <c r="Y442"/>
  <c r="Y438"/>
  <c r="Y434"/>
  <c r="Y430"/>
  <c r="Y426"/>
  <c r="Y422"/>
  <c r="Y418"/>
  <c r="Y414"/>
  <c r="Y410"/>
  <c r="Y406"/>
  <c r="Y402"/>
  <c r="Y398"/>
  <c r="Y394"/>
  <c r="Y390"/>
  <c r="Y386"/>
  <c r="Y382"/>
  <c r="Y378"/>
  <c r="Y374"/>
  <c r="Y370"/>
  <c r="Y366"/>
  <c r="Y362"/>
  <c r="Y358"/>
  <c r="Y354"/>
  <c r="Y350"/>
  <c r="Y346"/>
  <c r="Y342"/>
  <c r="Y338"/>
  <c r="Y334"/>
  <c r="Y330"/>
  <c r="Y326"/>
  <c r="Y322"/>
  <c r="Y318"/>
  <c r="Y314"/>
  <c r="Y310"/>
  <c r="Y306"/>
  <c r="Y302"/>
  <c r="Y298"/>
  <c r="Y294"/>
  <c r="Y290"/>
  <c r="Y286"/>
  <c r="Y282"/>
  <c r="Y278"/>
  <c r="Y274"/>
  <c r="Y270"/>
  <c r="Y266"/>
  <c r="Y262"/>
  <c r="Y258"/>
  <c r="Y254"/>
  <c r="Y250"/>
  <c r="Y246"/>
  <c r="Y242"/>
  <c r="Y238"/>
  <c r="Y234"/>
  <c r="Y230"/>
  <c r="Y226"/>
  <c r="Y222"/>
  <c r="Y218"/>
  <c r="Y214"/>
  <c r="Y210"/>
  <c r="Y206"/>
  <c r="Y202"/>
  <c r="Y198"/>
  <c r="Y194"/>
  <c r="Y190"/>
  <c r="Y186"/>
  <c r="Y182"/>
  <c r="Y178"/>
  <c r="Y174"/>
  <c r="Y367"/>
  <c r="Y363"/>
  <c r="Y359"/>
  <c r="Y355"/>
  <c r="Y351"/>
  <c r="Y347"/>
  <c r="Y343"/>
  <c r="Y339"/>
  <c r="Y335"/>
  <c r="Y331"/>
  <c r="Y327"/>
  <c r="Y323"/>
  <c r="Y319"/>
  <c r="Y315"/>
  <c r="Y311"/>
  <c r="Y307"/>
  <c r="Y303"/>
  <c r="Y299"/>
  <c r="Y295"/>
  <c r="Y291"/>
  <c r="Y287"/>
  <c r="Y283"/>
  <c r="Y279"/>
  <c r="Y275"/>
  <c r="Y271"/>
  <c r="Y267"/>
  <c r="Y263"/>
  <c r="Y259"/>
  <c r="Y255"/>
  <c r="Y251"/>
  <c r="Y247"/>
  <c r="Y243"/>
  <c r="Y239"/>
  <c r="Y235"/>
  <c r="Y231"/>
  <c r="Y227"/>
  <c r="Y223"/>
  <c r="Y219"/>
  <c r="Y215"/>
  <c r="Y211"/>
  <c r="Y207"/>
  <c r="Y203"/>
  <c r="Y199"/>
  <c r="Y195"/>
  <c r="Y191"/>
  <c r="Y187"/>
  <c r="Y183"/>
  <c r="Y179"/>
  <c r="Y175"/>
  <c r="Y171"/>
  <c r="Y368"/>
  <c r="Y364"/>
  <c r="Y360"/>
  <c r="Y356"/>
  <c r="Y352"/>
  <c r="Y348"/>
  <c r="Y344"/>
  <c r="Y340"/>
  <c r="Y336"/>
  <c r="Y332"/>
  <c r="Y328"/>
  <c r="Y324"/>
  <c r="Y320"/>
  <c r="Y316"/>
  <c r="Y312"/>
  <c r="Y308"/>
  <c r="Y304"/>
  <c r="Y300"/>
  <c r="Y296"/>
  <c r="Y292"/>
  <c r="Y288"/>
  <c r="Y284"/>
  <c r="Y280"/>
  <c r="Y276"/>
  <c r="Y272"/>
  <c r="Y268"/>
  <c r="Y264"/>
  <c r="Y260"/>
  <c r="Y256"/>
  <c r="Y252"/>
  <c r="Y248"/>
  <c r="Y244"/>
  <c r="Y240"/>
  <c r="Y236"/>
  <c r="Y232"/>
  <c r="Y228"/>
  <c r="Y224"/>
  <c r="Y220"/>
  <c r="Y216"/>
  <c r="Y212"/>
  <c r="Y208"/>
  <c r="Y204"/>
  <c r="Y200"/>
  <c r="Y196"/>
  <c r="Y192"/>
  <c r="Y188"/>
  <c r="Y184"/>
  <c r="Y180"/>
  <c r="Y176"/>
  <c r="Y172"/>
  <c r="Y369"/>
  <c r="Y365"/>
  <c r="Y361"/>
  <c r="Y357"/>
  <c r="Y353"/>
  <c r="Y349"/>
  <c r="Y345"/>
  <c r="Y341"/>
  <c r="Y337"/>
  <c r="Y333"/>
  <c r="Y329"/>
  <c r="Y325"/>
  <c r="Y321"/>
  <c r="Y317"/>
  <c r="Y313"/>
  <c r="Y309"/>
  <c r="Y305"/>
  <c r="Y301"/>
  <c r="Y297"/>
  <c r="Y293"/>
  <c r="Y289"/>
  <c r="Y285"/>
  <c r="Y281"/>
  <c r="Y277"/>
  <c r="Y273"/>
  <c r="Y269"/>
  <c r="Y265"/>
  <c r="Y261"/>
  <c r="Y257"/>
  <c r="Y253"/>
  <c r="Y249"/>
  <c r="Y245"/>
  <c r="Y241"/>
  <c r="Y237"/>
  <c r="Y233"/>
  <c r="Y229"/>
  <c r="Y225"/>
  <c r="Y221"/>
  <c r="Y217"/>
  <c r="Y213"/>
  <c r="Y209"/>
  <c r="Y205"/>
  <c r="Y201"/>
  <c r="Y197"/>
  <c r="Y193"/>
  <c r="Y189"/>
  <c r="Y185"/>
  <c r="Y181"/>
  <c r="Y177"/>
  <c r="Y173"/>
  <c r="Y167"/>
  <c r="Y163"/>
  <c r="Y159"/>
  <c r="Y155"/>
  <c r="Y151"/>
  <c r="Y147"/>
  <c r="Y143"/>
  <c r="Y139"/>
  <c r="Y135"/>
  <c r="Y131"/>
  <c r="Y127"/>
  <c r="Y123"/>
  <c r="Y119"/>
  <c r="Y168"/>
  <c r="Y164"/>
  <c r="Y160"/>
  <c r="Y156"/>
  <c r="Y152"/>
  <c r="Y148"/>
  <c r="Y144"/>
  <c r="Y140"/>
  <c r="Y136"/>
  <c r="Y132"/>
  <c r="Y128"/>
  <c r="Y124"/>
  <c r="Y120"/>
  <c r="Y116"/>
  <c r="Y169"/>
  <c r="Y165"/>
  <c r="Y161"/>
  <c r="Y157"/>
  <c r="Y153"/>
  <c r="Y149"/>
  <c r="Y145"/>
  <c r="Y141"/>
  <c r="Y137"/>
  <c r="Y133"/>
  <c r="Y129"/>
  <c r="Y125"/>
  <c r="Y121"/>
  <c r="Y117"/>
  <c r="Y170"/>
  <c r="Y166"/>
  <c r="Y162"/>
  <c r="Y158"/>
  <c r="Y154"/>
  <c r="Y150"/>
  <c r="Y146"/>
  <c r="Y142"/>
  <c r="Y138"/>
  <c r="Y134"/>
  <c r="Y130"/>
  <c r="Y126"/>
  <c r="Y122"/>
  <c r="Y118"/>
  <c r="Y112"/>
  <c r="Y108"/>
  <c r="Y104"/>
  <c r="Y100"/>
  <c r="Y96"/>
  <c r="Y92"/>
  <c r="Y88"/>
  <c r="Y84"/>
  <c r="Y80"/>
  <c r="Y76"/>
  <c r="Y72"/>
  <c r="Y68"/>
  <c r="Y64"/>
  <c r="Y60"/>
  <c r="Y56"/>
  <c r="Y52"/>
  <c r="Y48"/>
  <c r="Y113"/>
  <c r="Y109"/>
  <c r="Y105"/>
  <c r="Y101"/>
  <c r="Y97"/>
  <c r="Y93"/>
  <c r="Y89"/>
  <c r="Y85"/>
  <c r="Y81"/>
  <c r="Y77"/>
  <c r="Y73"/>
  <c r="Y69"/>
  <c r="Y65"/>
  <c r="Y61"/>
  <c r="Y57"/>
  <c r="Y53"/>
  <c r="Y49"/>
  <c r="Y114"/>
  <c r="Y110"/>
  <c r="Y106"/>
  <c r="Y102"/>
  <c r="Y98"/>
  <c r="Y94"/>
  <c r="Y90"/>
  <c r="Y86"/>
  <c r="Y82"/>
  <c r="Y78"/>
  <c r="Y74"/>
  <c r="Y70"/>
  <c r="Y66"/>
  <c r="Y62"/>
  <c r="Y58"/>
  <c r="Y54"/>
  <c r="Y50"/>
  <c r="Y115"/>
  <c r="Y111"/>
  <c r="Y107"/>
  <c r="Y103"/>
  <c r="Y99"/>
  <c r="Y95"/>
  <c r="Y91"/>
  <c r="Y87"/>
  <c r="Y83"/>
  <c r="Y79"/>
  <c r="Y75"/>
  <c r="Y71"/>
  <c r="Y67"/>
  <c r="Y63"/>
  <c r="Y59"/>
  <c r="Y55"/>
  <c r="Y51"/>
  <c r="Y44"/>
  <c r="Y40"/>
  <c r="Y36"/>
  <c r="Y32"/>
  <c r="Y38"/>
  <c r="Y47"/>
  <c r="Y45"/>
  <c r="Y41"/>
  <c r="Y37"/>
  <c r="Y33"/>
  <c r="Y42"/>
  <c r="Y43"/>
  <c r="Y35"/>
  <c r="Y46"/>
  <c r="Y34"/>
  <c r="Y39"/>
  <c r="Y28"/>
  <c r="Y29"/>
  <c r="Y31"/>
  <c r="Y30"/>
  <c r="Y20"/>
  <c r="Y24"/>
  <c r="Q8"/>
  <c r="E8"/>
  <c r="E7"/>
  <c r="E6"/>
  <c r="A2" l="1"/>
  <c r="J5" l="1"/>
  <c r="K5"/>
  <c r="L5"/>
  <c r="B9"/>
  <c r="K2"/>
  <c r="I3"/>
  <c r="I2"/>
  <c r="E237" i="29"/>
  <c r="K3" i="49" l="1"/>
  <c r="D237" i="29"/>
  <c r="C225" l="1"/>
  <c r="B225"/>
  <c r="C223" l="1"/>
  <c r="B223"/>
  <c r="C218" l="1"/>
  <c r="B218"/>
  <c r="C213" l="1"/>
  <c r="B213"/>
  <c r="C209"/>
  <c r="B209"/>
  <c r="C208"/>
  <c r="B208"/>
  <c r="E201" l="1"/>
  <c r="D201"/>
  <c r="C201"/>
  <c r="B201"/>
  <c r="E199" l="1"/>
  <c r="E200" s="1"/>
  <c r="D199"/>
  <c r="D200" s="1"/>
  <c r="C199"/>
  <c r="C200" s="1"/>
  <c r="B199"/>
  <c r="B200" s="1"/>
  <c r="E198"/>
  <c r="E202" s="1"/>
  <c r="D198"/>
  <c r="D202" s="1"/>
  <c r="C198"/>
  <c r="C202" s="1"/>
  <c r="B198"/>
  <c r="B202" s="1"/>
  <c r="E195"/>
  <c r="D195"/>
  <c r="C195"/>
  <c r="B195"/>
  <c r="E135" l="1"/>
  <c r="D135"/>
  <c r="C135" l="1"/>
  <c r="B135"/>
  <c r="E132" l="1"/>
  <c r="D132"/>
  <c r="C132"/>
  <c r="B132"/>
  <c r="E131"/>
  <c r="C131"/>
  <c r="E75" l="1"/>
  <c r="D75" l="1"/>
  <c r="C75"/>
  <c r="B75"/>
  <c r="E72" l="1"/>
  <c r="D72"/>
  <c r="C72" s="1"/>
  <c r="B72"/>
  <c r="E71"/>
  <c r="C71"/>
  <c r="E66" l="1"/>
  <c r="D66"/>
  <c r="C66"/>
  <c r="B66"/>
  <c r="E65"/>
  <c r="D65"/>
  <c r="C65"/>
  <c r="B65"/>
  <c r="E58" l="1"/>
  <c r="D58"/>
  <c r="C58"/>
  <c r="B58"/>
  <c r="E49" l="1"/>
  <c r="D49"/>
  <c r="C49"/>
  <c r="B49"/>
  <c r="E48"/>
  <c r="D48"/>
  <c r="C48"/>
  <c r="B48"/>
  <c r="E47"/>
  <c r="D47"/>
  <c r="C47"/>
  <c r="B47"/>
  <c r="E46"/>
  <c r="D46"/>
  <c r="C46"/>
  <c r="B46"/>
  <c r="E45"/>
  <c r="D45"/>
  <c r="C45"/>
  <c r="B45"/>
  <c r="E44"/>
  <c r="D44"/>
  <c r="C44"/>
  <c r="B44"/>
  <c r="E43"/>
  <c r="D43"/>
  <c r="C43"/>
  <c r="B43"/>
  <c r="E41"/>
  <c r="D41"/>
  <c r="C41"/>
  <c r="B41"/>
  <c r="E40"/>
  <c r="D40"/>
  <c r="C40"/>
  <c r="B40"/>
  <c r="E42" l="1"/>
  <c r="D42" s="1"/>
  <c r="C42" s="1"/>
  <c r="B42" s="1"/>
  <c r="E39"/>
  <c r="D39"/>
  <c r="C39"/>
  <c r="B39"/>
  <c r="E30"/>
  <c r="D30"/>
  <c r="C30"/>
  <c r="B30"/>
  <c r="E29"/>
  <c r="D29"/>
  <c r="C29"/>
  <c r="B29"/>
  <c r="D25"/>
  <c r="C25"/>
  <c r="L24"/>
  <c r="K24"/>
  <c r="D24"/>
  <c r="C24"/>
  <c r="L22"/>
  <c r="K22"/>
  <c r="D22"/>
  <c r="C22"/>
  <c r="H21"/>
  <c r="G21"/>
  <c r="D21"/>
  <c r="C21"/>
  <c r="D20"/>
  <c r="C20"/>
  <c r="L18"/>
  <c r="K18"/>
  <c r="D18"/>
  <c r="C18"/>
  <c r="B18"/>
  <c r="L17"/>
  <c r="K17"/>
  <c r="H17"/>
  <c r="G17"/>
  <c r="D17"/>
  <c r="C17"/>
  <c r="P16"/>
  <c r="P22" s="1"/>
  <c r="O16"/>
  <c r="O22" s="1"/>
  <c r="L16"/>
  <c r="K16"/>
  <c r="F13"/>
  <c r="E13"/>
  <c r="F12"/>
  <c r="E12"/>
  <c r="G9"/>
  <c r="F9"/>
  <c r="E9"/>
  <c r="D9"/>
  <c r="G8"/>
  <c r="F8"/>
  <c r="E8"/>
  <c r="D8"/>
  <c r="B205"/>
  <c r="C205"/>
  <c r="C206"/>
  <c r="H20"/>
  <c r="G19"/>
  <c r="H19"/>
  <c r="B206"/>
  <c r="K25"/>
  <c r="I20"/>
  <c r="G20"/>
  <c r="L25"/>
  <c r="G23" l="1"/>
  <c r="B217" s="1"/>
  <c r="C19"/>
  <c r="K21"/>
  <c r="P17"/>
  <c r="P18"/>
  <c r="P21"/>
  <c r="H22"/>
  <c r="P23"/>
  <c r="H24"/>
  <c r="E187" s="1"/>
  <c r="O17"/>
  <c r="O18"/>
  <c r="P19"/>
  <c r="O19" s="1"/>
  <c r="P20"/>
  <c r="O21"/>
  <c r="O23"/>
  <c r="G24"/>
  <c r="B187" s="1"/>
  <c r="O20"/>
  <c r="L21"/>
  <c r="H23"/>
  <c r="B543" i="49" s="1"/>
  <c r="C116" i="29"/>
  <c r="E116"/>
  <c r="B116"/>
  <c r="D116"/>
  <c r="Q543" i="49"/>
  <c r="Q10"/>
  <c r="G7" i="29"/>
  <c r="F7"/>
  <c r="E7"/>
  <c r="D7"/>
  <c r="B188"/>
  <c r="D188"/>
  <c r="B176" l="1"/>
  <c r="B178" s="1"/>
  <c r="B10" i="49"/>
  <c r="C508" s="1"/>
  <c r="D176" i="29"/>
  <c r="D177" s="1"/>
  <c r="E19" i="48"/>
  <c r="E28" s="1"/>
  <c r="E176" i="29"/>
  <c r="E177" s="1"/>
  <c r="C217"/>
  <c r="C230"/>
  <c r="D187"/>
  <c r="C176"/>
  <c r="C178" s="1"/>
  <c r="E59" i="48"/>
  <c r="E67" s="1"/>
  <c r="C187" i="29"/>
  <c r="B230"/>
  <c r="G22"/>
  <c r="C126"/>
  <c r="C125"/>
  <c r="E125"/>
  <c r="C122"/>
  <c r="E122"/>
  <c r="C1057" i="49"/>
  <c r="C1053"/>
  <c r="C1051"/>
  <c r="C1048"/>
  <c r="C1044"/>
  <c r="C1039"/>
  <c r="C1031"/>
  <c r="C1030"/>
  <c r="C1027"/>
  <c r="C1023"/>
  <c r="C1020"/>
  <c r="C1019"/>
  <c r="C1016"/>
  <c r="C1015"/>
  <c r="C1013"/>
  <c r="C1008"/>
  <c r="C1007"/>
  <c r="C1003"/>
  <c r="C1000"/>
  <c r="C1060"/>
  <c r="C1056"/>
  <c r="C1043"/>
  <c r="C1034"/>
  <c r="C1029"/>
  <c r="C1026"/>
  <c r="C1022"/>
  <c r="C1018"/>
  <c r="C1012"/>
  <c r="C1006"/>
  <c r="C999"/>
  <c r="C1062"/>
  <c r="C1059"/>
  <c r="C1055"/>
  <c r="C1052"/>
  <c r="C1050"/>
  <c r="C1047"/>
  <c r="C1042"/>
  <c r="C1041"/>
  <c r="C1038"/>
  <c r="C1037"/>
  <c r="C1036"/>
  <c r="C1033"/>
  <c r="C1025"/>
  <c r="C1017"/>
  <c r="C1014"/>
  <c r="C1011"/>
  <c r="C1005"/>
  <c r="C1002"/>
  <c r="C1061"/>
  <c r="C1058"/>
  <c r="C1054"/>
  <c r="C1049"/>
  <c r="C1046"/>
  <c r="C1045"/>
  <c r="C1040"/>
  <c r="C1035"/>
  <c r="C1032"/>
  <c r="C1028"/>
  <c r="C1024"/>
  <c r="C1021"/>
  <c r="C1010"/>
  <c r="C1009"/>
  <c r="C1004"/>
  <c r="C1001"/>
  <c r="C998"/>
  <c r="C997"/>
  <c r="C996"/>
  <c r="C991"/>
  <c r="C987"/>
  <c r="C986"/>
  <c r="C985"/>
  <c r="C982"/>
  <c r="C978"/>
  <c r="C974"/>
  <c r="C968"/>
  <c r="C967"/>
  <c r="C964"/>
  <c r="C961"/>
  <c r="C959"/>
  <c r="C953"/>
  <c r="C950"/>
  <c r="C946"/>
  <c r="C944"/>
  <c r="C940"/>
  <c r="C995"/>
  <c r="C994"/>
  <c r="C984"/>
  <c r="C981"/>
  <c r="C977"/>
  <c r="C973"/>
  <c r="C972"/>
  <c r="C971"/>
  <c r="C966"/>
  <c r="C963"/>
  <c r="C958"/>
  <c r="C955"/>
  <c r="C952"/>
  <c r="C949"/>
  <c r="C943"/>
  <c r="C993"/>
  <c r="C990"/>
  <c r="C983"/>
  <c r="C980"/>
  <c r="C976"/>
  <c r="C970"/>
  <c r="C962"/>
  <c r="C960"/>
  <c r="C957"/>
  <c r="C951"/>
  <c r="C948"/>
  <c r="C945"/>
  <c r="C942"/>
  <c r="C992"/>
  <c r="C989"/>
  <c r="C988"/>
  <c r="C979"/>
  <c r="C975"/>
  <c r="C969"/>
  <c r="C965"/>
  <c r="C956"/>
  <c r="C954"/>
  <c r="C947"/>
  <c r="C941"/>
  <c r="C938"/>
  <c r="C936"/>
  <c r="C934"/>
  <c r="C932"/>
  <c r="C929"/>
  <c r="C926"/>
  <c r="C920"/>
  <c r="C919"/>
  <c r="C928"/>
  <c r="C918"/>
  <c r="C933"/>
  <c r="C931"/>
  <c r="C925"/>
  <c r="C937"/>
  <c r="C935"/>
  <c r="C924"/>
  <c r="C923"/>
  <c r="C922"/>
  <c r="C917"/>
  <c r="C916"/>
  <c r="C915"/>
  <c r="C914"/>
  <c r="C913"/>
  <c r="C912"/>
  <c r="C939"/>
  <c r="C930"/>
  <c r="C927"/>
  <c r="C921"/>
  <c r="C908"/>
  <c r="C907"/>
  <c r="C906"/>
  <c r="C900"/>
  <c r="C899"/>
  <c r="C897"/>
  <c r="C896"/>
  <c r="C893"/>
  <c r="C886"/>
  <c r="C885"/>
  <c r="C882"/>
  <c r="C878"/>
  <c r="C876"/>
  <c r="C873"/>
  <c r="C859"/>
  <c r="C911"/>
  <c r="C905"/>
  <c r="C892"/>
  <c r="C888"/>
  <c r="C884"/>
  <c r="C881"/>
  <c r="C880"/>
  <c r="C875"/>
  <c r="C872"/>
  <c r="C863"/>
  <c r="C862"/>
  <c r="C858"/>
  <c r="C910"/>
  <c r="C904"/>
  <c r="C898"/>
  <c r="C895"/>
  <c r="C891"/>
  <c r="C890"/>
  <c r="C887"/>
  <c r="C877"/>
  <c r="C874"/>
  <c r="C871"/>
  <c r="C868"/>
  <c r="C867"/>
  <c r="C866"/>
  <c r="C909"/>
  <c r="C903"/>
  <c r="C902"/>
  <c r="C901"/>
  <c r="C894"/>
  <c r="C889"/>
  <c r="C883"/>
  <c r="C879"/>
  <c r="C870"/>
  <c r="C869"/>
  <c r="C865"/>
  <c r="C864"/>
  <c r="C861"/>
  <c r="C860"/>
  <c r="C857"/>
  <c r="C852"/>
  <c r="C851"/>
  <c r="C847"/>
  <c r="C843"/>
  <c r="C838"/>
  <c r="C835"/>
  <c r="C828"/>
  <c r="C825"/>
  <c r="C823"/>
  <c r="C822"/>
  <c r="C817"/>
  <c r="C816"/>
  <c r="C814"/>
  <c r="C803"/>
  <c r="C800"/>
  <c r="C797"/>
  <c r="C792"/>
  <c r="C789"/>
  <c r="C854"/>
  <c r="C850"/>
  <c r="C846"/>
  <c r="C842"/>
  <c r="C840"/>
  <c r="C834"/>
  <c r="C831"/>
  <c r="C827"/>
  <c r="C824"/>
  <c r="C821"/>
  <c r="C820"/>
  <c r="C819"/>
  <c r="C813"/>
  <c r="C807"/>
  <c r="C806"/>
  <c r="C796"/>
  <c r="C791"/>
  <c r="C788"/>
  <c r="C856"/>
  <c r="C845"/>
  <c r="C837"/>
  <c r="C833"/>
  <c r="C830"/>
  <c r="C812"/>
  <c r="C811"/>
  <c r="C809"/>
  <c r="C805"/>
  <c r="C804"/>
  <c r="C802"/>
  <c r="C799"/>
  <c r="C795"/>
  <c r="C794"/>
  <c r="C855"/>
  <c r="C853"/>
  <c r="C849"/>
  <c r="C848"/>
  <c r="C844"/>
  <c r="C841"/>
  <c r="C839"/>
  <c r="C836"/>
  <c r="C832"/>
  <c r="C829"/>
  <c r="C826"/>
  <c r="C818"/>
  <c r="C815"/>
  <c r="C810"/>
  <c r="C808"/>
  <c r="C801"/>
  <c r="C798"/>
  <c r="C793"/>
  <c r="C790"/>
  <c r="C782"/>
  <c r="C779"/>
  <c r="C776"/>
  <c r="C770"/>
  <c r="C775"/>
  <c r="C772"/>
  <c r="C784"/>
  <c r="C786"/>
  <c r="C778"/>
  <c r="C769"/>
  <c r="C785"/>
  <c r="C774"/>
  <c r="C771"/>
  <c r="C787"/>
  <c r="C783"/>
  <c r="C780"/>
  <c r="C768"/>
  <c r="C773"/>
  <c r="C781"/>
  <c r="C777"/>
  <c r="C767"/>
  <c r="C766"/>
  <c r="C762"/>
  <c r="C761"/>
  <c r="C765"/>
  <c r="C760"/>
  <c r="C763"/>
  <c r="C764"/>
  <c r="C759"/>
  <c r="C756"/>
  <c r="C740"/>
  <c r="C737"/>
  <c r="C736"/>
  <c r="C728"/>
  <c r="C726"/>
  <c r="C719"/>
  <c r="C709"/>
  <c r="C703"/>
  <c r="C702"/>
  <c r="C697"/>
  <c r="C695"/>
  <c r="C690"/>
  <c r="C755"/>
  <c r="C754"/>
  <c r="C750"/>
  <c r="C747"/>
  <c r="C746"/>
  <c r="C745"/>
  <c r="C744"/>
  <c r="C742"/>
  <c r="C739"/>
  <c r="C734"/>
  <c r="C732"/>
  <c r="C722"/>
  <c r="C718"/>
  <c r="C717"/>
  <c r="C716"/>
  <c r="C706"/>
  <c r="C701"/>
  <c r="C700"/>
  <c r="C687"/>
  <c r="C753"/>
  <c r="C752"/>
  <c r="C749"/>
  <c r="C741"/>
  <c r="C738"/>
  <c r="C731"/>
  <c r="C730"/>
  <c r="C727"/>
  <c r="C725"/>
  <c r="C724"/>
  <c r="C721"/>
  <c r="C715"/>
  <c r="C714"/>
  <c r="C713"/>
  <c r="C711"/>
  <c r="C708"/>
  <c r="C704"/>
  <c r="C699"/>
  <c r="C696"/>
  <c r="C694"/>
  <c r="C693"/>
  <c r="C689"/>
  <c r="C686"/>
  <c r="C758"/>
  <c r="C757"/>
  <c r="C751"/>
  <c r="C748"/>
  <c r="C743"/>
  <c r="C735"/>
  <c r="C733"/>
  <c r="C729"/>
  <c r="C723"/>
  <c r="C720"/>
  <c r="C712"/>
  <c r="C710"/>
  <c r="C707"/>
  <c r="C705"/>
  <c r="C698"/>
  <c r="C692"/>
  <c r="C691"/>
  <c r="C688"/>
  <c r="C685"/>
  <c r="C673"/>
  <c r="C669"/>
  <c r="C666"/>
  <c r="C665"/>
  <c r="C662"/>
  <c r="C659"/>
  <c r="C658"/>
  <c r="C684"/>
  <c r="C681"/>
  <c r="C678"/>
  <c r="C677"/>
  <c r="C676"/>
  <c r="C672"/>
  <c r="C668"/>
  <c r="C664"/>
  <c r="C661"/>
  <c r="C657"/>
  <c r="C654"/>
  <c r="C680"/>
  <c r="C675"/>
  <c r="C671"/>
  <c r="C663"/>
  <c r="C660"/>
  <c r="C653"/>
  <c r="C683"/>
  <c r="C682"/>
  <c r="C679"/>
  <c r="C674"/>
  <c r="C670"/>
  <c r="C667"/>
  <c r="C656"/>
  <c r="C655"/>
  <c r="C652"/>
  <c r="C651"/>
  <c r="C644"/>
  <c r="C634"/>
  <c r="C650"/>
  <c r="C649"/>
  <c r="C636"/>
  <c r="C633"/>
  <c r="C632"/>
  <c r="C648"/>
  <c r="C647"/>
  <c r="C646"/>
  <c r="C643"/>
  <c r="C642"/>
  <c r="C639"/>
  <c r="C638"/>
  <c r="C645"/>
  <c r="C641"/>
  <c r="C640"/>
  <c r="C637"/>
  <c r="C635"/>
  <c r="C630"/>
  <c r="C624"/>
  <c r="C621"/>
  <c r="C617"/>
  <c r="C615"/>
  <c r="C611"/>
  <c r="C608"/>
  <c r="C606"/>
  <c r="C605"/>
  <c r="C601"/>
  <c r="C600"/>
  <c r="C595"/>
  <c r="C592"/>
  <c r="C585"/>
  <c r="C582"/>
  <c r="C579"/>
  <c r="C574"/>
  <c r="C563"/>
  <c r="C562"/>
  <c r="C559"/>
  <c r="C557"/>
  <c r="C629"/>
  <c r="C620"/>
  <c r="C616"/>
  <c r="C614"/>
  <c r="C610"/>
  <c r="C609"/>
  <c r="C604"/>
  <c r="C597"/>
  <c r="C581"/>
  <c r="C578"/>
  <c r="C576"/>
  <c r="C573"/>
  <c r="C571"/>
  <c r="C570"/>
  <c r="C568"/>
  <c r="C566"/>
  <c r="C565"/>
  <c r="C560"/>
  <c r="C558"/>
  <c r="C556"/>
  <c r="C555"/>
  <c r="C553"/>
  <c r="C551"/>
  <c r="C628"/>
  <c r="C627"/>
  <c r="C626"/>
  <c r="C623"/>
  <c r="C619"/>
  <c r="C613"/>
  <c r="C603"/>
  <c r="C599"/>
  <c r="C594"/>
  <c r="C593"/>
  <c r="C591"/>
  <c r="C590"/>
  <c r="C589"/>
  <c r="C588"/>
  <c r="C584"/>
  <c r="C580"/>
  <c r="C575"/>
  <c r="C631"/>
  <c r="C625"/>
  <c r="C622"/>
  <c r="C618"/>
  <c r="C612"/>
  <c r="C607"/>
  <c r="C602"/>
  <c r="C598"/>
  <c r="C596"/>
  <c r="C587"/>
  <c r="C586"/>
  <c r="C583"/>
  <c r="C577"/>
  <c r="C572"/>
  <c r="C569"/>
  <c r="C567"/>
  <c r="C564"/>
  <c r="C561"/>
  <c r="C554"/>
  <c r="C552"/>
  <c r="C527"/>
  <c r="C438"/>
  <c r="C424"/>
  <c r="C376"/>
  <c r="C373"/>
  <c r="C400"/>
  <c r="C336"/>
  <c r="C265"/>
  <c r="C324"/>
  <c r="C266"/>
  <c r="C316"/>
  <c r="C258"/>
  <c r="C319"/>
  <c r="C253"/>
  <c r="C190"/>
  <c r="C199"/>
  <c r="C214"/>
  <c r="C238"/>
  <c r="C165"/>
  <c r="C140"/>
  <c r="C133"/>
  <c r="C164"/>
  <c r="C77"/>
  <c r="C108"/>
  <c r="C58"/>
  <c r="C71"/>
  <c r="C42"/>
  <c r="C20"/>
  <c r="G6" i="29"/>
  <c r="F6"/>
  <c r="E6"/>
  <c r="D6"/>
  <c r="G5"/>
  <c r="F5"/>
  <c r="E5"/>
  <c r="D5"/>
  <c r="G4"/>
  <c r="F4"/>
  <c r="E4"/>
  <c r="D4"/>
  <c r="C188"/>
  <c r="E188"/>
  <c r="C31" i="49" l="1"/>
  <c r="D31" s="1"/>
  <c r="C44"/>
  <c r="C92"/>
  <c r="C69"/>
  <c r="D69" s="1"/>
  <c r="C51"/>
  <c r="E51" s="1"/>
  <c r="C89"/>
  <c r="C159"/>
  <c r="C154"/>
  <c r="D154" s="1"/>
  <c r="C128"/>
  <c r="D128" s="1"/>
  <c r="C186"/>
  <c r="C175"/>
  <c r="C227"/>
  <c r="D227" s="1"/>
  <c r="C223"/>
  <c r="D223" s="1"/>
  <c r="C209"/>
  <c r="C271"/>
  <c r="C335"/>
  <c r="E335" s="1"/>
  <c r="C270"/>
  <c r="D270" s="1"/>
  <c r="C334"/>
  <c r="C282"/>
  <c r="C337"/>
  <c r="E337" s="1"/>
  <c r="C281"/>
  <c r="D281" s="1"/>
  <c r="C352"/>
  <c r="C412"/>
  <c r="C392"/>
  <c r="D392" s="1"/>
  <c r="C384"/>
  <c r="D384" s="1"/>
  <c r="C439"/>
  <c r="C453"/>
  <c r="C502"/>
  <c r="D502" s="1"/>
  <c r="C24"/>
  <c r="D24" s="1"/>
  <c r="C38"/>
  <c r="C53"/>
  <c r="C55"/>
  <c r="E55" s="1"/>
  <c r="C97"/>
  <c r="D97" s="1"/>
  <c r="C67"/>
  <c r="C127"/>
  <c r="C119"/>
  <c r="D119" s="1"/>
  <c r="C132"/>
  <c r="E132" s="1"/>
  <c r="C152"/>
  <c r="C221"/>
  <c r="C202"/>
  <c r="E202" s="1"/>
  <c r="C184"/>
  <c r="E184" s="1"/>
  <c r="C182"/>
  <c r="C239"/>
  <c r="C307"/>
  <c r="E307" s="1"/>
  <c r="C363"/>
  <c r="E363" s="1"/>
  <c r="C296"/>
  <c r="C368"/>
  <c r="C311"/>
  <c r="E311" s="1"/>
  <c r="C251"/>
  <c r="D251" s="1"/>
  <c r="C314"/>
  <c r="C381"/>
  <c r="C434"/>
  <c r="E434" s="1"/>
  <c r="C437"/>
  <c r="D437" s="1"/>
  <c r="C411"/>
  <c r="C422"/>
  <c r="C480"/>
  <c r="E480" s="1"/>
  <c r="C451"/>
  <c r="D451" s="1"/>
  <c r="C45"/>
  <c r="C93"/>
  <c r="C105"/>
  <c r="D105" s="1"/>
  <c r="C83"/>
  <c r="D83" s="1"/>
  <c r="C112"/>
  <c r="C102"/>
  <c r="C123"/>
  <c r="E123" s="1"/>
  <c r="C161"/>
  <c r="E161" s="1"/>
  <c r="C142"/>
  <c r="C208"/>
  <c r="C193"/>
  <c r="D193" s="1"/>
  <c r="C241"/>
  <c r="E241" s="1"/>
  <c r="C247"/>
  <c r="C226"/>
  <c r="C288"/>
  <c r="E288" s="1"/>
  <c r="C351"/>
  <c r="E351" s="1"/>
  <c r="C284"/>
  <c r="C350"/>
  <c r="C293"/>
  <c r="E293" s="1"/>
  <c r="C356"/>
  <c r="D356" s="1"/>
  <c r="C299"/>
  <c r="C365"/>
  <c r="C420"/>
  <c r="E420" s="1"/>
  <c r="C408"/>
  <c r="E408" s="1"/>
  <c r="C397"/>
  <c r="C402"/>
  <c r="C466"/>
  <c r="E466" s="1"/>
  <c r="C482"/>
  <c r="E482" s="1"/>
  <c r="C26"/>
  <c r="E26" s="1"/>
  <c r="C27"/>
  <c r="C21"/>
  <c r="E21" s="1"/>
  <c r="C32"/>
  <c r="D32" s="1"/>
  <c r="C33"/>
  <c r="E33" s="1"/>
  <c r="C39"/>
  <c r="C43"/>
  <c r="E43" s="1"/>
  <c r="C46"/>
  <c r="E46" s="1"/>
  <c r="C101"/>
  <c r="D101" s="1"/>
  <c r="C63"/>
  <c r="C79"/>
  <c r="D79" s="1"/>
  <c r="C98"/>
  <c r="D98" s="1"/>
  <c r="C106"/>
  <c r="E106" s="1"/>
  <c r="C72"/>
  <c r="C61"/>
  <c r="D61" s="1"/>
  <c r="C70"/>
  <c r="D70" s="1"/>
  <c r="C86"/>
  <c r="E86" s="1"/>
  <c r="C103"/>
  <c r="C109"/>
  <c r="D109" s="1"/>
  <c r="C54"/>
  <c r="E54" s="1"/>
  <c r="C50"/>
  <c r="E50" s="1"/>
  <c r="C68"/>
  <c r="C80"/>
  <c r="E80" s="1"/>
  <c r="C91"/>
  <c r="E91" s="1"/>
  <c r="C113"/>
  <c r="D113" s="1"/>
  <c r="C135"/>
  <c r="C134"/>
  <c r="D134" s="1"/>
  <c r="C169"/>
  <c r="D169" s="1"/>
  <c r="C141"/>
  <c r="E141" s="1"/>
  <c r="C121"/>
  <c r="C139"/>
  <c r="E139" s="1"/>
  <c r="C155"/>
  <c r="E155" s="1"/>
  <c r="C162"/>
  <c r="E162" s="1"/>
  <c r="C126"/>
  <c r="C117"/>
  <c r="E117" s="1"/>
  <c r="C129"/>
  <c r="E129" s="1"/>
  <c r="C145"/>
  <c r="E145" s="1"/>
  <c r="C156"/>
  <c r="C166"/>
  <c r="E166" s="1"/>
  <c r="C187"/>
  <c r="E187" s="1"/>
  <c r="C212"/>
  <c r="D212" s="1"/>
  <c r="C225"/>
  <c r="C242"/>
  <c r="D242" s="1"/>
  <c r="C176"/>
  <c r="E176" s="1"/>
  <c r="C195"/>
  <c r="D195" s="1"/>
  <c r="C203"/>
  <c r="C217"/>
  <c r="D217" s="1"/>
  <c r="C230"/>
  <c r="D230" s="1"/>
  <c r="C244"/>
  <c r="E244" s="1"/>
  <c r="C185"/>
  <c r="C206"/>
  <c r="E206" s="1"/>
  <c r="C232"/>
  <c r="E232" s="1"/>
  <c r="C173"/>
  <c r="D173" s="1"/>
  <c r="C183"/>
  <c r="C196"/>
  <c r="E196" s="1"/>
  <c r="C213"/>
  <c r="E213" s="1"/>
  <c r="C229"/>
  <c r="E229" s="1"/>
  <c r="C243"/>
  <c r="C256"/>
  <c r="E256" s="1"/>
  <c r="C276"/>
  <c r="E276" s="1"/>
  <c r="C292"/>
  <c r="D292" s="1"/>
  <c r="C309"/>
  <c r="C322"/>
  <c r="E322" s="1"/>
  <c r="C339"/>
  <c r="E339" s="1"/>
  <c r="C354"/>
  <c r="E354" s="1"/>
  <c r="C370"/>
  <c r="C261"/>
  <c r="D261" s="1"/>
  <c r="C274"/>
  <c r="E274" s="1"/>
  <c r="C290"/>
  <c r="E290" s="1"/>
  <c r="C300"/>
  <c r="C321"/>
  <c r="D321" s="1"/>
  <c r="C338"/>
  <c r="D338" s="1"/>
  <c r="C353"/>
  <c r="D353" s="1"/>
  <c r="C369"/>
  <c r="C269"/>
  <c r="E269" s="1"/>
  <c r="C283"/>
  <c r="D283" s="1"/>
  <c r="C303"/>
  <c r="E303" s="1"/>
  <c r="C315"/>
  <c r="C327"/>
  <c r="E327" s="1"/>
  <c r="C341"/>
  <c r="D341" s="1"/>
  <c r="C360"/>
  <c r="E360" s="1"/>
  <c r="C254"/>
  <c r="C268"/>
  <c r="E268" s="1"/>
  <c r="C286"/>
  <c r="E286" s="1"/>
  <c r="C302"/>
  <c r="E302" s="1"/>
  <c r="C323"/>
  <c r="C340"/>
  <c r="E340" s="1"/>
  <c r="C355"/>
  <c r="D355" s="1"/>
  <c r="C371"/>
  <c r="D371" s="1"/>
  <c r="C388"/>
  <c r="C401"/>
  <c r="E401" s="1"/>
  <c r="C413"/>
  <c r="E413" s="1"/>
  <c r="C421"/>
  <c r="E421" s="1"/>
  <c r="C441"/>
  <c r="C380"/>
  <c r="D380" s="1"/>
  <c r="C398"/>
  <c r="E398" s="1"/>
  <c r="C425"/>
  <c r="D425" s="1"/>
  <c r="C440"/>
  <c r="C377"/>
  <c r="E377" s="1"/>
  <c r="C385"/>
  <c r="E385" s="1"/>
  <c r="C403"/>
  <c r="E403" s="1"/>
  <c r="C416"/>
  <c r="C430"/>
  <c r="E430" s="1"/>
  <c r="C443"/>
  <c r="E443" s="1"/>
  <c r="C410"/>
  <c r="D410" s="1"/>
  <c r="C428"/>
  <c r="C442"/>
  <c r="D442" s="1"/>
  <c r="C456"/>
  <c r="D456" s="1"/>
  <c r="C470"/>
  <c r="E470" s="1"/>
  <c r="C485"/>
  <c r="C458"/>
  <c r="D458" s="1"/>
  <c r="C518"/>
  <c r="E518" s="1"/>
  <c r="C501"/>
  <c r="E501" s="1"/>
  <c r="C475"/>
  <c r="C23"/>
  <c r="D23" s="1"/>
  <c r="C25"/>
  <c r="E25" s="1"/>
  <c r="C19"/>
  <c r="D19" s="1"/>
  <c r="C30"/>
  <c r="D30" s="1"/>
  <c r="C36"/>
  <c r="D36" s="1"/>
  <c r="C41"/>
  <c r="E41" s="1"/>
  <c r="C37"/>
  <c r="E37" s="1"/>
  <c r="C48"/>
  <c r="E48" s="1"/>
  <c r="C52"/>
  <c r="D52" s="1"/>
  <c r="C65"/>
  <c r="E65" s="1"/>
  <c r="C88"/>
  <c r="E88" s="1"/>
  <c r="C100"/>
  <c r="C115"/>
  <c r="D115" s="1"/>
  <c r="C57"/>
  <c r="E57" s="1"/>
  <c r="C66"/>
  <c r="D66" s="1"/>
  <c r="C82"/>
  <c r="C96"/>
  <c r="D96" s="1"/>
  <c r="C107"/>
  <c r="D107" s="1"/>
  <c r="C49"/>
  <c r="E49" s="1"/>
  <c r="C84"/>
  <c r="D84" s="1"/>
  <c r="C60"/>
  <c r="E60" s="1"/>
  <c r="C74"/>
  <c r="E74" s="1"/>
  <c r="C85"/>
  <c r="E85" s="1"/>
  <c r="C95"/>
  <c r="C122"/>
  <c r="E122" s="1"/>
  <c r="C151"/>
  <c r="E151" s="1"/>
  <c r="C150"/>
  <c r="D150" s="1"/>
  <c r="C171"/>
  <c r="C118"/>
  <c r="E118" s="1"/>
  <c r="C130"/>
  <c r="E130" s="1"/>
  <c r="C153"/>
  <c r="D153" s="1"/>
  <c r="C158"/>
  <c r="C168"/>
  <c r="D168" s="1"/>
  <c r="C137"/>
  <c r="E137" s="1"/>
  <c r="C124"/>
  <c r="D124" s="1"/>
  <c r="C138"/>
  <c r="C148"/>
  <c r="E148" s="1"/>
  <c r="C163"/>
  <c r="E163" s="1"/>
  <c r="C177"/>
  <c r="E177" s="1"/>
  <c r="C204"/>
  <c r="C218"/>
  <c r="E218" s="1"/>
  <c r="C234"/>
  <c r="E234" s="1"/>
  <c r="C248"/>
  <c r="D248" s="1"/>
  <c r="C192"/>
  <c r="C201"/>
  <c r="D201" s="1"/>
  <c r="C211"/>
  <c r="D211" s="1"/>
  <c r="C224"/>
  <c r="D224" s="1"/>
  <c r="C237"/>
  <c r="C180"/>
  <c r="E180" s="1"/>
  <c r="C198"/>
  <c r="E198" s="1"/>
  <c r="C219"/>
  <c r="E219" s="1"/>
  <c r="C240"/>
  <c r="C179"/>
  <c r="D179" s="1"/>
  <c r="C189"/>
  <c r="E189" s="1"/>
  <c r="C205"/>
  <c r="E205" s="1"/>
  <c r="C222"/>
  <c r="C235"/>
  <c r="E235" s="1"/>
  <c r="C250"/>
  <c r="E250" s="1"/>
  <c r="C264"/>
  <c r="E264" s="1"/>
  <c r="C285"/>
  <c r="C301"/>
  <c r="E301" s="1"/>
  <c r="C317"/>
  <c r="E317" s="1"/>
  <c r="C329"/>
  <c r="E329" s="1"/>
  <c r="C347"/>
  <c r="C362"/>
  <c r="E362" s="1"/>
  <c r="C252"/>
  <c r="E252" s="1"/>
  <c r="C267"/>
  <c r="E267" s="1"/>
  <c r="C279"/>
  <c r="C294"/>
  <c r="D294" s="1"/>
  <c r="C312"/>
  <c r="D312" s="1"/>
  <c r="C331"/>
  <c r="E331" s="1"/>
  <c r="C346"/>
  <c r="C361"/>
  <c r="D361" s="1"/>
  <c r="C257"/>
  <c r="E257" s="1"/>
  <c r="C278"/>
  <c r="E278" s="1"/>
  <c r="C289"/>
  <c r="C308"/>
  <c r="E308" s="1"/>
  <c r="C320"/>
  <c r="E320" s="1"/>
  <c r="C333"/>
  <c r="E333" s="1"/>
  <c r="C349"/>
  <c r="C367"/>
  <c r="E367" s="1"/>
  <c r="C262"/>
  <c r="E262" s="1"/>
  <c r="C277"/>
  <c r="D277" s="1"/>
  <c r="C298"/>
  <c r="C310"/>
  <c r="E310" s="1"/>
  <c r="C332"/>
  <c r="E332" s="1"/>
  <c r="C348"/>
  <c r="D348" s="1"/>
  <c r="C364"/>
  <c r="C378"/>
  <c r="D378" s="1"/>
  <c r="C393"/>
  <c r="E393" s="1"/>
  <c r="C409"/>
  <c r="E409" s="1"/>
  <c r="C419"/>
  <c r="C427"/>
  <c r="E427" s="1"/>
  <c r="C390"/>
  <c r="E390" s="1"/>
  <c r="C387"/>
  <c r="E387" s="1"/>
  <c r="C404"/>
  <c r="C433"/>
  <c r="D433" s="1"/>
  <c r="C375"/>
  <c r="D375" s="1"/>
  <c r="C383"/>
  <c r="E383" s="1"/>
  <c r="C396"/>
  <c r="C407"/>
  <c r="E407" s="1"/>
  <c r="C423"/>
  <c r="D423" s="1"/>
  <c r="C436"/>
  <c r="E436" s="1"/>
  <c r="C395"/>
  <c r="C415"/>
  <c r="E415" s="1"/>
  <c r="C435"/>
  <c r="E435" s="1"/>
  <c r="C447"/>
  <c r="E447" s="1"/>
  <c r="C462"/>
  <c r="D462" s="1"/>
  <c r="C477"/>
  <c r="D477" s="1"/>
  <c r="C520"/>
  <c r="D520" s="1"/>
  <c r="C488"/>
  <c r="D488" s="1"/>
  <c r="C460"/>
  <c r="C524"/>
  <c r="E524" s="1"/>
  <c r="C503"/>
  <c r="E503" s="1"/>
  <c r="C18"/>
  <c r="E18" s="1"/>
  <c r="C28"/>
  <c r="D28" s="1"/>
  <c r="C22"/>
  <c r="E22" s="1"/>
  <c r="C29"/>
  <c r="E29" s="1"/>
  <c r="C35"/>
  <c r="E35" s="1"/>
  <c r="C40"/>
  <c r="D40" s="1"/>
  <c r="C34"/>
  <c r="E34" s="1"/>
  <c r="C47"/>
  <c r="E47" s="1"/>
  <c r="C111"/>
  <c r="D111" s="1"/>
  <c r="C64"/>
  <c r="C87"/>
  <c r="D87" s="1"/>
  <c r="C99"/>
  <c r="E99" s="1"/>
  <c r="C110"/>
  <c r="D110" s="1"/>
  <c r="C76"/>
  <c r="C62"/>
  <c r="E62" s="1"/>
  <c r="C78"/>
  <c r="D78" s="1"/>
  <c r="C90"/>
  <c r="D90" s="1"/>
  <c r="C104"/>
  <c r="C114"/>
  <c r="D114" s="1"/>
  <c r="C75"/>
  <c r="D75" s="1"/>
  <c r="C56"/>
  <c r="E56" s="1"/>
  <c r="C73"/>
  <c r="C81"/>
  <c r="E81" s="1"/>
  <c r="C94"/>
  <c r="E94" s="1"/>
  <c r="C116"/>
  <c r="E116" s="1"/>
  <c r="C144"/>
  <c r="C149"/>
  <c r="D149" s="1"/>
  <c r="C170"/>
  <c r="D170" s="1"/>
  <c r="C147"/>
  <c r="E147" s="1"/>
  <c r="C125"/>
  <c r="E125" s="1"/>
  <c r="C143"/>
  <c r="D143" s="1"/>
  <c r="C157"/>
  <c r="E157" s="1"/>
  <c r="C167"/>
  <c r="E167" s="1"/>
  <c r="C131"/>
  <c r="C120"/>
  <c r="E120" s="1"/>
  <c r="C136"/>
  <c r="E136" s="1"/>
  <c r="C146"/>
  <c r="E146" s="1"/>
  <c r="C160"/>
  <c r="C172"/>
  <c r="D172" s="1"/>
  <c r="C194"/>
  <c r="E194" s="1"/>
  <c r="C215"/>
  <c r="E215" s="1"/>
  <c r="C228"/>
  <c r="C245"/>
  <c r="E245" s="1"/>
  <c r="C181"/>
  <c r="D181" s="1"/>
  <c r="C200"/>
  <c r="E200" s="1"/>
  <c r="C207"/>
  <c r="E207" s="1"/>
  <c r="C220"/>
  <c r="E220" s="1"/>
  <c r="C233"/>
  <c r="D233" s="1"/>
  <c r="C174"/>
  <c r="E174" s="1"/>
  <c r="C191"/>
  <c r="C210"/>
  <c r="E210" s="1"/>
  <c r="C236"/>
  <c r="E236" s="1"/>
  <c r="C178"/>
  <c r="E178" s="1"/>
  <c r="C188"/>
  <c r="C197"/>
  <c r="E197" s="1"/>
  <c r="C216"/>
  <c r="E216" s="1"/>
  <c r="C231"/>
  <c r="E231" s="1"/>
  <c r="C246"/>
  <c r="C259"/>
  <c r="E259" s="1"/>
  <c r="C280"/>
  <c r="E280" s="1"/>
  <c r="C297"/>
  <c r="E297" s="1"/>
  <c r="C313"/>
  <c r="E313" s="1"/>
  <c r="C325"/>
  <c r="E325" s="1"/>
  <c r="C343"/>
  <c r="D343" s="1"/>
  <c r="C358"/>
  <c r="E358" s="1"/>
  <c r="C249"/>
  <c r="C263"/>
  <c r="D263" s="1"/>
  <c r="C275"/>
  <c r="E275" s="1"/>
  <c r="C291"/>
  <c r="E291" s="1"/>
  <c r="C304"/>
  <c r="D304" s="1"/>
  <c r="C328"/>
  <c r="D328" s="1"/>
  <c r="C342"/>
  <c r="E342" s="1"/>
  <c r="C357"/>
  <c r="D357" s="1"/>
  <c r="C255"/>
  <c r="C273"/>
  <c r="E273" s="1"/>
  <c r="C287"/>
  <c r="D287" s="1"/>
  <c r="C306"/>
  <c r="E306" s="1"/>
  <c r="C318"/>
  <c r="C330"/>
  <c r="E330" s="1"/>
  <c r="C345"/>
  <c r="E345" s="1"/>
  <c r="C366"/>
  <c r="D366" s="1"/>
  <c r="C260"/>
  <c r="D260" s="1"/>
  <c r="C272"/>
  <c r="E272" s="1"/>
  <c r="C295"/>
  <c r="D295" s="1"/>
  <c r="C305"/>
  <c r="D305" s="1"/>
  <c r="C326"/>
  <c r="D326" s="1"/>
  <c r="C344"/>
  <c r="E344" s="1"/>
  <c r="C359"/>
  <c r="D359" s="1"/>
  <c r="C374"/>
  <c r="E374" s="1"/>
  <c r="C389"/>
  <c r="C405"/>
  <c r="E405" s="1"/>
  <c r="C418"/>
  <c r="D418" s="1"/>
  <c r="C426"/>
  <c r="E426" s="1"/>
  <c r="C382"/>
  <c r="C386"/>
  <c r="E386" s="1"/>
  <c r="C399"/>
  <c r="E399" s="1"/>
  <c r="C432"/>
  <c r="D432" s="1"/>
  <c r="C372"/>
  <c r="C379"/>
  <c r="E379" s="1"/>
  <c r="C391"/>
  <c r="E391" s="1"/>
  <c r="C406"/>
  <c r="E406" s="1"/>
  <c r="C417"/>
  <c r="E417" s="1"/>
  <c r="C431"/>
  <c r="D431" s="1"/>
  <c r="C394"/>
  <c r="E394" s="1"/>
  <c r="C414"/>
  <c r="E414" s="1"/>
  <c r="C429"/>
  <c r="C445"/>
  <c r="E445" s="1"/>
  <c r="C459"/>
  <c r="E459" s="1"/>
  <c r="C474"/>
  <c r="E474" s="1"/>
  <c r="C498"/>
  <c r="C473"/>
  <c r="D473" s="1"/>
  <c r="C446"/>
  <c r="D446" s="1"/>
  <c r="C512"/>
  <c r="E512" s="1"/>
  <c r="C487"/>
  <c r="E29" i="48"/>
  <c r="E24"/>
  <c r="E21"/>
  <c r="E25"/>
  <c r="E22"/>
  <c r="E27"/>
  <c r="E23"/>
  <c r="C496" i="49"/>
  <c r="D496" s="1"/>
  <c r="C516"/>
  <c r="E516" s="1"/>
  <c r="C523"/>
  <c r="E523" s="1"/>
  <c r="C455"/>
  <c r="E455" s="1"/>
  <c r="C469"/>
  <c r="C484"/>
  <c r="D484" s="1"/>
  <c r="C495"/>
  <c r="E495" s="1"/>
  <c r="C515"/>
  <c r="D515" s="1"/>
  <c r="C444"/>
  <c r="E444" s="1"/>
  <c r="C457"/>
  <c r="E457" s="1"/>
  <c r="C472"/>
  <c r="E472" s="1"/>
  <c r="C500"/>
  <c r="D500" s="1"/>
  <c r="C509"/>
  <c r="C517"/>
  <c r="E517" s="1"/>
  <c r="C448"/>
  <c r="E448" s="1"/>
  <c r="C471"/>
  <c r="E471" s="1"/>
  <c r="C486"/>
  <c r="C499"/>
  <c r="D499" s="1"/>
  <c r="C491"/>
  <c r="E491" s="1"/>
  <c r="C511"/>
  <c r="E511" s="1"/>
  <c r="C522"/>
  <c r="C452"/>
  <c r="D452" s="1"/>
  <c r="C465"/>
  <c r="D465" s="1"/>
  <c r="C479"/>
  <c r="D479" s="1"/>
  <c r="C494"/>
  <c r="D494" s="1"/>
  <c r="C510"/>
  <c r="D510" s="1"/>
  <c r="C526"/>
  <c r="D526" s="1"/>
  <c r="C454"/>
  <c r="D454" s="1"/>
  <c r="C468"/>
  <c r="E468" s="1"/>
  <c r="C497"/>
  <c r="E497" s="1"/>
  <c r="C505"/>
  <c r="E505" s="1"/>
  <c r="C514"/>
  <c r="D514" s="1"/>
  <c r="C529"/>
  <c r="E529" s="1"/>
  <c r="C467"/>
  <c r="D467" s="1"/>
  <c r="C481"/>
  <c r="D481" s="1"/>
  <c r="C493"/>
  <c r="D493" s="1"/>
  <c r="C528"/>
  <c r="C490"/>
  <c r="D490" s="1"/>
  <c r="C507"/>
  <c r="D507" s="1"/>
  <c r="C521"/>
  <c r="D521" s="1"/>
  <c r="C450"/>
  <c r="C461"/>
  <c r="D461" s="1"/>
  <c r="C476"/>
  <c r="D476" s="1"/>
  <c r="C489"/>
  <c r="D489" s="1"/>
  <c r="C506"/>
  <c r="D506" s="1"/>
  <c r="C519"/>
  <c r="D519" s="1"/>
  <c r="C449"/>
  <c r="E449" s="1"/>
  <c r="C464"/>
  <c r="E464" s="1"/>
  <c r="C483"/>
  <c r="C504"/>
  <c r="E504" s="1"/>
  <c r="C513"/>
  <c r="D513" s="1"/>
  <c r="C525"/>
  <c r="D525" s="1"/>
  <c r="C463"/>
  <c r="E463" s="1"/>
  <c r="C478"/>
  <c r="E478" s="1"/>
  <c r="C492"/>
  <c r="D492" s="1"/>
  <c r="E62" i="48"/>
  <c r="E61"/>
  <c r="E65"/>
  <c r="E66"/>
  <c r="E64"/>
  <c r="E63"/>
  <c r="E69"/>
  <c r="E68"/>
  <c r="C177" i="29"/>
  <c r="B177" s="1"/>
  <c r="E178"/>
  <c r="D178" s="1"/>
  <c r="C222"/>
  <c r="C123"/>
  <c r="C124"/>
  <c r="B126"/>
  <c r="B125"/>
  <c r="D126"/>
  <c r="D125"/>
  <c r="B122"/>
  <c r="D122"/>
  <c r="E123"/>
  <c r="E124"/>
  <c r="E28" i="49"/>
  <c r="E27"/>
  <c r="D27"/>
  <c r="D44"/>
  <c r="E44"/>
  <c r="D38"/>
  <c r="E38"/>
  <c r="E42"/>
  <c r="D42"/>
  <c r="D93"/>
  <c r="E93"/>
  <c r="E53"/>
  <c r="D53"/>
  <c r="E63"/>
  <c r="D63"/>
  <c r="E30"/>
  <c r="D45"/>
  <c r="E45"/>
  <c r="E36"/>
  <c r="E39"/>
  <c r="D39"/>
  <c r="D48"/>
  <c r="E52"/>
  <c r="E23"/>
  <c r="E20"/>
  <c r="D20"/>
  <c r="E100"/>
  <c r="D100"/>
  <c r="E58"/>
  <c r="D58"/>
  <c r="E84"/>
  <c r="D112"/>
  <c r="E112"/>
  <c r="D67"/>
  <c r="E67"/>
  <c r="D77"/>
  <c r="E77"/>
  <c r="D89"/>
  <c r="E89"/>
  <c r="D135"/>
  <c r="E135"/>
  <c r="E159"/>
  <c r="D159"/>
  <c r="D142"/>
  <c r="E142"/>
  <c r="D152"/>
  <c r="E152"/>
  <c r="D221"/>
  <c r="E221"/>
  <c r="E242"/>
  <c r="E175"/>
  <c r="D175"/>
  <c r="D202"/>
  <c r="D185"/>
  <c r="E185"/>
  <c r="E179"/>
  <c r="D226"/>
  <c r="E226"/>
  <c r="D313"/>
  <c r="D335"/>
  <c r="E258"/>
  <c r="D258"/>
  <c r="E284"/>
  <c r="D284"/>
  <c r="E334"/>
  <c r="D334"/>
  <c r="E350"/>
  <c r="D350"/>
  <c r="D266"/>
  <c r="E266"/>
  <c r="D327"/>
  <c r="D254"/>
  <c r="E254"/>
  <c r="D265"/>
  <c r="E265"/>
  <c r="D299"/>
  <c r="E299"/>
  <c r="D314"/>
  <c r="E314"/>
  <c r="E388"/>
  <c r="D388"/>
  <c r="D441"/>
  <c r="E441"/>
  <c r="D376"/>
  <c r="E376"/>
  <c r="D397"/>
  <c r="E397"/>
  <c r="D411"/>
  <c r="E411"/>
  <c r="D424"/>
  <c r="E424"/>
  <c r="D439"/>
  <c r="E439"/>
  <c r="E462"/>
  <c r="D567"/>
  <c r="E567"/>
  <c r="D583"/>
  <c r="E583"/>
  <c r="D587"/>
  <c r="E587"/>
  <c r="D596"/>
  <c r="E596"/>
  <c r="D622"/>
  <c r="E622"/>
  <c r="E580"/>
  <c r="D580"/>
  <c r="E589"/>
  <c r="D589"/>
  <c r="E591"/>
  <c r="D591"/>
  <c r="E613"/>
  <c r="D613"/>
  <c r="E626"/>
  <c r="D626"/>
  <c r="E628"/>
  <c r="D628"/>
  <c r="D553"/>
  <c r="E553"/>
  <c r="D565"/>
  <c r="E565"/>
  <c r="D568"/>
  <c r="E568"/>
  <c r="D576"/>
  <c r="E576"/>
  <c r="D581"/>
  <c r="E581"/>
  <c r="D614"/>
  <c r="E614"/>
  <c r="D559"/>
  <c r="E559"/>
  <c r="D563"/>
  <c r="E563"/>
  <c r="D574"/>
  <c r="E574"/>
  <c r="D579"/>
  <c r="E579"/>
  <c r="D595"/>
  <c r="E595"/>
  <c r="D601"/>
  <c r="E601"/>
  <c r="D624"/>
  <c r="E624"/>
  <c r="D637"/>
  <c r="E637"/>
  <c r="D641"/>
  <c r="E641"/>
  <c r="E643"/>
  <c r="D643"/>
  <c r="D650"/>
  <c r="E650"/>
  <c r="D652"/>
  <c r="E652"/>
  <c r="D656"/>
  <c r="E656"/>
  <c r="D682"/>
  <c r="E682"/>
  <c r="E663"/>
  <c r="D663"/>
  <c r="E671"/>
  <c r="D671"/>
  <c r="D657"/>
  <c r="E657"/>
  <c r="D668"/>
  <c r="E668"/>
  <c r="D677"/>
  <c r="E677"/>
  <c r="D662"/>
  <c r="E662"/>
  <c r="D669"/>
  <c r="E669"/>
  <c r="D688"/>
  <c r="E688"/>
  <c r="D692"/>
  <c r="E692"/>
  <c r="D698"/>
  <c r="E698"/>
  <c r="D705"/>
  <c r="E705"/>
  <c r="D723"/>
  <c r="E723"/>
  <c r="D729"/>
  <c r="E729"/>
  <c r="D735"/>
  <c r="E735"/>
  <c r="D743"/>
  <c r="E743"/>
  <c r="D751"/>
  <c r="E751"/>
  <c r="E694"/>
  <c r="D694"/>
  <c r="E699"/>
  <c r="D699"/>
  <c r="E711"/>
  <c r="D711"/>
  <c r="E714"/>
  <c r="D714"/>
  <c r="E724"/>
  <c r="D724"/>
  <c r="E727"/>
  <c r="D727"/>
  <c r="E731"/>
  <c r="D731"/>
  <c r="E738"/>
  <c r="D738"/>
  <c r="D687"/>
  <c r="E687"/>
  <c r="D701"/>
  <c r="E701"/>
  <c r="D717"/>
  <c r="E717"/>
  <c r="D732"/>
  <c r="E732"/>
  <c r="D742"/>
  <c r="E742"/>
  <c r="D745"/>
  <c r="E745"/>
  <c r="D747"/>
  <c r="E747"/>
  <c r="D690"/>
  <c r="E690"/>
  <c r="D719"/>
  <c r="E719"/>
  <c r="D728"/>
  <c r="E728"/>
  <c r="D736"/>
  <c r="E736"/>
  <c r="E759"/>
  <c r="D759"/>
  <c r="D760"/>
  <c r="E760"/>
  <c r="D762"/>
  <c r="E762"/>
  <c r="D783"/>
  <c r="E783"/>
  <c r="E769"/>
  <c r="D769"/>
  <c r="D786"/>
  <c r="E786"/>
  <c r="D775"/>
  <c r="E775"/>
  <c r="D776"/>
  <c r="E776"/>
  <c r="D793"/>
  <c r="E793"/>
  <c r="E809"/>
  <c r="D809"/>
  <c r="E856"/>
  <c r="D856"/>
  <c r="D791"/>
  <c r="E791"/>
  <c r="D796"/>
  <c r="E796"/>
  <c r="D807"/>
  <c r="E807"/>
  <c r="D813"/>
  <c r="E813"/>
  <c r="D820"/>
  <c r="E820"/>
  <c r="D824"/>
  <c r="E824"/>
  <c r="D842"/>
  <c r="E842"/>
  <c r="D816"/>
  <c r="E816"/>
  <c r="D838"/>
  <c r="E838"/>
  <c r="D843"/>
  <c r="E843"/>
  <c r="D852"/>
  <c r="E852"/>
  <c r="D861"/>
  <c r="E861"/>
  <c r="D865"/>
  <c r="E865"/>
  <c r="D870"/>
  <c r="E870"/>
  <c r="D883"/>
  <c r="E883"/>
  <c r="D889"/>
  <c r="E889"/>
  <c r="E890"/>
  <c r="D890"/>
  <c r="E904"/>
  <c r="D904"/>
  <c r="D888"/>
  <c r="E888"/>
  <c r="D892"/>
  <c r="E892"/>
  <c r="D911"/>
  <c r="E911"/>
  <c r="D873"/>
  <c r="E873"/>
  <c r="D885"/>
  <c r="E885"/>
  <c r="D896"/>
  <c r="E896"/>
  <c r="D899"/>
  <c r="E899"/>
  <c r="D921"/>
  <c r="E921"/>
  <c r="E914"/>
  <c r="D914"/>
  <c r="E916"/>
  <c r="D916"/>
  <c r="D928"/>
  <c r="E928"/>
  <c r="D926"/>
  <c r="E926"/>
  <c r="D934"/>
  <c r="E934"/>
  <c r="D938"/>
  <c r="E938"/>
  <c r="D979"/>
  <c r="E979"/>
  <c r="D989"/>
  <c r="E989"/>
  <c r="E942"/>
  <c r="D942"/>
  <c r="D952"/>
  <c r="E952"/>
  <c r="D972"/>
  <c r="E972"/>
  <c r="D981"/>
  <c r="E981"/>
  <c r="D944"/>
  <c r="E944"/>
  <c r="D953"/>
  <c r="E953"/>
  <c r="D959"/>
  <c r="E959"/>
  <c r="D967"/>
  <c r="E967"/>
  <c r="D985"/>
  <c r="E985"/>
  <c r="D987"/>
  <c r="E987"/>
  <c r="D997"/>
  <c r="E997"/>
  <c r="D1004"/>
  <c r="E1004"/>
  <c r="D1009"/>
  <c r="E1009"/>
  <c r="D1024"/>
  <c r="E1024"/>
  <c r="D1040"/>
  <c r="E1040"/>
  <c r="D1049"/>
  <c r="E1049"/>
  <c r="D1054"/>
  <c r="E1054"/>
  <c r="E1005"/>
  <c r="D1005"/>
  <c r="E1011"/>
  <c r="D1011"/>
  <c r="E1017"/>
  <c r="D1017"/>
  <c r="E1025"/>
  <c r="D1025"/>
  <c r="E1033"/>
  <c r="D1033"/>
  <c r="E1042"/>
  <c r="D1042"/>
  <c r="E1047"/>
  <c r="D1047"/>
  <c r="E1055"/>
  <c r="D1055"/>
  <c r="D999"/>
  <c r="E999"/>
  <c r="D1006"/>
  <c r="E1006"/>
  <c r="D1026"/>
  <c r="E1026"/>
  <c r="D1043"/>
  <c r="E1043"/>
  <c r="D1008"/>
  <c r="E1008"/>
  <c r="D1020"/>
  <c r="E1020"/>
  <c r="E105"/>
  <c r="D104"/>
  <c r="E104"/>
  <c r="D60"/>
  <c r="D95"/>
  <c r="E95"/>
  <c r="D102"/>
  <c r="E102"/>
  <c r="D144"/>
  <c r="E144"/>
  <c r="E154"/>
  <c r="D158"/>
  <c r="E158"/>
  <c r="E168"/>
  <c r="E131"/>
  <c r="D131"/>
  <c r="D117"/>
  <c r="D225"/>
  <c r="E225"/>
  <c r="E193"/>
  <c r="D206"/>
  <c r="D182"/>
  <c r="E182"/>
  <c r="D235"/>
  <c r="D246"/>
  <c r="E246"/>
  <c r="D285"/>
  <c r="E285"/>
  <c r="D307"/>
  <c r="D370"/>
  <c r="E370"/>
  <c r="E316"/>
  <c r="D316"/>
  <c r="E369"/>
  <c r="D369"/>
  <c r="D269"/>
  <c r="D289"/>
  <c r="E289"/>
  <c r="D293"/>
  <c r="D298"/>
  <c r="E298"/>
  <c r="D336"/>
  <c r="E336"/>
  <c r="D352"/>
  <c r="E352"/>
  <c r="D364"/>
  <c r="E364"/>
  <c r="D412"/>
  <c r="E412"/>
  <c r="D419"/>
  <c r="E419"/>
  <c r="D372"/>
  <c r="E372"/>
  <c r="D430"/>
  <c r="D395"/>
  <c r="E395"/>
  <c r="D402"/>
  <c r="E402"/>
  <c r="D429"/>
  <c r="E429"/>
  <c r="D466"/>
  <c r="E469"/>
  <c r="D469"/>
  <c r="D487"/>
  <c r="E487"/>
  <c r="D528"/>
  <c r="E528"/>
  <c r="D554"/>
  <c r="E554"/>
  <c r="D561"/>
  <c r="E561"/>
  <c r="D625"/>
  <c r="E625"/>
  <c r="E584"/>
  <c r="D584"/>
  <c r="E594"/>
  <c r="D594"/>
  <c r="E599"/>
  <c r="D599"/>
  <c r="E619"/>
  <c r="D619"/>
  <c r="D551"/>
  <c r="E551"/>
  <c r="D556"/>
  <c r="E556"/>
  <c r="D560"/>
  <c r="E560"/>
  <c r="D571"/>
  <c r="E571"/>
  <c r="D609"/>
  <c r="E609"/>
  <c r="D629"/>
  <c r="E629"/>
  <c r="D582"/>
  <c r="E582"/>
  <c r="D592"/>
  <c r="E592"/>
  <c r="D600"/>
  <c r="E600"/>
  <c r="D605"/>
  <c r="E605"/>
  <c r="D608"/>
  <c r="E608"/>
  <c r="D617"/>
  <c r="E617"/>
  <c r="D630"/>
  <c r="E630"/>
  <c r="D645"/>
  <c r="E645"/>
  <c r="E639"/>
  <c r="D639"/>
  <c r="E646"/>
  <c r="D646"/>
  <c r="E648"/>
  <c r="D648"/>
  <c r="D633"/>
  <c r="E633"/>
  <c r="D634"/>
  <c r="E634"/>
  <c r="D667"/>
  <c r="E667"/>
  <c r="D679"/>
  <c r="E679"/>
  <c r="E675"/>
  <c r="D675"/>
  <c r="D661"/>
  <c r="E661"/>
  <c r="D672"/>
  <c r="E672"/>
  <c r="D684"/>
  <c r="E684"/>
  <c r="D658"/>
  <c r="E658"/>
  <c r="D665"/>
  <c r="E665"/>
  <c r="D673"/>
  <c r="E673"/>
  <c r="D712"/>
  <c r="E712"/>
  <c r="D757"/>
  <c r="E757"/>
  <c r="D686"/>
  <c r="E686"/>
  <c r="E753"/>
  <c r="D753"/>
  <c r="D706"/>
  <c r="E706"/>
  <c r="D750"/>
  <c r="E750"/>
  <c r="D754"/>
  <c r="E754"/>
  <c r="D697"/>
  <c r="E697"/>
  <c r="D702"/>
  <c r="E702"/>
  <c r="D709"/>
  <c r="E709"/>
  <c r="D756"/>
  <c r="E756"/>
  <c r="E764"/>
  <c r="D764"/>
  <c r="E765"/>
  <c r="D765"/>
  <c r="D766"/>
  <c r="E766"/>
  <c r="D777"/>
  <c r="E777"/>
  <c r="D768"/>
  <c r="E768"/>
  <c r="E778"/>
  <c r="D778"/>
  <c r="E784"/>
  <c r="D784"/>
  <c r="D779"/>
  <c r="E779"/>
  <c r="D798"/>
  <c r="E798"/>
  <c r="D810"/>
  <c r="E810"/>
  <c r="D832"/>
  <c r="E832"/>
  <c r="D841"/>
  <c r="E841"/>
  <c r="D849"/>
  <c r="E849"/>
  <c r="D853"/>
  <c r="E853"/>
  <c r="E795"/>
  <c r="D795"/>
  <c r="E804"/>
  <c r="D804"/>
  <c r="E811"/>
  <c r="D811"/>
  <c r="E830"/>
  <c r="D830"/>
  <c r="D834"/>
  <c r="E834"/>
  <c r="D846"/>
  <c r="E846"/>
  <c r="D854"/>
  <c r="E854"/>
  <c r="D789"/>
  <c r="E789"/>
  <c r="D800"/>
  <c r="E800"/>
  <c r="D822"/>
  <c r="E822"/>
  <c r="D825"/>
  <c r="E825"/>
  <c r="D847"/>
  <c r="E847"/>
  <c r="D857"/>
  <c r="E857"/>
  <c r="D894"/>
  <c r="E894"/>
  <c r="D902"/>
  <c r="E902"/>
  <c r="E867"/>
  <c r="D867"/>
  <c r="E874"/>
  <c r="D874"/>
  <c r="E898"/>
  <c r="D898"/>
  <c r="E910"/>
  <c r="D910"/>
  <c r="D862"/>
  <c r="E862"/>
  <c r="D872"/>
  <c r="E872"/>
  <c r="D881"/>
  <c r="E881"/>
  <c r="D859"/>
  <c r="E859"/>
  <c r="D876"/>
  <c r="E876"/>
  <c r="D907"/>
  <c r="E907"/>
  <c r="D927"/>
  <c r="E927"/>
  <c r="E923"/>
  <c r="D923"/>
  <c r="D937"/>
  <c r="E937"/>
  <c r="E919"/>
  <c r="D919"/>
  <c r="D929"/>
  <c r="E929"/>
  <c r="D941"/>
  <c r="E941"/>
  <c r="D947"/>
  <c r="E947"/>
  <c r="D954"/>
  <c r="E954"/>
  <c r="D992"/>
  <c r="E992"/>
  <c r="E951"/>
  <c r="D951"/>
  <c r="E957"/>
  <c r="D957"/>
  <c r="E962"/>
  <c r="D962"/>
  <c r="E970"/>
  <c r="D970"/>
  <c r="E983"/>
  <c r="D983"/>
  <c r="E990"/>
  <c r="D990"/>
  <c r="D966"/>
  <c r="E966"/>
  <c r="D984"/>
  <c r="E984"/>
  <c r="D994"/>
  <c r="E994"/>
  <c r="D974"/>
  <c r="E974"/>
  <c r="D1028"/>
  <c r="E1028"/>
  <c r="D1032"/>
  <c r="E1032"/>
  <c r="D1045"/>
  <c r="E1045"/>
  <c r="D1058"/>
  <c r="E1058"/>
  <c r="E1036"/>
  <c r="D1036"/>
  <c r="E1038"/>
  <c r="D1038"/>
  <c r="E1050"/>
  <c r="D1050"/>
  <c r="E1059"/>
  <c r="D1059"/>
  <c r="D1012"/>
  <c r="E1012"/>
  <c r="D1018"/>
  <c r="E1018"/>
  <c r="D1003"/>
  <c r="E1003"/>
  <c r="D1013"/>
  <c r="E1013"/>
  <c r="D1016"/>
  <c r="E1016"/>
  <c r="D1023"/>
  <c r="E1023"/>
  <c r="D1031"/>
  <c r="E1031"/>
  <c r="D1048"/>
  <c r="E1048"/>
  <c r="D1053"/>
  <c r="E1053"/>
  <c r="E64"/>
  <c r="D64"/>
  <c r="E71"/>
  <c r="D71"/>
  <c r="E92"/>
  <c r="D92"/>
  <c r="D55"/>
  <c r="D76"/>
  <c r="E76"/>
  <c r="E96"/>
  <c r="D127"/>
  <c r="E127"/>
  <c r="D164"/>
  <c r="E164"/>
  <c r="E171"/>
  <c r="D171"/>
  <c r="E121"/>
  <c r="D121"/>
  <c r="D133"/>
  <c r="E133"/>
  <c r="D139"/>
  <c r="E126"/>
  <c r="D126"/>
  <c r="E140"/>
  <c r="D140"/>
  <c r="D165"/>
  <c r="E165"/>
  <c r="D204"/>
  <c r="E204"/>
  <c r="D218"/>
  <c r="D228"/>
  <c r="E228"/>
  <c r="E201"/>
  <c r="E214"/>
  <c r="D214"/>
  <c r="E227"/>
  <c r="E237"/>
  <c r="D237"/>
  <c r="D191"/>
  <c r="E191"/>
  <c r="D239"/>
  <c r="E239"/>
  <c r="D271"/>
  <c r="E271"/>
  <c r="D288"/>
  <c r="E296"/>
  <c r="D296"/>
  <c r="D315"/>
  <c r="E315"/>
  <c r="D324"/>
  <c r="E324"/>
  <c r="D349"/>
  <c r="E349"/>
  <c r="E389"/>
  <c r="D389"/>
  <c r="D382"/>
  <c r="E382"/>
  <c r="E404"/>
  <c r="D404"/>
  <c r="D377"/>
  <c r="D396"/>
  <c r="E396"/>
  <c r="D416"/>
  <c r="E416"/>
  <c r="D438"/>
  <c r="E438"/>
  <c r="D453"/>
  <c r="E453"/>
  <c r="D485"/>
  <c r="E485"/>
  <c r="D498"/>
  <c r="E498"/>
  <c r="E450"/>
  <c r="D450"/>
  <c r="E458"/>
  <c r="E502"/>
  <c r="D460"/>
  <c r="E460"/>
  <c r="D483"/>
  <c r="E483"/>
  <c r="D508"/>
  <c r="E508"/>
  <c r="D552"/>
  <c r="E552"/>
  <c r="D564"/>
  <c r="E564"/>
  <c r="D572"/>
  <c r="E572"/>
  <c r="D586"/>
  <c r="E586"/>
  <c r="D598"/>
  <c r="E598"/>
  <c r="D602"/>
  <c r="E602"/>
  <c r="D607"/>
  <c r="E607"/>
  <c r="D631"/>
  <c r="E631"/>
  <c r="E575"/>
  <c r="D575"/>
  <c r="E588"/>
  <c r="D588"/>
  <c r="E590"/>
  <c r="D590"/>
  <c r="E623"/>
  <c r="D623"/>
  <c r="E627"/>
  <c r="D627"/>
  <c r="D566"/>
  <c r="E566"/>
  <c r="D616"/>
  <c r="E616"/>
  <c r="D562"/>
  <c r="E562"/>
  <c r="D611"/>
  <c r="E611"/>
  <c r="D621"/>
  <c r="E621"/>
  <c r="D635"/>
  <c r="E635"/>
  <c r="D640"/>
  <c r="E640"/>
  <c r="E642"/>
  <c r="D642"/>
  <c r="D649"/>
  <c r="E649"/>
  <c r="D644"/>
  <c r="E644"/>
  <c r="D651"/>
  <c r="E651"/>
  <c r="D655"/>
  <c r="E655"/>
  <c r="D670"/>
  <c r="E670"/>
  <c r="D683"/>
  <c r="E683"/>
  <c r="E653"/>
  <c r="D653"/>
  <c r="E660"/>
  <c r="D660"/>
  <c r="E680"/>
  <c r="D680"/>
  <c r="D654"/>
  <c r="E654"/>
  <c r="D664"/>
  <c r="E664"/>
  <c r="D676"/>
  <c r="E676"/>
  <c r="D678"/>
  <c r="E678"/>
  <c r="D685"/>
  <c r="E685"/>
  <c r="D691"/>
  <c r="E691"/>
  <c r="D707"/>
  <c r="E707"/>
  <c r="D720"/>
  <c r="E720"/>
  <c r="D733"/>
  <c r="E733"/>
  <c r="D748"/>
  <c r="E748"/>
  <c r="E689"/>
  <c r="D689"/>
  <c r="E693"/>
  <c r="D693"/>
  <c r="E696"/>
  <c r="D696"/>
  <c r="E704"/>
  <c r="D704"/>
  <c r="E713"/>
  <c r="D713"/>
  <c r="E715"/>
  <c r="D715"/>
  <c r="E725"/>
  <c r="D725"/>
  <c r="E730"/>
  <c r="D730"/>
  <c r="E741"/>
  <c r="D741"/>
  <c r="E749"/>
  <c r="D749"/>
  <c r="D700"/>
  <c r="E700"/>
  <c r="D716"/>
  <c r="E716"/>
  <c r="D718"/>
  <c r="E718"/>
  <c r="D734"/>
  <c r="E734"/>
  <c r="D744"/>
  <c r="E744"/>
  <c r="D746"/>
  <c r="E746"/>
  <c r="D695"/>
  <c r="E695"/>
  <c r="D726"/>
  <c r="E726"/>
  <c r="D737"/>
  <c r="E737"/>
  <c r="D763"/>
  <c r="E763"/>
  <c r="D761"/>
  <c r="E761"/>
  <c r="D767"/>
  <c r="E767"/>
  <c r="E787"/>
  <c r="D787"/>
  <c r="E774"/>
  <c r="D774"/>
  <c r="E785"/>
  <c r="D785"/>
  <c r="E772"/>
  <c r="D772"/>
  <c r="D770"/>
  <c r="E770"/>
  <c r="D801"/>
  <c r="E801"/>
  <c r="D815"/>
  <c r="E815"/>
  <c r="D826"/>
  <c r="E826"/>
  <c r="D836"/>
  <c r="E836"/>
  <c r="D844"/>
  <c r="E844"/>
  <c r="E799"/>
  <c r="D799"/>
  <c r="E833"/>
  <c r="D833"/>
  <c r="E845"/>
  <c r="D845"/>
  <c r="D788"/>
  <c r="E788"/>
  <c r="D806"/>
  <c r="E806"/>
  <c r="D819"/>
  <c r="E819"/>
  <c r="D821"/>
  <c r="E821"/>
  <c r="D827"/>
  <c r="E827"/>
  <c r="D840"/>
  <c r="E840"/>
  <c r="D792"/>
  <c r="E792"/>
  <c r="D814"/>
  <c r="E814"/>
  <c r="D817"/>
  <c r="E817"/>
  <c r="D828"/>
  <c r="E828"/>
  <c r="D835"/>
  <c r="E835"/>
  <c r="D851"/>
  <c r="E851"/>
  <c r="D860"/>
  <c r="E860"/>
  <c r="D864"/>
  <c r="E864"/>
  <c r="D869"/>
  <c r="E869"/>
  <c r="D909"/>
  <c r="E909"/>
  <c r="E891"/>
  <c r="D891"/>
  <c r="D875"/>
  <c r="E875"/>
  <c r="D886"/>
  <c r="E886"/>
  <c r="D893"/>
  <c r="E893"/>
  <c r="D897"/>
  <c r="E897"/>
  <c r="D900"/>
  <c r="E900"/>
  <c r="D930"/>
  <c r="E930"/>
  <c r="E913"/>
  <c r="D913"/>
  <c r="E915"/>
  <c r="D915"/>
  <c r="E917"/>
  <c r="D917"/>
  <c r="D935"/>
  <c r="E935"/>
  <c r="D925"/>
  <c r="E925"/>
  <c r="D933"/>
  <c r="E933"/>
  <c r="D932"/>
  <c r="E932"/>
  <c r="D936"/>
  <c r="E936"/>
  <c r="D965"/>
  <c r="E965"/>
  <c r="D969"/>
  <c r="E969"/>
  <c r="D988"/>
  <c r="E988"/>
  <c r="E945"/>
  <c r="D945"/>
  <c r="E976"/>
  <c r="D976"/>
  <c r="E993"/>
  <c r="D993"/>
  <c r="D955"/>
  <c r="E955"/>
  <c r="D971"/>
  <c r="E971"/>
  <c r="D973"/>
  <c r="E973"/>
  <c r="D946"/>
  <c r="E946"/>
  <c r="D961"/>
  <c r="E961"/>
  <c r="D968"/>
  <c r="E968"/>
  <c r="D978"/>
  <c r="E978"/>
  <c r="D986"/>
  <c r="E986"/>
  <c r="D991"/>
  <c r="E991"/>
  <c r="D996"/>
  <c r="E996"/>
  <c r="D998"/>
  <c r="E998"/>
  <c r="D1010"/>
  <c r="E1010"/>
  <c r="E1014"/>
  <c r="D1014"/>
  <c r="E1041"/>
  <c r="D1041"/>
  <c r="E1062"/>
  <c r="D1062"/>
  <c r="D1029"/>
  <c r="E1029"/>
  <c r="D1056"/>
  <c r="E1056"/>
  <c r="D1007"/>
  <c r="E1007"/>
  <c r="D1019"/>
  <c r="E1019"/>
  <c r="D1027"/>
  <c r="E1027"/>
  <c r="D1039"/>
  <c r="E1039"/>
  <c r="D1057"/>
  <c r="E1057"/>
  <c r="D72"/>
  <c r="E72"/>
  <c r="E69"/>
  <c r="D82"/>
  <c r="E82"/>
  <c r="E103"/>
  <c r="D103"/>
  <c r="E108"/>
  <c r="D108"/>
  <c r="D68"/>
  <c r="E68"/>
  <c r="D73"/>
  <c r="E73"/>
  <c r="D81"/>
  <c r="E143"/>
  <c r="D138"/>
  <c r="E138"/>
  <c r="D156"/>
  <c r="E156"/>
  <c r="D160"/>
  <c r="E160"/>
  <c r="D186"/>
  <c r="E186"/>
  <c r="D208"/>
  <c r="E208"/>
  <c r="D238"/>
  <c r="E238"/>
  <c r="E192"/>
  <c r="D192"/>
  <c r="E203"/>
  <c r="D203"/>
  <c r="D199"/>
  <c r="E199"/>
  <c r="D240"/>
  <c r="E240"/>
  <c r="D247"/>
  <c r="E247"/>
  <c r="D183"/>
  <c r="E183"/>
  <c r="D188"/>
  <c r="E188"/>
  <c r="D190"/>
  <c r="E190"/>
  <c r="D209"/>
  <c r="E209"/>
  <c r="D222"/>
  <c r="E222"/>
  <c r="D243"/>
  <c r="E243"/>
  <c r="D253"/>
  <c r="E253"/>
  <c r="D309"/>
  <c r="E309"/>
  <c r="D319"/>
  <c r="E319"/>
  <c r="D347"/>
  <c r="E347"/>
  <c r="E249"/>
  <c r="D249"/>
  <c r="E279"/>
  <c r="D279"/>
  <c r="E300"/>
  <c r="D300"/>
  <c r="E346"/>
  <c r="D346"/>
  <c r="E368"/>
  <c r="D368"/>
  <c r="D255"/>
  <c r="E255"/>
  <c r="D282"/>
  <c r="E282"/>
  <c r="D318"/>
  <c r="E318"/>
  <c r="D323"/>
  <c r="E323"/>
  <c r="D365"/>
  <c r="E365"/>
  <c r="E381"/>
  <c r="D381"/>
  <c r="D400"/>
  <c r="E400"/>
  <c r="D373"/>
  <c r="E373"/>
  <c r="E440"/>
  <c r="D440"/>
  <c r="E431"/>
  <c r="D422"/>
  <c r="E422"/>
  <c r="D428"/>
  <c r="E428"/>
  <c r="E442"/>
  <c r="D522"/>
  <c r="E522"/>
  <c r="D527"/>
  <c r="E527"/>
  <c r="D509"/>
  <c r="E509"/>
  <c r="D475"/>
  <c r="E475"/>
  <c r="D486"/>
  <c r="E486"/>
  <c r="D569"/>
  <c r="E569"/>
  <c r="D577"/>
  <c r="E577"/>
  <c r="D612"/>
  <c r="E612"/>
  <c r="D618"/>
  <c r="E618"/>
  <c r="E593"/>
  <c r="D593"/>
  <c r="E603"/>
  <c r="D603"/>
  <c r="D555"/>
  <c r="E555"/>
  <c r="D558"/>
  <c r="E558"/>
  <c r="D570"/>
  <c r="E570"/>
  <c r="D573"/>
  <c r="E573"/>
  <c r="D578"/>
  <c r="E578"/>
  <c r="D597"/>
  <c r="E597"/>
  <c r="D604"/>
  <c r="E604"/>
  <c r="D610"/>
  <c r="E610"/>
  <c r="D620"/>
  <c r="E620"/>
  <c r="D557"/>
  <c r="E557"/>
  <c r="D585"/>
  <c r="E585"/>
  <c r="D606"/>
  <c r="E606"/>
  <c r="D615"/>
  <c r="E615"/>
  <c r="E638"/>
  <c r="D638"/>
  <c r="E647"/>
  <c r="D647"/>
  <c r="D632"/>
  <c r="E632"/>
  <c r="D636"/>
  <c r="E636"/>
  <c r="D674"/>
  <c r="E674"/>
  <c r="D681"/>
  <c r="E681"/>
  <c r="D659"/>
  <c r="E659"/>
  <c r="D666"/>
  <c r="E666"/>
  <c r="D710"/>
  <c r="E710"/>
  <c r="D758"/>
  <c r="E758"/>
  <c r="E708"/>
  <c r="D708"/>
  <c r="E721"/>
  <c r="D721"/>
  <c r="E752"/>
  <c r="D752"/>
  <c r="D722"/>
  <c r="E722"/>
  <c r="D739"/>
  <c r="E739"/>
  <c r="D755"/>
  <c r="E755"/>
  <c r="D703"/>
  <c r="E703"/>
  <c r="D740"/>
  <c r="E740"/>
  <c r="E781"/>
  <c r="D781"/>
  <c r="D773"/>
  <c r="E773"/>
  <c r="D780"/>
  <c r="E780"/>
  <c r="D771"/>
  <c r="E771"/>
  <c r="D782"/>
  <c r="E782"/>
  <c r="D790"/>
  <c r="E790"/>
  <c r="D808"/>
  <c r="E808"/>
  <c r="D818"/>
  <c r="E818"/>
  <c r="D829"/>
  <c r="E829"/>
  <c r="D839"/>
  <c r="E839"/>
  <c r="D848"/>
  <c r="E848"/>
  <c r="D855"/>
  <c r="E855"/>
  <c r="E794"/>
  <c r="D794"/>
  <c r="E802"/>
  <c r="D802"/>
  <c r="E805"/>
  <c r="D805"/>
  <c r="E812"/>
  <c r="D812"/>
  <c r="E837"/>
  <c r="D837"/>
  <c r="D831"/>
  <c r="E831"/>
  <c r="D850"/>
  <c r="E850"/>
  <c r="D797"/>
  <c r="E797"/>
  <c r="D803"/>
  <c r="E803"/>
  <c r="D823"/>
  <c r="E823"/>
  <c r="D879"/>
  <c r="E879"/>
  <c r="D901"/>
  <c r="E901"/>
  <c r="D903"/>
  <c r="E903"/>
  <c r="E866"/>
  <c r="D866"/>
  <c r="E868"/>
  <c r="D868"/>
  <c r="E871"/>
  <c r="D871"/>
  <c r="E877"/>
  <c r="D877"/>
  <c r="E887"/>
  <c r="D887"/>
  <c r="E895"/>
  <c r="D895"/>
  <c r="D858"/>
  <c r="E858"/>
  <c r="D863"/>
  <c r="E863"/>
  <c r="D880"/>
  <c r="E880"/>
  <c r="D884"/>
  <c r="E884"/>
  <c r="D905"/>
  <c r="E905"/>
  <c r="D878"/>
  <c r="E878"/>
  <c r="D882"/>
  <c r="E882"/>
  <c r="D906"/>
  <c r="E906"/>
  <c r="D908"/>
  <c r="E908"/>
  <c r="D939"/>
  <c r="E939"/>
  <c r="E912"/>
  <c r="D912"/>
  <c r="E922"/>
  <c r="D922"/>
  <c r="E924"/>
  <c r="D924"/>
  <c r="D931"/>
  <c r="E931"/>
  <c r="D918"/>
  <c r="E918"/>
  <c r="D920"/>
  <c r="E920"/>
  <c r="D956"/>
  <c r="E956"/>
  <c r="D975"/>
  <c r="E975"/>
  <c r="E948"/>
  <c r="D948"/>
  <c r="E960"/>
  <c r="D960"/>
  <c r="E980"/>
  <c r="D980"/>
  <c r="D943"/>
  <c r="E943"/>
  <c r="D949"/>
  <c r="E949"/>
  <c r="D958"/>
  <c r="E958"/>
  <c r="D963"/>
  <c r="E963"/>
  <c r="D977"/>
  <c r="E977"/>
  <c r="D995"/>
  <c r="E995"/>
  <c r="E940"/>
  <c r="D940"/>
  <c r="D950"/>
  <c r="E950"/>
  <c r="D964"/>
  <c r="E964"/>
  <c r="D982"/>
  <c r="E982"/>
  <c r="D1001"/>
  <c r="E1001"/>
  <c r="D1021"/>
  <c r="E1021"/>
  <c r="D1035"/>
  <c r="E1035"/>
  <c r="D1046"/>
  <c r="E1046"/>
  <c r="D1061"/>
  <c r="E1061"/>
  <c r="E1002"/>
  <c r="D1002"/>
  <c r="E1037"/>
  <c r="D1037"/>
  <c r="E1052"/>
  <c r="D1052"/>
  <c r="D1022"/>
  <c r="E1022"/>
  <c r="D1034"/>
  <c r="E1034"/>
  <c r="D1060"/>
  <c r="E1060"/>
  <c r="D1000"/>
  <c r="E1000"/>
  <c r="D1015"/>
  <c r="E1015"/>
  <c r="D1030"/>
  <c r="E1030"/>
  <c r="D1044"/>
  <c r="E1044"/>
  <c r="D1051"/>
  <c r="E1051"/>
  <c r="E295" l="1"/>
  <c r="D47"/>
  <c r="D379"/>
  <c r="D386"/>
  <c r="D444"/>
  <c r="D417"/>
  <c r="E326"/>
  <c r="E260"/>
  <c r="E304"/>
  <c r="D207"/>
  <c r="D125"/>
  <c r="E40"/>
  <c r="E496"/>
  <c r="E477"/>
  <c r="E433"/>
  <c r="D272"/>
  <c r="D259"/>
  <c r="D330"/>
  <c r="D427"/>
  <c r="E172"/>
  <c r="D197"/>
  <c r="E378"/>
  <c r="E328"/>
  <c r="E149"/>
  <c r="D445"/>
  <c r="D220"/>
  <c r="D415"/>
  <c r="D407"/>
  <c r="E392"/>
  <c r="D420"/>
  <c r="D344"/>
  <c r="D310"/>
  <c r="D256"/>
  <c r="D196"/>
  <c r="D166"/>
  <c r="E119"/>
  <c r="D34"/>
  <c r="D21"/>
  <c r="D337"/>
  <c r="D308"/>
  <c r="E361"/>
  <c r="E263"/>
  <c r="D362"/>
  <c r="E217"/>
  <c r="D122"/>
  <c r="E61"/>
  <c r="E473"/>
  <c r="D405"/>
  <c r="D340"/>
  <c r="D367"/>
  <c r="D273"/>
  <c r="D325"/>
  <c r="D210"/>
  <c r="D148"/>
  <c r="D118"/>
  <c r="E114"/>
  <c r="E115"/>
  <c r="E87"/>
  <c r="D524"/>
  <c r="D480"/>
  <c r="D401"/>
  <c r="D268"/>
  <c r="D311"/>
  <c r="E321"/>
  <c r="E261"/>
  <c r="D322"/>
  <c r="D301"/>
  <c r="D180"/>
  <c r="D245"/>
  <c r="D120"/>
  <c r="D123"/>
  <c r="E134"/>
  <c r="D80"/>
  <c r="E109"/>
  <c r="D62"/>
  <c r="E380"/>
  <c r="D434"/>
  <c r="E294"/>
  <c r="E79"/>
  <c r="D22"/>
  <c r="D43"/>
  <c r="E384"/>
  <c r="E446"/>
  <c r="D275"/>
  <c r="D345"/>
  <c r="D198"/>
  <c r="D151"/>
  <c r="E97"/>
  <c r="E251"/>
  <c r="D472"/>
  <c r="D339"/>
  <c r="D74"/>
  <c r="D398"/>
  <c r="E31"/>
  <c r="E32"/>
  <c r="E520"/>
  <c r="D408"/>
  <c r="E287"/>
  <c r="D241"/>
  <c r="E513"/>
  <c r="D495"/>
  <c r="E423"/>
  <c r="E356"/>
  <c r="D176"/>
  <c r="D57"/>
  <c r="D435"/>
  <c r="D320"/>
  <c r="D317"/>
  <c r="E233"/>
  <c r="D130"/>
  <c r="D54"/>
  <c r="E359"/>
  <c r="E492"/>
  <c r="D518"/>
  <c r="E418"/>
  <c r="D274"/>
  <c r="D137"/>
  <c r="E507"/>
  <c r="E375"/>
  <c r="E283"/>
  <c r="E223"/>
  <c r="D161"/>
  <c r="E83"/>
  <c r="D99"/>
  <c r="D443"/>
  <c r="D189"/>
  <c r="D136"/>
  <c r="E169"/>
  <c r="E107"/>
  <c r="D449"/>
  <c r="E281"/>
  <c r="D252"/>
  <c r="D280"/>
  <c r="D46"/>
  <c r="E481"/>
  <c r="E355"/>
  <c r="D399"/>
  <c r="D342"/>
  <c r="E343"/>
  <c r="E75"/>
  <c r="E451"/>
  <c r="D391"/>
  <c r="D232"/>
  <c r="D91"/>
  <c r="E70"/>
  <c r="E456"/>
  <c r="E341"/>
  <c r="D155"/>
  <c r="D41"/>
  <c r="D65"/>
  <c r="E526"/>
  <c r="E476"/>
  <c r="D394"/>
  <c r="D413"/>
  <c r="D393"/>
  <c r="D276"/>
  <c r="E230"/>
  <c r="E181"/>
  <c r="D163"/>
  <c r="E128"/>
  <c r="D157"/>
  <c r="E170"/>
  <c r="D94"/>
  <c r="E98"/>
  <c r="D503"/>
  <c r="D505"/>
  <c r="D459"/>
  <c r="D390"/>
  <c r="D262"/>
  <c r="E270"/>
  <c r="D250"/>
  <c r="D216"/>
  <c r="D236"/>
  <c r="D184"/>
  <c r="D234"/>
  <c r="D187"/>
  <c r="D51"/>
  <c r="E78"/>
  <c r="D482"/>
  <c r="E465"/>
  <c r="D332"/>
  <c r="D286"/>
  <c r="E312"/>
  <c r="D351"/>
  <c r="D29"/>
  <c r="E24"/>
  <c r="D25"/>
  <c r="D385"/>
  <c r="E437"/>
  <c r="D257"/>
  <c r="E338"/>
  <c r="D363"/>
  <c r="E211"/>
  <c r="D194"/>
  <c r="D129"/>
  <c r="D213"/>
  <c r="D132"/>
  <c r="D448"/>
  <c r="D33"/>
  <c r="E305"/>
  <c r="D291"/>
  <c r="D200"/>
  <c r="D501"/>
  <c r="E277"/>
  <c r="D331"/>
  <c r="E113"/>
  <c r="E479"/>
  <c r="E410"/>
  <c r="D387"/>
  <c r="D470"/>
  <c r="D358"/>
  <c r="D219"/>
  <c r="D468"/>
  <c r="E494"/>
  <c r="E371"/>
  <c r="D106"/>
  <c r="E353"/>
  <c r="D88"/>
  <c r="D474"/>
  <c r="D436"/>
  <c r="D360"/>
  <c r="D329"/>
  <c r="D146"/>
  <c r="D167"/>
  <c r="E153"/>
  <c r="D141"/>
  <c r="E150"/>
  <c r="D116"/>
  <c r="D85"/>
  <c r="D49"/>
  <c r="D383"/>
  <c r="D354"/>
  <c r="D174"/>
  <c r="E348"/>
  <c r="D290"/>
  <c r="E212"/>
  <c r="D86"/>
  <c r="E19"/>
  <c r="E515"/>
  <c r="D426"/>
  <c r="D333"/>
  <c r="D278"/>
  <c r="E195"/>
  <c r="E248"/>
  <c r="E124"/>
  <c r="E110"/>
  <c r="D414"/>
  <c r="D421"/>
  <c r="D297"/>
  <c r="E224"/>
  <c r="E366"/>
  <c r="D267"/>
  <c r="E173"/>
  <c r="D162"/>
  <c r="E111"/>
  <c r="D35"/>
  <c r="D511"/>
  <c r="E432"/>
  <c r="E357"/>
  <c r="D147"/>
  <c r="D306"/>
  <c r="D178"/>
  <c r="D145"/>
  <c r="E292"/>
  <c r="D244"/>
  <c r="E101"/>
  <c r="D18"/>
  <c r="E493"/>
  <c r="D512"/>
  <c r="E454"/>
  <c r="D403"/>
  <c r="D409"/>
  <c r="D303"/>
  <c r="D231"/>
  <c r="E90"/>
  <c r="E66"/>
  <c r="D37"/>
  <c r="D26"/>
  <c r="E488"/>
  <c r="D447"/>
  <c r="E425"/>
  <c r="D374"/>
  <c r="D302"/>
  <c r="D264"/>
  <c r="D229"/>
  <c r="D205"/>
  <c r="D50"/>
  <c r="E500"/>
  <c r="E521"/>
  <c r="D406"/>
  <c r="D215"/>
  <c r="D177"/>
  <c r="D56"/>
  <c r="D471"/>
  <c r="D497"/>
  <c r="E490"/>
  <c r="E510"/>
  <c r="D463"/>
  <c r="D529"/>
  <c r="E506"/>
  <c r="E525"/>
  <c r="D464"/>
  <c r="D455"/>
  <c r="E514"/>
  <c r="E489"/>
  <c r="E467"/>
  <c r="D457"/>
  <c r="E461"/>
  <c r="E499"/>
  <c r="D478"/>
  <c r="D517"/>
  <c r="D504"/>
  <c r="E452"/>
  <c r="E519"/>
  <c r="E484"/>
  <c r="D516"/>
  <c r="D523"/>
  <c r="D491"/>
  <c r="E70" i="48"/>
  <c r="D124" i="29"/>
  <c r="D123"/>
  <c r="B124"/>
  <c r="B222"/>
  <c r="B123"/>
  <c r="G3"/>
  <c r="F3"/>
  <c r="E3"/>
  <c r="D3"/>
  <c r="L1"/>
  <c r="L2" s="1"/>
  <c r="E1"/>
  <c r="C3" s="1"/>
  <c r="D1"/>
  <c r="B1"/>
  <c r="A1"/>
  <c r="A57" i="31" l="1"/>
  <c r="C226" i="29"/>
  <c r="B226"/>
  <c r="B186"/>
  <c r="E186"/>
  <c r="C186"/>
  <c r="D186"/>
  <c r="D133"/>
  <c r="C133"/>
  <c r="E133"/>
  <c r="B133"/>
  <c r="E73"/>
  <c r="D73"/>
  <c r="B73"/>
  <c r="C73"/>
  <c r="B50"/>
  <c r="C50"/>
  <c r="D50"/>
  <c r="E50"/>
  <c r="L13"/>
  <c r="B17"/>
  <c r="B22"/>
  <c r="B1" i="31"/>
  <c r="B21" i="29"/>
  <c r="H18"/>
  <c r="G18"/>
  <c r="L9"/>
  <c r="L10"/>
  <c r="L8"/>
  <c r="L7"/>
  <c r="M6"/>
  <c r="L5"/>
  <c r="M4"/>
  <c r="L3"/>
  <c r="B55"/>
  <c r="B54"/>
  <c r="C55"/>
  <c r="E55"/>
  <c r="D55"/>
  <c r="D54"/>
  <c r="C54" s="1"/>
  <c r="E54"/>
  <c r="B13"/>
  <c r="H12" s="1"/>
  <c r="C13"/>
  <c r="D12"/>
  <c r="C8"/>
  <c r="B23"/>
  <c r="D13"/>
  <c r="B12"/>
  <c r="C9"/>
  <c r="B9" s="1"/>
  <c r="H9" s="1"/>
  <c r="C12"/>
  <c r="C7"/>
  <c r="C5"/>
  <c r="C6"/>
  <c r="C4"/>
  <c r="Z42" i="12"/>
  <c r="AX41"/>
  <c r="AW41"/>
  <c r="AV41"/>
  <c r="AU41"/>
  <c r="AT41"/>
  <c r="AS41"/>
  <c r="AR41"/>
  <c r="AQ41"/>
  <c r="AP41"/>
  <c r="AN41"/>
  <c r="AJ41"/>
  <c r="AF41"/>
  <c r="AE41"/>
  <c r="X41"/>
  <c r="W41"/>
  <c r="V41"/>
  <c r="U41"/>
  <c r="T41"/>
  <c r="S41"/>
  <c r="R41"/>
  <c r="Q41"/>
  <c r="P41"/>
  <c r="N41"/>
  <c r="J41"/>
  <c r="F41"/>
  <c r="E41"/>
  <c r="Z40"/>
  <c r="Z39"/>
  <c r="Z38"/>
  <c r="Z37"/>
  <c r="Z36"/>
  <c r="Z35"/>
  <c r="Z34"/>
  <c r="Z33"/>
  <c r="Z32"/>
  <c r="Z31"/>
  <c r="Z30"/>
  <c r="Z29"/>
  <c r="Z28"/>
  <c r="AA27"/>
  <c r="B27"/>
  <c r="A27"/>
  <c r="AB26"/>
  <c r="AA26"/>
  <c r="B26"/>
  <c r="A26"/>
  <c r="L111" i="14"/>
  <c r="L107"/>
  <c r="L104"/>
  <c r="L100"/>
  <c r="L108"/>
  <c r="L103"/>
  <c r="L102"/>
  <c r="L105"/>
  <c r="L101"/>
  <c r="L110"/>
  <c r="L106"/>
  <c r="L109"/>
  <c r="I41" i="12" l="1"/>
  <c r="L41"/>
  <c r="M41"/>
  <c r="O41"/>
  <c r="D41"/>
  <c r="G41"/>
  <c r="H41"/>
  <c r="K41"/>
  <c r="N3" i="29"/>
  <c r="M3"/>
  <c r="B76" i="31"/>
  <c r="H53"/>
  <c r="C53"/>
  <c r="F53"/>
  <c r="D53"/>
  <c r="G53"/>
  <c r="E53"/>
  <c r="E57"/>
  <c r="F57"/>
  <c r="B57"/>
  <c r="G57"/>
  <c r="C57"/>
  <c r="I57"/>
  <c r="D57"/>
  <c r="I9" i="29"/>
  <c r="M5"/>
  <c r="N5"/>
  <c r="Z19" i="12"/>
  <c r="AX18"/>
  <c r="AW18"/>
  <c r="AV18"/>
  <c r="AU18"/>
  <c r="AT18"/>
  <c r="AS18"/>
  <c r="AR18"/>
  <c r="AQ18"/>
  <c r="AP18"/>
  <c r="AO18"/>
  <c r="AN18"/>
  <c r="AM18"/>
  <c r="AL18"/>
  <c r="AK18"/>
  <c r="AJ18"/>
  <c r="AI18"/>
  <c r="AH18"/>
  <c r="AG18"/>
  <c r="AF18"/>
  <c r="AE18"/>
  <c r="AD18"/>
  <c r="X18"/>
  <c r="W18"/>
  <c r="V18"/>
  <c r="U18"/>
  <c r="T18"/>
  <c r="S18"/>
  <c r="R18"/>
  <c r="Q18"/>
  <c r="P18"/>
  <c r="O18"/>
  <c r="N18"/>
  <c r="M18"/>
  <c r="L18"/>
  <c r="K18"/>
  <c r="J18"/>
  <c r="D39"/>
  <c r="AM26"/>
  <c r="AR26"/>
  <c r="R35"/>
  <c r="K39"/>
  <c r="D27"/>
  <c r="J29"/>
  <c r="AI32"/>
  <c r="T29"/>
  <c r="AG28"/>
  <c r="AR30"/>
  <c r="AM32"/>
  <c r="H37"/>
  <c r="N36"/>
  <c r="G40"/>
  <c r="R29"/>
  <c r="AQ32"/>
  <c r="G33"/>
  <c r="AR38"/>
  <c r="AU37"/>
  <c r="AS31"/>
  <c r="AI38"/>
  <c r="AG32"/>
  <c r="AH26"/>
  <c r="S36"/>
  <c r="M30"/>
  <c r="AR39"/>
  <c r="S33"/>
  <c r="M102" i="14"/>
  <c r="AO35" i="12"/>
  <c r="AI29"/>
  <c r="V36"/>
  <c r="T30"/>
  <c r="O40"/>
  <c r="I34"/>
  <c r="G28"/>
  <c r="AH37"/>
  <c r="U40"/>
  <c r="S34"/>
  <c r="AO26"/>
  <c r="H26"/>
  <c r="AS39"/>
  <c r="AM33"/>
  <c r="AG40"/>
  <c r="X34"/>
  <c r="R28"/>
  <c r="M38"/>
  <c r="K32"/>
  <c r="AN28"/>
  <c r="AJ35"/>
  <c r="R30"/>
  <c r="AI37"/>
  <c r="AG31"/>
  <c r="T38"/>
  <c r="N32"/>
  <c r="T26"/>
  <c r="G36"/>
  <c r="AW29"/>
  <c r="AF39"/>
  <c r="W33"/>
  <c r="N39"/>
  <c r="L33"/>
  <c r="AX39"/>
  <c r="AV33"/>
  <c r="AP27"/>
  <c r="AK37"/>
  <c r="AE31"/>
  <c r="S26"/>
  <c r="E35"/>
  <c r="AU28"/>
  <c r="R27"/>
  <c r="Q36"/>
  <c r="O30"/>
  <c r="L37"/>
  <c r="F31"/>
  <c r="AV37"/>
  <c r="AP31"/>
  <c r="AJ28"/>
  <c r="AE35"/>
  <c r="V29"/>
  <c r="E39"/>
  <c r="AE32"/>
  <c r="M110" i="14"/>
  <c r="AX34" i="12"/>
  <c r="AR28"/>
  <c r="AL35"/>
  <c r="AJ29"/>
  <c r="X39"/>
  <c r="R33"/>
  <c r="M27"/>
  <c r="AQ36"/>
  <c r="X28"/>
  <c r="AJ36"/>
  <c r="AD30"/>
  <c r="Q37"/>
  <c r="O31"/>
  <c r="O26"/>
  <c r="D35"/>
  <c r="AT28"/>
  <c r="V38"/>
  <c r="T32"/>
  <c r="N26"/>
  <c r="AO39"/>
  <c r="AI33"/>
  <c r="V40"/>
  <c r="T34"/>
  <c r="N28"/>
  <c r="I38"/>
  <c r="G32"/>
  <c r="Q28"/>
  <c r="AF35"/>
  <c r="W29"/>
  <c r="AJ27"/>
  <c r="AE37"/>
  <c r="V31"/>
  <c r="AO36"/>
  <c r="I29"/>
  <c r="U34"/>
  <c r="AT37"/>
  <c r="M106" i="14"/>
  <c r="AE34" i="12"/>
  <c r="AQ39"/>
  <c r="AI27"/>
  <c r="AX29"/>
  <c r="AU33"/>
  <c r="AI34"/>
  <c r="AU39"/>
  <c r="N29"/>
  <c r="N34"/>
  <c r="I31"/>
  <c r="G34"/>
  <c r="AM34"/>
  <c r="AX36"/>
  <c r="X40"/>
  <c r="P28"/>
  <c r="H38"/>
  <c r="AM35"/>
  <c r="AO29"/>
  <c r="O33"/>
  <c r="AK29"/>
  <c r="AF40"/>
  <c r="AD35"/>
  <c r="P39"/>
  <c r="E27"/>
  <c r="AG30"/>
  <c r="J38"/>
  <c r="AJ31"/>
  <c r="L26"/>
  <c r="AE28"/>
  <c r="AL39"/>
  <c r="AD27"/>
  <c r="P31"/>
  <c r="AO34"/>
  <c r="AF31"/>
  <c r="F26"/>
  <c r="E37"/>
  <c r="AP40"/>
  <c r="AH28"/>
  <c r="V26"/>
  <c r="L38"/>
  <c r="P26"/>
  <c r="AS29"/>
  <c r="AU32"/>
  <c r="AV36"/>
  <c r="AK40"/>
  <c r="D30"/>
  <c r="O32"/>
  <c r="AN35"/>
  <c r="U32"/>
  <c r="I33"/>
  <c r="AS33"/>
  <c r="AR35"/>
  <c r="M104" i="14"/>
  <c r="S39" i="12"/>
  <c r="L27"/>
  <c r="W32"/>
  <c r="AV35"/>
  <c r="AM28"/>
  <c r="X27"/>
  <c r="V39"/>
  <c r="T33"/>
  <c r="J40"/>
  <c r="H34"/>
  <c r="AX27"/>
  <c r="AS37"/>
  <c r="AM31"/>
  <c r="W27"/>
  <c r="M35"/>
  <c r="AQ28"/>
  <c r="P37"/>
  <c r="J31"/>
  <c r="D38"/>
  <c r="AT31"/>
  <c r="D26"/>
  <c r="AI35"/>
  <c r="AG29"/>
  <c r="I39"/>
  <c r="M101" i="14"/>
  <c r="AS35" i="12"/>
  <c r="AM29"/>
  <c r="X30"/>
  <c r="M107" i="14"/>
  <c r="N35" i="12"/>
  <c r="L29"/>
  <c r="AX35"/>
  <c r="AV29"/>
  <c r="AM39"/>
  <c r="AK33"/>
  <c r="AE27"/>
  <c r="K37"/>
  <c r="K29"/>
  <c r="J39"/>
  <c r="H33"/>
  <c r="AT39"/>
  <c r="AR33"/>
  <c r="AL27"/>
  <c r="AG37"/>
  <c r="X31"/>
  <c r="G26"/>
  <c r="AW34"/>
  <c r="AR40"/>
  <c r="AL34"/>
  <c r="M28"/>
  <c r="W35"/>
  <c r="Q29"/>
  <c r="L39"/>
  <c r="F33"/>
  <c r="AU26"/>
  <c r="AE36"/>
  <c r="V30"/>
  <c r="N27"/>
  <c r="AQ37"/>
  <c r="AO31"/>
  <c r="AL38"/>
  <c r="AJ32"/>
  <c r="W39"/>
  <c r="Q33"/>
  <c r="P27"/>
  <c r="F37"/>
  <c r="D31"/>
  <c r="AE40"/>
  <c r="F34"/>
  <c r="AV26"/>
  <c r="AF36"/>
  <c r="W30"/>
  <c r="M37"/>
  <c r="K31"/>
  <c r="AX40"/>
  <c r="AV34"/>
  <c r="AP28"/>
  <c r="R38"/>
  <c r="P32"/>
  <c r="K38"/>
  <c r="E32"/>
  <c r="AQ38"/>
  <c r="AO32"/>
  <c r="AP26"/>
  <c r="AD36"/>
  <c r="U30"/>
  <c r="D40"/>
  <c r="AT33"/>
  <c r="AR27"/>
  <c r="M108" i="14"/>
  <c r="J35" i="12"/>
  <c r="H29"/>
  <c r="AT35"/>
  <c r="AR29"/>
  <c r="AI39"/>
  <c r="AG33"/>
  <c r="U27"/>
  <c r="G37"/>
  <c r="AW30"/>
  <c r="AR31"/>
  <c r="F39"/>
  <c r="D33"/>
  <c r="P38"/>
  <c r="AI30"/>
  <c r="V37"/>
  <c r="AU40"/>
  <c r="H28"/>
  <c r="AJ37"/>
  <c r="O27"/>
  <c r="AN30"/>
  <c r="J34"/>
  <c r="V35"/>
  <c r="AN37"/>
  <c r="H27"/>
  <c r="S32"/>
  <c r="S37"/>
  <c r="AT29"/>
  <c r="AG35"/>
  <c r="AR37"/>
  <c r="AW27"/>
  <c r="AQ27"/>
  <c r="Q31"/>
  <c r="AO30"/>
  <c r="S40"/>
  <c r="AP32"/>
  <c r="P36"/>
  <c r="AD29"/>
  <c r="F27"/>
  <c r="AE38"/>
  <c r="AD26"/>
  <c r="I30"/>
  <c r="AH33"/>
  <c r="J26"/>
  <c r="K28"/>
  <c r="F32"/>
  <c r="AK34"/>
  <c r="AQ29"/>
  <c r="AE30"/>
  <c r="Q34"/>
  <c r="AP37"/>
  <c r="AS26"/>
  <c r="F30"/>
  <c r="F40"/>
  <c r="AT27"/>
  <c r="AI31"/>
  <c r="G29"/>
  <c r="AV32"/>
  <c r="J32"/>
  <c r="AT32"/>
  <c r="T36"/>
  <c r="W38"/>
  <c r="AP30"/>
  <c r="E33"/>
  <c r="P35"/>
  <c r="AO38"/>
  <c r="D37"/>
  <c r="J36"/>
  <c r="U38"/>
  <c r="T40"/>
  <c r="AJ26"/>
  <c r="X29"/>
  <c r="L30"/>
  <c r="X35"/>
  <c r="AW38"/>
  <c r="AN26"/>
  <c r="AX31"/>
  <c r="M111" i="14"/>
  <c r="AT34" i="12"/>
  <c r="AF28"/>
  <c r="AH35"/>
  <c r="AF29"/>
  <c r="T39"/>
  <c r="N33"/>
  <c r="I27"/>
  <c r="AM36"/>
  <c r="D28"/>
  <c r="AP38"/>
  <c r="AN32"/>
  <c r="AD39"/>
  <c r="U33"/>
  <c r="T27"/>
  <c r="J37"/>
  <c r="H31"/>
  <c r="AI40"/>
  <c r="AG34"/>
  <c r="T37"/>
  <c r="N31"/>
  <c r="G35"/>
  <c r="AL32"/>
  <c r="AR36"/>
  <c r="AL30"/>
  <c r="AF37"/>
  <c r="W31"/>
  <c r="AW26"/>
  <c r="L35"/>
  <c r="F29"/>
  <c r="AK38"/>
  <c r="L32"/>
  <c r="AN40"/>
  <c r="AH34"/>
  <c r="AS27"/>
  <c r="S35"/>
  <c r="M29"/>
  <c r="H39"/>
  <c r="AX32"/>
  <c r="AQ26"/>
  <c r="X36"/>
  <c r="AF26"/>
  <c r="M36"/>
  <c r="K30"/>
  <c r="AW36"/>
  <c r="AQ30"/>
  <c r="AL40"/>
  <c r="AJ34"/>
  <c r="AD28"/>
  <c r="F38"/>
  <c r="D32"/>
  <c r="I28"/>
  <c r="R39"/>
  <c r="P33"/>
  <c r="M40"/>
  <c r="K34"/>
  <c r="AW40"/>
  <c r="AQ34"/>
  <c r="AO28"/>
  <c r="AJ38"/>
  <c r="AD32"/>
  <c r="Q26"/>
  <c r="D36"/>
  <c r="K27"/>
  <c r="G38"/>
  <c r="AW31"/>
  <c r="AM38"/>
  <c r="AK32"/>
  <c r="AL26"/>
  <c r="W36"/>
  <c r="Q30"/>
  <c r="AV39"/>
  <c r="AP33"/>
  <c r="AK39"/>
  <c r="AE33"/>
  <c r="R40"/>
  <c r="P34"/>
  <c r="J28"/>
  <c r="E38"/>
  <c r="AU31"/>
  <c r="E28"/>
  <c r="U35"/>
  <c r="S29"/>
  <c r="O29"/>
  <c r="AN36"/>
  <c r="AH30"/>
  <c r="U37"/>
  <c r="S31"/>
  <c r="AG26"/>
  <c r="H35"/>
  <c r="AX28"/>
  <c r="AG38"/>
  <c r="X32"/>
  <c r="R26"/>
  <c r="AJ40"/>
  <c r="AD34"/>
  <c r="S27"/>
  <c r="AN33"/>
  <c r="AD40"/>
  <c r="S28"/>
  <c r="E31"/>
  <c r="P29"/>
  <c r="V28"/>
  <c r="AO33"/>
  <c r="O37"/>
  <c r="AD38"/>
  <c r="AO40"/>
  <c r="H30"/>
  <c r="T35"/>
  <c r="AS38"/>
  <c r="L28"/>
  <c r="AH38"/>
  <c r="AS40"/>
  <c r="AK28"/>
  <c r="AV30"/>
  <c r="R34"/>
  <c r="AH29"/>
  <c r="AW28"/>
  <c r="AQ35"/>
  <c r="Q39"/>
  <c r="J27"/>
  <c r="K33"/>
  <c r="U28"/>
  <c r="U29"/>
  <c r="J33"/>
  <c r="AI36"/>
  <c r="AK30"/>
  <c r="AV28"/>
  <c r="G27"/>
  <c r="AM40"/>
  <c r="AW35"/>
  <c r="AJ33"/>
  <c r="R37"/>
  <c r="AQ40"/>
  <c r="AI28"/>
  <c r="L36"/>
  <c r="R31"/>
  <c r="AU30"/>
  <c r="AN34"/>
  <c r="I35"/>
  <c r="K26"/>
  <c r="E29"/>
  <c r="AP39"/>
  <c r="AU35"/>
  <c r="U39"/>
  <c r="AW39"/>
  <c r="Q32"/>
  <c r="F36"/>
  <c r="Q38"/>
  <c r="E26"/>
  <c r="M105" i="14"/>
  <c r="O39" i="12"/>
  <c r="AG27"/>
  <c r="AM27"/>
  <c r="AL29"/>
  <c r="AF32"/>
  <c r="M33"/>
  <c r="AF38"/>
  <c r="M26"/>
  <c r="AP29"/>
  <c r="AG36"/>
  <c r="M34"/>
  <c r="U36"/>
  <c r="S30"/>
  <c r="I37"/>
  <c r="G31"/>
  <c r="AT40"/>
  <c r="AR34"/>
  <c r="AL28"/>
  <c r="N38"/>
  <c r="U31"/>
  <c r="Q40"/>
  <c r="O34"/>
  <c r="W26"/>
  <c r="AU34"/>
  <c r="AS28"/>
  <c r="AN38"/>
  <c r="AH32"/>
  <c r="U26"/>
  <c r="H36"/>
  <c r="AT38"/>
  <c r="AR32"/>
  <c r="AH39"/>
  <c r="N37"/>
  <c r="S38"/>
  <c r="M32"/>
  <c r="G39"/>
  <c r="AW32"/>
  <c r="AX26"/>
  <c r="AL36"/>
  <c r="AJ30"/>
  <c r="L40"/>
  <c r="AL33"/>
  <c r="AK27"/>
  <c r="I36"/>
  <c r="G30"/>
  <c r="AS36"/>
  <c r="AM30"/>
  <c r="AH40"/>
  <c r="AF34"/>
  <c r="W28"/>
  <c r="AX37"/>
  <c r="AV31"/>
  <c r="AM37"/>
  <c r="AK31"/>
  <c r="X38"/>
  <c r="R32"/>
  <c r="X26"/>
  <c r="K36"/>
  <c r="E30"/>
  <c r="AJ39"/>
  <c r="AD33"/>
  <c r="V27"/>
  <c r="AV40"/>
  <c r="AP34"/>
  <c r="M103" i="14"/>
  <c r="AK35" i="12"/>
  <c r="AE29"/>
  <c r="R36"/>
  <c r="P30"/>
  <c r="K40"/>
  <c r="E34"/>
  <c r="AU27"/>
  <c r="AD37"/>
  <c r="N30"/>
  <c r="AG39"/>
  <c r="X33"/>
  <c r="N40"/>
  <c r="L34"/>
  <c r="F28"/>
  <c r="AW37"/>
  <c r="AQ31"/>
  <c r="AO27"/>
  <c r="Q35"/>
  <c r="M109" i="14"/>
  <c r="F35" i="12"/>
  <c r="D29"/>
  <c r="AP35"/>
  <c r="AN29"/>
  <c r="AE39"/>
  <c r="V33"/>
  <c r="Q27"/>
  <c r="AU36"/>
  <c r="AS30"/>
  <c r="T28"/>
  <c r="O38"/>
  <c r="I32"/>
  <c r="AU38"/>
  <c r="AS32"/>
  <c r="AT26"/>
  <c r="AH36"/>
  <c r="AF30"/>
  <c r="H40"/>
  <c r="AX33"/>
  <c r="AV27"/>
  <c r="AN27"/>
  <c r="E36"/>
  <c r="AU29"/>
  <c r="O35"/>
  <c r="AH27"/>
  <c r="T31"/>
  <c r="AS34"/>
  <c r="AQ33"/>
  <c r="AD31"/>
  <c r="AP36"/>
  <c r="P40"/>
  <c r="E40"/>
  <c r="AT30"/>
  <c r="AH31"/>
  <c r="AT36"/>
  <c r="I26"/>
  <c r="M31"/>
  <c r="I40"/>
  <c r="AX30"/>
  <c r="AL31"/>
  <c r="AW33"/>
  <c r="W37"/>
  <c r="V34"/>
  <c r="AF33"/>
  <c r="AV38"/>
  <c r="AI26"/>
  <c r="J30"/>
  <c r="M39"/>
  <c r="W34"/>
  <c r="V32"/>
  <c r="O36"/>
  <c r="AN39"/>
  <c r="AF27"/>
  <c r="H32"/>
  <c r="AX38"/>
  <c r="L31"/>
  <c r="M100" i="14"/>
  <c r="AK36" i="12"/>
  <c r="W40"/>
  <c r="O28"/>
  <c r="AN31"/>
  <c r="AE26"/>
  <c r="X37"/>
  <c r="D34"/>
  <c r="AO37"/>
  <c r="AK26"/>
  <c r="AL37"/>
  <c r="K35"/>
  <c r="V44" l="1"/>
  <c r="F44"/>
  <c r="AE44"/>
  <c r="AS44"/>
  <c r="AK41"/>
  <c r="AK44" s="1"/>
  <c r="J44"/>
  <c r="AD41"/>
  <c r="AD44" s="1"/>
  <c r="R44"/>
  <c r="AT44"/>
  <c r="AH41"/>
  <c r="N44"/>
  <c r="M44" s="1"/>
  <c r="L44" s="1"/>
  <c r="K44" s="1"/>
  <c r="AP44"/>
  <c r="AI41"/>
  <c r="AI44" s="1"/>
  <c r="AV44"/>
  <c r="Q44"/>
  <c r="AM41"/>
  <c r="AM44" s="1"/>
  <c r="S44"/>
  <c r="AU44"/>
  <c r="X44"/>
  <c r="AF44"/>
  <c r="AQ44"/>
  <c r="T44"/>
  <c r="AW44"/>
  <c r="AX44"/>
  <c r="AG41"/>
  <c r="AO41"/>
  <c r="AO44" s="1"/>
  <c r="U44"/>
  <c r="W44"/>
  <c r="AN44"/>
  <c r="AL41"/>
  <c r="AL44" s="1"/>
  <c r="AJ44"/>
  <c r="E44"/>
  <c r="AR44"/>
  <c r="P44"/>
  <c r="D58" i="31"/>
  <c r="D60"/>
  <c r="D59"/>
  <c r="C59" s="1"/>
  <c r="H57"/>
  <c r="I60"/>
  <c r="I59"/>
  <c r="I58"/>
  <c r="F61"/>
  <c r="F60"/>
  <c r="F59"/>
  <c r="F58"/>
  <c r="B61"/>
  <c r="B60"/>
  <c r="B59"/>
  <c r="B62"/>
  <c r="I61" s="1"/>
  <c r="G61"/>
  <c r="G60"/>
  <c r="G59"/>
  <c r="G58"/>
  <c r="C58"/>
  <c r="C61"/>
  <c r="C60"/>
  <c r="E60"/>
  <c r="E59"/>
  <c r="E61"/>
  <c r="D61" s="1"/>
  <c r="O44" i="12"/>
  <c r="D44"/>
  <c r="I44"/>
  <c r="I18"/>
  <c r="H18"/>
  <c r="G18"/>
  <c r="F18"/>
  <c r="E18"/>
  <c r="D18"/>
  <c r="Z17"/>
  <c r="Z16"/>
  <c r="Z15"/>
  <c r="Z14"/>
  <c r="Z13"/>
  <c r="Z12"/>
  <c r="AO12"/>
  <c r="AF12"/>
  <c r="AM12"/>
  <c r="AS12"/>
  <c r="AQ12"/>
  <c r="AK16"/>
  <c r="AN14"/>
  <c r="AK14"/>
  <c r="AT14"/>
  <c r="O12"/>
  <c r="AL16"/>
  <c r="AI16"/>
  <c r="AV16"/>
  <c r="K15"/>
  <c r="R12"/>
  <c r="K17"/>
  <c r="AS15"/>
  <c r="AU11"/>
  <c r="K16"/>
  <c r="H16"/>
  <c r="Q16"/>
  <c r="U17"/>
  <c r="AV17"/>
  <c r="AJ11"/>
  <c r="F15"/>
  <c r="AQ16"/>
  <c r="AM11"/>
  <c r="AE11"/>
  <c r="D12"/>
  <c r="M12"/>
  <c r="W15"/>
  <c r="E14"/>
  <c r="X12"/>
  <c r="AT15"/>
  <c r="G16"/>
  <c r="V14"/>
  <c r="L13"/>
  <c r="AW16"/>
  <c r="D15"/>
  <c r="AW14"/>
  <c r="J15"/>
  <c r="O15"/>
  <c r="I13"/>
  <c r="AH14"/>
  <c r="AS14"/>
  <c r="AT16"/>
  <c r="AD15"/>
  <c r="AQ15"/>
  <c r="N14"/>
  <c r="D13"/>
  <c r="AO16"/>
  <c r="AR14"/>
  <c r="AO14"/>
  <c r="AX14"/>
  <c r="AH11"/>
  <c r="AP16"/>
  <c r="AM16"/>
  <c r="D17"/>
  <c r="S15"/>
  <c r="N17"/>
  <c r="AN15"/>
  <c r="W14"/>
  <c r="AX11"/>
  <c r="W12"/>
  <c r="AU15"/>
  <c r="AS16"/>
  <c r="AR11"/>
  <c r="AS13"/>
  <c r="AW11"/>
  <c r="AN17"/>
  <c r="L17"/>
  <c r="P12"/>
  <c r="AW12"/>
  <c r="AK12"/>
  <c r="AX12"/>
  <c r="AT12"/>
  <c r="AJ12"/>
  <c r="AI12"/>
  <c r="O16"/>
  <c r="L16"/>
  <c r="U16"/>
  <c r="H14"/>
  <c r="G12"/>
  <c r="AQ11"/>
  <c r="H12"/>
  <c r="Q12"/>
  <c r="AH15"/>
  <c r="I14"/>
  <c r="T17"/>
  <c r="E13"/>
  <c r="AK17"/>
  <c r="AH17"/>
  <c r="AQ17"/>
  <c r="AO11"/>
  <c r="AL15"/>
  <c r="H13"/>
  <c r="S13"/>
  <c r="T15"/>
  <c r="AE14"/>
  <c r="AG13"/>
  <c r="AD13"/>
  <c r="AM13"/>
  <c r="AF17"/>
  <c r="AE15"/>
  <c r="AX13"/>
  <c r="O14"/>
  <c r="AG17"/>
  <c r="D16"/>
  <c r="AL14"/>
  <c r="AI11"/>
  <c r="AD16"/>
  <c r="X16"/>
  <c r="AN16"/>
  <c r="AI14"/>
  <c r="K14"/>
  <c r="AI17"/>
  <c r="AV14"/>
  <c r="Q17"/>
  <c r="AG15"/>
  <c r="R17"/>
  <c r="AR15"/>
  <c r="AD14"/>
  <c r="AT11"/>
  <c r="S16"/>
  <c r="P16"/>
  <c r="AF16"/>
  <c r="P14"/>
  <c r="AD11"/>
  <c r="K12"/>
  <c r="L12"/>
  <c r="U12"/>
  <c r="AP15"/>
  <c r="O17"/>
  <c r="AW15"/>
  <c r="AV13"/>
  <c r="AW13"/>
  <c r="J16"/>
  <c r="AG11"/>
  <c r="T16"/>
  <c r="AL11"/>
  <c r="G14"/>
  <c r="AU14"/>
  <c r="AU13"/>
  <c r="M13"/>
  <c r="I16"/>
  <c r="AH12"/>
  <c r="AG12"/>
  <c r="AP12"/>
  <c r="AL12"/>
  <c r="AD12"/>
  <c r="AO17"/>
  <c r="AL17"/>
  <c r="AU17"/>
  <c r="AS11"/>
  <c r="AM14"/>
  <c r="AK13"/>
  <c r="AH13"/>
  <c r="AQ13"/>
  <c r="AJ17"/>
  <c r="AI15"/>
  <c r="F14"/>
  <c r="F16"/>
  <c r="AJ13"/>
  <c r="F13"/>
  <c r="G13"/>
  <c r="P13"/>
  <c r="AK15"/>
  <c r="R14"/>
  <c r="AT17"/>
  <c r="G15"/>
  <c r="E17"/>
  <c r="H15"/>
  <c r="E15"/>
  <c r="N15"/>
  <c r="F12"/>
  <c r="F17"/>
  <c r="AF15"/>
  <c r="AO15"/>
  <c r="Q13"/>
  <c r="AD17"/>
  <c r="M16"/>
  <c r="AN13"/>
  <c r="AN11"/>
  <c r="AX17"/>
  <c r="AV11"/>
  <c r="I12"/>
  <c r="T12"/>
  <c r="AV15"/>
  <c r="L14"/>
  <c r="E12"/>
  <c r="AP13"/>
  <c r="AX15"/>
  <c r="S17"/>
  <c r="E16"/>
  <c r="U13"/>
  <c r="AS17"/>
  <c r="AF11"/>
  <c r="AO13"/>
  <c r="AL13"/>
  <c r="M14"/>
  <c r="X15"/>
  <c r="AP11"/>
  <c r="AN12"/>
  <c r="AV12"/>
  <c r="AE12"/>
  <c r="AU12"/>
  <c r="AR12"/>
  <c r="AR13"/>
  <c r="J13"/>
  <c r="K13"/>
  <c r="T13"/>
  <c r="I17"/>
  <c r="L15"/>
  <c r="I15"/>
  <c r="R15"/>
  <c r="N12"/>
  <c r="J17"/>
  <c r="AJ15"/>
  <c r="S14"/>
  <c r="V16"/>
  <c r="AJ14"/>
  <c r="AG14"/>
  <c r="AP14"/>
  <c r="U15"/>
  <c r="V17"/>
  <c r="AW17"/>
  <c r="X14"/>
  <c r="H17"/>
  <c r="AH16"/>
  <c r="AE16"/>
  <c r="AR16"/>
  <c r="AQ14"/>
  <c r="J12"/>
  <c r="G17"/>
  <c r="P17"/>
  <c r="R16"/>
  <c r="AF14"/>
  <c r="AM17"/>
  <c r="AK11"/>
  <c r="T14"/>
  <c r="V13"/>
  <c r="W13"/>
  <c r="AI13"/>
  <c r="AU16"/>
  <c r="U14"/>
  <c r="AF13"/>
  <c r="AJ16"/>
  <c r="S12"/>
  <c r="AR17"/>
  <c r="Q14"/>
  <c r="AE17"/>
  <c r="AG16"/>
  <c r="D14"/>
  <c r="N13"/>
  <c r="O13"/>
  <c r="X13"/>
  <c r="M17"/>
  <c r="P15"/>
  <c r="M15"/>
  <c r="V15"/>
  <c r="V12"/>
  <c r="AM15"/>
  <c r="J14"/>
  <c r="N16"/>
  <c r="AX16"/>
  <c r="AT13"/>
  <c r="W17"/>
  <c r="W16"/>
  <c r="AE13"/>
  <c r="Q15"/>
  <c r="AP17"/>
  <c r="X17"/>
  <c r="R13"/>
  <c r="AM43" l="1"/>
  <c r="B58" i="31"/>
  <c r="E58"/>
  <c r="H58"/>
  <c r="H61"/>
  <c r="H60"/>
  <c r="H59"/>
  <c r="AH44" i="12"/>
  <c r="H44"/>
  <c r="Z11"/>
  <c r="Z10"/>
  <c r="Z9"/>
  <c r="Z8"/>
  <c r="Z7"/>
  <c r="Z6"/>
  <c r="Z5"/>
  <c r="Z4"/>
  <c r="Z3"/>
  <c r="AC2"/>
  <c r="C2"/>
  <c r="D56" i="30"/>
  <c r="AQ5" i="12"/>
  <c r="AF5"/>
  <c r="AW5"/>
  <c r="AJ5"/>
  <c r="AR5"/>
  <c r="AE5"/>
  <c r="O3"/>
  <c r="AV6"/>
  <c r="L8"/>
  <c r="G10"/>
  <c r="AJ9"/>
  <c r="S11"/>
  <c r="T11"/>
  <c r="V5"/>
  <c r="AO6"/>
  <c r="AN8"/>
  <c r="C7"/>
  <c r="T10"/>
  <c r="Q10"/>
  <c r="J10"/>
  <c r="AH10"/>
  <c r="AR4"/>
  <c r="AX4"/>
  <c r="U5"/>
  <c r="AU7"/>
  <c r="K9"/>
  <c r="F11"/>
  <c r="P5"/>
  <c r="S3"/>
  <c r="AJ3"/>
  <c r="U11"/>
  <c r="L4"/>
  <c r="G6"/>
  <c r="AO4"/>
  <c r="W7"/>
  <c r="AP8"/>
  <c r="AI8"/>
  <c r="H9"/>
  <c r="N3"/>
  <c r="C16"/>
  <c r="G4"/>
  <c r="Q6"/>
  <c r="AJ7"/>
  <c r="AE9"/>
  <c r="AK3"/>
  <c r="K11"/>
  <c r="L11"/>
  <c r="F5"/>
  <c r="AG6"/>
  <c r="AF8"/>
  <c r="AI6"/>
  <c r="AE10"/>
  <c r="AF10"/>
  <c r="D3"/>
  <c r="AE4"/>
  <c r="W6"/>
  <c r="AC11"/>
  <c r="AQ3"/>
  <c r="M6"/>
  <c r="AF7"/>
  <c r="X9"/>
  <c r="AG3"/>
  <c r="G11"/>
  <c r="H11"/>
  <c r="AP4"/>
  <c r="AC6"/>
  <c r="U8"/>
  <c r="X6"/>
  <c r="D10"/>
  <c r="E10"/>
  <c r="AT9"/>
  <c r="S10"/>
  <c r="AF4"/>
  <c r="K4"/>
  <c r="AH4"/>
  <c r="AF6"/>
  <c r="AR7"/>
  <c r="AM9"/>
  <c r="AS3"/>
  <c r="C13"/>
  <c r="D11"/>
  <c r="AD4"/>
  <c r="V6"/>
  <c r="Q8"/>
  <c r="E9"/>
  <c r="W11"/>
  <c r="X11"/>
  <c r="M11"/>
  <c r="W5"/>
  <c r="R7"/>
  <c r="AC4"/>
  <c r="AP7"/>
  <c r="AX8"/>
  <c r="N10"/>
  <c r="AL10"/>
  <c r="AV4"/>
  <c r="J5"/>
  <c r="AC5"/>
  <c r="AO5"/>
  <c r="AD5"/>
  <c r="AV5"/>
  <c r="AL5"/>
  <c r="AS5"/>
  <c r="AE6"/>
  <c r="S8"/>
  <c r="AH9"/>
  <c r="M3"/>
  <c r="M4"/>
  <c r="X3"/>
  <c r="W3"/>
  <c r="D7"/>
  <c r="P8"/>
  <c r="K10"/>
  <c r="AR9"/>
  <c r="AC13"/>
  <c r="H3"/>
  <c r="U3"/>
  <c r="T4"/>
  <c r="O6"/>
  <c r="I5"/>
  <c r="AG8"/>
  <c r="R9"/>
  <c r="AG10"/>
  <c r="AQ4"/>
  <c r="AL6"/>
  <c r="D6"/>
  <c r="F4"/>
  <c r="P7"/>
  <c r="E7"/>
  <c r="AC7"/>
  <c r="AD7"/>
  <c r="L10"/>
  <c r="M10"/>
  <c r="F10"/>
  <c r="AD10"/>
  <c r="AN4"/>
  <c r="AL4"/>
  <c r="M5"/>
  <c r="AQ7"/>
  <c r="G9"/>
  <c r="AX10"/>
  <c r="L5"/>
  <c r="C15"/>
  <c r="G3"/>
  <c r="AR6"/>
  <c r="H8"/>
  <c r="C10"/>
  <c r="U9"/>
  <c r="AC15"/>
  <c r="AE3"/>
  <c r="I6"/>
  <c r="U7"/>
  <c r="AS7"/>
  <c r="N8"/>
  <c r="E5"/>
  <c r="AM7"/>
  <c r="C9"/>
  <c r="AT10"/>
  <c r="H5"/>
  <c r="C14"/>
  <c r="R5"/>
  <c r="AN6"/>
  <c r="D8"/>
  <c r="AU9"/>
  <c r="M9"/>
  <c r="AC16"/>
  <c r="Q3"/>
  <c r="Q11"/>
  <c r="H4"/>
  <c r="C6"/>
  <c r="AK4"/>
  <c r="AO8"/>
  <c r="C8"/>
  <c r="O9"/>
  <c r="J11"/>
  <c r="T5"/>
  <c r="AD3"/>
  <c r="AT4"/>
  <c r="AJ6"/>
  <c r="AV7"/>
  <c r="AQ9"/>
  <c r="AW3"/>
  <c r="I3"/>
  <c r="AH3"/>
  <c r="H7"/>
  <c r="AS6"/>
  <c r="AR8"/>
  <c r="K7"/>
  <c r="X10"/>
  <c r="U10"/>
  <c r="AR3"/>
  <c r="X4"/>
  <c r="S6"/>
  <c r="Q5"/>
  <c r="AX5"/>
  <c r="AK5"/>
  <c r="AI5"/>
  <c r="AH5"/>
  <c r="AT5"/>
  <c r="AM5"/>
  <c r="AF9"/>
  <c r="AO9"/>
  <c r="E11"/>
  <c r="O5"/>
  <c r="J7"/>
  <c r="J4"/>
  <c r="AM6"/>
  <c r="W8"/>
  <c r="AL9"/>
  <c r="AN3"/>
  <c r="Q4"/>
  <c r="AI3"/>
  <c r="V4"/>
  <c r="X7"/>
  <c r="M7"/>
  <c r="AK7"/>
  <c r="AT7"/>
  <c r="AQ10"/>
  <c r="AR10"/>
  <c r="C4"/>
  <c r="N6"/>
  <c r="I8"/>
  <c r="AK8"/>
  <c r="O7"/>
  <c r="AL8"/>
  <c r="AE8"/>
  <c r="D9"/>
  <c r="J3"/>
  <c r="AC17"/>
  <c r="D4"/>
  <c r="E3"/>
  <c r="P4"/>
  <c r="K6"/>
  <c r="AW4"/>
  <c r="R8"/>
  <c r="N9"/>
  <c r="AC10"/>
  <c r="AM4"/>
  <c r="AH6"/>
  <c r="K3"/>
  <c r="T6"/>
  <c r="O8"/>
  <c r="AD9"/>
  <c r="V11"/>
  <c r="I4"/>
  <c r="L3"/>
  <c r="AS4"/>
  <c r="AI7"/>
  <c r="AU8"/>
  <c r="T9"/>
  <c r="AC3"/>
  <c r="J8"/>
  <c r="J9"/>
  <c r="V10"/>
  <c r="AI4"/>
  <c r="AD6"/>
  <c r="C3"/>
  <c r="L6"/>
  <c r="K8"/>
  <c r="W9"/>
  <c r="R11"/>
  <c r="E4"/>
  <c r="AF3"/>
  <c r="AT3"/>
  <c r="L7"/>
  <c r="AW6"/>
  <c r="V7"/>
  <c r="S7"/>
  <c r="AU10"/>
  <c r="V9"/>
  <c r="AK10"/>
  <c r="AU4"/>
  <c r="AP6"/>
  <c r="H6"/>
  <c r="AW8"/>
  <c r="G8"/>
  <c r="S9"/>
  <c r="N11"/>
  <c r="X5"/>
  <c r="AL3"/>
  <c r="AU6"/>
  <c r="AD8"/>
  <c r="T8"/>
  <c r="O10"/>
  <c r="P10"/>
  <c r="AC14"/>
  <c r="P3"/>
  <c r="E6"/>
  <c r="Q7"/>
  <c r="AO7"/>
  <c r="AP5"/>
  <c r="AG5"/>
  <c r="AC12"/>
  <c r="AU5"/>
  <c r="AN5"/>
  <c r="O11"/>
  <c r="P11"/>
  <c r="N5"/>
  <c r="AK6"/>
  <c r="AJ8"/>
  <c r="AQ6"/>
  <c r="AN9"/>
  <c r="AS9"/>
  <c r="I11"/>
  <c r="S5"/>
  <c r="N7"/>
  <c r="R4"/>
  <c r="AH7"/>
  <c r="AT8"/>
  <c r="AM8"/>
  <c r="L9"/>
  <c r="R3"/>
  <c r="C12"/>
  <c r="S4"/>
  <c r="U6"/>
  <c r="AN7"/>
  <c r="AI9"/>
  <c r="AO3"/>
  <c r="H10"/>
  <c r="I10"/>
  <c r="AX9"/>
  <c r="W10"/>
  <c r="AJ4"/>
  <c r="W4"/>
  <c r="N4"/>
  <c r="T7"/>
  <c r="I7"/>
  <c r="AG7"/>
  <c r="AL7"/>
  <c r="AM10"/>
  <c r="AN10"/>
  <c r="AM3"/>
  <c r="J6"/>
  <c r="E8"/>
  <c r="AC8"/>
  <c r="Q9"/>
  <c r="AK9"/>
  <c r="AW10"/>
  <c r="K5"/>
  <c r="F7"/>
  <c r="AX3"/>
  <c r="AX7"/>
  <c r="F9"/>
  <c r="R10"/>
  <c r="AP10"/>
  <c r="D5"/>
  <c r="AI10"/>
  <c r="AJ10"/>
  <c r="T3"/>
  <c r="F6"/>
  <c r="AW7"/>
  <c r="V8"/>
  <c r="I9"/>
  <c r="AG9"/>
  <c r="AS10"/>
  <c r="G5"/>
  <c r="AX6"/>
  <c r="AP3"/>
  <c r="G7"/>
  <c r="AH8"/>
  <c r="X8"/>
  <c r="AV8"/>
  <c r="F3"/>
  <c r="C17"/>
  <c r="AV10"/>
  <c r="O4"/>
  <c r="R6"/>
  <c r="M8"/>
  <c r="AS8"/>
  <c r="C11"/>
  <c r="AC9"/>
  <c r="AO10"/>
  <c r="C5"/>
  <c r="AT6"/>
  <c r="P6"/>
  <c r="AV9"/>
  <c r="AW9"/>
  <c r="AP9"/>
  <c r="AV3"/>
  <c r="U4"/>
  <c r="AU3"/>
  <c r="AG4"/>
  <c r="AE7"/>
  <c r="AQ8"/>
  <c r="P9"/>
  <c r="V3"/>
  <c r="F8"/>
  <c r="AC25" l="1"/>
  <c r="AC18"/>
  <c r="AC21" s="1"/>
  <c r="C25"/>
  <c r="C18"/>
  <c r="C21" s="1"/>
  <c r="AF21"/>
  <c r="X21"/>
  <c r="S21"/>
  <c r="AP21"/>
  <c r="AX21"/>
  <c r="F21"/>
  <c r="J21"/>
  <c r="N21"/>
  <c r="M21" s="1"/>
  <c r="L21" s="1"/>
  <c r="K21" s="1"/>
  <c r="R21"/>
  <c r="V21"/>
  <c r="AS21"/>
  <c r="AN21"/>
  <c r="AM21" s="1"/>
  <c r="AL21" s="1"/>
  <c r="AK21" s="1"/>
  <c r="AV21"/>
  <c r="E21"/>
  <c r="AR21"/>
  <c r="D21"/>
  <c r="T21"/>
  <c r="Q21"/>
  <c r="AJ21"/>
  <c r="P21"/>
  <c r="AE21"/>
  <c r="AQ21"/>
  <c r="AT21"/>
  <c r="G44"/>
  <c r="AG44"/>
  <c r="C35" i="30"/>
  <c r="B35"/>
  <c r="C32"/>
  <c r="B32"/>
  <c r="G31"/>
  <c r="C31"/>
  <c r="B31"/>
  <c r="C30"/>
  <c r="B30"/>
  <c r="D182" i="29"/>
  <c r="C184"/>
  <c r="C62"/>
  <c r="B62"/>
  <c r="C191"/>
  <c r="E182"/>
  <c r="C52"/>
  <c r="D191"/>
  <c r="D183"/>
  <c r="B184"/>
  <c r="B191"/>
  <c r="C38" i="12"/>
  <c r="AC40"/>
  <c r="B51" i="29"/>
  <c r="AC37" i="12"/>
  <c r="AC30"/>
  <c r="D51" i="29"/>
  <c r="AC26" i="12"/>
  <c r="E197" i="29"/>
  <c r="B185"/>
  <c r="AC39" i="12"/>
  <c r="C36"/>
  <c r="E236" i="29"/>
  <c r="E184"/>
  <c r="D52"/>
  <c r="E51"/>
  <c r="AC33" i="12"/>
  <c r="D234" i="29"/>
  <c r="C185"/>
  <c r="C27" i="12"/>
  <c r="AC38"/>
  <c r="AC31"/>
  <c r="AC36"/>
  <c r="C40"/>
  <c r="D197" i="29"/>
  <c r="E52"/>
  <c r="E233"/>
  <c r="E183"/>
  <c r="C30" i="12"/>
  <c r="B183" i="29"/>
  <c r="C35" i="12"/>
  <c r="C39"/>
  <c r="AC34"/>
  <c r="E234" i="29"/>
  <c r="D236"/>
  <c r="C31" i="12"/>
  <c r="C28"/>
  <c r="AC32"/>
  <c r="C37"/>
  <c r="C51" i="29"/>
  <c r="E235"/>
  <c r="C183"/>
  <c r="D238"/>
  <c r="AC28" i="12"/>
  <c r="C32"/>
  <c r="C29"/>
  <c r="C33"/>
  <c r="D233" i="29"/>
  <c r="AC27" i="12"/>
  <c r="D184" i="29"/>
  <c r="B197"/>
  <c r="C34" i="12"/>
  <c r="C26"/>
  <c r="AC35"/>
  <c r="D235" i="29"/>
  <c r="E238"/>
  <c r="B52"/>
  <c r="E191"/>
  <c r="C197"/>
  <c r="AC29" i="12"/>
  <c r="Q545" i="49" l="1"/>
  <c r="Q542"/>
  <c r="B538"/>
  <c r="B539" s="1"/>
  <c r="M544"/>
  <c r="M543"/>
  <c r="E538"/>
  <c r="F1018"/>
  <c r="F1014"/>
  <c r="F1015"/>
  <c r="F1041"/>
  <c r="F1058"/>
  <c r="F1028"/>
  <c r="F1051"/>
  <c r="F1016"/>
  <c r="F1042"/>
  <c r="F1054"/>
  <c r="F1010"/>
  <c r="F1039"/>
  <c r="F1003"/>
  <c r="F999"/>
  <c r="F1033"/>
  <c r="F1000"/>
  <c r="F538"/>
  <c r="F1026"/>
  <c r="F1038"/>
  <c r="F1030"/>
  <c r="F1047"/>
  <c r="F1002"/>
  <c r="F1035"/>
  <c r="F1057"/>
  <c r="F1027"/>
  <c r="F1050"/>
  <c r="F1005"/>
  <c r="F1024"/>
  <c r="F1048"/>
  <c r="F1008"/>
  <c r="F1029"/>
  <c r="F1037"/>
  <c r="F1013"/>
  <c r="F1034"/>
  <c r="F1055"/>
  <c r="F1040"/>
  <c r="F1012"/>
  <c r="F1011"/>
  <c r="F1045"/>
  <c r="F1009"/>
  <c r="F1031"/>
  <c r="F1062"/>
  <c r="F1025"/>
  <c r="F1032"/>
  <c r="F1053"/>
  <c r="F1019"/>
  <c r="F1043"/>
  <c r="F1052"/>
  <c r="F1020"/>
  <c r="F1056"/>
  <c r="F1006"/>
  <c r="F1061"/>
  <c r="F1022"/>
  <c r="F1017"/>
  <c r="F1049"/>
  <c r="F1021"/>
  <c r="F1044"/>
  <c r="F1007"/>
  <c r="F1036"/>
  <c r="F1046"/>
  <c r="F1004"/>
  <c r="F1023"/>
  <c r="F1060"/>
  <c r="F1059"/>
  <c r="F1001"/>
  <c r="F987"/>
  <c r="F850"/>
  <c r="F843"/>
  <c r="F716"/>
  <c r="F690"/>
  <c r="F641"/>
  <c r="F606"/>
  <c r="F991"/>
  <c r="F871"/>
  <c r="F811"/>
  <c r="F763"/>
  <c r="F756"/>
  <c r="F643"/>
  <c r="F631"/>
  <c r="F930"/>
  <c r="F911"/>
  <c r="F886"/>
  <c r="F786"/>
  <c r="F686"/>
  <c r="F646"/>
  <c r="F612"/>
  <c r="F976"/>
  <c r="F905"/>
  <c r="F807"/>
  <c r="F789"/>
  <c r="F720"/>
  <c r="F614"/>
  <c r="F600"/>
  <c r="F996"/>
  <c r="F859"/>
  <c r="F851"/>
  <c r="F722"/>
  <c r="F719"/>
  <c r="F642"/>
  <c r="F630"/>
  <c r="F997"/>
  <c r="F890"/>
  <c r="F833"/>
  <c r="F764"/>
  <c r="F733"/>
  <c r="F633"/>
  <c r="F584"/>
  <c r="F937"/>
  <c r="F920"/>
  <c r="F899"/>
  <c r="F792"/>
  <c r="F694"/>
  <c r="F659"/>
  <c r="F625"/>
  <c r="F931"/>
  <c r="F914"/>
  <c r="F819"/>
  <c r="F803"/>
  <c r="F743"/>
  <c r="F637"/>
  <c r="F605"/>
  <c r="F964"/>
  <c r="F827"/>
  <c r="F825"/>
  <c r="F752"/>
  <c r="F676"/>
  <c r="F634"/>
  <c r="F585"/>
  <c r="F953"/>
  <c r="F902"/>
  <c r="F794"/>
  <c r="F755"/>
  <c r="F726"/>
  <c r="F645"/>
  <c r="F607"/>
  <c r="F943"/>
  <c r="F922"/>
  <c r="F906"/>
  <c r="F816"/>
  <c r="F713"/>
  <c r="F670"/>
  <c r="F575"/>
  <c r="F939"/>
  <c r="F921"/>
  <c r="F831"/>
  <c r="F817"/>
  <c r="F751"/>
  <c r="F640"/>
  <c r="F611"/>
  <c r="F954"/>
  <c r="F908"/>
  <c r="F826"/>
  <c r="F754"/>
  <c r="F688"/>
  <c r="F636"/>
  <c r="F572"/>
  <c r="F982"/>
  <c r="F909"/>
  <c r="F799"/>
  <c r="F762"/>
  <c r="F737"/>
  <c r="F632"/>
  <c r="F618"/>
  <c r="F980"/>
  <c r="F884"/>
  <c r="F882"/>
  <c r="F774"/>
  <c r="F735"/>
  <c r="F638"/>
  <c r="F577"/>
  <c r="F962"/>
  <c r="F888"/>
  <c r="F796"/>
  <c r="F783"/>
  <c r="F707"/>
  <c r="F609"/>
  <c r="F574"/>
  <c r="F965"/>
  <c r="F860"/>
  <c r="F832"/>
  <c r="F761"/>
  <c r="F692"/>
  <c r="F650"/>
  <c r="F587"/>
  <c r="F969"/>
  <c r="F863"/>
  <c r="F821"/>
  <c r="F773"/>
  <c r="F704"/>
  <c r="F667"/>
  <c r="F553"/>
  <c r="F958"/>
  <c r="F915"/>
  <c r="F869"/>
  <c r="F790"/>
  <c r="F731"/>
  <c r="F661"/>
  <c r="F588"/>
  <c r="F963"/>
  <c r="F916"/>
  <c r="F900"/>
  <c r="F828"/>
  <c r="F714"/>
  <c r="F647"/>
  <c r="F554"/>
  <c r="F975"/>
  <c r="F901"/>
  <c r="F844"/>
  <c r="F767"/>
  <c r="F712"/>
  <c r="F665"/>
  <c r="F596"/>
  <c r="F989"/>
  <c r="F875"/>
  <c r="F824"/>
  <c r="F777"/>
  <c r="F711"/>
  <c r="F674"/>
  <c r="F565"/>
  <c r="F966"/>
  <c r="F924"/>
  <c r="F879"/>
  <c r="F808"/>
  <c r="F741"/>
  <c r="F668"/>
  <c r="F593"/>
  <c r="F971"/>
  <c r="F961"/>
  <c r="F907"/>
  <c r="F838"/>
  <c r="F721"/>
  <c r="F649"/>
  <c r="F569"/>
  <c r="F936"/>
  <c r="F896"/>
  <c r="F798"/>
  <c r="F745"/>
  <c r="F736"/>
  <c r="F648"/>
  <c r="F561"/>
  <c r="F938"/>
  <c r="F895"/>
  <c r="F845"/>
  <c r="F765"/>
  <c r="F758"/>
  <c r="F658"/>
  <c r="F591"/>
  <c r="F984"/>
  <c r="F925"/>
  <c r="F889"/>
  <c r="F815"/>
  <c r="F687"/>
  <c r="F678"/>
  <c r="F599"/>
  <c r="F981"/>
  <c r="F967"/>
  <c r="F857"/>
  <c r="F847"/>
  <c r="F725"/>
  <c r="F662"/>
  <c r="F586"/>
  <c r="F992"/>
  <c r="F874"/>
  <c r="F805"/>
  <c r="F766"/>
  <c r="F748"/>
  <c r="F652"/>
  <c r="F590"/>
  <c r="F956"/>
  <c r="F858"/>
  <c r="F788"/>
  <c r="F775"/>
  <c r="F693"/>
  <c r="F666"/>
  <c r="F628"/>
  <c r="F952"/>
  <c r="F927"/>
  <c r="F864"/>
  <c r="F822"/>
  <c r="F724"/>
  <c r="F682"/>
  <c r="F580"/>
  <c r="F949"/>
  <c r="F917"/>
  <c r="F878"/>
  <c r="F823"/>
  <c r="F696"/>
  <c r="F639"/>
  <c r="F617"/>
  <c r="F970"/>
  <c r="F862"/>
  <c r="F809"/>
  <c r="F770"/>
  <c r="F757"/>
  <c r="F656"/>
  <c r="F627"/>
  <c r="F935"/>
  <c r="F913"/>
  <c r="F854"/>
  <c r="F778"/>
  <c r="F753"/>
  <c r="F657"/>
  <c r="F581"/>
  <c r="F579"/>
  <c r="F978"/>
  <c r="F866"/>
  <c r="F855"/>
  <c r="F734"/>
  <c r="F703"/>
  <c r="F623"/>
  <c r="F582"/>
  <c r="F986"/>
  <c r="F870"/>
  <c r="F801"/>
  <c r="F739"/>
  <c r="F685"/>
  <c r="F589"/>
  <c r="F990"/>
  <c r="F892"/>
  <c r="F837"/>
  <c r="F781"/>
  <c r="F689"/>
  <c r="F679"/>
  <c r="F551"/>
  <c r="F955"/>
  <c r="F923"/>
  <c r="F873"/>
  <c r="F797"/>
  <c r="F701"/>
  <c r="F664"/>
  <c r="F597"/>
  <c r="F592"/>
  <c r="F985"/>
  <c r="F887"/>
  <c r="F795"/>
  <c r="F742"/>
  <c r="F728"/>
  <c r="F555"/>
  <c r="F595"/>
  <c r="F934"/>
  <c r="F883"/>
  <c r="F818"/>
  <c r="F744"/>
  <c r="F655"/>
  <c r="F594"/>
  <c r="F988"/>
  <c r="F868"/>
  <c r="F849"/>
  <c r="F760"/>
  <c r="F729"/>
  <c r="F669"/>
  <c r="F622"/>
  <c r="F983"/>
  <c r="F919"/>
  <c r="F840"/>
  <c r="F784"/>
  <c r="F730"/>
  <c r="F660"/>
  <c r="F571"/>
  <c r="F998"/>
  <c r="F932"/>
  <c r="F891"/>
  <c r="F802"/>
  <c r="F747"/>
  <c r="F740"/>
  <c r="F558"/>
  <c r="F608"/>
  <c r="F947"/>
  <c r="F894"/>
  <c r="F836"/>
  <c r="F750"/>
  <c r="F683"/>
  <c r="F603"/>
  <c r="F972"/>
  <c r="F929"/>
  <c r="F791"/>
  <c r="F769"/>
  <c r="F708"/>
  <c r="F663"/>
  <c r="F570"/>
  <c r="F993"/>
  <c r="F926"/>
  <c r="F846"/>
  <c r="F787"/>
  <c r="F749"/>
  <c r="F671"/>
  <c r="F576"/>
  <c r="F559"/>
  <c r="F959"/>
  <c r="F903"/>
  <c r="F839"/>
  <c r="F718"/>
  <c r="F697"/>
  <c r="F613"/>
  <c r="F994"/>
  <c r="F974"/>
  <c r="F865"/>
  <c r="F793"/>
  <c r="F738"/>
  <c r="F673"/>
  <c r="F602"/>
  <c r="F977"/>
  <c r="F944"/>
  <c r="F813"/>
  <c r="F800"/>
  <c r="F715"/>
  <c r="F675"/>
  <c r="F610"/>
  <c r="F557"/>
  <c r="F940"/>
  <c r="F897"/>
  <c r="F829"/>
  <c r="F732"/>
  <c r="F695"/>
  <c r="F629"/>
  <c r="F583"/>
  <c r="F945"/>
  <c r="F910"/>
  <c r="F806"/>
  <c r="F776"/>
  <c r="F705"/>
  <c r="F573"/>
  <c r="F621"/>
  <c r="F942"/>
  <c r="F877"/>
  <c r="F848"/>
  <c r="F780"/>
  <c r="F681"/>
  <c r="F626"/>
  <c r="F995"/>
  <c r="F950"/>
  <c r="F820"/>
  <c r="F814"/>
  <c r="F727"/>
  <c r="F654"/>
  <c r="F620"/>
  <c r="F563"/>
  <c r="F946"/>
  <c r="F861"/>
  <c r="F853"/>
  <c r="F746"/>
  <c r="F702"/>
  <c r="F644"/>
  <c r="F598"/>
  <c r="F951"/>
  <c r="F872"/>
  <c r="F842"/>
  <c r="F782"/>
  <c r="F710"/>
  <c r="F578"/>
  <c r="F552"/>
  <c r="F948"/>
  <c r="F904"/>
  <c r="F804"/>
  <c r="F772"/>
  <c r="F709"/>
  <c r="F556"/>
  <c r="F933"/>
  <c r="F912"/>
  <c r="F856"/>
  <c r="F771"/>
  <c r="F699"/>
  <c r="F653"/>
  <c r="F560"/>
  <c r="F973"/>
  <c r="F918"/>
  <c r="F885"/>
  <c r="F852"/>
  <c r="F706"/>
  <c r="F672"/>
  <c r="F604"/>
  <c r="F624"/>
  <c r="F960"/>
  <c r="F880"/>
  <c r="F876"/>
  <c r="F785"/>
  <c r="F723"/>
  <c r="F635"/>
  <c r="F567"/>
  <c r="F957"/>
  <c r="F881"/>
  <c r="F830"/>
  <c r="F779"/>
  <c r="F691"/>
  <c r="F568"/>
  <c r="F562"/>
  <c r="F968"/>
  <c r="F834"/>
  <c r="F835"/>
  <c r="F700"/>
  <c r="F684"/>
  <c r="F651"/>
  <c r="F601"/>
  <c r="F928"/>
  <c r="F893"/>
  <c r="F810"/>
  <c r="F717"/>
  <c r="F677"/>
  <c r="F616"/>
  <c r="F564"/>
  <c r="F941"/>
  <c r="F898"/>
  <c r="F812"/>
  <c r="F759"/>
  <c r="F698"/>
  <c r="F566"/>
  <c r="F615"/>
  <c r="F979"/>
  <c r="F867"/>
  <c r="F841"/>
  <c r="F768"/>
  <c r="F680"/>
  <c r="F619"/>
  <c r="E53" i="29"/>
  <c r="E537" i="49"/>
  <c r="F537"/>
  <c r="L539"/>
  <c r="K539"/>
  <c r="J539"/>
  <c r="E536"/>
  <c r="F536"/>
  <c r="D53" i="29"/>
  <c r="Q9" i="49"/>
  <c r="B5"/>
  <c r="B6" s="1"/>
  <c r="J6"/>
  <c r="L6"/>
  <c r="K6"/>
  <c r="Q12"/>
  <c r="F5"/>
  <c r="F505"/>
  <c r="F518"/>
  <c r="F511"/>
  <c r="F503"/>
  <c r="F525"/>
  <c r="F489"/>
  <c r="F507"/>
  <c r="F492"/>
  <c r="F526"/>
  <c r="F479"/>
  <c r="F477"/>
  <c r="F517"/>
  <c r="F483"/>
  <c r="F484"/>
  <c r="F474"/>
  <c r="F471"/>
  <c r="E5"/>
  <c r="F512"/>
  <c r="F468"/>
  <c r="F520"/>
  <c r="F470"/>
  <c r="F467"/>
  <c r="F515"/>
  <c r="F521"/>
  <c r="F466"/>
  <c r="F482"/>
  <c r="F494"/>
  <c r="F491"/>
  <c r="F475"/>
  <c r="F500"/>
  <c r="F495"/>
  <c r="F496"/>
  <c r="F486"/>
  <c r="F524"/>
  <c r="F497"/>
  <c r="F473"/>
  <c r="F485"/>
  <c r="F481"/>
  <c r="F519"/>
  <c r="F469"/>
  <c r="F480"/>
  <c r="F514"/>
  <c r="F502"/>
  <c r="F522"/>
  <c r="F493"/>
  <c r="F504"/>
  <c r="F506"/>
  <c r="F516"/>
  <c r="F499"/>
  <c r="F529"/>
  <c r="F501"/>
  <c r="F488"/>
  <c r="F498"/>
  <c r="F487"/>
  <c r="F513"/>
  <c r="F476"/>
  <c r="F490"/>
  <c r="F478"/>
  <c r="F510"/>
  <c r="F527"/>
  <c r="F528"/>
  <c r="F509"/>
  <c r="F472"/>
  <c r="F523"/>
  <c r="F508"/>
  <c r="F385"/>
  <c r="F270"/>
  <c r="F262"/>
  <c r="F194"/>
  <c r="F131"/>
  <c r="F63"/>
  <c r="F404"/>
  <c r="F315"/>
  <c r="F313"/>
  <c r="F230"/>
  <c r="F143"/>
  <c r="F78"/>
  <c r="F416"/>
  <c r="F394"/>
  <c r="F338"/>
  <c r="F310"/>
  <c r="F209"/>
  <c r="F117"/>
  <c r="F445"/>
  <c r="F395"/>
  <c r="F279"/>
  <c r="F240"/>
  <c r="F235"/>
  <c r="F138"/>
  <c r="F75"/>
  <c r="F85"/>
  <c r="F34"/>
  <c r="F458"/>
  <c r="F401"/>
  <c r="F275"/>
  <c r="F268"/>
  <c r="F212"/>
  <c r="F137"/>
  <c r="F71"/>
  <c r="F411"/>
  <c r="F374"/>
  <c r="F261"/>
  <c r="F295"/>
  <c r="F190"/>
  <c r="F147"/>
  <c r="F423"/>
  <c r="F414"/>
  <c r="F361"/>
  <c r="F332"/>
  <c r="F239"/>
  <c r="F129"/>
  <c r="F459"/>
  <c r="F415"/>
  <c r="F284"/>
  <c r="F251"/>
  <c r="F177"/>
  <c r="F165"/>
  <c r="F93"/>
  <c r="F55"/>
  <c r="F36"/>
  <c r="F447"/>
  <c r="F422"/>
  <c r="F370"/>
  <c r="F236"/>
  <c r="F231"/>
  <c r="F122"/>
  <c r="F112"/>
  <c r="F440"/>
  <c r="F333"/>
  <c r="F325"/>
  <c r="F180"/>
  <c r="F167"/>
  <c r="F97"/>
  <c r="F446"/>
  <c r="F441"/>
  <c r="F330"/>
  <c r="F309"/>
  <c r="F184"/>
  <c r="F139"/>
  <c r="F81"/>
  <c r="F426"/>
  <c r="F308"/>
  <c r="F297"/>
  <c r="F237"/>
  <c r="F162"/>
  <c r="F68"/>
  <c r="F19"/>
  <c r="F30"/>
  <c r="F40"/>
  <c r="F386"/>
  <c r="F346"/>
  <c r="F355"/>
  <c r="F202"/>
  <c r="F121"/>
  <c r="F57"/>
  <c r="F463"/>
  <c r="F428"/>
  <c r="F291"/>
  <c r="F305"/>
  <c r="F222"/>
  <c r="F123"/>
  <c r="F101"/>
  <c r="F399"/>
  <c r="F345"/>
  <c r="F347"/>
  <c r="F191"/>
  <c r="F154"/>
  <c r="F66"/>
  <c r="F405"/>
  <c r="F273"/>
  <c r="F359"/>
  <c r="F201"/>
  <c r="F125"/>
  <c r="F79"/>
  <c r="F41"/>
  <c r="F72"/>
  <c r="F31"/>
  <c r="F427"/>
  <c r="F312"/>
  <c r="F302"/>
  <c r="F175"/>
  <c r="F152"/>
  <c r="F110"/>
  <c r="F406"/>
  <c r="F360"/>
  <c r="F351"/>
  <c r="F281"/>
  <c r="F179"/>
  <c r="F142"/>
  <c r="F465"/>
  <c r="F383"/>
  <c r="F283"/>
  <c r="F256"/>
  <c r="F204"/>
  <c r="F148"/>
  <c r="F60"/>
  <c r="F391"/>
  <c r="F350"/>
  <c r="F272"/>
  <c r="F228"/>
  <c r="F140"/>
  <c r="F80"/>
  <c r="F44"/>
  <c r="F50"/>
  <c r="F454"/>
  <c r="F375"/>
  <c r="F321"/>
  <c r="F323"/>
  <c r="F181"/>
  <c r="F166"/>
  <c r="F89"/>
  <c r="F455"/>
  <c r="F442"/>
  <c r="F304"/>
  <c r="F336"/>
  <c r="F208"/>
  <c r="F126"/>
  <c r="F64"/>
  <c r="F378"/>
  <c r="F289"/>
  <c r="F264"/>
  <c r="F218"/>
  <c r="F149"/>
  <c r="F77"/>
  <c r="F389"/>
  <c r="F357"/>
  <c r="F326"/>
  <c r="F238"/>
  <c r="F150"/>
  <c r="F102"/>
  <c r="F45"/>
  <c r="F73"/>
  <c r="F25"/>
  <c r="F413"/>
  <c r="F290"/>
  <c r="F286"/>
  <c r="F225"/>
  <c r="F159"/>
  <c r="F92"/>
  <c r="F431"/>
  <c r="F410"/>
  <c r="F267"/>
  <c r="F299"/>
  <c r="F213"/>
  <c r="F164"/>
  <c r="F76"/>
  <c r="F437"/>
  <c r="F376"/>
  <c r="F263"/>
  <c r="F254"/>
  <c r="F168"/>
  <c r="F86"/>
  <c r="F439"/>
  <c r="F377"/>
  <c r="F252"/>
  <c r="F206"/>
  <c r="F205"/>
  <c r="F114"/>
  <c r="F95"/>
  <c r="F42"/>
  <c r="F21"/>
  <c r="F430"/>
  <c r="F337"/>
  <c r="F329"/>
  <c r="F227"/>
  <c r="F197"/>
  <c r="F109"/>
  <c r="F444"/>
  <c r="F418"/>
  <c r="F342"/>
  <c r="F365"/>
  <c r="F245"/>
  <c r="F124"/>
  <c r="F98"/>
  <c r="F407"/>
  <c r="F382"/>
  <c r="F300"/>
  <c r="F277"/>
  <c r="F182"/>
  <c r="F107"/>
  <c r="F433"/>
  <c r="F320"/>
  <c r="F343"/>
  <c r="F244"/>
  <c r="F183"/>
  <c r="F70"/>
  <c r="F22"/>
  <c r="F37"/>
  <c r="F26"/>
  <c r="F392"/>
  <c r="F353"/>
  <c r="F364"/>
  <c r="F207"/>
  <c r="F130"/>
  <c r="F61"/>
  <c r="F450"/>
  <c r="F435"/>
  <c r="F296"/>
  <c r="F314"/>
  <c r="F243"/>
  <c r="F132"/>
  <c r="F91"/>
  <c r="F409"/>
  <c r="F318"/>
  <c r="F292"/>
  <c r="F241"/>
  <c r="F146"/>
  <c r="F88"/>
  <c r="F412"/>
  <c r="F293"/>
  <c r="F271"/>
  <c r="F211"/>
  <c r="F155"/>
  <c r="F100"/>
  <c r="F56"/>
  <c r="F24"/>
  <c r="F29"/>
  <c r="F396"/>
  <c r="F369"/>
  <c r="F317"/>
  <c r="F214"/>
  <c r="F178"/>
  <c r="F96"/>
  <c r="F457"/>
  <c r="F380"/>
  <c r="F266"/>
  <c r="F259"/>
  <c r="F195"/>
  <c r="F156"/>
  <c r="F94"/>
  <c r="F419"/>
  <c r="F324"/>
  <c r="F301"/>
  <c r="F248"/>
  <c r="F163"/>
  <c r="F99"/>
  <c r="F420"/>
  <c r="F303"/>
  <c r="F276"/>
  <c r="F224"/>
  <c r="F158"/>
  <c r="F115"/>
  <c r="F54"/>
  <c r="F20"/>
  <c r="F33"/>
  <c r="F373"/>
  <c r="F331"/>
  <c r="F340"/>
  <c r="F193"/>
  <c r="F118"/>
  <c r="F116"/>
  <c r="F453"/>
  <c r="F381"/>
  <c r="F328"/>
  <c r="F352"/>
  <c r="F221"/>
  <c r="F170"/>
  <c r="F87"/>
  <c r="F443"/>
  <c r="F429"/>
  <c r="F257"/>
  <c r="F348"/>
  <c r="F172"/>
  <c r="F151"/>
  <c r="F461"/>
  <c r="F372"/>
  <c r="F316"/>
  <c r="F260"/>
  <c r="F187"/>
  <c r="F127"/>
  <c r="F111"/>
  <c r="F23"/>
  <c r="F39"/>
  <c r="F456"/>
  <c r="F379"/>
  <c r="F258"/>
  <c r="F247"/>
  <c r="F246"/>
  <c r="F141"/>
  <c r="F53"/>
  <c r="F398"/>
  <c r="F287"/>
  <c r="F307"/>
  <c r="F217"/>
  <c r="F133"/>
  <c r="F62"/>
  <c r="F452"/>
  <c r="F438"/>
  <c r="F278"/>
  <c r="F250"/>
  <c r="F186"/>
  <c r="F136"/>
  <c r="F448"/>
  <c r="F390"/>
  <c r="F274"/>
  <c r="F219"/>
  <c r="F229"/>
  <c r="F120"/>
  <c r="F51"/>
  <c r="F59"/>
  <c r="F46"/>
  <c r="F436"/>
  <c r="F371"/>
  <c r="F339"/>
  <c r="F233"/>
  <c r="F216"/>
  <c r="F160"/>
  <c r="F449"/>
  <c r="F434"/>
  <c r="F255"/>
  <c r="F253"/>
  <c r="F176"/>
  <c r="F145"/>
  <c r="F106"/>
  <c r="F408"/>
  <c r="F356"/>
  <c r="F362"/>
  <c r="F210"/>
  <c r="F157"/>
  <c r="F69"/>
  <c r="F417"/>
  <c r="F341"/>
  <c r="F358"/>
  <c r="F185"/>
  <c r="F188"/>
  <c r="F83"/>
  <c r="F48"/>
  <c r="F47"/>
  <c r="F18"/>
  <c r="F451"/>
  <c r="F402"/>
  <c r="F354"/>
  <c r="F199"/>
  <c r="F226"/>
  <c r="F144"/>
  <c r="F84"/>
  <c r="F425"/>
  <c r="F327"/>
  <c r="F319"/>
  <c r="F174"/>
  <c r="F153"/>
  <c r="F90"/>
  <c r="F432"/>
  <c r="F366"/>
  <c r="F249"/>
  <c r="F223"/>
  <c r="F161"/>
  <c r="F82"/>
  <c r="F424"/>
  <c r="F367"/>
  <c r="F363"/>
  <c r="F198"/>
  <c r="F196"/>
  <c r="F108"/>
  <c r="F74"/>
  <c r="F38"/>
  <c r="F27"/>
  <c r="F403"/>
  <c r="F269"/>
  <c r="F322"/>
  <c r="F220"/>
  <c r="F189"/>
  <c r="F103"/>
  <c r="F464"/>
  <c r="F387"/>
  <c r="F282"/>
  <c r="F285"/>
  <c r="F203"/>
  <c r="F119"/>
  <c r="F58"/>
  <c r="F462"/>
  <c r="F388"/>
  <c r="F306"/>
  <c r="F280"/>
  <c r="F242"/>
  <c r="F171"/>
  <c r="F113"/>
  <c r="F400"/>
  <c r="F368"/>
  <c r="F344"/>
  <c r="F192"/>
  <c r="F135"/>
  <c r="F52"/>
  <c r="F35"/>
  <c r="F49"/>
  <c r="F28"/>
  <c r="F421"/>
  <c r="F294"/>
  <c r="F298"/>
  <c r="F234"/>
  <c r="F169"/>
  <c r="F105"/>
  <c r="F397"/>
  <c r="F349"/>
  <c r="F335"/>
  <c r="F232"/>
  <c r="F173"/>
  <c r="F104"/>
  <c r="F460"/>
  <c r="F393"/>
  <c r="F311"/>
  <c r="F288"/>
  <c r="F200"/>
  <c r="F128"/>
  <c r="F65"/>
  <c r="F384"/>
  <c r="F334"/>
  <c r="F265"/>
  <c r="F215"/>
  <c r="F134"/>
  <c r="F67"/>
  <c r="F32"/>
  <c r="F43"/>
  <c r="F4"/>
  <c r="E4"/>
  <c r="M11"/>
  <c r="M10"/>
  <c r="F3"/>
  <c r="E3"/>
  <c r="AC41" i="12"/>
  <c r="AC44" s="1"/>
  <c r="Z18"/>
  <c r="B60" i="48"/>
  <c r="B64"/>
  <c r="B57"/>
  <c r="B62"/>
  <c r="B58"/>
  <c r="B61"/>
  <c r="B59"/>
  <c r="B63"/>
  <c r="B20"/>
  <c r="B21"/>
  <c r="B19"/>
  <c r="B22"/>
  <c r="B23"/>
  <c r="B24"/>
  <c r="B17"/>
  <c r="B18"/>
  <c r="C41" i="12"/>
  <c r="B46" i="48"/>
  <c r="B6"/>
  <c r="C64" i="29"/>
  <c r="B68" i="48"/>
  <c r="B64" i="29"/>
  <c r="B53"/>
  <c r="B56" s="1"/>
  <c r="C53"/>
  <c r="B45" i="48"/>
  <c r="B28"/>
  <c r="B5"/>
  <c r="AD21" i="12"/>
  <c r="AU21"/>
  <c r="U21"/>
  <c r="I21"/>
  <c r="AI21"/>
  <c r="AO21"/>
  <c r="O21"/>
  <c r="W21"/>
  <c r="C27" i="30"/>
  <c r="G26"/>
  <c r="C26"/>
  <c r="C25"/>
  <c r="C24"/>
  <c r="C23"/>
  <c r="C22"/>
  <c r="C21"/>
  <c r="C20"/>
  <c r="C19"/>
  <c r="C18"/>
  <c r="C17"/>
  <c r="C16"/>
  <c r="C15"/>
  <c r="C14"/>
  <c r="E62" i="29"/>
  <c r="B227"/>
  <c r="C227"/>
  <c r="B182"/>
  <c r="C182"/>
  <c r="Z41" i="12" l="1"/>
  <c r="E64" i="29"/>
  <c r="C44" i="12"/>
  <c r="B228" i="29"/>
  <c r="E179"/>
  <c r="D179" s="1"/>
  <c r="C179" s="1"/>
  <c r="B4" i="48"/>
  <c r="E6" s="1"/>
  <c r="C228" i="29"/>
  <c r="B44" i="48"/>
  <c r="E48" s="1"/>
  <c r="H21" i="12"/>
  <c r="AH21"/>
  <c r="C13" i="30"/>
  <c r="N10" s="1"/>
  <c r="C10"/>
  <c r="N9" s="1"/>
  <c r="C9"/>
  <c r="N8" s="1"/>
  <c r="N7" s="1"/>
  <c r="N6"/>
  <c r="C6"/>
  <c r="D62" i="29"/>
  <c r="D64" l="1"/>
  <c r="Z44" i="12"/>
  <c r="E8" i="48"/>
  <c r="E12"/>
  <c r="E52"/>
  <c r="E7"/>
  <c r="E46"/>
  <c r="E13"/>
  <c r="E10"/>
  <c r="B179" i="29"/>
  <c r="AG21" i="12"/>
  <c r="E51" i="48"/>
  <c r="E53"/>
  <c r="E47"/>
  <c r="E50"/>
  <c r="E9"/>
  <c r="G21" i="12"/>
  <c r="E49" i="48"/>
  <c r="C5" i="30"/>
  <c r="C4"/>
  <c r="N3"/>
  <c r="N5" s="1"/>
  <c r="C3"/>
  <c r="N2" s="1"/>
  <c r="E54" i="48" l="1"/>
  <c r="Z21" i="12"/>
  <c r="H19" i="26" l="1"/>
  <c r="B59" i="29" s="1"/>
  <c r="B207" s="1"/>
  <c r="B210" s="1"/>
  <c r="B215" s="1"/>
  <c r="E11" i="48"/>
  <c r="E14" s="1"/>
  <c r="E26"/>
  <c r="E189" i="29"/>
  <c r="E190" s="1"/>
  <c r="E192" s="1"/>
  <c r="L605" i="49" s="1"/>
  <c r="D189" i="29"/>
  <c r="D190" s="1"/>
  <c r="D192" s="1"/>
  <c r="L24" i="49" s="1"/>
  <c r="C189" i="29"/>
  <c r="C229" s="1"/>
  <c r="C231" s="1"/>
  <c r="E239" s="1"/>
  <c r="B189"/>
  <c r="B190" s="1"/>
  <c r="B192" s="1"/>
  <c r="B3" i="49" s="1"/>
  <c r="J551"/>
  <c r="K551" s="1"/>
  <c r="J552"/>
  <c r="K552" s="1"/>
  <c r="J553"/>
  <c r="K553" s="1"/>
  <c r="J559"/>
  <c r="K559" s="1"/>
  <c r="J560"/>
  <c r="K560" s="1"/>
  <c r="J561"/>
  <c r="K561" s="1"/>
  <c r="J567"/>
  <c r="K567" s="1"/>
  <c r="J568"/>
  <c r="K568" s="1"/>
  <c r="J569"/>
  <c r="K569" s="1"/>
  <c r="J575"/>
  <c r="K575" s="1"/>
  <c r="J576"/>
  <c r="K576" s="1"/>
  <c r="J577"/>
  <c r="K577" s="1"/>
  <c r="J583"/>
  <c r="K583" s="1"/>
  <c r="J584"/>
  <c r="K584" s="1"/>
  <c r="J591"/>
  <c r="K591" s="1"/>
  <c r="J592"/>
  <c r="K592" s="1"/>
  <c r="J599"/>
  <c r="K599" s="1"/>
  <c r="J600"/>
  <c r="K600" s="1"/>
  <c r="J607"/>
  <c r="K607" s="1"/>
  <c r="J608"/>
  <c r="K608" s="1"/>
  <c r="J615"/>
  <c r="K615" s="1"/>
  <c r="J623"/>
  <c r="K623" s="1"/>
  <c r="J631"/>
  <c r="K631" s="1"/>
  <c r="J639"/>
  <c r="K639" s="1"/>
  <c r="J679"/>
  <c r="K679" s="1"/>
  <c r="J680"/>
  <c r="K680" s="1"/>
  <c r="J687"/>
  <c r="K687" s="1"/>
  <c r="J688"/>
  <c r="K688" s="1"/>
  <c r="J695"/>
  <c r="K695" s="1"/>
  <c r="J696"/>
  <c r="K696" s="1"/>
  <c r="J703"/>
  <c r="K703" s="1"/>
  <c r="J704"/>
  <c r="K704" s="1"/>
  <c r="J711"/>
  <c r="K711" s="1"/>
  <c r="J719"/>
  <c r="K719" s="1"/>
  <c r="J727"/>
  <c r="K727" s="1"/>
  <c r="J735"/>
  <c r="K735" s="1"/>
  <c r="J807"/>
  <c r="K807" s="1"/>
  <c r="J815"/>
  <c r="K815" s="1"/>
  <c r="J823"/>
  <c r="K823" s="1"/>
  <c r="J831"/>
  <c r="K831" s="1"/>
  <c r="J18"/>
  <c r="K18" s="1"/>
  <c r="J19"/>
  <c r="K19" s="1"/>
  <c r="J20"/>
  <c r="K20" s="1"/>
  <c r="J26"/>
  <c r="K26" s="1"/>
  <c r="J27"/>
  <c r="K27" s="1"/>
  <c r="J28"/>
  <c r="K28" s="1"/>
  <c r="J34"/>
  <c r="K34" s="1"/>
  <c r="J35"/>
  <c r="K35" s="1"/>
  <c r="J36"/>
  <c r="K36" s="1"/>
  <c r="J42"/>
  <c r="K42" s="1"/>
  <c r="J43"/>
  <c r="K43" s="1"/>
  <c r="J44"/>
  <c r="K44" s="1"/>
  <c r="J50"/>
  <c r="K50" s="1"/>
  <c r="J51"/>
  <c r="K51" s="1"/>
  <c r="J58"/>
  <c r="K58" s="1"/>
  <c r="C59"/>
  <c r="D59" s="1"/>
  <c r="J59" s="1"/>
  <c r="K59" s="1"/>
  <c r="J66"/>
  <c r="K66" s="1"/>
  <c r="J67"/>
  <c r="K67" s="1"/>
  <c r="J74"/>
  <c r="K74" s="1"/>
  <c r="J75"/>
  <c r="K75" s="1"/>
  <c r="J82"/>
  <c r="K82" s="1"/>
  <c r="J90"/>
  <c r="K90" s="1"/>
  <c r="J98"/>
  <c r="K98" s="1"/>
  <c r="J106"/>
  <c r="K106" s="1"/>
  <c r="J146"/>
  <c r="K146" s="1"/>
  <c r="J147"/>
  <c r="K147" s="1"/>
  <c r="J154"/>
  <c r="K154" s="1"/>
  <c r="J155"/>
  <c r="K155" s="1"/>
  <c r="J162"/>
  <c r="K162" s="1"/>
  <c r="J163"/>
  <c r="K163" s="1"/>
  <c r="J170"/>
  <c r="K170" s="1"/>
  <c r="J171"/>
  <c r="K171" s="1"/>
  <c r="J178"/>
  <c r="K178" s="1"/>
  <c r="J186"/>
  <c r="K186" s="1"/>
  <c r="J194"/>
  <c r="K194" s="1"/>
  <c r="J202"/>
  <c r="K202" s="1"/>
  <c r="J274"/>
  <c r="K274" s="1"/>
  <c r="J282"/>
  <c r="K282" s="1"/>
  <c r="J290"/>
  <c r="K290" s="1"/>
  <c r="J298"/>
  <c r="K298" s="1"/>
  <c r="B117" i="29"/>
  <c r="D117"/>
  <c r="J13" i="49"/>
  <c r="K13" s="1"/>
  <c r="E117" i="29"/>
  <c r="J546" i="49"/>
  <c r="K546" s="1"/>
  <c r="C117" i="29"/>
  <c r="D59" l="1"/>
  <c r="E59"/>
  <c r="B229"/>
  <c r="B231" s="1"/>
  <c r="D239" s="1"/>
  <c r="E59" i="49"/>
  <c r="L637"/>
  <c r="M637" s="1"/>
  <c r="L698"/>
  <c r="M698" s="1"/>
  <c r="L469"/>
  <c r="L848"/>
  <c r="M848" s="1"/>
  <c r="L405"/>
  <c r="L341"/>
  <c r="L912"/>
  <c r="M912" s="1"/>
  <c r="L976"/>
  <c r="M976" s="1"/>
  <c r="L1040"/>
  <c r="M1040" s="1"/>
  <c r="L784"/>
  <c r="M784" s="1"/>
  <c r="L517"/>
  <c r="L453"/>
  <c r="L389"/>
  <c r="L325"/>
  <c r="L485"/>
  <c r="L421"/>
  <c r="L357"/>
  <c r="L501"/>
  <c r="L437"/>
  <c r="L373"/>
  <c r="L309"/>
  <c r="L246"/>
  <c r="L1056"/>
  <c r="M1056" s="1"/>
  <c r="L992"/>
  <c r="M992" s="1"/>
  <c r="L928"/>
  <c r="M928" s="1"/>
  <c r="L864"/>
  <c r="M864" s="1"/>
  <c r="L800"/>
  <c r="M800" s="1"/>
  <c r="L736"/>
  <c r="M736" s="1"/>
  <c r="L715"/>
  <c r="M715" s="1"/>
  <c r="L692"/>
  <c r="M692" s="1"/>
  <c r="L1008"/>
  <c r="M1008" s="1"/>
  <c r="L944"/>
  <c r="M944" s="1"/>
  <c r="L880"/>
  <c r="M880" s="1"/>
  <c r="L752"/>
  <c r="M752" s="1"/>
  <c r="L686"/>
  <c r="M686" s="1"/>
  <c r="L648"/>
  <c r="M648" s="1"/>
  <c r="L1024"/>
  <c r="M1024" s="1"/>
  <c r="L960"/>
  <c r="M960" s="1"/>
  <c r="L896"/>
  <c r="M896" s="1"/>
  <c r="L832"/>
  <c r="M832" s="1"/>
  <c r="L811"/>
  <c r="M811" s="1"/>
  <c r="L768"/>
  <c r="M768" s="1"/>
  <c r="L704"/>
  <c r="M704" s="1"/>
  <c r="L664"/>
  <c r="M664" s="1"/>
  <c r="L1060"/>
  <c r="M1060" s="1"/>
  <c r="L1028"/>
  <c r="M1028" s="1"/>
  <c r="L1012"/>
  <c r="M1012" s="1"/>
  <c r="L980"/>
  <c r="M980" s="1"/>
  <c r="L948"/>
  <c r="M948" s="1"/>
  <c r="L932"/>
  <c r="M932" s="1"/>
  <c r="L916"/>
  <c r="M916" s="1"/>
  <c r="L900"/>
  <c r="M900" s="1"/>
  <c r="L884"/>
  <c r="M884" s="1"/>
  <c r="L868"/>
  <c r="M868" s="1"/>
  <c r="L852"/>
  <c r="M852" s="1"/>
  <c r="L836"/>
  <c r="M836" s="1"/>
  <c r="L825"/>
  <c r="M825" s="1"/>
  <c r="L804"/>
  <c r="M804" s="1"/>
  <c r="L788"/>
  <c r="M788" s="1"/>
  <c r="L772"/>
  <c r="M772" s="1"/>
  <c r="L756"/>
  <c r="M756" s="1"/>
  <c r="L740"/>
  <c r="M740" s="1"/>
  <c r="L729"/>
  <c r="M729" s="1"/>
  <c r="L708"/>
  <c r="L702"/>
  <c r="M702" s="1"/>
  <c r="L679"/>
  <c r="M679" s="1"/>
  <c r="L668"/>
  <c r="M668" s="1"/>
  <c r="L652"/>
  <c r="M652" s="1"/>
  <c r="L1044"/>
  <c r="M1044" s="1"/>
  <c r="L964"/>
  <c r="M964" s="1"/>
  <c r="L1048"/>
  <c r="M1048" s="1"/>
  <c r="L1032"/>
  <c r="M1032" s="1"/>
  <c r="L1016"/>
  <c r="M1016" s="1"/>
  <c r="L1000"/>
  <c r="M1000" s="1"/>
  <c r="L984"/>
  <c r="M984" s="1"/>
  <c r="L968"/>
  <c r="M968" s="1"/>
  <c r="L952"/>
  <c r="M952" s="1"/>
  <c r="L936"/>
  <c r="M936" s="1"/>
  <c r="L920"/>
  <c r="M920" s="1"/>
  <c r="L904"/>
  <c r="M904" s="1"/>
  <c r="L888"/>
  <c r="M888" s="1"/>
  <c r="L872"/>
  <c r="M872" s="1"/>
  <c r="L856"/>
  <c r="L840"/>
  <c r="M840" s="1"/>
  <c r="L829"/>
  <c r="M829" s="1"/>
  <c r="L818"/>
  <c r="M818" s="1"/>
  <c r="L792"/>
  <c r="M792" s="1"/>
  <c r="L776"/>
  <c r="M776" s="1"/>
  <c r="L760"/>
  <c r="M760" s="1"/>
  <c r="L744"/>
  <c r="M744" s="1"/>
  <c r="L733"/>
  <c r="L722"/>
  <c r="M722" s="1"/>
  <c r="L695"/>
  <c r="M695" s="1"/>
  <c r="L672"/>
  <c r="M672" s="1"/>
  <c r="L656"/>
  <c r="M656" s="1"/>
  <c r="L640"/>
  <c r="M640" s="1"/>
  <c r="L996"/>
  <c r="M996" s="1"/>
  <c r="L1052"/>
  <c r="M1052" s="1"/>
  <c r="L1036"/>
  <c r="L1020"/>
  <c r="M1020" s="1"/>
  <c r="L1004"/>
  <c r="M1004" s="1"/>
  <c r="L988"/>
  <c r="M988" s="1"/>
  <c r="L972"/>
  <c r="M972" s="1"/>
  <c r="L956"/>
  <c r="M956" s="1"/>
  <c r="L940"/>
  <c r="M940" s="1"/>
  <c r="L924"/>
  <c r="M924" s="1"/>
  <c r="L908"/>
  <c r="M908" s="1"/>
  <c r="L892"/>
  <c r="M892" s="1"/>
  <c r="L876"/>
  <c r="M876" s="1"/>
  <c r="L860"/>
  <c r="M860" s="1"/>
  <c r="L844"/>
  <c r="M844" s="1"/>
  <c r="L822"/>
  <c r="M822" s="1"/>
  <c r="L807"/>
  <c r="M807" s="1"/>
  <c r="L796"/>
  <c r="M796" s="1"/>
  <c r="L780"/>
  <c r="M780" s="1"/>
  <c r="L764"/>
  <c r="M764" s="1"/>
  <c r="L748"/>
  <c r="M748" s="1"/>
  <c r="L726"/>
  <c r="M726" s="1"/>
  <c r="L711"/>
  <c r="L688"/>
  <c r="M688" s="1"/>
  <c r="L682"/>
  <c r="M682" s="1"/>
  <c r="L676"/>
  <c r="M676" s="1"/>
  <c r="L660"/>
  <c r="M660" s="1"/>
  <c r="L644"/>
  <c r="M644" s="1"/>
  <c r="L521"/>
  <c r="L505"/>
  <c r="L489"/>
  <c r="L473"/>
  <c r="L457"/>
  <c r="L441"/>
  <c r="L425"/>
  <c r="L409"/>
  <c r="L393"/>
  <c r="L377"/>
  <c r="L361"/>
  <c r="L345"/>
  <c r="L329"/>
  <c r="L313"/>
  <c r="M313" s="1"/>
  <c r="N313" s="1"/>
  <c r="L288"/>
  <c r="L262"/>
  <c r="L1061"/>
  <c r="M1061" s="1"/>
  <c r="L1057"/>
  <c r="M1057" s="1"/>
  <c r="L1053"/>
  <c r="M1053" s="1"/>
  <c r="L1049"/>
  <c r="L1045"/>
  <c r="M1045" s="1"/>
  <c r="L1041"/>
  <c r="M1041" s="1"/>
  <c r="L1037"/>
  <c r="L1033"/>
  <c r="M1033" s="1"/>
  <c r="L1029"/>
  <c r="M1029" s="1"/>
  <c r="L1025"/>
  <c r="M1025" s="1"/>
  <c r="L1021"/>
  <c r="M1021" s="1"/>
  <c r="L1017"/>
  <c r="M1017" s="1"/>
  <c r="L1013"/>
  <c r="M1013" s="1"/>
  <c r="L1009"/>
  <c r="M1009" s="1"/>
  <c r="L1005"/>
  <c r="M1005" s="1"/>
  <c r="L1001"/>
  <c r="M1001" s="1"/>
  <c r="L997"/>
  <c r="M997" s="1"/>
  <c r="L993"/>
  <c r="M993" s="1"/>
  <c r="L989"/>
  <c r="M989" s="1"/>
  <c r="L985"/>
  <c r="M985" s="1"/>
  <c r="L981"/>
  <c r="M981" s="1"/>
  <c r="L977"/>
  <c r="M977" s="1"/>
  <c r="L973"/>
  <c r="M973" s="1"/>
  <c r="L969"/>
  <c r="M969" s="1"/>
  <c r="L965"/>
  <c r="M965" s="1"/>
  <c r="L961"/>
  <c r="M961" s="1"/>
  <c r="L957"/>
  <c r="M957" s="1"/>
  <c r="L953"/>
  <c r="M953" s="1"/>
  <c r="L949"/>
  <c r="M949" s="1"/>
  <c r="L945"/>
  <c r="M945" s="1"/>
  <c r="L941"/>
  <c r="M941" s="1"/>
  <c r="L937"/>
  <c r="M937" s="1"/>
  <c r="L933"/>
  <c r="M933" s="1"/>
  <c r="L929"/>
  <c r="M929" s="1"/>
  <c r="L925"/>
  <c r="M925" s="1"/>
  <c r="L921"/>
  <c r="M921" s="1"/>
  <c r="L917"/>
  <c r="M917" s="1"/>
  <c r="L913"/>
  <c r="M913" s="1"/>
  <c r="L909"/>
  <c r="L905"/>
  <c r="M905" s="1"/>
  <c r="L901"/>
  <c r="M901" s="1"/>
  <c r="L897"/>
  <c r="M897" s="1"/>
  <c r="L893"/>
  <c r="M893" s="1"/>
  <c r="L889"/>
  <c r="M889" s="1"/>
  <c r="L885"/>
  <c r="M885" s="1"/>
  <c r="L881"/>
  <c r="M881" s="1"/>
  <c r="L877"/>
  <c r="M877" s="1"/>
  <c r="L873"/>
  <c r="M873" s="1"/>
  <c r="L869"/>
  <c r="M869" s="1"/>
  <c r="L865"/>
  <c r="M865" s="1"/>
  <c r="L861"/>
  <c r="M861" s="1"/>
  <c r="L857"/>
  <c r="M857" s="1"/>
  <c r="L853"/>
  <c r="M853" s="1"/>
  <c r="L849"/>
  <c r="M849" s="1"/>
  <c r="L845"/>
  <c r="M845" s="1"/>
  <c r="L841"/>
  <c r="M841" s="1"/>
  <c r="L837"/>
  <c r="M837" s="1"/>
  <c r="L833"/>
  <c r="M833" s="1"/>
  <c r="L830"/>
  <c r="M830" s="1"/>
  <c r="L826"/>
  <c r="M826" s="1"/>
  <c r="L819"/>
  <c r="M819" s="1"/>
  <c r="L815"/>
  <c r="M815" s="1"/>
  <c r="L812"/>
  <c r="M812" s="1"/>
  <c r="L808"/>
  <c r="M808" s="1"/>
  <c r="L805"/>
  <c r="M805" s="1"/>
  <c r="L801"/>
  <c r="M801" s="1"/>
  <c r="L797"/>
  <c r="M797" s="1"/>
  <c r="L793"/>
  <c r="M793" s="1"/>
  <c r="L789"/>
  <c r="M789" s="1"/>
  <c r="L785"/>
  <c r="M785" s="1"/>
  <c r="L781"/>
  <c r="M781" s="1"/>
  <c r="L777"/>
  <c r="M777" s="1"/>
  <c r="L773"/>
  <c r="M773" s="1"/>
  <c r="L769"/>
  <c r="M769" s="1"/>
  <c r="L765"/>
  <c r="M765" s="1"/>
  <c r="L761"/>
  <c r="M761" s="1"/>
  <c r="L757"/>
  <c r="M757" s="1"/>
  <c r="L753"/>
  <c r="M753" s="1"/>
  <c r="L749"/>
  <c r="M749" s="1"/>
  <c r="L745"/>
  <c r="M745" s="1"/>
  <c r="L741"/>
  <c r="M741" s="1"/>
  <c r="L737"/>
  <c r="M737" s="1"/>
  <c r="L734"/>
  <c r="M734" s="1"/>
  <c r="L730"/>
  <c r="M730" s="1"/>
  <c r="L723"/>
  <c r="M723" s="1"/>
  <c r="L719"/>
  <c r="M719" s="1"/>
  <c r="L716"/>
  <c r="M716" s="1"/>
  <c r="L712"/>
  <c r="M712" s="1"/>
  <c r="L709"/>
  <c r="M709" s="1"/>
  <c r="L705"/>
  <c r="M705" s="1"/>
  <c r="L699"/>
  <c r="M699" s="1"/>
  <c r="L693"/>
  <c r="M693" s="1"/>
  <c r="L689"/>
  <c r="M689" s="1"/>
  <c r="L683"/>
  <c r="M683" s="1"/>
  <c r="L677"/>
  <c r="M677" s="1"/>
  <c r="L673"/>
  <c r="M673" s="1"/>
  <c r="L669"/>
  <c r="M669" s="1"/>
  <c r="L665"/>
  <c r="M665" s="1"/>
  <c r="L661"/>
  <c r="M661" s="1"/>
  <c r="L657"/>
  <c r="M657" s="1"/>
  <c r="L653"/>
  <c r="M653" s="1"/>
  <c r="L649"/>
  <c r="M649" s="1"/>
  <c r="L645"/>
  <c r="M645" s="1"/>
  <c r="L641"/>
  <c r="M641" s="1"/>
  <c r="L638"/>
  <c r="M638" s="1"/>
  <c r="L626"/>
  <c r="M626" s="1"/>
  <c r="L525"/>
  <c r="L509"/>
  <c r="L493"/>
  <c r="L477"/>
  <c r="M477" s="1"/>
  <c r="N477" s="1"/>
  <c r="L461"/>
  <c r="L445"/>
  <c r="L429"/>
  <c r="L413"/>
  <c r="M413" s="1"/>
  <c r="N413" s="1"/>
  <c r="L397"/>
  <c r="L381"/>
  <c r="L365"/>
  <c r="L349"/>
  <c r="M349" s="1"/>
  <c r="N349" s="1"/>
  <c r="L333"/>
  <c r="L317"/>
  <c r="L1062"/>
  <c r="M1062" s="1"/>
  <c r="L1058"/>
  <c r="M1058" s="1"/>
  <c r="L1054"/>
  <c r="M1054" s="1"/>
  <c r="L1050"/>
  <c r="M1050" s="1"/>
  <c r="L1046"/>
  <c r="M1046" s="1"/>
  <c r="L1042"/>
  <c r="M1042" s="1"/>
  <c r="L1038"/>
  <c r="M1038" s="1"/>
  <c r="L1034"/>
  <c r="M1034" s="1"/>
  <c r="L1030"/>
  <c r="M1030" s="1"/>
  <c r="L1026"/>
  <c r="M1026" s="1"/>
  <c r="L1022"/>
  <c r="M1022" s="1"/>
  <c r="L1018"/>
  <c r="M1018" s="1"/>
  <c r="L1014"/>
  <c r="M1014" s="1"/>
  <c r="L1010"/>
  <c r="M1010" s="1"/>
  <c r="L1006"/>
  <c r="M1006" s="1"/>
  <c r="L1002"/>
  <c r="M1002" s="1"/>
  <c r="L998"/>
  <c r="M998" s="1"/>
  <c r="L994"/>
  <c r="M994" s="1"/>
  <c r="L990"/>
  <c r="M990" s="1"/>
  <c r="L986"/>
  <c r="M986" s="1"/>
  <c r="L982"/>
  <c r="M982" s="1"/>
  <c r="L978"/>
  <c r="M978" s="1"/>
  <c r="L974"/>
  <c r="M974" s="1"/>
  <c r="L970"/>
  <c r="M970" s="1"/>
  <c r="L966"/>
  <c r="M966" s="1"/>
  <c r="L962"/>
  <c r="M962" s="1"/>
  <c r="L958"/>
  <c r="M958" s="1"/>
  <c r="L954"/>
  <c r="M954" s="1"/>
  <c r="L950"/>
  <c r="M950" s="1"/>
  <c r="L946"/>
  <c r="M946" s="1"/>
  <c r="L942"/>
  <c r="M942" s="1"/>
  <c r="L938"/>
  <c r="M938" s="1"/>
  <c r="L934"/>
  <c r="M934" s="1"/>
  <c r="L930"/>
  <c r="M930" s="1"/>
  <c r="L926"/>
  <c r="M926" s="1"/>
  <c r="L922"/>
  <c r="M922" s="1"/>
  <c r="L918"/>
  <c r="M918" s="1"/>
  <c r="L914"/>
  <c r="M914" s="1"/>
  <c r="L910"/>
  <c r="M910" s="1"/>
  <c r="L906"/>
  <c r="M906" s="1"/>
  <c r="L902"/>
  <c r="M902" s="1"/>
  <c r="L898"/>
  <c r="M898" s="1"/>
  <c r="L894"/>
  <c r="M894" s="1"/>
  <c r="L890"/>
  <c r="M890" s="1"/>
  <c r="L886"/>
  <c r="M886" s="1"/>
  <c r="L882"/>
  <c r="M882" s="1"/>
  <c r="L878"/>
  <c r="M878" s="1"/>
  <c r="L874"/>
  <c r="M874" s="1"/>
  <c r="L870"/>
  <c r="M870" s="1"/>
  <c r="L866"/>
  <c r="M866" s="1"/>
  <c r="L862"/>
  <c r="M862" s="1"/>
  <c r="L858"/>
  <c r="M858" s="1"/>
  <c r="L854"/>
  <c r="M854" s="1"/>
  <c r="L850"/>
  <c r="M850" s="1"/>
  <c r="L846"/>
  <c r="M846" s="1"/>
  <c r="L842"/>
  <c r="M842" s="1"/>
  <c r="L838"/>
  <c r="M838" s="1"/>
  <c r="L834"/>
  <c r="M834" s="1"/>
  <c r="L827"/>
  <c r="M827" s="1"/>
  <c r="L823"/>
  <c r="M823" s="1"/>
  <c r="L820"/>
  <c r="M820" s="1"/>
  <c r="L816"/>
  <c r="M816" s="1"/>
  <c r="L813"/>
  <c r="M813" s="1"/>
  <c r="L809"/>
  <c r="M809" s="1"/>
  <c r="L806"/>
  <c r="M806" s="1"/>
  <c r="L802"/>
  <c r="M802" s="1"/>
  <c r="L798"/>
  <c r="M798" s="1"/>
  <c r="L794"/>
  <c r="M794" s="1"/>
  <c r="L790"/>
  <c r="M790" s="1"/>
  <c r="L786"/>
  <c r="M786" s="1"/>
  <c r="L782"/>
  <c r="M782" s="1"/>
  <c r="L778"/>
  <c r="M778" s="1"/>
  <c r="L774"/>
  <c r="M774" s="1"/>
  <c r="L770"/>
  <c r="M770" s="1"/>
  <c r="L766"/>
  <c r="M766" s="1"/>
  <c r="L762"/>
  <c r="M762" s="1"/>
  <c r="L758"/>
  <c r="M758" s="1"/>
  <c r="L754"/>
  <c r="M754" s="1"/>
  <c r="L750"/>
  <c r="M750" s="1"/>
  <c r="L746"/>
  <c r="M746" s="1"/>
  <c r="L742"/>
  <c r="M742" s="1"/>
  <c r="L738"/>
  <c r="M738" s="1"/>
  <c r="L731"/>
  <c r="M731" s="1"/>
  <c r="L727"/>
  <c r="M727" s="1"/>
  <c r="L724"/>
  <c r="L720"/>
  <c r="M720" s="1"/>
  <c r="L717"/>
  <c r="M717" s="1"/>
  <c r="L713"/>
  <c r="M713" s="1"/>
  <c r="L710"/>
  <c r="M710" s="1"/>
  <c r="L706"/>
  <c r="M706" s="1"/>
  <c r="L703"/>
  <c r="M703" s="1"/>
  <c r="L700"/>
  <c r="M700" s="1"/>
  <c r="L696"/>
  <c r="M696" s="1"/>
  <c r="L694"/>
  <c r="M694" s="1"/>
  <c r="L690"/>
  <c r="M690" s="1"/>
  <c r="L687"/>
  <c r="M687" s="1"/>
  <c r="L684"/>
  <c r="M684" s="1"/>
  <c r="L680"/>
  <c r="M680" s="1"/>
  <c r="L678"/>
  <c r="M678" s="1"/>
  <c r="L674"/>
  <c r="M674" s="1"/>
  <c r="L670"/>
  <c r="M670" s="1"/>
  <c r="L666"/>
  <c r="M666" s="1"/>
  <c r="L662"/>
  <c r="M662" s="1"/>
  <c r="L658"/>
  <c r="M658" s="1"/>
  <c r="L654"/>
  <c r="M654" s="1"/>
  <c r="L650"/>
  <c r="M650" s="1"/>
  <c r="L646"/>
  <c r="M646" s="1"/>
  <c r="L642"/>
  <c r="M642" s="1"/>
  <c r="L612"/>
  <c r="M612" s="1"/>
  <c r="L529"/>
  <c r="M529" s="1"/>
  <c r="N529" s="1"/>
  <c r="L513"/>
  <c r="L497"/>
  <c r="L481"/>
  <c r="L465"/>
  <c r="M465" s="1"/>
  <c r="N465" s="1"/>
  <c r="L449"/>
  <c r="L433"/>
  <c r="L417"/>
  <c r="L401"/>
  <c r="M401" s="1"/>
  <c r="N401" s="1"/>
  <c r="L385"/>
  <c r="L369"/>
  <c r="L353"/>
  <c r="L337"/>
  <c r="M337" s="1"/>
  <c r="N337" s="1"/>
  <c r="L321"/>
  <c r="L277"/>
  <c r="L206"/>
  <c r="L1059"/>
  <c r="M1059" s="1"/>
  <c r="L1055"/>
  <c r="M1055" s="1"/>
  <c r="L1051"/>
  <c r="M1051" s="1"/>
  <c r="L1047"/>
  <c r="M1047" s="1"/>
  <c r="L1043"/>
  <c r="M1043" s="1"/>
  <c r="L1039"/>
  <c r="M1039" s="1"/>
  <c r="L1035"/>
  <c r="M1035" s="1"/>
  <c r="L1031"/>
  <c r="M1031" s="1"/>
  <c r="L1027"/>
  <c r="M1027" s="1"/>
  <c r="L1023"/>
  <c r="M1023" s="1"/>
  <c r="L1019"/>
  <c r="M1019" s="1"/>
  <c r="L1015"/>
  <c r="M1015" s="1"/>
  <c r="L1011"/>
  <c r="M1011" s="1"/>
  <c r="L1007"/>
  <c r="M1007" s="1"/>
  <c r="L1003"/>
  <c r="M1003" s="1"/>
  <c r="L999"/>
  <c r="M999" s="1"/>
  <c r="L995"/>
  <c r="M995" s="1"/>
  <c r="L991"/>
  <c r="M991" s="1"/>
  <c r="L987"/>
  <c r="M987" s="1"/>
  <c r="L983"/>
  <c r="M983" s="1"/>
  <c r="L979"/>
  <c r="M979" s="1"/>
  <c r="L975"/>
  <c r="M975" s="1"/>
  <c r="L971"/>
  <c r="M971" s="1"/>
  <c r="L967"/>
  <c r="M967" s="1"/>
  <c r="L963"/>
  <c r="M963" s="1"/>
  <c r="L959"/>
  <c r="M959" s="1"/>
  <c r="L955"/>
  <c r="M955" s="1"/>
  <c r="L951"/>
  <c r="M951" s="1"/>
  <c r="L947"/>
  <c r="M947" s="1"/>
  <c r="L943"/>
  <c r="M943" s="1"/>
  <c r="L939"/>
  <c r="M939" s="1"/>
  <c r="L935"/>
  <c r="M935" s="1"/>
  <c r="L931"/>
  <c r="M931" s="1"/>
  <c r="L927"/>
  <c r="M927" s="1"/>
  <c r="L923"/>
  <c r="M923" s="1"/>
  <c r="L919"/>
  <c r="M919" s="1"/>
  <c r="L915"/>
  <c r="M915" s="1"/>
  <c r="L911"/>
  <c r="M911" s="1"/>
  <c r="L907"/>
  <c r="M907" s="1"/>
  <c r="L903"/>
  <c r="M903" s="1"/>
  <c r="L899"/>
  <c r="M899" s="1"/>
  <c r="L895"/>
  <c r="M895" s="1"/>
  <c r="L891"/>
  <c r="M891" s="1"/>
  <c r="L887"/>
  <c r="M887" s="1"/>
  <c r="L883"/>
  <c r="M883" s="1"/>
  <c r="L879"/>
  <c r="M879" s="1"/>
  <c r="L875"/>
  <c r="M875" s="1"/>
  <c r="L871"/>
  <c r="M871" s="1"/>
  <c r="L867"/>
  <c r="M867" s="1"/>
  <c r="L863"/>
  <c r="M863" s="1"/>
  <c r="L859"/>
  <c r="M859" s="1"/>
  <c r="L855"/>
  <c r="M855" s="1"/>
  <c r="L851"/>
  <c r="M851" s="1"/>
  <c r="L847"/>
  <c r="M847" s="1"/>
  <c r="L843"/>
  <c r="M843" s="1"/>
  <c r="L839"/>
  <c r="M839" s="1"/>
  <c r="L835"/>
  <c r="M835" s="1"/>
  <c r="L831"/>
  <c r="M831" s="1"/>
  <c r="L828"/>
  <c r="M828" s="1"/>
  <c r="L824"/>
  <c r="M824" s="1"/>
  <c r="L821"/>
  <c r="M821" s="1"/>
  <c r="L817"/>
  <c r="M817" s="1"/>
  <c r="L814"/>
  <c r="M814" s="1"/>
  <c r="L810"/>
  <c r="M810" s="1"/>
  <c r="L803"/>
  <c r="M803" s="1"/>
  <c r="L799"/>
  <c r="M799" s="1"/>
  <c r="L795"/>
  <c r="M795" s="1"/>
  <c r="L791"/>
  <c r="M791" s="1"/>
  <c r="L787"/>
  <c r="M787" s="1"/>
  <c r="L783"/>
  <c r="M783" s="1"/>
  <c r="L779"/>
  <c r="M779" s="1"/>
  <c r="L775"/>
  <c r="M775" s="1"/>
  <c r="L771"/>
  <c r="M771" s="1"/>
  <c r="L767"/>
  <c r="M767" s="1"/>
  <c r="L763"/>
  <c r="M763" s="1"/>
  <c r="L759"/>
  <c r="M759" s="1"/>
  <c r="L755"/>
  <c r="M755" s="1"/>
  <c r="L751"/>
  <c r="M751" s="1"/>
  <c r="L747"/>
  <c r="M747" s="1"/>
  <c r="L743"/>
  <c r="M743" s="1"/>
  <c r="L739"/>
  <c r="M739" s="1"/>
  <c r="L735"/>
  <c r="M735" s="1"/>
  <c r="L732"/>
  <c r="M732" s="1"/>
  <c r="L728"/>
  <c r="M728" s="1"/>
  <c r="L725"/>
  <c r="M725" s="1"/>
  <c r="L721"/>
  <c r="M721" s="1"/>
  <c r="L718"/>
  <c r="M718" s="1"/>
  <c r="L714"/>
  <c r="M714" s="1"/>
  <c r="L707"/>
  <c r="M707" s="1"/>
  <c r="L701"/>
  <c r="M701" s="1"/>
  <c r="L697"/>
  <c r="M697" s="1"/>
  <c r="L691"/>
  <c r="M691" s="1"/>
  <c r="L685"/>
  <c r="M685" s="1"/>
  <c r="L681"/>
  <c r="M681" s="1"/>
  <c r="L675"/>
  <c r="M675" s="1"/>
  <c r="L671"/>
  <c r="M671" s="1"/>
  <c r="L667"/>
  <c r="M667" s="1"/>
  <c r="L663"/>
  <c r="M663" s="1"/>
  <c r="L659"/>
  <c r="M659" s="1"/>
  <c r="L655"/>
  <c r="M655" s="1"/>
  <c r="L651"/>
  <c r="M651" s="1"/>
  <c r="L647"/>
  <c r="M647" s="1"/>
  <c r="L643"/>
  <c r="M643" s="1"/>
  <c r="L639"/>
  <c r="M639" s="1"/>
  <c r="L633"/>
  <c r="M633" s="1"/>
  <c r="L606"/>
  <c r="M606" s="1"/>
  <c r="L526"/>
  <c r="L522"/>
  <c r="L518"/>
  <c r="M518" s="1"/>
  <c r="N518" s="1"/>
  <c r="L514"/>
  <c r="L510"/>
  <c r="L506"/>
  <c r="L502"/>
  <c r="M502" s="1"/>
  <c r="N502" s="1"/>
  <c r="L498"/>
  <c r="L494"/>
  <c r="L490"/>
  <c r="L486"/>
  <c r="M486" s="1"/>
  <c r="N486" s="1"/>
  <c r="L482"/>
  <c r="L478"/>
  <c r="L474"/>
  <c r="L470"/>
  <c r="M470" s="1"/>
  <c r="N470" s="1"/>
  <c r="L466"/>
  <c r="L462"/>
  <c r="L458"/>
  <c r="L454"/>
  <c r="M454" s="1"/>
  <c r="N454" s="1"/>
  <c r="L450"/>
  <c r="L446"/>
  <c r="L442"/>
  <c r="L438"/>
  <c r="M438" s="1"/>
  <c r="N438" s="1"/>
  <c r="L434"/>
  <c r="L430"/>
  <c r="L426"/>
  <c r="L422"/>
  <c r="M422" s="1"/>
  <c r="N422" s="1"/>
  <c r="L418"/>
  <c r="L414"/>
  <c r="L410"/>
  <c r="L406"/>
  <c r="M406" s="1"/>
  <c r="N406" s="1"/>
  <c r="L402"/>
  <c r="L398"/>
  <c r="L394"/>
  <c r="L390"/>
  <c r="M390" s="1"/>
  <c r="N390" s="1"/>
  <c r="L386"/>
  <c r="L382"/>
  <c r="L378"/>
  <c r="L374"/>
  <c r="M374" s="1"/>
  <c r="N374" s="1"/>
  <c r="L370"/>
  <c r="L366"/>
  <c r="L362"/>
  <c r="L358"/>
  <c r="M358" s="1"/>
  <c r="N358" s="1"/>
  <c r="L354"/>
  <c r="L350"/>
  <c r="L346"/>
  <c r="L342"/>
  <c r="M342" s="1"/>
  <c r="N342" s="1"/>
  <c r="L338"/>
  <c r="L334"/>
  <c r="L330"/>
  <c r="L326"/>
  <c r="M326" s="1"/>
  <c r="N326" s="1"/>
  <c r="L322"/>
  <c r="L318"/>
  <c r="L314"/>
  <c r="L310"/>
  <c r="M310" s="1"/>
  <c r="N310" s="1"/>
  <c r="L298"/>
  <c r="L281"/>
  <c r="L266"/>
  <c r="L250"/>
  <c r="M250" s="1"/>
  <c r="N250" s="1"/>
  <c r="L222"/>
  <c r="L192"/>
  <c r="L527"/>
  <c r="L523"/>
  <c r="M523" s="1"/>
  <c r="N523" s="1"/>
  <c r="L519"/>
  <c r="L515"/>
  <c r="L511"/>
  <c r="L507"/>
  <c r="M507" s="1"/>
  <c r="N507" s="1"/>
  <c r="L503"/>
  <c r="L499"/>
  <c r="L495"/>
  <c r="L491"/>
  <c r="M491" s="1"/>
  <c r="N491" s="1"/>
  <c r="L487"/>
  <c r="L483"/>
  <c r="L479"/>
  <c r="L475"/>
  <c r="M475" s="1"/>
  <c r="N475" s="1"/>
  <c r="L471"/>
  <c r="L467"/>
  <c r="L463"/>
  <c r="L459"/>
  <c r="M459" s="1"/>
  <c r="N459" s="1"/>
  <c r="L455"/>
  <c r="L451"/>
  <c r="L447"/>
  <c r="L443"/>
  <c r="M443" s="1"/>
  <c r="N443" s="1"/>
  <c r="L439"/>
  <c r="L435"/>
  <c r="L431"/>
  <c r="L427"/>
  <c r="M427" s="1"/>
  <c r="N427" s="1"/>
  <c r="L423"/>
  <c r="L419"/>
  <c r="L415"/>
  <c r="L411"/>
  <c r="M411" s="1"/>
  <c r="N411" s="1"/>
  <c r="L407"/>
  <c r="L403"/>
  <c r="L399"/>
  <c r="L395"/>
  <c r="M395" s="1"/>
  <c r="N395" s="1"/>
  <c r="L391"/>
  <c r="L387"/>
  <c r="L383"/>
  <c r="L379"/>
  <c r="M379" s="1"/>
  <c r="N379" s="1"/>
  <c r="L375"/>
  <c r="L371"/>
  <c r="L367"/>
  <c r="L363"/>
  <c r="M363" s="1"/>
  <c r="N363" s="1"/>
  <c r="L359"/>
  <c r="L355"/>
  <c r="L351"/>
  <c r="L347"/>
  <c r="M347" s="1"/>
  <c r="N347" s="1"/>
  <c r="L343"/>
  <c r="L339"/>
  <c r="L335"/>
  <c r="L331"/>
  <c r="M331" s="1"/>
  <c r="N331" s="1"/>
  <c r="L327"/>
  <c r="L323"/>
  <c r="L319"/>
  <c r="L315"/>
  <c r="M315" s="1"/>
  <c r="N315" s="1"/>
  <c r="L311"/>
  <c r="L302"/>
  <c r="L291"/>
  <c r="L270"/>
  <c r="M270" s="1"/>
  <c r="N270" s="1"/>
  <c r="L254"/>
  <c r="L234"/>
  <c r="L528"/>
  <c r="L524"/>
  <c r="M524" s="1"/>
  <c r="N524" s="1"/>
  <c r="L520"/>
  <c r="L516"/>
  <c r="L512"/>
  <c r="L508"/>
  <c r="M508" s="1"/>
  <c r="N508" s="1"/>
  <c r="L504"/>
  <c r="L500"/>
  <c r="L496"/>
  <c r="L492"/>
  <c r="M492" s="1"/>
  <c r="N492" s="1"/>
  <c r="L488"/>
  <c r="L484"/>
  <c r="L480"/>
  <c r="L476"/>
  <c r="M476" s="1"/>
  <c r="N476" s="1"/>
  <c r="L472"/>
  <c r="L468"/>
  <c r="L464"/>
  <c r="L460"/>
  <c r="M460" s="1"/>
  <c r="N460" s="1"/>
  <c r="L456"/>
  <c r="L452"/>
  <c r="L448"/>
  <c r="L444"/>
  <c r="M444" s="1"/>
  <c r="N444" s="1"/>
  <c r="L440"/>
  <c r="L436"/>
  <c r="L432"/>
  <c r="L428"/>
  <c r="M428" s="1"/>
  <c r="N428" s="1"/>
  <c r="L424"/>
  <c r="L420"/>
  <c r="L416"/>
  <c r="L412"/>
  <c r="M412" s="1"/>
  <c r="N412" s="1"/>
  <c r="L408"/>
  <c r="L404"/>
  <c r="L400"/>
  <c r="L396"/>
  <c r="M396" s="1"/>
  <c r="N396" s="1"/>
  <c r="L392"/>
  <c r="L388"/>
  <c r="L384"/>
  <c r="L380"/>
  <c r="M380" s="1"/>
  <c r="N380" s="1"/>
  <c r="L376"/>
  <c r="L372"/>
  <c r="L368"/>
  <c r="L364"/>
  <c r="M364" s="1"/>
  <c r="N364" s="1"/>
  <c r="L360"/>
  <c r="L356"/>
  <c r="L352"/>
  <c r="L348"/>
  <c r="M348" s="1"/>
  <c r="N348" s="1"/>
  <c r="L344"/>
  <c r="L340"/>
  <c r="L336"/>
  <c r="L332"/>
  <c r="M332" s="1"/>
  <c r="N332" s="1"/>
  <c r="L328"/>
  <c r="L324"/>
  <c r="L320"/>
  <c r="L316"/>
  <c r="M316" s="1"/>
  <c r="N316" s="1"/>
  <c r="L312"/>
  <c r="L306"/>
  <c r="L295"/>
  <c r="L284"/>
  <c r="M284" s="1"/>
  <c r="N284" s="1"/>
  <c r="L258"/>
  <c r="L242"/>
  <c r="L238"/>
  <c r="L214"/>
  <c r="M214" s="1"/>
  <c r="N214" s="1"/>
  <c r="L630"/>
  <c r="M630" s="1"/>
  <c r="L615"/>
  <c r="M615" s="1"/>
  <c r="L195"/>
  <c r="L181"/>
  <c r="M181" s="1"/>
  <c r="N181" s="1"/>
  <c r="L150"/>
  <c r="L619"/>
  <c r="M619" s="1"/>
  <c r="L608"/>
  <c r="M608" s="1"/>
  <c r="L230"/>
  <c r="M230" s="1"/>
  <c r="N230" s="1"/>
  <c r="L136"/>
  <c r="L218"/>
  <c r="L202"/>
  <c r="L185"/>
  <c r="M185" s="1"/>
  <c r="N185" s="1"/>
  <c r="L144"/>
  <c r="L112"/>
  <c r="L92"/>
  <c r="L80"/>
  <c r="M80" s="1"/>
  <c r="N80" s="1"/>
  <c r="L634"/>
  <c r="M634" s="1"/>
  <c r="L627"/>
  <c r="M627" s="1"/>
  <c r="L623"/>
  <c r="M623" s="1"/>
  <c r="L620"/>
  <c r="M620" s="1"/>
  <c r="L616"/>
  <c r="M616" s="1"/>
  <c r="L613"/>
  <c r="M613" s="1"/>
  <c r="L609"/>
  <c r="M609" s="1"/>
  <c r="L174"/>
  <c r="M174" s="1"/>
  <c r="N174" s="1"/>
  <c r="L164"/>
  <c r="L120"/>
  <c r="L56"/>
  <c r="L635"/>
  <c r="M635" s="1"/>
  <c r="L631"/>
  <c r="M631" s="1"/>
  <c r="L628"/>
  <c r="M628" s="1"/>
  <c r="L624"/>
  <c r="M624" s="1"/>
  <c r="L621"/>
  <c r="M621" s="1"/>
  <c r="L617"/>
  <c r="M617" s="1"/>
  <c r="L614"/>
  <c r="M614" s="1"/>
  <c r="L610"/>
  <c r="M610" s="1"/>
  <c r="L607"/>
  <c r="M607" s="1"/>
  <c r="L226"/>
  <c r="L210"/>
  <c r="L199"/>
  <c r="L188"/>
  <c r="M188" s="1"/>
  <c r="N188" s="1"/>
  <c r="L168"/>
  <c r="L158"/>
  <c r="L128"/>
  <c r="L99"/>
  <c r="M99" s="1"/>
  <c r="N99" s="1"/>
  <c r="L87"/>
  <c r="L49"/>
  <c r="L636"/>
  <c r="M636" s="1"/>
  <c r="L632"/>
  <c r="M632" s="1"/>
  <c r="L629"/>
  <c r="M629" s="1"/>
  <c r="L625"/>
  <c r="M625" s="1"/>
  <c r="L622"/>
  <c r="M622" s="1"/>
  <c r="L618"/>
  <c r="M618" s="1"/>
  <c r="L611"/>
  <c r="M611" s="1"/>
  <c r="L307"/>
  <c r="L303"/>
  <c r="L299"/>
  <c r="M299" s="1"/>
  <c r="N299" s="1"/>
  <c r="L296"/>
  <c r="L292"/>
  <c r="L289"/>
  <c r="L285"/>
  <c r="M285" s="1"/>
  <c r="N285" s="1"/>
  <c r="L278"/>
  <c r="L274"/>
  <c r="L271"/>
  <c r="L267"/>
  <c r="M267" s="1"/>
  <c r="N267" s="1"/>
  <c r="L263"/>
  <c r="L259"/>
  <c r="L255"/>
  <c r="L251"/>
  <c r="M251" s="1"/>
  <c r="N251" s="1"/>
  <c r="L247"/>
  <c r="L243"/>
  <c r="L239"/>
  <c r="L235"/>
  <c r="M235" s="1"/>
  <c r="N235" s="1"/>
  <c r="L231"/>
  <c r="L227"/>
  <c r="L223"/>
  <c r="L219"/>
  <c r="M219" s="1"/>
  <c r="N219" s="1"/>
  <c r="L215"/>
  <c r="L211"/>
  <c r="L207"/>
  <c r="L203"/>
  <c r="M203" s="1"/>
  <c r="N203" s="1"/>
  <c r="L200"/>
  <c r="L196"/>
  <c r="L193"/>
  <c r="L189"/>
  <c r="M189" s="1"/>
  <c r="N189" s="1"/>
  <c r="L182"/>
  <c r="L178"/>
  <c r="L175"/>
  <c r="L171"/>
  <c r="M171" s="1"/>
  <c r="N171" s="1"/>
  <c r="L169"/>
  <c r="L165"/>
  <c r="L162"/>
  <c r="L159"/>
  <c r="M159" s="1"/>
  <c r="N159" s="1"/>
  <c r="L155"/>
  <c r="L152"/>
  <c r="L138"/>
  <c r="L130"/>
  <c r="M130" s="1"/>
  <c r="N130" s="1"/>
  <c r="L122"/>
  <c r="L114"/>
  <c r="L106"/>
  <c r="L101"/>
  <c r="M101" s="1"/>
  <c r="N101" s="1"/>
  <c r="L94"/>
  <c r="L89"/>
  <c r="L308"/>
  <c r="L304"/>
  <c r="M304" s="1"/>
  <c r="N304" s="1"/>
  <c r="L300"/>
  <c r="L297"/>
  <c r="L293"/>
  <c r="L286"/>
  <c r="M286" s="1"/>
  <c r="N286" s="1"/>
  <c r="L282"/>
  <c r="L279"/>
  <c r="L275"/>
  <c r="L272"/>
  <c r="M272" s="1"/>
  <c r="N272" s="1"/>
  <c r="L268"/>
  <c r="L264"/>
  <c r="L260"/>
  <c r="L256"/>
  <c r="M256" s="1"/>
  <c r="N256" s="1"/>
  <c r="L252"/>
  <c r="L248"/>
  <c r="L244"/>
  <c r="L240"/>
  <c r="M240" s="1"/>
  <c r="N240" s="1"/>
  <c r="L236"/>
  <c r="L232"/>
  <c r="L228"/>
  <c r="L224"/>
  <c r="M224" s="1"/>
  <c r="N224" s="1"/>
  <c r="L220"/>
  <c r="L216"/>
  <c r="L212"/>
  <c r="L208"/>
  <c r="M208" s="1"/>
  <c r="N208" s="1"/>
  <c r="L204"/>
  <c r="L201"/>
  <c r="L197"/>
  <c r="L190"/>
  <c r="M190" s="1"/>
  <c r="N190" s="1"/>
  <c r="L186"/>
  <c r="L183"/>
  <c r="L179"/>
  <c r="L176"/>
  <c r="M176" s="1"/>
  <c r="N176" s="1"/>
  <c r="L172"/>
  <c r="L166"/>
  <c r="L160"/>
  <c r="L156"/>
  <c r="M156" s="1"/>
  <c r="N156" s="1"/>
  <c r="L140"/>
  <c r="L132"/>
  <c r="L124"/>
  <c r="L116"/>
  <c r="M116" s="1"/>
  <c r="N116" s="1"/>
  <c r="L108"/>
  <c r="L103"/>
  <c r="L96"/>
  <c r="L83"/>
  <c r="M83" s="1"/>
  <c r="N83" s="1"/>
  <c r="L76"/>
  <c r="L68"/>
  <c r="L305"/>
  <c r="L301"/>
  <c r="M301" s="1"/>
  <c r="N301" s="1"/>
  <c r="L294"/>
  <c r="L290"/>
  <c r="L287"/>
  <c r="L283"/>
  <c r="M283" s="1"/>
  <c r="N283" s="1"/>
  <c r="L280"/>
  <c r="L276"/>
  <c r="L273"/>
  <c r="L269"/>
  <c r="M269" s="1"/>
  <c r="N269" s="1"/>
  <c r="L265"/>
  <c r="L261"/>
  <c r="L257"/>
  <c r="L253"/>
  <c r="M253" s="1"/>
  <c r="N253" s="1"/>
  <c r="L249"/>
  <c r="L245"/>
  <c r="L241"/>
  <c r="L237"/>
  <c r="M237" s="1"/>
  <c r="N237" s="1"/>
  <c r="L233"/>
  <c r="L229"/>
  <c r="L225"/>
  <c r="L221"/>
  <c r="M221" s="1"/>
  <c r="N221" s="1"/>
  <c r="L217"/>
  <c r="L213"/>
  <c r="L209"/>
  <c r="L205"/>
  <c r="M205" s="1"/>
  <c r="N205" s="1"/>
  <c r="L198"/>
  <c r="L194"/>
  <c r="L191"/>
  <c r="L187"/>
  <c r="M187" s="1"/>
  <c r="N187" s="1"/>
  <c r="L184"/>
  <c r="L180"/>
  <c r="L177"/>
  <c r="L173"/>
  <c r="M173" s="1"/>
  <c r="N173" s="1"/>
  <c r="L170"/>
  <c r="L167"/>
  <c r="L163"/>
  <c r="L161"/>
  <c r="M161" s="1"/>
  <c r="N161" s="1"/>
  <c r="L157"/>
  <c r="L154"/>
  <c r="L148"/>
  <c r="L142"/>
  <c r="M142" s="1"/>
  <c r="N142" s="1"/>
  <c r="L134"/>
  <c r="L126"/>
  <c r="L118"/>
  <c r="L110"/>
  <c r="M110" s="1"/>
  <c r="N110" s="1"/>
  <c r="L105"/>
  <c r="L90"/>
  <c r="L85"/>
  <c r="L78"/>
  <c r="M78" s="1"/>
  <c r="N78" s="1"/>
  <c r="L72"/>
  <c r="L62"/>
  <c r="L52"/>
  <c r="L153"/>
  <c r="M153" s="1"/>
  <c r="N153" s="1"/>
  <c r="L149"/>
  <c r="L146"/>
  <c r="L143"/>
  <c r="L139"/>
  <c r="M139" s="1"/>
  <c r="N139" s="1"/>
  <c r="L135"/>
  <c r="L131"/>
  <c r="L127"/>
  <c r="L123"/>
  <c r="M123" s="1"/>
  <c r="N123" s="1"/>
  <c r="L119"/>
  <c r="L115"/>
  <c r="L111"/>
  <c r="L107"/>
  <c r="M107" s="1"/>
  <c r="N107" s="1"/>
  <c r="L104"/>
  <c r="L100"/>
  <c r="L97"/>
  <c r="L93"/>
  <c r="M93" s="1"/>
  <c r="N93" s="1"/>
  <c r="L86"/>
  <c r="L82"/>
  <c r="L79"/>
  <c r="L75"/>
  <c r="M75" s="1"/>
  <c r="N75" s="1"/>
  <c r="L73"/>
  <c r="L69"/>
  <c r="L66"/>
  <c r="L63"/>
  <c r="M63" s="1"/>
  <c r="N63" s="1"/>
  <c r="L59"/>
  <c r="L57"/>
  <c r="L53"/>
  <c r="L28"/>
  <c r="M28" s="1"/>
  <c r="N28" s="1"/>
  <c r="C59" i="29"/>
  <c r="L70" i="49"/>
  <c r="L64"/>
  <c r="L60"/>
  <c r="M60" s="1"/>
  <c r="N60" s="1"/>
  <c r="L54"/>
  <c r="L50"/>
  <c r="L46"/>
  <c r="L151"/>
  <c r="M151" s="1"/>
  <c r="N151" s="1"/>
  <c r="L147"/>
  <c r="L145"/>
  <c r="L141"/>
  <c r="L137"/>
  <c r="M137" s="1"/>
  <c r="N137" s="1"/>
  <c r="L133"/>
  <c r="L129"/>
  <c r="L125"/>
  <c r="L121"/>
  <c r="M121" s="1"/>
  <c r="N121" s="1"/>
  <c r="L117"/>
  <c r="L113"/>
  <c r="L109"/>
  <c r="L102"/>
  <c r="M102" s="1"/>
  <c r="N102" s="1"/>
  <c r="L98"/>
  <c r="L95"/>
  <c r="L91"/>
  <c r="L88"/>
  <c r="M88" s="1"/>
  <c r="N88" s="1"/>
  <c r="L84"/>
  <c r="L81"/>
  <c r="L77"/>
  <c r="L74"/>
  <c r="M74" s="1"/>
  <c r="N74" s="1"/>
  <c r="L71"/>
  <c r="L67"/>
  <c r="L65"/>
  <c r="L61"/>
  <c r="M61" s="1"/>
  <c r="N61" s="1"/>
  <c r="L58"/>
  <c r="L55"/>
  <c r="L48"/>
  <c r="L42"/>
  <c r="M42" s="1"/>
  <c r="N42" s="1"/>
  <c r="C190" i="29"/>
  <c r="C192" s="1"/>
  <c r="B536" i="49" s="1"/>
  <c r="M708"/>
  <c r="M724"/>
  <c r="M1036"/>
  <c r="M856"/>
  <c r="M1049"/>
  <c r="M605"/>
  <c r="M1037"/>
  <c r="M909"/>
  <c r="M733"/>
  <c r="M711"/>
  <c r="L51"/>
  <c r="L47"/>
  <c r="L43"/>
  <c r="L36"/>
  <c r="L32"/>
  <c r="L21"/>
  <c r="L25"/>
  <c r="L29"/>
  <c r="L33"/>
  <c r="L37"/>
  <c r="L19"/>
  <c r="L22"/>
  <c r="L26"/>
  <c r="L30"/>
  <c r="L34"/>
  <c r="L20"/>
  <c r="L23"/>
  <c r="L27"/>
  <c r="L31"/>
  <c r="L35"/>
  <c r="L39"/>
  <c r="L45"/>
  <c r="L41"/>
  <c r="L40"/>
  <c r="L18"/>
  <c r="L44"/>
  <c r="L38"/>
  <c r="L554"/>
  <c r="L558"/>
  <c r="L562"/>
  <c r="L566"/>
  <c r="L570"/>
  <c r="L574"/>
  <c r="L578"/>
  <c r="L582"/>
  <c r="L586"/>
  <c r="L590"/>
  <c r="L594"/>
  <c r="L598"/>
  <c r="L602"/>
  <c r="L551"/>
  <c r="L552"/>
  <c r="L555"/>
  <c r="L559"/>
  <c r="L563"/>
  <c r="L567"/>
  <c r="L571"/>
  <c r="L575"/>
  <c r="L579"/>
  <c r="L583"/>
  <c r="L587"/>
  <c r="L591"/>
  <c r="L595"/>
  <c r="L599"/>
  <c r="L603"/>
  <c r="L553"/>
  <c r="L556"/>
  <c r="L560"/>
  <c r="L564"/>
  <c r="L568"/>
  <c r="L572"/>
  <c r="L576"/>
  <c r="L580"/>
  <c r="L584"/>
  <c r="L588"/>
  <c r="L592"/>
  <c r="L596"/>
  <c r="L600"/>
  <c r="L604"/>
  <c r="L557"/>
  <c r="L561"/>
  <c r="L565"/>
  <c r="L569"/>
  <c r="L573"/>
  <c r="L577"/>
  <c r="L581"/>
  <c r="L585"/>
  <c r="L589"/>
  <c r="L593"/>
  <c r="L597"/>
  <c r="L601"/>
  <c r="E56" i="29"/>
  <c r="E57" s="1"/>
  <c r="B547" i="49" s="1"/>
  <c r="D56" i="29"/>
  <c r="D57" s="1"/>
  <c r="B14" i="49" s="1"/>
  <c r="C56" i="29"/>
  <c r="C57" s="1"/>
  <c r="B57"/>
  <c r="B537" i="49"/>
  <c r="K536"/>
  <c r="E30" i="48"/>
  <c r="J548" i="49"/>
  <c r="E126" i="29"/>
  <c r="B13" i="49"/>
  <c r="J8"/>
  <c r="B4"/>
  <c r="B546"/>
  <c r="M89" i="48"/>
  <c r="M90"/>
  <c r="M88"/>
  <c r="M91"/>
  <c r="M92"/>
  <c r="M93"/>
  <c r="M95"/>
  <c r="M94"/>
  <c r="M96"/>
  <c r="H4" i="26"/>
  <c r="H5"/>
  <c r="H6"/>
  <c r="H7"/>
  <c r="H8"/>
  <c r="H9"/>
  <c r="H10"/>
  <c r="H11"/>
  <c r="H12"/>
  <c r="H13"/>
  <c r="H14"/>
  <c r="H15"/>
  <c r="H16"/>
  <c r="H17"/>
  <c r="H18"/>
  <c r="H21"/>
  <c r="H22"/>
  <c r="H25"/>
  <c r="H27"/>
  <c r="H29"/>
  <c r="H30"/>
  <c r="H33"/>
  <c r="H34"/>
  <c r="H36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20"/>
  <c r="H23"/>
  <c r="H24"/>
  <c r="H26"/>
  <c r="H28"/>
  <c r="H31"/>
  <c r="H32"/>
  <c r="H35"/>
  <c r="H37"/>
  <c r="H38"/>
  <c r="H39"/>
  <c r="H40"/>
  <c r="H41"/>
  <c r="H42"/>
  <c r="H43"/>
  <c r="H44"/>
  <c r="H45"/>
  <c r="H46"/>
  <c r="H47"/>
  <c r="H48"/>
  <c r="H49"/>
  <c r="H50"/>
  <c r="H51"/>
  <c r="H52"/>
  <c r="M377" i="49" l="1"/>
  <c r="N377" s="1"/>
  <c r="M441"/>
  <c r="N441" s="1"/>
  <c r="M505"/>
  <c r="N505" s="1"/>
  <c r="L12"/>
  <c r="L11"/>
  <c r="L13"/>
  <c r="L10"/>
  <c r="M64"/>
  <c r="N64" s="1"/>
  <c r="M387"/>
  <c r="N387" s="1"/>
  <c r="M172"/>
  <c r="N172" s="1"/>
  <c r="M182"/>
  <c r="N182" s="1"/>
  <c r="N733"/>
  <c r="N909"/>
  <c r="N965"/>
  <c r="N1037"/>
  <c r="N842"/>
  <c r="N808"/>
  <c r="N605"/>
  <c r="N642"/>
  <c r="N721"/>
  <c r="N861"/>
  <c r="N775"/>
  <c r="N1023"/>
  <c r="N891"/>
  <c r="N953"/>
  <c r="N1017"/>
  <c r="N922"/>
  <c r="N828"/>
  <c r="N722"/>
  <c r="N659"/>
  <c r="N939"/>
  <c r="N1003"/>
  <c r="N647"/>
  <c r="N657"/>
  <c r="N799"/>
  <c r="N831"/>
  <c r="N895"/>
  <c r="N1044"/>
  <c r="N616"/>
  <c r="N663"/>
  <c r="N751"/>
  <c r="N783"/>
  <c r="N943"/>
  <c r="N959"/>
  <c r="N1007"/>
  <c r="N1055"/>
  <c r="N646"/>
  <c r="N662"/>
  <c r="N782"/>
  <c r="N827"/>
  <c r="N713"/>
  <c r="N625"/>
  <c r="N669"/>
  <c r="N747"/>
  <c r="N1047"/>
  <c r="N654"/>
  <c r="N957"/>
  <c r="N674"/>
  <c r="N875"/>
  <c r="N698"/>
  <c r="N777"/>
  <c r="N888"/>
  <c r="N937"/>
  <c r="N1001"/>
  <c r="N1061"/>
  <c r="N1002"/>
  <c r="N878"/>
  <c r="N829"/>
  <c r="N794"/>
  <c r="N845"/>
  <c r="N1036"/>
  <c r="N844"/>
  <c r="N809"/>
  <c r="N699"/>
  <c r="N695"/>
  <c r="N797"/>
  <c r="N889"/>
  <c r="N1005"/>
  <c r="N661"/>
  <c r="N761"/>
  <c r="N1018"/>
  <c r="N892"/>
  <c r="N856"/>
  <c r="N812"/>
  <c r="N836"/>
  <c r="N628"/>
  <c r="N900"/>
  <c r="N764"/>
  <c r="N724"/>
  <c r="N884"/>
  <c r="N779"/>
  <c r="N880"/>
  <c r="N955"/>
  <c r="N1019"/>
  <c r="N627"/>
  <c r="N711"/>
  <c r="N749"/>
  <c r="N871"/>
  <c r="N925"/>
  <c r="N997"/>
  <c r="N1053"/>
  <c r="N727"/>
  <c r="N970"/>
  <c r="N857"/>
  <c r="N762"/>
  <c r="N697"/>
  <c r="N940"/>
  <c r="N772"/>
  <c r="N732"/>
  <c r="N650"/>
  <c r="N1057"/>
  <c r="M234"/>
  <c r="N234" s="1"/>
  <c r="M469"/>
  <c r="N469" s="1"/>
  <c r="M76"/>
  <c r="N76" s="1"/>
  <c r="M340"/>
  <c r="N340" s="1"/>
  <c r="M86"/>
  <c r="N86" s="1"/>
  <c r="M292"/>
  <c r="N292" s="1"/>
  <c r="M498"/>
  <c r="N498" s="1"/>
  <c r="M329"/>
  <c r="N329" s="1"/>
  <c r="M204"/>
  <c r="N204" s="1"/>
  <c r="M375"/>
  <c r="N375" s="1"/>
  <c r="M236"/>
  <c r="N236" s="1"/>
  <c r="M424"/>
  <c r="N424" s="1"/>
  <c r="M501"/>
  <c r="N501" s="1"/>
  <c r="M437"/>
  <c r="N437" s="1"/>
  <c r="M485"/>
  <c r="N485" s="1"/>
  <c r="M517"/>
  <c r="N517" s="1"/>
  <c r="M132"/>
  <c r="N132" s="1"/>
  <c r="M388"/>
  <c r="N388" s="1"/>
  <c r="M134"/>
  <c r="N134" s="1"/>
  <c r="M462"/>
  <c r="N462" s="1"/>
  <c r="M66"/>
  <c r="N66" s="1"/>
  <c r="N851"/>
  <c r="N754"/>
  <c r="N962"/>
  <c r="N849"/>
  <c r="N924"/>
  <c r="M84"/>
  <c r="N84" s="1"/>
  <c r="M98"/>
  <c r="N98" s="1"/>
  <c r="M54"/>
  <c r="N54" s="1"/>
  <c r="M104"/>
  <c r="N104" s="1"/>
  <c r="M198"/>
  <c r="N198" s="1"/>
  <c r="M140"/>
  <c r="N140" s="1"/>
  <c r="M252"/>
  <c r="N252" s="1"/>
  <c r="M268"/>
  <c r="N268" s="1"/>
  <c r="M282"/>
  <c r="N282" s="1"/>
  <c r="M300"/>
  <c r="N300" s="1"/>
  <c r="M94"/>
  <c r="N94" s="1"/>
  <c r="M263"/>
  <c r="N263" s="1"/>
  <c r="M296"/>
  <c r="N296" s="1"/>
  <c r="M144"/>
  <c r="N144" s="1"/>
  <c r="M150"/>
  <c r="N150" s="1"/>
  <c r="M312"/>
  <c r="N312" s="1"/>
  <c r="M328"/>
  <c r="N328" s="1"/>
  <c r="M392"/>
  <c r="N392" s="1"/>
  <c r="M472"/>
  <c r="N472" s="1"/>
  <c r="M327"/>
  <c r="N327" s="1"/>
  <c r="M391"/>
  <c r="N391" s="1"/>
  <c r="M418"/>
  <c r="N418" s="1"/>
  <c r="M434"/>
  <c r="N434" s="1"/>
  <c r="M466"/>
  <c r="N466" s="1"/>
  <c r="M461"/>
  <c r="N461" s="1"/>
  <c r="M421"/>
  <c r="N421" s="1"/>
  <c r="N635"/>
  <c r="N633"/>
  <c r="N707"/>
  <c r="N739"/>
  <c r="N755"/>
  <c r="N771"/>
  <c r="N787"/>
  <c r="N803"/>
  <c r="N835"/>
  <c r="N666"/>
  <c r="N694"/>
  <c r="N786"/>
  <c r="N850"/>
  <c r="N898"/>
  <c r="N930"/>
  <c r="N994"/>
  <c r="N1026"/>
  <c r="N881"/>
  <c r="N1041"/>
  <c r="N679"/>
  <c r="N868"/>
  <c r="N1028"/>
  <c r="N864"/>
  <c r="M69"/>
  <c r="N69" s="1"/>
  <c r="N611"/>
  <c r="N629"/>
  <c r="N617"/>
  <c r="N631"/>
  <c r="N735"/>
  <c r="N767"/>
  <c r="N847"/>
  <c r="N863"/>
  <c r="N879"/>
  <c r="N911"/>
  <c r="N927"/>
  <c r="N975"/>
  <c r="N991"/>
  <c r="N1039"/>
  <c r="N678"/>
  <c r="N690"/>
  <c r="N703"/>
  <c r="N717"/>
  <c r="N731"/>
  <c r="N813"/>
  <c r="N846"/>
  <c r="N862"/>
  <c r="N645"/>
  <c r="N677"/>
  <c r="N716"/>
  <c r="N765"/>
  <c r="N781"/>
  <c r="N877"/>
  <c r="N893"/>
  <c r="N941"/>
  <c r="N973"/>
  <c r="N989"/>
  <c r="N1021"/>
  <c r="N780"/>
  <c r="N908"/>
  <c r="N668"/>
  <c r="N729"/>
  <c r="N788"/>
  <c r="N852"/>
  <c r="N916"/>
  <c r="N686"/>
  <c r="N848"/>
  <c r="M108"/>
  <c r="N108" s="1"/>
  <c r="M227"/>
  <c r="N227" s="1"/>
  <c r="M376"/>
  <c r="N376" s="1"/>
  <c r="M468"/>
  <c r="N468" s="1"/>
  <c r="M490"/>
  <c r="N490" s="1"/>
  <c r="M220"/>
  <c r="N220" s="1"/>
  <c r="M324"/>
  <c r="N324" s="1"/>
  <c r="M383"/>
  <c r="N383" s="1"/>
  <c r="M339"/>
  <c r="N339" s="1"/>
  <c r="M361"/>
  <c r="N361" s="1"/>
  <c r="M164"/>
  <c r="N164" s="1"/>
  <c r="M259"/>
  <c r="N259" s="1"/>
  <c r="M404"/>
  <c r="N404" s="1"/>
  <c r="M500"/>
  <c r="N500" s="1"/>
  <c r="M166"/>
  <c r="N166" s="1"/>
  <c r="M446"/>
  <c r="N446" s="1"/>
  <c r="M184"/>
  <c r="N184" s="1"/>
  <c r="M178"/>
  <c r="N178" s="1"/>
  <c r="M258"/>
  <c r="N258" s="1"/>
  <c r="J15"/>
  <c r="N675"/>
  <c r="N763"/>
  <c r="N795"/>
  <c r="N807"/>
  <c r="N823"/>
  <c r="N923"/>
  <c r="N987"/>
  <c r="M100"/>
  <c r="N100" s="1"/>
  <c r="M307"/>
  <c r="N307" s="1"/>
  <c r="M372"/>
  <c r="N372" s="1"/>
  <c r="N673"/>
  <c r="N901"/>
  <c r="N1029"/>
  <c r="M62"/>
  <c r="N62" s="1"/>
  <c r="M158"/>
  <c r="N158" s="1"/>
  <c r="M206"/>
  <c r="N206" s="1"/>
  <c r="M430"/>
  <c r="N430" s="1"/>
  <c r="M494"/>
  <c r="N494" s="1"/>
  <c r="M371"/>
  <c r="N371" s="1"/>
  <c r="N658"/>
  <c r="N691"/>
  <c r="N859"/>
  <c r="M510"/>
  <c r="N510" s="1"/>
  <c r="N745"/>
  <c r="N811"/>
  <c r="N921"/>
  <c r="N985"/>
  <c r="N1051"/>
  <c r="M146"/>
  <c r="N146" s="1"/>
  <c r="M103"/>
  <c r="N103" s="1"/>
  <c r="N986"/>
  <c r="N938"/>
  <c r="N778"/>
  <c r="N730"/>
  <c r="N652"/>
  <c r="N840"/>
  <c r="N688"/>
  <c r="N948"/>
  <c r="N822"/>
  <c r="N748"/>
  <c r="N708"/>
  <c r="M68"/>
  <c r="N68" s="1"/>
  <c r="M196"/>
  <c r="N196" s="1"/>
  <c r="M323"/>
  <c r="N323" s="1"/>
  <c r="M436"/>
  <c r="N436" s="1"/>
  <c r="M360"/>
  <c r="N360" s="1"/>
  <c r="M126"/>
  <c r="N126" s="1"/>
  <c r="M276"/>
  <c r="N276" s="1"/>
  <c r="M514"/>
  <c r="N514" s="1"/>
  <c r="M359"/>
  <c r="N359" s="1"/>
  <c r="M450"/>
  <c r="N450" s="1"/>
  <c r="M338"/>
  <c r="N338" s="1"/>
  <c r="N700"/>
  <c r="N1049"/>
  <c r="N643"/>
  <c r="N687"/>
  <c r="N843"/>
  <c r="N907"/>
  <c r="N971"/>
  <c r="N1035"/>
  <c r="M24"/>
  <c r="N24" s="1"/>
  <c r="M180"/>
  <c r="N180" s="1"/>
  <c r="M210"/>
  <c r="N210" s="1"/>
  <c r="M243"/>
  <c r="N243" s="1"/>
  <c r="M291"/>
  <c r="N291" s="1"/>
  <c r="M356"/>
  <c r="N356" s="1"/>
  <c r="M420"/>
  <c r="N420" s="1"/>
  <c r="M452"/>
  <c r="N452" s="1"/>
  <c r="M484"/>
  <c r="N484" s="1"/>
  <c r="M528"/>
  <c r="N528" s="1"/>
  <c r="N619"/>
  <c r="N641"/>
  <c r="N682"/>
  <c r="N715"/>
  <c r="N933"/>
  <c r="M414"/>
  <c r="N414" s="1"/>
  <c r="M478"/>
  <c r="N478" s="1"/>
  <c r="N613"/>
  <c r="N637"/>
  <c r="N743"/>
  <c r="N615"/>
  <c r="N793"/>
  <c r="N905"/>
  <c r="N969"/>
  <c r="N1033"/>
  <c r="M435"/>
  <c r="N435" s="1"/>
  <c r="M306"/>
  <c r="N306" s="1"/>
  <c r="N1034"/>
  <c r="N954"/>
  <c r="N906"/>
  <c r="N873"/>
  <c r="N826"/>
  <c r="N746"/>
  <c r="N890"/>
  <c r="N841"/>
  <c r="N718"/>
  <c r="N825"/>
  <c r="N756"/>
  <c r="N618"/>
  <c r="N632"/>
  <c r="N607"/>
  <c r="N621"/>
  <c r="N620"/>
  <c r="N651"/>
  <c r="N667"/>
  <c r="N685"/>
  <c r="N725"/>
  <c r="N821"/>
  <c r="N867"/>
  <c r="N883"/>
  <c r="N899"/>
  <c r="N915"/>
  <c r="N931"/>
  <c r="N947"/>
  <c r="N963"/>
  <c r="N979"/>
  <c r="N995"/>
  <c r="N1011"/>
  <c r="N1027"/>
  <c r="N1043"/>
  <c r="N1059"/>
  <c r="N738"/>
  <c r="N770"/>
  <c r="N802"/>
  <c r="N882"/>
  <c r="N914"/>
  <c r="N946"/>
  <c r="N978"/>
  <c r="N1010"/>
  <c r="N649"/>
  <c r="N665"/>
  <c r="N683"/>
  <c r="N719"/>
  <c r="N737"/>
  <c r="N753"/>
  <c r="N769"/>
  <c r="N785"/>
  <c r="N801"/>
  <c r="N815"/>
  <c r="N897"/>
  <c r="N913"/>
  <c r="N929"/>
  <c r="N945"/>
  <c r="N961"/>
  <c r="N977"/>
  <c r="N993"/>
  <c r="N1009"/>
  <c r="N1025"/>
  <c r="N796"/>
  <c r="N1052"/>
  <c r="N872"/>
  <c r="N740"/>
  <c r="N804"/>
  <c r="N932"/>
  <c r="N692"/>
  <c r="M141"/>
  <c r="N141" s="1"/>
  <c r="M136"/>
  <c r="N136" s="1"/>
  <c r="M247"/>
  <c r="N247" s="1"/>
  <c r="M311"/>
  <c r="N311" s="1"/>
  <c r="M416"/>
  <c r="N416" s="1"/>
  <c r="M456"/>
  <c r="N456" s="1"/>
  <c r="M504"/>
  <c r="N504" s="1"/>
  <c r="M288"/>
  <c r="N288" s="1"/>
  <c r="M458"/>
  <c r="N458" s="1"/>
  <c r="M58"/>
  <c r="N58" s="1"/>
  <c r="M90"/>
  <c r="N90" s="1"/>
  <c r="M170"/>
  <c r="N170" s="1"/>
  <c r="M216"/>
  <c r="N216" s="1"/>
  <c r="M248"/>
  <c r="N248" s="1"/>
  <c r="M280"/>
  <c r="N280" s="1"/>
  <c r="M426"/>
  <c r="N426" s="1"/>
  <c r="M522"/>
  <c r="N522" s="1"/>
  <c r="M147"/>
  <c r="N147" s="1"/>
  <c r="M115"/>
  <c r="N115" s="1"/>
  <c r="M49"/>
  <c r="N49" s="1"/>
  <c r="M333"/>
  <c r="N333" s="1"/>
  <c r="M451"/>
  <c r="N451" s="1"/>
  <c r="M167"/>
  <c r="N167" s="1"/>
  <c r="M513"/>
  <c r="N513" s="1"/>
  <c r="M366"/>
  <c r="N366" s="1"/>
  <c r="M334"/>
  <c r="N334" s="1"/>
  <c r="M290"/>
  <c r="N290" s="1"/>
  <c r="M265"/>
  <c r="N265" s="1"/>
  <c r="M242"/>
  <c r="N242" s="1"/>
  <c r="M77"/>
  <c r="N77" s="1"/>
  <c r="M73"/>
  <c r="N73" s="1"/>
  <c r="M135"/>
  <c r="N135" s="1"/>
  <c r="M183"/>
  <c r="N183" s="1"/>
  <c r="M117"/>
  <c r="N117" s="1"/>
  <c r="M133"/>
  <c r="N133" s="1"/>
  <c r="M119"/>
  <c r="N119" s="1"/>
  <c r="M149"/>
  <c r="N149" s="1"/>
  <c r="M157"/>
  <c r="N157" s="1"/>
  <c r="M217"/>
  <c r="N217" s="1"/>
  <c r="M294"/>
  <c r="N294" s="1"/>
  <c r="M169"/>
  <c r="N169" s="1"/>
  <c r="M278"/>
  <c r="N278" s="1"/>
  <c r="M87"/>
  <c r="N87" s="1"/>
  <c r="M254"/>
  <c r="N254" s="1"/>
  <c r="M407"/>
  <c r="N407" s="1"/>
  <c r="M423"/>
  <c r="N423" s="1"/>
  <c r="M439"/>
  <c r="N439" s="1"/>
  <c r="M455"/>
  <c r="N455" s="1"/>
  <c r="M471"/>
  <c r="N471" s="1"/>
  <c r="M487"/>
  <c r="N487" s="1"/>
  <c r="M503"/>
  <c r="N503" s="1"/>
  <c r="M222"/>
  <c r="N222" s="1"/>
  <c r="M386"/>
  <c r="N386" s="1"/>
  <c r="M385"/>
  <c r="N385" s="1"/>
  <c r="M449"/>
  <c r="N449" s="1"/>
  <c r="M397"/>
  <c r="N397" s="1"/>
  <c r="M525"/>
  <c r="N525" s="1"/>
  <c r="M425"/>
  <c r="N425" s="1"/>
  <c r="M489"/>
  <c r="N489" s="1"/>
  <c r="M120"/>
  <c r="N120" s="1"/>
  <c r="M168"/>
  <c r="N168" s="1"/>
  <c r="M200"/>
  <c r="N200" s="1"/>
  <c r="M231"/>
  <c r="N231" s="1"/>
  <c r="M295"/>
  <c r="N295" s="1"/>
  <c r="M343"/>
  <c r="N343" s="1"/>
  <c r="M408"/>
  <c r="N408" s="1"/>
  <c r="M448"/>
  <c r="N448" s="1"/>
  <c r="M488"/>
  <c r="N488" s="1"/>
  <c r="M526"/>
  <c r="N526" s="1"/>
  <c r="M402"/>
  <c r="N402" s="1"/>
  <c r="M48"/>
  <c r="N48" s="1"/>
  <c r="M82"/>
  <c r="N82" s="1"/>
  <c r="M122"/>
  <c r="N122" s="1"/>
  <c r="M162"/>
  <c r="N162" s="1"/>
  <c r="M194"/>
  <c r="N194" s="1"/>
  <c r="M355"/>
  <c r="N355" s="1"/>
  <c r="M516"/>
  <c r="N516" s="1"/>
  <c r="M467"/>
  <c r="N467" s="1"/>
  <c r="M195"/>
  <c r="N195" s="1"/>
  <c r="M155"/>
  <c r="N155" s="1"/>
  <c r="M91"/>
  <c r="N91" s="1"/>
  <c r="M59"/>
  <c r="N59" s="1"/>
  <c r="M370"/>
  <c r="N370" s="1"/>
  <c r="M483"/>
  <c r="N483" s="1"/>
  <c r="M213"/>
  <c r="N213" s="1"/>
  <c r="M354"/>
  <c r="N354" s="1"/>
  <c r="M519"/>
  <c r="N519" s="1"/>
  <c r="M445"/>
  <c r="N445" s="1"/>
  <c r="M405"/>
  <c r="N405" s="1"/>
  <c r="M345"/>
  <c r="N345" s="1"/>
  <c r="M321"/>
  <c r="N321" s="1"/>
  <c r="M297"/>
  <c r="N297" s="1"/>
  <c r="M274"/>
  <c r="N274" s="1"/>
  <c r="M249"/>
  <c r="N249" s="1"/>
  <c r="M226"/>
  <c r="N226" s="1"/>
  <c r="M57"/>
  <c r="N57" s="1"/>
  <c r="M109"/>
  <c r="N109" s="1"/>
  <c r="M165"/>
  <c r="N165" s="1"/>
  <c r="M55"/>
  <c r="N55" s="1"/>
  <c r="M81"/>
  <c r="N81" s="1"/>
  <c r="M95"/>
  <c r="N95" s="1"/>
  <c r="M113"/>
  <c r="N113" s="1"/>
  <c r="M129"/>
  <c r="N129" s="1"/>
  <c r="M145"/>
  <c r="N145" s="1"/>
  <c r="M50"/>
  <c r="N50" s="1"/>
  <c r="M70"/>
  <c r="N70" s="1"/>
  <c r="M229"/>
  <c r="N229" s="1"/>
  <c r="M245"/>
  <c r="N245" s="1"/>
  <c r="M261"/>
  <c r="N261" s="1"/>
  <c r="M201"/>
  <c r="N201" s="1"/>
  <c r="M89"/>
  <c r="N89" s="1"/>
  <c r="M211"/>
  <c r="N211" s="1"/>
  <c r="M218"/>
  <c r="N218" s="1"/>
  <c r="M302"/>
  <c r="N302" s="1"/>
  <c r="M515"/>
  <c r="N515" s="1"/>
  <c r="M318"/>
  <c r="N318" s="1"/>
  <c r="M382"/>
  <c r="N382" s="1"/>
  <c r="M398"/>
  <c r="N398" s="1"/>
  <c r="M277"/>
  <c r="N277" s="1"/>
  <c r="M369"/>
  <c r="N369" s="1"/>
  <c r="M433"/>
  <c r="N433" s="1"/>
  <c r="M497"/>
  <c r="N497" s="1"/>
  <c r="M317"/>
  <c r="N317" s="1"/>
  <c r="M381"/>
  <c r="N381" s="1"/>
  <c r="M509"/>
  <c r="N509" s="1"/>
  <c r="M262"/>
  <c r="N262" s="1"/>
  <c r="M409"/>
  <c r="N409" s="1"/>
  <c r="M473"/>
  <c r="N473" s="1"/>
  <c r="M72"/>
  <c r="N72" s="1"/>
  <c r="M112"/>
  <c r="N112" s="1"/>
  <c r="M152"/>
  <c r="N152" s="1"/>
  <c r="M192"/>
  <c r="N192" s="1"/>
  <c r="M215"/>
  <c r="N215" s="1"/>
  <c r="M279"/>
  <c r="N279" s="1"/>
  <c r="M440"/>
  <c r="N440" s="1"/>
  <c r="M480"/>
  <c r="N480" s="1"/>
  <c r="M520"/>
  <c r="N520" s="1"/>
  <c r="M344"/>
  <c r="N344" s="1"/>
  <c r="M46"/>
  <c r="N46" s="1"/>
  <c r="M114"/>
  <c r="N114" s="1"/>
  <c r="M154"/>
  <c r="N154" s="1"/>
  <c r="M186"/>
  <c r="N186" s="1"/>
  <c r="M232"/>
  <c r="N232" s="1"/>
  <c r="M264"/>
  <c r="N264" s="1"/>
  <c r="M482"/>
  <c r="N482" s="1"/>
  <c r="M163"/>
  <c r="N163" s="1"/>
  <c r="M131"/>
  <c r="N131" s="1"/>
  <c r="M67"/>
  <c r="N67" s="1"/>
  <c r="M419"/>
  <c r="N419" s="1"/>
  <c r="M499"/>
  <c r="N499" s="1"/>
  <c r="M71"/>
  <c r="N71" s="1"/>
  <c r="M403"/>
  <c r="N403" s="1"/>
  <c r="M453"/>
  <c r="N453" s="1"/>
  <c r="M350"/>
  <c r="N350" s="1"/>
  <c r="M322"/>
  <c r="N322" s="1"/>
  <c r="M298"/>
  <c r="N298" s="1"/>
  <c r="M281"/>
  <c r="N281" s="1"/>
  <c r="M233"/>
  <c r="N233" s="1"/>
  <c r="M105"/>
  <c r="N105" s="1"/>
  <c r="M65"/>
  <c r="N65" s="1"/>
  <c r="M125"/>
  <c r="N125" s="1"/>
  <c r="M53"/>
  <c r="N53" s="1"/>
  <c r="M79"/>
  <c r="N79" s="1"/>
  <c r="M97"/>
  <c r="N97" s="1"/>
  <c r="M111"/>
  <c r="N111" s="1"/>
  <c r="M127"/>
  <c r="N127" s="1"/>
  <c r="M143"/>
  <c r="N143" s="1"/>
  <c r="M52"/>
  <c r="N52" s="1"/>
  <c r="M85"/>
  <c r="N85" s="1"/>
  <c r="M118"/>
  <c r="N118" s="1"/>
  <c r="M148"/>
  <c r="N148" s="1"/>
  <c r="M177"/>
  <c r="N177" s="1"/>
  <c r="M191"/>
  <c r="N191" s="1"/>
  <c r="M209"/>
  <c r="N209" s="1"/>
  <c r="M225"/>
  <c r="N225" s="1"/>
  <c r="M241"/>
  <c r="N241" s="1"/>
  <c r="M257"/>
  <c r="N257" s="1"/>
  <c r="M273"/>
  <c r="N273" s="1"/>
  <c r="M287"/>
  <c r="N287" s="1"/>
  <c r="M305"/>
  <c r="N305" s="1"/>
  <c r="M96"/>
  <c r="N96" s="1"/>
  <c r="M124"/>
  <c r="N124" s="1"/>
  <c r="M160"/>
  <c r="N160" s="1"/>
  <c r="M179"/>
  <c r="N179" s="1"/>
  <c r="M197"/>
  <c r="N197" s="1"/>
  <c r="M212"/>
  <c r="N212" s="1"/>
  <c r="M228"/>
  <c r="N228" s="1"/>
  <c r="M244"/>
  <c r="N244" s="1"/>
  <c r="M260"/>
  <c r="N260" s="1"/>
  <c r="M275"/>
  <c r="N275" s="1"/>
  <c r="M293"/>
  <c r="N293" s="1"/>
  <c r="M308"/>
  <c r="N308" s="1"/>
  <c r="M106"/>
  <c r="N106" s="1"/>
  <c r="M138"/>
  <c r="N138" s="1"/>
  <c r="M175"/>
  <c r="N175" s="1"/>
  <c r="M193"/>
  <c r="N193" s="1"/>
  <c r="M207"/>
  <c r="N207" s="1"/>
  <c r="M223"/>
  <c r="N223" s="1"/>
  <c r="M239"/>
  <c r="N239" s="1"/>
  <c r="M255"/>
  <c r="N255" s="1"/>
  <c r="M271"/>
  <c r="N271" s="1"/>
  <c r="M289"/>
  <c r="N289" s="1"/>
  <c r="M303"/>
  <c r="N303" s="1"/>
  <c r="M128"/>
  <c r="N128" s="1"/>
  <c r="M199"/>
  <c r="N199" s="1"/>
  <c r="M56"/>
  <c r="N56" s="1"/>
  <c r="M92"/>
  <c r="N92" s="1"/>
  <c r="M202"/>
  <c r="N202" s="1"/>
  <c r="M238"/>
  <c r="N238" s="1"/>
  <c r="M320"/>
  <c r="N320" s="1"/>
  <c r="M336"/>
  <c r="N336" s="1"/>
  <c r="M352"/>
  <c r="N352" s="1"/>
  <c r="M368"/>
  <c r="N368" s="1"/>
  <c r="M384"/>
  <c r="N384" s="1"/>
  <c r="M400"/>
  <c r="N400" s="1"/>
  <c r="M432"/>
  <c r="N432" s="1"/>
  <c r="M464"/>
  <c r="N464" s="1"/>
  <c r="M496"/>
  <c r="N496" s="1"/>
  <c r="M512"/>
  <c r="N512" s="1"/>
  <c r="M319"/>
  <c r="N319" s="1"/>
  <c r="M335"/>
  <c r="N335" s="1"/>
  <c r="M351"/>
  <c r="N351" s="1"/>
  <c r="M367"/>
  <c r="N367" s="1"/>
  <c r="M399"/>
  <c r="N399" s="1"/>
  <c r="M415"/>
  <c r="N415" s="1"/>
  <c r="M431"/>
  <c r="N431" s="1"/>
  <c r="M447"/>
  <c r="N447" s="1"/>
  <c r="M463"/>
  <c r="N463" s="1"/>
  <c r="M479"/>
  <c r="N479" s="1"/>
  <c r="M495"/>
  <c r="N495" s="1"/>
  <c r="M511"/>
  <c r="N511" s="1"/>
  <c r="M527"/>
  <c r="N527" s="1"/>
  <c r="M266"/>
  <c r="N266" s="1"/>
  <c r="M314"/>
  <c r="N314" s="1"/>
  <c r="M330"/>
  <c r="N330" s="1"/>
  <c r="M346"/>
  <c r="N346" s="1"/>
  <c r="M362"/>
  <c r="N362" s="1"/>
  <c r="M378"/>
  <c r="N378" s="1"/>
  <c r="M394"/>
  <c r="N394" s="1"/>
  <c r="M410"/>
  <c r="N410" s="1"/>
  <c r="M442"/>
  <c r="N442" s="1"/>
  <c r="M474"/>
  <c r="N474" s="1"/>
  <c r="M506"/>
  <c r="N506" s="1"/>
  <c r="M353"/>
  <c r="N353" s="1"/>
  <c r="M417"/>
  <c r="N417" s="1"/>
  <c r="M481"/>
  <c r="N481" s="1"/>
  <c r="M365"/>
  <c r="N365" s="1"/>
  <c r="M429"/>
  <c r="N429" s="1"/>
  <c r="M493"/>
  <c r="N493" s="1"/>
  <c r="M393"/>
  <c r="N393" s="1"/>
  <c r="M457"/>
  <c r="N457" s="1"/>
  <c r="M521"/>
  <c r="N521" s="1"/>
  <c r="M246"/>
  <c r="N246" s="1"/>
  <c r="M309"/>
  <c r="N309" s="1"/>
  <c r="M325"/>
  <c r="N325" s="1"/>
  <c r="M373"/>
  <c r="N373" s="1"/>
  <c r="M357"/>
  <c r="N357" s="1"/>
  <c r="M389"/>
  <c r="N389" s="1"/>
  <c r="M341"/>
  <c r="N341" s="1"/>
  <c r="N606"/>
  <c r="N624"/>
  <c r="N609"/>
  <c r="N623"/>
  <c r="N608"/>
  <c r="N639"/>
  <c r="N655"/>
  <c r="N671"/>
  <c r="N714"/>
  <c r="N759"/>
  <c r="N791"/>
  <c r="N810"/>
  <c r="N824"/>
  <c r="N839"/>
  <c r="N855"/>
  <c r="N887"/>
  <c r="N903"/>
  <c r="N919"/>
  <c r="N935"/>
  <c r="N951"/>
  <c r="N967"/>
  <c r="N983"/>
  <c r="N999"/>
  <c r="N1015"/>
  <c r="N1031"/>
  <c r="N612"/>
  <c r="N670"/>
  <c r="N684"/>
  <c r="N696"/>
  <c r="N742"/>
  <c r="N806"/>
  <c r="N820"/>
  <c r="N854"/>
  <c r="N1046"/>
  <c r="N1062"/>
  <c r="N653"/>
  <c r="N709"/>
  <c r="N723"/>
  <c r="N741"/>
  <c r="N757"/>
  <c r="N773"/>
  <c r="N789"/>
  <c r="N805"/>
  <c r="N819"/>
  <c r="N917"/>
  <c r="N949"/>
  <c r="N981"/>
  <c r="N1013"/>
  <c r="N1045"/>
  <c r="N610"/>
  <c r="N638"/>
  <c r="N792"/>
  <c r="N912"/>
  <c r="N964"/>
  <c r="N726"/>
  <c r="N980"/>
  <c r="N860"/>
  <c r="N996"/>
  <c r="N760"/>
  <c r="N944"/>
  <c r="N1016"/>
  <c r="N693"/>
  <c r="N744"/>
  <c r="N776"/>
  <c r="N818"/>
  <c r="N896"/>
  <c r="N928"/>
  <c r="N956"/>
  <c r="N972"/>
  <c r="N988"/>
  <c r="N1004"/>
  <c r="N1040"/>
  <c r="N689"/>
  <c r="N736"/>
  <c r="N768"/>
  <c r="N800"/>
  <c r="N876"/>
  <c r="N920"/>
  <c r="N952"/>
  <c r="N968"/>
  <c r="N984"/>
  <c r="N1000"/>
  <c r="N1032"/>
  <c r="N814"/>
  <c r="N672"/>
  <c r="N634"/>
  <c r="N704"/>
  <c r="N752"/>
  <c r="N784"/>
  <c r="N832"/>
  <c r="N904"/>
  <c r="N936"/>
  <c r="N960"/>
  <c r="N976"/>
  <c r="N992"/>
  <c r="N1012"/>
  <c r="N1060"/>
  <c r="N626"/>
  <c r="N648"/>
  <c r="N1008"/>
  <c r="N1024"/>
  <c r="N1056"/>
  <c r="N644"/>
  <c r="N664"/>
  <c r="N728"/>
  <c r="N622"/>
  <c r="N706"/>
  <c r="N758"/>
  <c r="N798"/>
  <c r="N858"/>
  <c r="N886"/>
  <c r="N918"/>
  <c r="N950"/>
  <c r="N982"/>
  <c r="N1014"/>
  <c r="N1042"/>
  <c r="N614"/>
  <c r="N734"/>
  <c r="N853"/>
  <c r="N1020"/>
  <c r="N1048"/>
  <c r="N640"/>
  <c r="N660"/>
  <c r="N702"/>
  <c r="N701"/>
  <c r="N750"/>
  <c r="N790"/>
  <c r="N838"/>
  <c r="N874"/>
  <c r="N910"/>
  <c r="N942"/>
  <c r="N974"/>
  <c r="N1006"/>
  <c r="N1038"/>
  <c r="N1058"/>
  <c r="N712"/>
  <c r="N837"/>
  <c r="N885"/>
  <c r="C207" i="29"/>
  <c r="C210" s="1"/>
  <c r="N630" i="49"/>
  <c r="N656"/>
  <c r="N676"/>
  <c r="N817"/>
  <c r="N681"/>
  <c r="N720"/>
  <c r="N774"/>
  <c r="N834"/>
  <c r="N870"/>
  <c r="N902"/>
  <c r="N934"/>
  <c r="N966"/>
  <c r="N998"/>
  <c r="N1030"/>
  <c r="N1054"/>
  <c r="N705"/>
  <c r="N833"/>
  <c r="N869"/>
  <c r="N636"/>
  <c r="N710"/>
  <c r="N766"/>
  <c r="N816"/>
  <c r="N866"/>
  <c r="N894"/>
  <c r="N926"/>
  <c r="N958"/>
  <c r="N990"/>
  <c r="N1022"/>
  <c r="N1050"/>
  <c r="N680"/>
  <c r="N830"/>
  <c r="N865"/>
  <c r="M597"/>
  <c r="M581"/>
  <c r="M565"/>
  <c r="M600"/>
  <c r="M584"/>
  <c r="M568"/>
  <c r="M553"/>
  <c r="M591"/>
  <c r="M575"/>
  <c r="M559"/>
  <c r="M602"/>
  <c r="M586"/>
  <c r="M570"/>
  <c r="M554"/>
  <c r="M44"/>
  <c r="M45"/>
  <c r="M27"/>
  <c r="M30"/>
  <c r="M37"/>
  <c r="M21"/>
  <c r="M36"/>
  <c r="M47"/>
  <c r="M601"/>
  <c r="M585"/>
  <c r="M569"/>
  <c r="M604"/>
  <c r="M588"/>
  <c r="M572"/>
  <c r="M556"/>
  <c r="M595"/>
  <c r="M579"/>
  <c r="M563"/>
  <c r="M551"/>
  <c r="M590"/>
  <c r="M574"/>
  <c r="M558"/>
  <c r="M38"/>
  <c r="M18"/>
  <c r="M41"/>
  <c r="M31"/>
  <c r="M34"/>
  <c r="M19"/>
  <c r="M25"/>
  <c r="M32"/>
  <c r="M589"/>
  <c r="M573"/>
  <c r="M557"/>
  <c r="M592"/>
  <c r="M576"/>
  <c r="M560"/>
  <c r="M599"/>
  <c r="M583"/>
  <c r="M567"/>
  <c r="M552"/>
  <c r="M594"/>
  <c r="M578"/>
  <c r="M562"/>
  <c r="M40"/>
  <c r="M35"/>
  <c r="M20"/>
  <c r="M22"/>
  <c r="M29"/>
  <c r="M43"/>
  <c r="M593"/>
  <c r="M577"/>
  <c r="M561"/>
  <c r="M596"/>
  <c r="M580"/>
  <c r="M564"/>
  <c r="M603"/>
  <c r="M587"/>
  <c r="M571"/>
  <c r="M555"/>
  <c r="M598"/>
  <c r="M582"/>
  <c r="M566"/>
  <c r="M39"/>
  <c r="M23"/>
  <c r="M26"/>
  <c r="M33"/>
  <c r="M51"/>
  <c r="C215" i="29"/>
  <c r="N51" i="49" l="1"/>
  <c r="N26"/>
  <c r="N39"/>
  <c r="N582"/>
  <c r="N555"/>
  <c r="N587"/>
  <c r="N564"/>
  <c r="N596"/>
  <c r="N577"/>
  <c r="N25"/>
  <c r="N34"/>
  <c r="N41"/>
  <c r="N38"/>
  <c r="N36"/>
  <c r="N37"/>
  <c r="N27"/>
  <c r="N44"/>
  <c r="N570"/>
  <c r="N602"/>
  <c r="N575"/>
  <c r="N553"/>
  <c r="N584"/>
  <c r="N565"/>
  <c r="N597"/>
  <c r="N43"/>
  <c r="N22"/>
  <c r="N35"/>
  <c r="N562"/>
  <c r="N594"/>
  <c r="N567"/>
  <c r="N599"/>
  <c r="N576"/>
  <c r="N557"/>
  <c r="N589"/>
  <c r="N558"/>
  <c r="N590"/>
  <c r="N563"/>
  <c r="N595"/>
  <c r="N572"/>
  <c r="N604"/>
  <c r="N585"/>
  <c r="N33"/>
  <c r="N23"/>
  <c r="N566"/>
  <c r="N598"/>
  <c r="N571"/>
  <c r="N603"/>
  <c r="N580"/>
  <c r="N561"/>
  <c r="N593"/>
  <c r="N32"/>
  <c r="N19"/>
  <c r="N31"/>
  <c r="N18"/>
  <c r="N47"/>
  <c r="N21"/>
  <c r="N30"/>
  <c r="N45"/>
  <c r="N554"/>
  <c r="N586"/>
  <c r="N559"/>
  <c r="N591"/>
  <c r="N568"/>
  <c r="N600"/>
  <c r="N581"/>
  <c r="N29"/>
  <c r="N20"/>
  <c r="N40"/>
  <c r="N578"/>
  <c r="N552"/>
  <c r="N583"/>
  <c r="N560"/>
  <c r="N592"/>
  <c r="N573"/>
  <c r="N574"/>
  <c r="N551"/>
  <c r="N579"/>
  <c r="N556"/>
  <c r="N588"/>
  <c r="N569"/>
  <c r="N601"/>
  <c r="C1" i="31"/>
  <c r="D63"/>
  <c r="D3" s="1"/>
  <c r="B4" i="29" s="1"/>
  <c r="I4" s="1"/>
  <c r="A67" i="31"/>
  <c r="D67"/>
  <c r="D68"/>
  <c r="D69"/>
  <c r="D70"/>
  <c r="D71"/>
  <c r="D73"/>
  <c r="C63"/>
  <c r="C3" s="1"/>
  <c r="B3" i="29" s="1"/>
  <c r="I3" s="1"/>
  <c r="C67" i="31"/>
  <c r="C68"/>
  <c r="C69"/>
  <c r="C70"/>
  <c r="C71"/>
  <c r="C73"/>
  <c r="C32" i="29"/>
  <c r="C31"/>
  <c r="C37" l="1"/>
  <c r="C38" s="1"/>
  <c r="C118" s="1"/>
  <c r="C119" s="1"/>
  <c r="H3"/>
  <c r="B31"/>
  <c r="C68"/>
  <c r="C70" l="1"/>
  <c r="C79" s="1"/>
  <c r="C113" s="1"/>
  <c r="C63"/>
  <c r="C67"/>
  <c r="C115" l="1"/>
  <c r="B69" i="48" s="1"/>
  <c r="C114" i="29"/>
  <c r="B43" i="48" s="1"/>
  <c r="C69" i="29"/>
  <c r="C74"/>
  <c r="C76"/>
  <c r="F46" i="48" l="1"/>
  <c r="G46"/>
  <c r="F52"/>
  <c r="H51"/>
  <c r="K53"/>
  <c r="F47"/>
  <c r="H50"/>
  <c r="K52"/>
  <c r="H48"/>
  <c r="F50"/>
  <c r="H53"/>
  <c r="L51"/>
  <c r="H52"/>
  <c r="F49"/>
  <c r="G49"/>
  <c r="F48"/>
  <c r="H47"/>
  <c r="J50"/>
  <c r="F45"/>
  <c r="G50"/>
  <c r="J53"/>
  <c r="F53"/>
  <c r="H49"/>
  <c r="K51"/>
  <c r="G52"/>
  <c r="M52"/>
  <c r="G48"/>
  <c r="G51"/>
  <c r="I52"/>
  <c r="I49"/>
  <c r="J49"/>
  <c r="M53"/>
  <c r="K50"/>
  <c r="G53"/>
  <c r="J52"/>
  <c r="N53"/>
  <c r="N55" s="1"/>
  <c r="J51"/>
  <c r="G47"/>
  <c r="I48"/>
  <c r="L53"/>
  <c r="F51"/>
  <c r="I51"/>
  <c r="L52"/>
  <c r="I53"/>
  <c r="I50"/>
  <c r="B63" i="29"/>
  <c r="C193"/>
  <c r="C194" s="1"/>
  <c r="C196"/>
  <c r="B67"/>
  <c r="B71" l="1"/>
  <c r="K55" i="48"/>
  <c r="M55"/>
  <c r="C78" i="29"/>
  <c r="C80" s="1"/>
  <c r="C82" s="1"/>
  <c r="C84" s="1"/>
  <c r="H55" i="48"/>
  <c r="G55"/>
  <c r="I55"/>
  <c r="J55"/>
  <c r="F55"/>
  <c r="L55"/>
  <c r="C128" i="29"/>
  <c r="F56" i="48" l="1"/>
  <c r="C211" i="29" s="1"/>
  <c r="C87"/>
  <c r="C98"/>
  <c r="C100" s="1"/>
  <c r="C88"/>
  <c r="C83"/>
  <c r="C86" s="1"/>
  <c r="C95"/>
  <c r="C130"/>
  <c r="C139" s="1"/>
  <c r="C173" s="1"/>
  <c r="C174" s="1"/>
  <c r="B56" i="48" s="1"/>
  <c r="C127" i="29"/>
  <c r="C104" l="1"/>
  <c r="C90"/>
  <c r="C92" s="1"/>
  <c r="C99"/>
  <c r="C101" s="1"/>
  <c r="C109" s="1"/>
  <c r="C89"/>
  <c r="C85"/>
  <c r="C93" s="1"/>
  <c r="C103"/>
  <c r="C111"/>
  <c r="F63" i="48"/>
  <c r="F67"/>
  <c r="G62"/>
  <c r="G66"/>
  <c r="H66"/>
  <c r="I67"/>
  <c r="J65"/>
  <c r="J69"/>
  <c r="K68"/>
  <c r="L68"/>
  <c r="M69"/>
  <c r="F64"/>
  <c r="F68"/>
  <c r="G67"/>
  <c r="H67"/>
  <c r="I68"/>
  <c r="F62"/>
  <c r="F66"/>
  <c r="G65"/>
  <c r="G69"/>
  <c r="H65"/>
  <c r="H69"/>
  <c r="I66"/>
  <c r="J68"/>
  <c r="K67"/>
  <c r="L67"/>
  <c r="M68"/>
  <c r="K69"/>
  <c r="F61"/>
  <c r="F65"/>
  <c r="F69"/>
  <c r="G64"/>
  <c r="G68"/>
  <c r="H64"/>
  <c r="H68"/>
  <c r="I65"/>
  <c r="I69"/>
  <c r="J67"/>
  <c r="K66"/>
  <c r="N69"/>
  <c r="N71" s="1"/>
  <c r="G63"/>
  <c r="H63"/>
  <c r="I64"/>
  <c r="J66"/>
  <c r="L69"/>
  <c r="C129" i="29"/>
  <c r="C134"/>
  <c r="C136"/>
  <c r="C106" l="1"/>
  <c r="M71" i="48"/>
  <c r="C102" i="29"/>
  <c r="C91"/>
  <c r="C94" s="1"/>
  <c r="C96" s="1"/>
  <c r="C105"/>
  <c r="C107" s="1"/>
  <c r="H71" i="48"/>
  <c r="F71"/>
  <c r="L71"/>
  <c r="I71"/>
  <c r="K71"/>
  <c r="J71"/>
  <c r="G71"/>
  <c r="C138" i="29"/>
  <c r="C140" s="1"/>
  <c r="C158" s="1"/>
  <c r="E32"/>
  <c r="C108" l="1"/>
  <c r="C110" s="1"/>
  <c r="F77" i="48"/>
  <c r="H77"/>
  <c r="G77"/>
  <c r="I77"/>
  <c r="L77"/>
  <c r="E77"/>
  <c r="K77"/>
  <c r="C160" i="29"/>
  <c r="C164"/>
  <c r="C159"/>
  <c r="C163"/>
  <c r="C171"/>
  <c r="M77" i="48"/>
  <c r="C142" i="29"/>
  <c r="F72" i="48"/>
  <c r="C212" i="29" s="1"/>
  <c r="J77" i="48"/>
  <c r="E31" i="29"/>
  <c r="E68"/>
  <c r="C112" l="1"/>
  <c r="C214" s="1"/>
  <c r="C220" s="1"/>
  <c r="E70"/>
  <c r="E79" s="1"/>
  <c r="E113" s="1"/>
  <c r="E114" s="1"/>
  <c r="J571" i="49" s="1"/>
  <c r="K571" s="1"/>
  <c r="U13" i="48"/>
  <c r="U14" s="1"/>
  <c r="U15" s="1"/>
  <c r="U16" s="1"/>
  <c r="U17" s="1"/>
  <c r="U18" s="1"/>
  <c r="U19" s="1"/>
  <c r="U20" s="1"/>
  <c r="U21" s="1"/>
  <c r="U22" s="1"/>
  <c r="U23" s="1"/>
  <c r="U24" s="1"/>
  <c r="C166" i="29"/>
  <c r="C165"/>
  <c r="C144"/>
  <c r="C148"/>
  <c r="C143"/>
  <c r="C147"/>
  <c r="C155"/>
  <c r="C161"/>
  <c r="C169" s="1"/>
  <c r="C162"/>
  <c r="E37"/>
  <c r="C219" l="1"/>
  <c r="J664" i="49"/>
  <c r="K664" s="1"/>
  <c r="J625"/>
  <c r="K625" s="1"/>
  <c r="J586"/>
  <c r="K586" s="1"/>
  <c r="J672"/>
  <c r="K672" s="1"/>
  <c r="J641"/>
  <c r="K641" s="1"/>
  <c r="J594"/>
  <c r="K594" s="1"/>
  <c r="J682"/>
  <c r="K682" s="1"/>
  <c r="J648"/>
  <c r="K648" s="1"/>
  <c r="J602"/>
  <c r="K602" s="1"/>
  <c r="J563"/>
  <c r="K563" s="1"/>
  <c r="J656"/>
  <c r="K656" s="1"/>
  <c r="J610"/>
  <c r="K610" s="1"/>
  <c r="J579"/>
  <c r="K579" s="1"/>
  <c r="J554"/>
  <c r="K554" s="1"/>
  <c r="J632"/>
  <c r="K632" s="1"/>
  <c r="J683"/>
  <c r="K683" s="1"/>
  <c r="J665"/>
  <c r="K665" s="1"/>
  <c r="J657"/>
  <c r="K657" s="1"/>
  <c r="J649"/>
  <c r="K649" s="1"/>
  <c r="J642"/>
  <c r="K642" s="1"/>
  <c r="J626"/>
  <c r="K626" s="1"/>
  <c r="J611"/>
  <c r="K611" s="1"/>
  <c r="J603"/>
  <c r="K603" s="1"/>
  <c r="J595"/>
  <c r="K595" s="1"/>
  <c r="J587"/>
  <c r="K587" s="1"/>
  <c r="J580"/>
  <c r="K580" s="1"/>
  <c r="J564"/>
  <c r="K564" s="1"/>
  <c r="J555"/>
  <c r="K555" s="1"/>
  <c r="J633"/>
  <c r="K633" s="1"/>
  <c r="J673"/>
  <c r="K673" s="1"/>
  <c r="J562"/>
  <c r="K562" s="1"/>
  <c r="J674"/>
  <c r="K674" s="1"/>
  <c r="J666"/>
  <c r="K666" s="1"/>
  <c r="J658"/>
  <c r="K658" s="1"/>
  <c r="J650"/>
  <c r="K650" s="1"/>
  <c r="J643"/>
  <c r="K643" s="1"/>
  <c r="J627"/>
  <c r="K627" s="1"/>
  <c r="J612"/>
  <c r="K612" s="1"/>
  <c r="J604"/>
  <c r="K604" s="1"/>
  <c r="J596"/>
  <c r="K596" s="1"/>
  <c r="J588"/>
  <c r="K588" s="1"/>
  <c r="J581"/>
  <c r="K581" s="1"/>
  <c r="J565"/>
  <c r="K565" s="1"/>
  <c r="J556"/>
  <c r="K556" s="1"/>
  <c r="J634"/>
  <c r="K634" s="1"/>
  <c r="J618"/>
  <c r="K618" s="1"/>
  <c r="J681"/>
  <c r="K681" s="1"/>
  <c r="J671"/>
  <c r="K671" s="1"/>
  <c r="J663"/>
  <c r="K663" s="1"/>
  <c r="J655"/>
  <c r="K655" s="1"/>
  <c r="J647"/>
  <c r="K647" s="1"/>
  <c r="J640"/>
  <c r="K640" s="1"/>
  <c r="J624"/>
  <c r="K624" s="1"/>
  <c r="J609"/>
  <c r="K609" s="1"/>
  <c r="J601"/>
  <c r="K601" s="1"/>
  <c r="J593"/>
  <c r="K593" s="1"/>
  <c r="J585"/>
  <c r="K585" s="1"/>
  <c r="J578"/>
  <c r="K578" s="1"/>
  <c r="J557"/>
  <c r="K557" s="1"/>
  <c r="J635"/>
  <c r="K635" s="1"/>
  <c r="J619"/>
  <c r="K619" s="1"/>
  <c r="J572"/>
  <c r="K572" s="1"/>
  <c r="J573"/>
  <c r="K573" s="1"/>
  <c r="J616"/>
  <c r="K616" s="1"/>
  <c r="J570"/>
  <c r="K570" s="1"/>
  <c r="J617"/>
  <c r="K617" s="1"/>
  <c r="J691"/>
  <c r="K691" s="1"/>
  <c r="J705"/>
  <c r="K705" s="1"/>
  <c r="J713"/>
  <c r="K713" s="1"/>
  <c r="J722"/>
  <c r="K722" s="1"/>
  <c r="J736"/>
  <c r="K736" s="1"/>
  <c r="J744"/>
  <c r="K744" s="1"/>
  <c r="J753"/>
  <c r="K753" s="1"/>
  <c r="J767"/>
  <c r="K767" s="1"/>
  <c r="J776"/>
  <c r="K776" s="1"/>
  <c r="J792"/>
  <c r="K792" s="1"/>
  <c r="J809"/>
  <c r="K809" s="1"/>
  <c r="J818"/>
  <c r="K818" s="1"/>
  <c r="J832"/>
  <c r="K832" s="1"/>
  <c r="J840"/>
  <c r="K840" s="1"/>
  <c r="J849"/>
  <c r="K849" s="1"/>
  <c r="J863"/>
  <c r="K863" s="1"/>
  <c r="J872"/>
  <c r="K872" s="1"/>
  <c r="J888"/>
  <c r="K888" s="1"/>
  <c r="J911"/>
  <c r="K911" s="1"/>
  <c r="J936"/>
  <c r="K936" s="1"/>
  <c r="J945"/>
  <c r="K945" s="1"/>
  <c r="J959"/>
  <c r="K959" s="1"/>
  <c r="J968"/>
  <c r="K968" s="1"/>
  <c r="J690"/>
  <c r="K690" s="1"/>
  <c r="J699"/>
  <c r="K699" s="1"/>
  <c r="J712"/>
  <c r="K712" s="1"/>
  <c r="J721"/>
  <c r="K721" s="1"/>
  <c r="J730"/>
  <c r="K730" s="1"/>
  <c r="J743"/>
  <c r="K743" s="1"/>
  <c r="J752"/>
  <c r="K752" s="1"/>
  <c r="J761"/>
  <c r="K761" s="1"/>
  <c r="J775"/>
  <c r="K775" s="1"/>
  <c r="J791"/>
  <c r="K791" s="1"/>
  <c r="J808"/>
  <c r="K808" s="1"/>
  <c r="J817"/>
  <c r="K817" s="1"/>
  <c r="J826"/>
  <c r="K826" s="1"/>
  <c r="J839"/>
  <c r="K839" s="1"/>
  <c r="J848"/>
  <c r="K848" s="1"/>
  <c r="J857"/>
  <c r="K857" s="1"/>
  <c r="J871"/>
  <c r="K871" s="1"/>
  <c r="J887"/>
  <c r="K887" s="1"/>
  <c r="J903"/>
  <c r="K903" s="1"/>
  <c r="J935"/>
  <c r="K935" s="1"/>
  <c r="J944"/>
  <c r="K944" s="1"/>
  <c r="J953"/>
  <c r="K953" s="1"/>
  <c r="J967"/>
  <c r="K967" s="1"/>
  <c r="J983"/>
  <c r="K983" s="1"/>
  <c r="J999"/>
  <c r="K999" s="1"/>
  <c r="J689"/>
  <c r="K689" s="1"/>
  <c r="J698"/>
  <c r="K698" s="1"/>
  <c r="J707"/>
  <c r="K707" s="1"/>
  <c r="J720"/>
  <c r="K720" s="1"/>
  <c r="J729"/>
  <c r="K729" s="1"/>
  <c r="J738"/>
  <c r="K738" s="1"/>
  <c r="J751"/>
  <c r="K751" s="1"/>
  <c r="J760"/>
  <c r="K760" s="1"/>
  <c r="J769"/>
  <c r="K769" s="1"/>
  <c r="J784"/>
  <c r="K784" s="1"/>
  <c r="J800"/>
  <c r="K800" s="1"/>
  <c r="J816"/>
  <c r="K816" s="1"/>
  <c r="J825"/>
  <c r="K825" s="1"/>
  <c r="J834"/>
  <c r="K834" s="1"/>
  <c r="J847"/>
  <c r="K847" s="1"/>
  <c r="J856"/>
  <c r="K856" s="1"/>
  <c r="J865"/>
  <c r="K865" s="1"/>
  <c r="J880"/>
  <c r="K880" s="1"/>
  <c r="J896"/>
  <c r="K896" s="1"/>
  <c r="J927"/>
  <c r="K927" s="1"/>
  <c r="J943"/>
  <c r="K943" s="1"/>
  <c r="J952"/>
  <c r="K952" s="1"/>
  <c r="J961"/>
  <c r="K961" s="1"/>
  <c r="J976"/>
  <c r="K976" s="1"/>
  <c r="J992"/>
  <c r="K992" s="1"/>
  <c r="J1023"/>
  <c r="K1023" s="1"/>
  <c r="J1007"/>
  <c r="K1007" s="1"/>
  <c r="J697"/>
  <c r="K697" s="1"/>
  <c r="J706"/>
  <c r="K706" s="1"/>
  <c r="J714"/>
  <c r="K714" s="1"/>
  <c r="J728"/>
  <c r="K728" s="1"/>
  <c r="J737"/>
  <c r="K737" s="1"/>
  <c r="J745"/>
  <c r="K745" s="1"/>
  <c r="J759"/>
  <c r="K759" s="1"/>
  <c r="J768"/>
  <c r="K768" s="1"/>
  <c r="J783"/>
  <c r="K783" s="1"/>
  <c r="J799"/>
  <c r="K799" s="1"/>
  <c r="J810"/>
  <c r="K810" s="1"/>
  <c r="J824"/>
  <c r="K824" s="1"/>
  <c r="J833"/>
  <c r="K833" s="1"/>
  <c r="J841"/>
  <c r="K841" s="1"/>
  <c r="J855"/>
  <c r="K855" s="1"/>
  <c r="J864"/>
  <c r="K864" s="1"/>
  <c r="J879"/>
  <c r="K879" s="1"/>
  <c r="J895"/>
  <c r="K895" s="1"/>
  <c r="J919"/>
  <c r="K919" s="1"/>
  <c r="J937"/>
  <c r="K937" s="1"/>
  <c r="J951"/>
  <c r="K951" s="1"/>
  <c r="J960"/>
  <c r="K960" s="1"/>
  <c r="J975"/>
  <c r="K975" s="1"/>
  <c r="J991"/>
  <c r="K991" s="1"/>
  <c r="J1015"/>
  <c r="K1015" s="1"/>
  <c r="J984"/>
  <c r="K984" s="1"/>
  <c r="J694"/>
  <c r="K694" s="1"/>
  <c r="J785"/>
  <c r="K785" s="1"/>
  <c r="J920"/>
  <c r="K920" s="1"/>
  <c r="J1039"/>
  <c r="K1039" s="1"/>
  <c r="J793"/>
  <c r="K793" s="1"/>
  <c r="J889"/>
  <c r="K889" s="1"/>
  <c r="J985"/>
  <c r="K985" s="1"/>
  <c r="J1031"/>
  <c r="K1031" s="1"/>
  <c r="J1008"/>
  <c r="K1008" s="1"/>
  <c r="J1055"/>
  <c r="K1055" s="1"/>
  <c r="J904"/>
  <c r="K904" s="1"/>
  <c r="J684"/>
  <c r="K684" s="1"/>
  <c r="J692"/>
  <c r="K692" s="1"/>
  <c r="J700"/>
  <c r="K700" s="1"/>
  <c r="J708"/>
  <c r="K708" s="1"/>
  <c r="J715"/>
  <c r="K715" s="1"/>
  <c r="J723"/>
  <c r="K723" s="1"/>
  <c r="J731"/>
  <c r="K731" s="1"/>
  <c r="J739"/>
  <c r="K739" s="1"/>
  <c r="J746"/>
  <c r="K746" s="1"/>
  <c r="J754"/>
  <c r="K754" s="1"/>
  <c r="J762"/>
  <c r="K762" s="1"/>
  <c r="J770"/>
  <c r="K770" s="1"/>
  <c r="J801"/>
  <c r="K801" s="1"/>
  <c r="J811"/>
  <c r="K811" s="1"/>
  <c r="J819"/>
  <c r="K819" s="1"/>
  <c r="J827"/>
  <c r="K827" s="1"/>
  <c r="J835"/>
  <c r="K835" s="1"/>
  <c r="J842"/>
  <c r="K842" s="1"/>
  <c r="J850"/>
  <c r="K850" s="1"/>
  <c r="J858"/>
  <c r="K858" s="1"/>
  <c r="J866"/>
  <c r="K866" s="1"/>
  <c r="J897"/>
  <c r="K897" s="1"/>
  <c r="J912"/>
  <c r="K912" s="1"/>
  <c r="J928"/>
  <c r="K928" s="1"/>
  <c r="J938"/>
  <c r="K938" s="1"/>
  <c r="J946"/>
  <c r="K946" s="1"/>
  <c r="J954"/>
  <c r="K954" s="1"/>
  <c r="J962"/>
  <c r="K962" s="1"/>
  <c r="J993"/>
  <c r="K993" s="1"/>
  <c r="J1024"/>
  <c r="K1024" s="1"/>
  <c r="J1047"/>
  <c r="K1047" s="1"/>
  <c r="J1000"/>
  <c r="K1000" s="1"/>
  <c r="J777"/>
  <c r="K777" s="1"/>
  <c r="J873"/>
  <c r="K873" s="1"/>
  <c r="J969"/>
  <c r="K969" s="1"/>
  <c r="J881"/>
  <c r="K881" s="1"/>
  <c r="J977"/>
  <c r="K977" s="1"/>
  <c r="J1016"/>
  <c r="K1016" s="1"/>
  <c r="J589"/>
  <c r="K589" s="1"/>
  <c r="J637"/>
  <c r="K637" s="1"/>
  <c r="J653"/>
  <c r="K653" s="1"/>
  <c r="J1021"/>
  <c r="K1021" s="1"/>
  <c r="J757"/>
  <c r="K757" s="1"/>
  <c r="J970"/>
  <c r="K970" s="1"/>
  <c r="J916"/>
  <c r="K916" s="1"/>
  <c r="J1048"/>
  <c r="K1048" s="1"/>
  <c r="J891"/>
  <c r="K891" s="1"/>
  <c r="J788"/>
  <c r="K788" s="1"/>
  <c r="J1041"/>
  <c r="K1041" s="1"/>
  <c r="J789"/>
  <c r="K789" s="1"/>
  <c r="J605"/>
  <c r="K605" s="1"/>
  <c r="J1051"/>
  <c r="K1051" s="1"/>
  <c r="J982"/>
  <c r="K982" s="1"/>
  <c r="J907"/>
  <c r="K907" s="1"/>
  <c r="J794"/>
  <c r="K794" s="1"/>
  <c r="J1056"/>
  <c r="K1056" s="1"/>
  <c r="J949"/>
  <c r="K949" s="1"/>
  <c r="J846"/>
  <c r="K846" s="1"/>
  <c r="J725"/>
  <c r="K725" s="1"/>
  <c r="J939"/>
  <c r="K939" s="1"/>
  <c r="J821"/>
  <c r="K821" s="1"/>
  <c r="J1033"/>
  <c r="K1033" s="1"/>
  <c r="J901"/>
  <c r="K901" s="1"/>
  <c r="J1054"/>
  <c r="K1054" s="1"/>
  <c r="J669"/>
  <c r="K669" s="1"/>
  <c r="J628"/>
  <c r="K628" s="1"/>
  <c r="J1045"/>
  <c r="K1045" s="1"/>
  <c r="J1002"/>
  <c r="K1002" s="1"/>
  <c r="J915"/>
  <c r="K915" s="1"/>
  <c r="J828"/>
  <c r="K828" s="1"/>
  <c r="J1042"/>
  <c r="K1042" s="1"/>
  <c r="J986"/>
  <c r="K986" s="1"/>
  <c r="J875"/>
  <c r="K875" s="1"/>
  <c r="J763"/>
  <c r="K763" s="1"/>
  <c r="J972"/>
  <c r="K972" s="1"/>
  <c r="J854"/>
  <c r="K854" s="1"/>
  <c r="J726"/>
  <c r="K726" s="1"/>
  <c r="J925"/>
  <c r="K925" s="1"/>
  <c r="J661"/>
  <c r="K661" s="1"/>
  <c r="J677"/>
  <c r="K677" s="1"/>
  <c r="J645"/>
  <c r="K645" s="1"/>
  <c r="J620"/>
  <c r="K620" s="1"/>
  <c r="J1006"/>
  <c r="K1006" s="1"/>
  <c r="J934"/>
  <c r="K934" s="1"/>
  <c r="J853"/>
  <c r="K853" s="1"/>
  <c r="J724"/>
  <c r="K724" s="1"/>
  <c r="J1022"/>
  <c r="K1022" s="1"/>
  <c r="J892"/>
  <c r="K892" s="1"/>
  <c r="J780"/>
  <c r="K780" s="1"/>
  <c r="J1027"/>
  <c r="K1027" s="1"/>
  <c r="J878"/>
  <c r="K878" s="1"/>
  <c r="J750"/>
  <c r="K750" s="1"/>
  <c r="J966"/>
  <c r="K966" s="1"/>
  <c r="J1053"/>
  <c r="K1053" s="1"/>
  <c r="J942"/>
  <c r="K942" s="1"/>
  <c r="J852"/>
  <c r="K852" s="1"/>
  <c r="J994"/>
  <c r="K994" s="1"/>
  <c r="J894"/>
  <c r="K894" s="1"/>
  <c r="J822"/>
  <c r="K822" s="1"/>
  <c r="J646"/>
  <c r="K646" s="1"/>
  <c r="J606"/>
  <c r="K606" s="1"/>
  <c r="J590"/>
  <c r="K590" s="1"/>
  <c r="J638"/>
  <c r="K638" s="1"/>
  <c r="J621"/>
  <c r="K621" s="1"/>
  <c r="J1058"/>
  <c r="K1058" s="1"/>
  <c r="J1059"/>
  <c r="K1059" s="1"/>
  <c r="J1025"/>
  <c r="K1025" s="1"/>
  <c r="J1009"/>
  <c r="K1009" s="1"/>
  <c r="J1003"/>
  <c r="K1003" s="1"/>
  <c r="J987"/>
  <c r="K987" s="1"/>
  <c r="J974"/>
  <c r="K974" s="1"/>
  <c r="J948"/>
  <c r="K948" s="1"/>
  <c r="J921"/>
  <c r="K921" s="1"/>
  <c r="J908"/>
  <c r="K908" s="1"/>
  <c r="J899"/>
  <c r="K899" s="1"/>
  <c r="J862"/>
  <c r="K862" s="1"/>
  <c r="J830"/>
  <c r="K830" s="1"/>
  <c r="J796"/>
  <c r="K796" s="1"/>
  <c r="J766"/>
  <c r="K766" s="1"/>
  <c r="J733"/>
  <c r="K733" s="1"/>
  <c r="J1061"/>
  <c r="K1061" s="1"/>
  <c r="J1060"/>
  <c r="K1060" s="1"/>
  <c r="J1049"/>
  <c r="K1049" s="1"/>
  <c r="J1026"/>
  <c r="K1026" s="1"/>
  <c r="J988"/>
  <c r="K988" s="1"/>
  <c r="J957"/>
  <c r="K957" s="1"/>
  <c r="J922"/>
  <c r="K922" s="1"/>
  <c r="J900"/>
  <c r="K900" s="1"/>
  <c r="J876"/>
  <c r="K876" s="1"/>
  <c r="J859"/>
  <c r="K859" s="1"/>
  <c r="J797"/>
  <c r="K797" s="1"/>
  <c r="J781"/>
  <c r="K781" s="1"/>
  <c r="J771"/>
  <c r="K771" s="1"/>
  <c r="J741"/>
  <c r="K741" s="1"/>
  <c r="J1057"/>
  <c r="K1057" s="1"/>
  <c r="J1032"/>
  <c r="K1032" s="1"/>
  <c r="J980"/>
  <c r="K980" s="1"/>
  <c r="J940"/>
  <c r="K940" s="1"/>
  <c r="J917"/>
  <c r="K917" s="1"/>
  <c r="J882"/>
  <c r="K882" s="1"/>
  <c r="J860"/>
  <c r="K860" s="1"/>
  <c r="J829"/>
  <c r="K829" s="1"/>
  <c r="J798"/>
  <c r="K798" s="1"/>
  <c r="J755"/>
  <c r="K755" s="1"/>
  <c r="J732"/>
  <c r="K732" s="1"/>
  <c r="J693"/>
  <c r="K693" s="1"/>
  <c r="J1034"/>
  <c r="K1034" s="1"/>
  <c r="J1062"/>
  <c r="K1062" s="1"/>
  <c r="J998"/>
  <c r="K998" s="1"/>
  <c r="J973"/>
  <c r="K973" s="1"/>
  <c r="J947"/>
  <c r="K947" s="1"/>
  <c r="J929"/>
  <c r="K929" s="1"/>
  <c r="J898"/>
  <c r="K898" s="1"/>
  <c r="J861"/>
  <c r="K861" s="1"/>
  <c r="J837"/>
  <c r="K837" s="1"/>
  <c r="J803"/>
  <c r="K803" s="1"/>
  <c r="J678"/>
  <c r="K678" s="1"/>
  <c r="J654"/>
  <c r="K654" s="1"/>
  <c r="J675"/>
  <c r="K675" s="1"/>
  <c r="J667"/>
  <c r="K667" s="1"/>
  <c r="J659"/>
  <c r="K659" s="1"/>
  <c r="J651"/>
  <c r="K651" s="1"/>
  <c r="J630"/>
  <c r="K630" s="1"/>
  <c r="J613"/>
  <c r="K613" s="1"/>
  <c r="J597"/>
  <c r="K597" s="1"/>
  <c r="J566"/>
  <c r="K566" s="1"/>
  <c r="J558"/>
  <c r="K558" s="1"/>
  <c r="J622"/>
  <c r="K622" s="1"/>
  <c r="J1044"/>
  <c r="K1044" s="1"/>
  <c r="J1011"/>
  <c r="K1011" s="1"/>
  <c r="J1029"/>
  <c r="K1029" s="1"/>
  <c r="J1010"/>
  <c r="K1010" s="1"/>
  <c r="J1004"/>
  <c r="K1004" s="1"/>
  <c r="J995"/>
  <c r="K995" s="1"/>
  <c r="J978"/>
  <c r="K978" s="1"/>
  <c r="J956"/>
  <c r="K956" s="1"/>
  <c r="J926"/>
  <c r="K926" s="1"/>
  <c r="J909"/>
  <c r="K909" s="1"/>
  <c r="J905"/>
  <c r="K905" s="1"/>
  <c r="J870"/>
  <c r="K870" s="1"/>
  <c r="J838"/>
  <c r="K838" s="1"/>
  <c r="J804"/>
  <c r="K804" s="1"/>
  <c r="J774"/>
  <c r="K774" s="1"/>
  <c r="J740"/>
  <c r="K740" s="1"/>
  <c r="J702"/>
  <c r="K702" s="1"/>
  <c r="J1020"/>
  <c r="K1020" s="1"/>
  <c r="J1050"/>
  <c r="K1050" s="1"/>
  <c r="J1030"/>
  <c r="K1030" s="1"/>
  <c r="J996"/>
  <c r="K996" s="1"/>
  <c r="J965"/>
  <c r="K965" s="1"/>
  <c r="J923"/>
  <c r="K923" s="1"/>
  <c r="J913"/>
  <c r="K913" s="1"/>
  <c r="J883"/>
  <c r="K883" s="1"/>
  <c r="J867"/>
  <c r="K867" s="1"/>
  <c r="J805"/>
  <c r="K805" s="1"/>
  <c r="J782"/>
  <c r="K782" s="1"/>
  <c r="J778"/>
  <c r="K778" s="1"/>
  <c r="J749"/>
  <c r="K749" s="1"/>
  <c r="J685"/>
  <c r="K685" s="1"/>
  <c r="J1036"/>
  <c r="K1036" s="1"/>
  <c r="J989"/>
  <c r="K989" s="1"/>
  <c r="J950"/>
  <c r="K950" s="1"/>
  <c r="J924"/>
  <c r="K924" s="1"/>
  <c r="J884"/>
  <c r="K884" s="1"/>
  <c r="J868"/>
  <c r="K868" s="1"/>
  <c r="J836"/>
  <c r="K836" s="1"/>
  <c r="J802"/>
  <c r="K802" s="1"/>
  <c r="J764"/>
  <c r="K764" s="1"/>
  <c r="J734"/>
  <c r="K734" s="1"/>
  <c r="J710"/>
  <c r="K710" s="1"/>
  <c r="J1037"/>
  <c r="K1037" s="1"/>
  <c r="J1014"/>
  <c r="K1014" s="1"/>
  <c r="J1018"/>
  <c r="K1018" s="1"/>
  <c r="J981"/>
  <c r="K981" s="1"/>
  <c r="J955"/>
  <c r="K955" s="1"/>
  <c r="J933"/>
  <c r="K933" s="1"/>
  <c r="J902"/>
  <c r="K902" s="1"/>
  <c r="J869"/>
  <c r="K869" s="1"/>
  <c r="J843"/>
  <c r="K843" s="1"/>
  <c r="J812"/>
  <c r="K812" s="1"/>
  <c r="J747"/>
  <c r="K747" s="1"/>
  <c r="J790"/>
  <c r="K790" s="1"/>
  <c r="J670"/>
  <c r="K670" s="1"/>
  <c r="J662"/>
  <c r="K662" s="1"/>
  <c r="J629"/>
  <c r="K629" s="1"/>
  <c r="J676"/>
  <c r="K676" s="1"/>
  <c r="J668"/>
  <c r="K668" s="1"/>
  <c r="J660"/>
  <c r="K660" s="1"/>
  <c r="J652"/>
  <c r="K652" s="1"/>
  <c r="J644"/>
  <c r="K644" s="1"/>
  <c r="J614"/>
  <c r="K614" s="1"/>
  <c r="J598"/>
  <c r="K598" s="1"/>
  <c r="J582"/>
  <c r="K582" s="1"/>
  <c r="J636"/>
  <c r="K636" s="1"/>
  <c r="J574"/>
  <c r="K574" s="1"/>
  <c r="J1017"/>
  <c r="K1017" s="1"/>
  <c r="J1046"/>
  <c r="K1046" s="1"/>
  <c r="J1012"/>
  <c r="K1012" s="1"/>
  <c r="J1005"/>
  <c r="K1005" s="1"/>
  <c r="J1001"/>
  <c r="K1001" s="1"/>
  <c r="J979"/>
  <c r="K979" s="1"/>
  <c r="J964"/>
  <c r="K964" s="1"/>
  <c r="J930"/>
  <c r="K930" s="1"/>
  <c r="J910"/>
  <c r="K910" s="1"/>
  <c r="J906"/>
  <c r="K906" s="1"/>
  <c r="J886"/>
  <c r="K886" s="1"/>
  <c r="J845"/>
  <c r="K845" s="1"/>
  <c r="J814"/>
  <c r="K814" s="1"/>
  <c r="J787"/>
  <c r="K787" s="1"/>
  <c r="J748"/>
  <c r="K748" s="1"/>
  <c r="J718"/>
  <c r="K718" s="1"/>
  <c r="J1035"/>
  <c r="K1035" s="1"/>
  <c r="J1052"/>
  <c r="K1052" s="1"/>
  <c r="J1043"/>
  <c r="K1043" s="1"/>
  <c r="J1013"/>
  <c r="K1013" s="1"/>
  <c r="J971"/>
  <c r="K971" s="1"/>
  <c r="J931"/>
  <c r="K931" s="1"/>
  <c r="J914"/>
  <c r="K914" s="1"/>
  <c r="J890"/>
  <c r="K890" s="1"/>
  <c r="J874"/>
  <c r="K874" s="1"/>
  <c r="J820"/>
  <c r="K820" s="1"/>
  <c r="J786"/>
  <c r="K786" s="1"/>
  <c r="J779"/>
  <c r="K779" s="1"/>
  <c r="J758"/>
  <c r="K758" s="1"/>
  <c r="J709"/>
  <c r="K709" s="1"/>
  <c r="J1038"/>
  <c r="K1038" s="1"/>
  <c r="J997"/>
  <c r="K997" s="1"/>
  <c r="J958"/>
  <c r="K958" s="1"/>
  <c r="J932"/>
  <c r="K932" s="1"/>
  <c r="J893"/>
  <c r="K893" s="1"/>
  <c r="J877"/>
  <c r="K877" s="1"/>
  <c r="J851"/>
  <c r="K851" s="1"/>
  <c r="J806"/>
  <c r="K806" s="1"/>
  <c r="J772"/>
  <c r="K772" s="1"/>
  <c r="J742"/>
  <c r="K742" s="1"/>
  <c r="J716"/>
  <c r="K716" s="1"/>
  <c r="J1040"/>
  <c r="K1040" s="1"/>
  <c r="J1019"/>
  <c r="K1019" s="1"/>
  <c r="J1028"/>
  <c r="K1028" s="1"/>
  <c r="J990"/>
  <c r="K990" s="1"/>
  <c r="J963"/>
  <c r="K963" s="1"/>
  <c r="J941"/>
  <c r="K941" s="1"/>
  <c r="J918"/>
  <c r="K918" s="1"/>
  <c r="J885"/>
  <c r="K885" s="1"/>
  <c r="J844"/>
  <c r="K844" s="1"/>
  <c r="J813"/>
  <c r="K813" s="1"/>
  <c r="J765"/>
  <c r="K765" s="1"/>
  <c r="J795"/>
  <c r="K795" s="1"/>
  <c r="J717"/>
  <c r="K717" s="1"/>
  <c r="J773"/>
  <c r="K773" s="1"/>
  <c r="J701"/>
  <c r="K701" s="1"/>
  <c r="J686"/>
  <c r="K686" s="1"/>
  <c r="J756"/>
  <c r="K756" s="1"/>
  <c r="P622"/>
  <c r="Q651"/>
  <c r="Q585"/>
  <c r="O617"/>
  <c r="P685"/>
  <c r="Q647"/>
  <c r="P680"/>
  <c r="O679"/>
  <c r="Q652"/>
  <c r="Q648"/>
  <c r="O621"/>
  <c r="Q589"/>
  <c r="P679"/>
  <c r="O681"/>
  <c r="O647"/>
  <c r="P648"/>
  <c r="Q553"/>
  <c r="Q653"/>
  <c r="Q649"/>
  <c r="P557"/>
  <c r="O685"/>
  <c r="O651"/>
  <c r="Q618"/>
  <c r="O584"/>
  <c r="P652"/>
  <c r="R652" s="1"/>
  <c r="P587"/>
  <c r="O551"/>
  <c r="Q654"/>
  <c r="Q650"/>
  <c r="P618"/>
  <c r="Q555"/>
  <c r="Q622"/>
  <c r="O588"/>
  <c r="O555"/>
  <c r="O622"/>
  <c r="O618"/>
  <c r="Q590"/>
  <c r="Q586"/>
  <c r="P558"/>
  <c r="P554"/>
  <c r="P619"/>
  <c r="P615"/>
  <c r="Q556"/>
  <c r="O686"/>
  <c r="O682"/>
  <c r="O652"/>
  <c r="O648"/>
  <c r="Q619"/>
  <c r="Q615"/>
  <c r="O589"/>
  <c r="O585"/>
  <c r="P653"/>
  <c r="P649"/>
  <c r="P588"/>
  <c r="P584"/>
  <c r="O556"/>
  <c r="Q552"/>
  <c r="P551"/>
  <c r="Q681"/>
  <c r="O619"/>
  <c r="O615"/>
  <c r="Q587"/>
  <c r="O583"/>
  <c r="P555"/>
  <c r="P620"/>
  <c r="P616"/>
  <c r="P583"/>
  <c r="Q557"/>
  <c r="O683"/>
  <c r="Q679"/>
  <c r="O653"/>
  <c r="O649"/>
  <c r="Q620"/>
  <c r="Q616"/>
  <c r="O590"/>
  <c r="O586"/>
  <c r="P654"/>
  <c r="P650"/>
  <c r="P589"/>
  <c r="P585"/>
  <c r="O557"/>
  <c r="O553"/>
  <c r="P553"/>
  <c r="Q551"/>
  <c r="O620"/>
  <c r="O616"/>
  <c r="Q588"/>
  <c r="Q584"/>
  <c r="P556"/>
  <c r="P621"/>
  <c r="P617"/>
  <c r="Q558"/>
  <c r="Q554"/>
  <c r="O684"/>
  <c r="O680"/>
  <c r="O654"/>
  <c r="O650"/>
  <c r="Q621"/>
  <c r="Q617"/>
  <c r="O587"/>
  <c r="Q583"/>
  <c r="P651"/>
  <c r="R651" s="1"/>
  <c r="S651" s="1"/>
  <c r="P647"/>
  <c r="P590"/>
  <c r="P586"/>
  <c r="O558"/>
  <c r="O554"/>
  <c r="P552"/>
  <c r="O552"/>
  <c r="P682"/>
  <c r="P681"/>
  <c r="P686"/>
  <c r="Q711"/>
  <c r="P712"/>
  <c r="P716"/>
  <c r="Q717"/>
  <c r="O718"/>
  <c r="O743"/>
  <c r="O744"/>
  <c r="O745"/>
  <c r="O746"/>
  <c r="P748"/>
  <c r="Q749"/>
  <c r="O750"/>
  <c r="P775"/>
  <c r="P776"/>
  <c r="P777"/>
  <c r="Q778"/>
  <c r="O779"/>
  <c r="P781"/>
  <c r="Q782"/>
  <c r="O809"/>
  <c r="O810"/>
  <c r="O811"/>
  <c r="P813"/>
  <c r="Q814"/>
  <c r="Q839"/>
  <c r="Q840"/>
  <c r="Q841"/>
  <c r="Q842"/>
  <c r="O843"/>
  <c r="P845"/>
  <c r="Q846"/>
  <c r="O871"/>
  <c r="O872"/>
  <c r="O873"/>
  <c r="P875"/>
  <c r="Q876"/>
  <c r="O877"/>
  <c r="P903"/>
  <c r="P904"/>
  <c r="Q905"/>
  <c r="O906"/>
  <c r="P908"/>
  <c r="Q909"/>
  <c r="O910"/>
  <c r="O935"/>
  <c r="O936"/>
  <c r="O937"/>
  <c r="O938"/>
  <c r="P940"/>
  <c r="Q941"/>
  <c r="O942"/>
  <c r="P970"/>
  <c r="Q971"/>
  <c r="O972"/>
  <c r="P974"/>
  <c r="P999"/>
  <c r="P1000"/>
  <c r="Q1001"/>
  <c r="O1002"/>
  <c r="P1004"/>
  <c r="Q1005"/>
  <c r="O1006"/>
  <c r="O1031"/>
  <c r="P1033"/>
  <c r="Q1034"/>
  <c r="O1035"/>
  <c r="P1037"/>
  <c r="Q1038"/>
  <c r="Q680"/>
  <c r="Q683"/>
  <c r="Q685"/>
  <c r="P711"/>
  <c r="O713"/>
  <c r="O714"/>
  <c r="O715"/>
  <c r="P717"/>
  <c r="Q718"/>
  <c r="Q743"/>
  <c r="Q744"/>
  <c r="Q745"/>
  <c r="Q746"/>
  <c r="O747"/>
  <c r="P749"/>
  <c r="Q750"/>
  <c r="P778"/>
  <c r="Q779"/>
  <c r="O780"/>
  <c r="P782"/>
  <c r="O807"/>
  <c r="O808"/>
  <c r="Q809"/>
  <c r="Q810"/>
  <c r="Q811"/>
  <c r="O812"/>
  <c r="P814"/>
  <c r="P839"/>
  <c r="P840"/>
  <c r="P841"/>
  <c r="P842"/>
  <c r="Q843"/>
  <c r="O844"/>
  <c r="P846"/>
  <c r="Q871"/>
  <c r="Q872"/>
  <c r="Q873"/>
  <c r="O874"/>
  <c r="P876"/>
  <c r="Q877"/>
  <c r="O878"/>
  <c r="P905"/>
  <c r="Q906"/>
  <c r="O907"/>
  <c r="P909"/>
  <c r="Q910"/>
  <c r="Q935"/>
  <c r="Q936"/>
  <c r="Q937"/>
  <c r="Q938"/>
  <c r="O939"/>
  <c r="P941"/>
  <c r="Q942"/>
  <c r="O967"/>
  <c r="O968"/>
  <c r="O969"/>
  <c r="P971"/>
  <c r="Q972"/>
  <c r="O973"/>
  <c r="P1001"/>
  <c r="Q1002"/>
  <c r="O1003"/>
  <c r="P1005"/>
  <c r="Q1006"/>
  <c r="Q1031"/>
  <c r="O1032"/>
  <c r="P1034"/>
  <c r="Q1035"/>
  <c r="O1036"/>
  <c r="P1038"/>
  <c r="P683"/>
  <c r="Q684"/>
  <c r="O712"/>
  <c r="Q713"/>
  <c r="Q714"/>
  <c r="Q715"/>
  <c r="O716"/>
  <c r="P718"/>
  <c r="P743"/>
  <c r="P744"/>
  <c r="P745"/>
  <c r="P746"/>
  <c r="Q747"/>
  <c r="O748"/>
  <c r="P750"/>
  <c r="O775"/>
  <c r="O776"/>
  <c r="O777"/>
  <c r="P779"/>
  <c r="Q780"/>
  <c r="O781"/>
  <c r="Q807"/>
  <c r="Q808"/>
  <c r="P809"/>
  <c r="P810"/>
  <c r="P811"/>
  <c r="Q812"/>
  <c r="O813"/>
  <c r="P843"/>
  <c r="Q844"/>
  <c r="O845"/>
  <c r="P871"/>
  <c r="P872"/>
  <c r="P873"/>
  <c r="Q874"/>
  <c r="O875"/>
  <c r="P877"/>
  <c r="Q878"/>
  <c r="O903"/>
  <c r="O904"/>
  <c r="P906"/>
  <c r="Q907"/>
  <c r="O908"/>
  <c r="P910"/>
  <c r="P935"/>
  <c r="P936"/>
  <c r="P937"/>
  <c r="P938"/>
  <c r="Q939"/>
  <c r="O940"/>
  <c r="P942"/>
  <c r="Q967"/>
  <c r="Q968"/>
  <c r="Q969"/>
  <c r="O970"/>
  <c r="P972"/>
  <c r="Q973"/>
  <c r="O974"/>
  <c r="O999"/>
  <c r="O1000"/>
  <c r="P1002"/>
  <c r="Q1003"/>
  <c r="O1004"/>
  <c r="P1006"/>
  <c r="P1031"/>
  <c r="Q1032"/>
  <c r="O1033"/>
  <c r="P1035"/>
  <c r="Q1036"/>
  <c r="O1037"/>
  <c r="Q682"/>
  <c r="P684"/>
  <c r="Q686"/>
  <c r="O711"/>
  <c r="Q712"/>
  <c r="P713"/>
  <c r="P714"/>
  <c r="R714" s="1"/>
  <c r="P715"/>
  <c r="Q716"/>
  <c r="O717"/>
  <c r="P747"/>
  <c r="Q748"/>
  <c r="O749"/>
  <c r="Q775"/>
  <c r="Q776"/>
  <c r="Q777"/>
  <c r="O778"/>
  <c r="P780"/>
  <c r="Q781"/>
  <c r="O782"/>
  <c r="P807"/>
  <c r="P808"/>
  <c r="P812"/>
  <c r="Q813"/>
  <c r="O814"/>
  <c r="O839"/>
  <c r="O840"/>
  <c r="O841"/>
  <c r="O842"/>
  <c r="P844"/>
  <c r="Q845"/>
  <c r="O846"/>
  <c r="P874"/>
  <c r="Q875"/>
  <c r="O876"/>
  <c r="P878"/>
  <c r="Q903"/>
  <c r="Q904"/>
  <c r="O905"/>
  <c r="P907"/>
  <c r="Q908"/>
  <c r="O909"/>
  <c r="P939"/>
  <c r="Q940"/>
  <c r="O941"/>
  <c r="P967"/>
  <c r="P968"/>
  <c r="P969"/>
  <c r="Q970"/>
  <c r="O971"/>
  <c r="P973"/>
  <c r="Q974"/>
  <c r="Q999"/>
  <c r="Q1000"/>
  <c r="O1001"/>
  <c r="P1003"/>
  <c r="Q1004"/>
  <c r="O1005"/>
  <c r="P1032"/>
  <c r="Q1033"/>
  <c r="O1034"/>
  <c r="P1036"/>
  <c r="Q1037"/>
  <c r="O1038"/>
  <c r="R620"/>
  <c r="S620" s="1"/>
  <c r="R616"/>
  <c r="C149" i="29"/>
  <c r="C150"/>
  <c r="E38"/>
  <c r="E118" s="1"/>
  <c r="E119" s="1"/>
  <c r="J543" i="49" s="1"/>
  <c r="C145" i="29"/>
  <c r="C153" s="1"/>
  <c r="C146"/>
  <c r="E78" i="48"/>
  <c r="E63" i="29"/>
  <c r="E67"/>
  <c r="R715" i="49" l="1"/>
  <c r="S715" s="1"/>
  <c r="T715" s="1"/>
  <c r="R713"/>
  <c r="S713" s="1"/>
  <c r="T713" s="1"/>
  <c r="R585"/>
  <c r="S585" s="1"/>
  <c r="T585" s="1"/>
  <c r="R648"/>
  <c r="S648" s="1"/>
  <c r="T648" s="1"/>
  <c r="R589"/>
  <c r="R809"/>
  <c r="R556"/>
  <c r="S556" s="1"/>
  <c r="T556" s="1"/>
  <c r="R649"/>
  <c r="S649" s="1"/>
  <c r="T649" s="1"/>
  <c r="R782"/>
  <c r="S782" s="1"/>
  <c r="T782" s="1"/>
  <c r="R584"/>
  <c r="S584" s="1"/>
  <c r="T584" s="1"/>
  <c r="R778"/>
  <c r="S778" s="1"/>
  <c r="T778" s="1"/>
  <c r="R654"/>
  <c r="S654" s="1"/>
  <c r="T654" s="1"/>
  <c r="R876"/>
  <c r="S876" s="1"/>
  <c r="T876" s="1"/>
  <c r="R552"/>
  <c r="S552" s="1"/>
  <c r="T552" s="1"/>
  <c r="R590"/>
  <c r="S590" s="1"/>
  <c r="U590" s="1"/>
  <c r="V590" s="1"/>
  <c r="R844"/>
  <c r="S844" s="1"/>
  <c r="T844" s="1"/>
  <c r="R684"/>
  <c r="S684" s="1"/>
  <c r="T684" s="1"/>
  <c r="R650"/>
  <c r="S650" s="1"/>
  <c r="T650" s="1"/>
  <c r="R810"/>
  <c r="S810" s="1"/>
  <c r="T810" s="1"/>
  <c r="R588"/>
  <c r="S588" s="1"/>
  <c r="T588" s="1"/>
  <c r="R586"/>
  <c r="S586" s="1"/>
  <c r="U586" s="1"/>
  <c r="V586" s="1"/>
  <c r="R653"/>
  <c r="S653" s="1"/>
  <c r="T653" s="1"/>
  <c r="R647"/>
  <c r="S647" s="1"/>
  <c r="T647" s="1"/>
  <c r="S652"/>
  <c r="T652" s="1"/>
  <c r="S589"/>
  <c r="T589" s="1"/>
  <c r="R551"/>
  <c r="S551" s="1"/>
  <c r="T551" s="1"/>
  <c r="R812"/>
  <c r="S812" s="1"/>
  <c r="T812" s="1"/>
  <c r="R1005"/>
  <c r="S1005" s="1"/>
  <c r="R811"/>
  <c r="S811" s="1"/>
  <c r="T811" s="1"/>
  <c r="R779"/>
  <c r="S779" s="1"/>
  <c r="T779" s="1"/>
  <c r="R1001"/>
  <c r="S1001" s="1"/>
  <c r="R941"/>
  <c r="S941" s="1"/>
  <c r="R618"/>
  <c r="S618" s="1"/>
  <c r="T618" s="1"/>
  <c r="R622"/>
  <c r="S622" s="1"/>
  <c r="T622" s="1"/>
  <c r="S616"/>
  <c r="T616" s="1"/>
  <c r="R557"/>
  <c r="S557" s="1"/>
  <c r="T557" s="1"/>
  <c r="R587"/>
  <c r="S587" s="1"/>
  <c r="T587" s="1"/>
  <c r="R807"/>
  <c r="S807" s="1"/>
  <c r="T807" s="1"/>
  <c r="S714"/>
  <c r="T714" s="1"/>
  <c r="R1006"/>
  <c r="S1006" s="1"/>
  <c r="T1006" s="1"/>
  <c r="R967"/>
  <c r="S967" s="1"/>
  <c r="T967" s="1"/>
  <c r="R938"/>
  <c r="S938" s="1"/>
  <c r="T938" s="1"/>
  <c r="R871"/>
  <c r="S871" s="1"/>
  <c r="T871" s="1"/>
  <c r="R1034"/>
  <c r="S1034" s="1"/>
  <c r="R874"/>
  <c r="S874" s="1"/>
  <c r="T874" s="1"/>
  <c r="S809"/>
  <c r="T809" s="1"/>
  <c r="R744"/>
  <c r="S744" s="1"/>
  <c r="T744" s="1"/>
  <c r="R971"/>
  <c r="S971" s="1"/>
  <c r="R842"/>
  <c r="S842" s="1"/>
  <c r="T842" s="1"/>
  <c r="R814"/>
  <c r="S814" s="1"/>
  <c r="T814" s="1"/>
  <c r="R711"/>
  <c r="S711" s="1"/>
  <c r="R972"/>
  <c r="S972" s="1"/>
  <c r="T972" s="1"/>
  <c r="R942"/>
  <c r="S942" s="1"/>
  <c r="T942" s="1"/>
  <c r="R937"/>
  <c r="S937" s="1"/>
  <c r="T937" s="1"/>
  <c r="R1038"/>
  <c r="S1038" s="1"/>
  <c r="R681"/>
  <c r="S681" s="1"/>
  <c r="T681" s="1"/>
  <c r="R878"/>
  <c r="S878" s="1"/>
  <c r="R780"/>
  <c r="S780" s="1"/>
  <c r="T780" s="1"/>
  <c r="R1031"/>
  <c r="S1031" s="1"/>
  <c r="T1031" s="1"/>
  <c r="R906"/>
  <c r="S906" s="1"/>
  <c r="T906" s="1"/>
  <c r="R843"/>
  <c r="S843" s="1"/>
  <c r="T843" s="1"/>
  <c r="R743"/>
  <c r="S743" s="1"/>
  <c r="T743" s="1"/>
  <c r="R846"/>
  <c r="S846" s="1"/>
  <c r="T846" s="1"/>
  <c r="R841"/>
  <c r="S841" s="1"/>
  <c r="R718"/>
  <c r="S718" s="1"/>
  <c r="T718" s="1"/>
  <c r="R905"/>
  <c r="S905" s="1"/>
  <c r="R717"/>
  <c r="S717" s="1"/>
  <c r="T717" s="1"/>
  <c r="R553"/>
  <c r="S553" s="1"/>
  <c r="T553" s="1"/>
  <c r="R1003"/>
  <c r="S1003" s="1"/>
  <c r="T1003" s="1"/>
  <c r="R973"/>
  <c r="S973" s="1"/>
  <c r="T973" s="1"/>
  <c r="R968"/>
  <c r="S968" s="1"/>
  <c r="T968" s="1"/>
  <c r="R935"/>
  <c r="S935" s="1"/>
  <c r="T935" s="1"/>
  <c r="R877"/>
  <c r="S877" s="1"/>
  <c r="T877" s="1"/>
  <c r="R872"/>
  <c r="S872" s="1"/>
  <c r="T872" s="1"/>
  <c r="R685"/>
  <c r="S685" s="1"/>
  <c r="T685" s="1"/>
  <c r="R747"/>
  <c r="S747" s="1"/>
  <c r="T747" s="1"/>
  <c r="R750"/>
  <c r="S750" s="1"/>
  <c r="R745"/>
  <c r="S745" s="1"/>
  <c r="T745" s="1"/>
  <c r="R683"/>
  <c r="S683" s="1"/>
  <c r="T683" s="1"/>
  <c r="R839"/>
  <c r="S839" s="1"/>
  <c r="R1036"/>
  <c r="S1036" s="1"/>
  <c r="T1036" s="1"/>
  <c r="R1002"/>
  <c r="S1002" s="1"/>
  <c r="T1002" s="1"/>
  <c r="R749"/>
  <c r="S749" s="1"/>
  <c r="T749" s="1"/>
  <c r="R555"/>
  <c r="S555" s="1"/>
  <c r="T555" s="1"/>
  <c r="R679"/>
  <c r="S679" s="1"/>
  <c r="T679" s="1"/>
  <c r="R936"/>
  <c r="S936" s="1"/>
  <c r="T936" s="1"/>
  <c r="R873"/>
  <c r="S873" s="1"/>
  <c r="T873" s="1"/>
  <c r="R1035"/>
  <c r="S1035" s="1"/>
  <c r="T1035" s="1"/>
  <c r="R910"/>
  <c r="S910" s="1"/>
  <c r="T910" s="1"/>
  <c r="R746"/>
  <c r="S746" s="1"/>
  <c r="T746" s="1"/>
  <c r="R840"/>
  <c r="S840" s="1"/>
  <c r="T840" s="1"/>
  <c r="R680"/>
  <c r="S680" s="1"/>
  <c r="T680" s="1"/>
  <c r="R909"/>
  <c r="S909" s="1"/>
  <c r="T909" s="1"/>
  <c r="R969"/>
  <c r="S969" s="1"/>
  <c r="T969" s="1"/>
  <c r="R939"/>
  <c r="S939" s="1"/>
  <c r="T939" s="1"/>
  <c r="R907"/>
  <c r="S907" s="1"/>
  <c r="T907" s="1"/>
  <c r="R1032"/>
  <c r="S1032" s="1"/>
  <c r="T1032" s="1"/>
  <c r="R617"/>
  <c r="S617" s="1"/>
  <c r="T617" s="1"/>
  <c r="R583"/>
  <c r="S583" s="1"/>
  <c r="T583" s="1"/>
  <c r="R619"/>
  <c r="S619" s="1"/>
  <c r="T619" s="1"/>
  <c r="R615"/>
  <c r="S615" s="1"/>
  <c r="T615" s="1"/>
  <c r="R558"/>
  <c r="S558" s="1"/>
  <c r="T558" s="1"/>
  <c r="R621"/>
  <c r="S621" s="1"/>
  <c r="T621" s="1"/>
  <c r="R554"/>
  <c r="S554" s="1"/>
  <c r="T554" s="1"/>
  <c r="R777"/>
  <c r="S777" s="1"/>
  <c r="T777" s="1"/>
  <c r="R748"/>
  <c r="S748" s="1"/>
  <c r="T748" s="1"/>
  <c r="R808"/>
  <c r="S808" s="1"/>
  <c r="T808" s="1"/>
  <c r="R940"/>
  <c r="S940" s="1"/>
  <c r="R908"/>
  <c r="S908" s="1"/>
  <c r="T908" s="1"/>
  <c r="R903"/>
  <c r="S903" s="1"/>
  <c r="R712"/>
  <c r="S712" s="1"/>
  <c r="T712" s="1"/>
  <c r="R686"/>
  <c r="S686" s="1"/>
  <c r="T686" s="1"/>
  <c r="R1037"/>
  <c r="S1037" s="1"/>
  <c r="R1004"/>
  <c r="S1004" s="1"/>
  <c r="R999"/>
  <c r="S999" s="1"/>
  <c r="R974"/>
  <c r="S974" s="1"/>
  <c r="R904"/>
  <c r="S904" s="1"/>
  <c r="T904" s="1"/>
  <c r="R845"/>
  <c r="S845" s="1"/>
  <c r="R775"/>
  <c r="S775" s="1"/>
  <c r="R716"/>
  <c r="S716" s="1"/>
  <c r="T716" s="1"/>
  <c r="R1033"/>
  <c r="S1033" s="1"/>
  <c r="R1000"/>
  <c r="S1000" s="1"/>
  <c r="R970"/>
  <c r="S970" s="1"/>
  <c r="R875"/>
  <c r="S875" s="1"/>
  <c r="T875" s="1"/>
  <c r="R813"/>
  <c r="S813" s="1"/>
  <c r="R781"/>
  <c r="S781" s="1"/>
  <c r="R776"/>
  <c r="S776" s="1"/>
  <c r="T776" s="1"/>
  <c r="R682"/>
  <c r="S682" s="1"/>
  <c r="T682" s="1"/>
  <c r="U651"/>
  <c r="V651" s="1"/>
  <c r="T651"/>
  <c r="T620"/>
  <c r="U620"/>
  <c r="V620" s="1"/>
  <c r="E69" i="29"/>
  <c r="E74"/>
  <c r="E76"/>
  <c r="U585" i="49" l="1"/>
  <c r="V585" s="1"/>
  <c r="U584"/>
  <c r="V584" s="1"/>
  <c r="U552"/>
  <c r="V552" s="1"/>
  <c r="U618"/>
  <c r="V618" s="1"/>
  <c r="T590"/>
  <c r="T586"/>
  <c r="U556"/>
  <c r="V556" s="1"/>
  <c r="U616"/>
  <c r="V616" s="1"/>
  <c r="U684"/>
  <c r="V684" s="1"/>
  <c r="U652"/>
  <c r="V652" s="1"/>
  <c r="U588"/>
  <c r="V588" s="1"/>
  <c r="U650"/>
  <c r="V650" s="1"/>
  <c r="U647"/>
  <c r="V647" s="1"/>
  <c r="U812"/>
  <c r="V812" s="1"/>
  <c r="U653"/>
  <c r="V653" s="1"/>
  <c r="U589"/>
  <c r="V589" s="1"/>
  <c r="U779"/>
  <c r="V779" s="1"/>
  <c r="U685"/>
  <c r="V685" s="1"/>
  <c r="U780"/>
  <c r="V780" s="1"/>
  <c r="U973"/>
  <c r="V973" s="1"/>
  <c r="U649"/>
  <c r="V649" s="1"/>
  <c r="U551"/>
  <c r="V551" s="1"/>
  <c r="U844"/>
  <c r="V844" s="1"/>
  <c r="U871"/>
  <c r="V871" s="1"/>
  <c r="U937"/>
  <c r="V937" s="1"/>
  <c r="U809"/>
  <c r="V809" s="1"/>
  <c r="U810"/>
  <c r="V810" s="1"/>
  <c r="U808"/>
  <c r="V808" s="1"/>
  <c r="U553"/>
  <c r="V553" s="1"/>
  <c r="U713"/>
  <c r="V713" s="1"/>
  <c r="U906"/>
  <c r="V906" s="1"/>
  <c r="U714"/>
  <c r="V714" s="1"/>
  <c r="U843"/>
  <c r="V843" s="1"/>
  <c r="U648"/>
  <c r="V648" s="1"/>
  <c r="U938"/>
  <c r="V938" s="1"/>
  <c r="U583"/>
  <c r="V583" s="1"/>
  <c r="U876"/>
  <c r="V876" s="1"/>
  <c r="U718"/>
  <c r="V718" s="1"/>
  <c r="U1006"/>
  <c r="V1006" s="1"/>
  <c r="U807"/>
  <c r="V807" s="1"/>
  <c r="U874"/>
  <c r="V874" s="1"/>
  <c r="U680"/>
  <c r="V680" s="1"/>
  <c r="U907"/>
  <c r="V907" s="1"/>
  <c r="U942"/>
  <c r="V942" s="1"/>
  <c r="U910"/>
  <c r="V910" s="1"/>
  <c r="U746"/>
  <c r="V746" s="1"/>
  <c r="U621"/>
  <c r="V621" s="1"/>
  <c r="U744"/>
  <c r="V744" s="1"/>
  <c r="U587"/>
  <c r="V587" s="1"/>
  <c r="U743"/>
  <c r="V743" s="1"/>
  <c r="U683"/>
  <c r="V683" s="1"/>
  <c r="U967"/>
  <c r="V967" s="1"/>
  <c r="U811"/>
  <c r="V811" s="1"/>
  <c r="T878"/>
  <c r="U878"/>
  <c r="V878" s="1"/>
  <c r="U748"/>
  <c r="V748" s="1"/>
  <c r="U873"/>
  <c r="V873" s="1"/>
  <c r="U968"/>
  <c r="V968" s="1"/>
  <c r="U712"/>
  <c r="V712" s="1"/>
  <c r="U557"/>
  <c r="V557" s="1"/>
  <c r="U972"/>
  <c r="V972" s="1"/>
  <c r="U939"/>
  <c r="V939" s="1"/>
  <c r="U777"/>
  <c r="V777" s="1"/>
  <c r="U679"/>
  <c r="V679" s="1"/>
  <c r="U877"/>
  <c r="V877" s="1"/>
  <c r="U1002"/>
  <c r="V1002" s="1"/>
  <c r="U1031"/>
  <c r="V1031" s="1"/>
  <c r="U619"/>
  <c r="V619" s="1"/>
  <c r="U681"/>
  <c r="V681" s="1"/>
  <c r="U716"/>
  <c r="V716" s="1"/>
  <c r="U715"/>
  <c r="V715" s="1"/>
  <c r="U1003"/>
  <c r="V1003" s="1"/>
  <c r="U1036"/>
  <c r="V1036" s="1"/>
  <c r="U747"/>
  <c r="V747" s="1"/>
  <c r="U842"/>
  <c r="V842" s="1"/>
  <c r="U969"/>
  <c r="V969" s="1"/>
  <c r="U1032"/>
  <c r="V1032" s="1"/>
  <c r="U936"/>
  <c r="V936" s="1"/>
  <c r="U935"/>
  <c r="V935" s="1"/>
  <c r="U682"/>
  <c r="V682" s="1"/>
  <c r="U686"/>
  <c r="V686" s="1"/>
  <c r="U558"/>
  <c r="V558" s="1"/>
  <c r="U617"/>
  <c r="V617" s="1"/>
  <c r="T750"/>
  <c r="U750"/>
  <c r="V750" s="1"/>
  <c r="U908"/>
  <c r="V908" s="1"/>
  <c r="U872"/>
  <c r="V872" s="1"/>
  <c r="U814"/>
  <c r="V814" s="1"/>
  <c r="U654"/>
  <c r="V654" s="1"/>
  <c r="U622"/>
  <c r="V622" s="1"/>
  <c r="U554"/>
  <c r="V554" s="1"/>
  <c r="U555"/>
  <c r="V555" s="1"/>
  <c r="U904"/>
  <c r="V904" s="1"/>
  <c r="U745"/>
  <c r="V745" s="1"/>
  <c r="U615"/>
  <c r="V615" s="1"/>
  <c r="U1035"/>
  <c r="V1035" s="1"/>
  <c r="U875"/>
  <c r="V875" s="1"/>
  <c r="U749"/>
  <c r="V749" s="1"/>
  <c r="U776"/>
  <c r="V776" s="1"/>
  <c r="U717"/>
  <c r="V717" s="1"/>
  <c r="U782"/>
  <c r="V782" s="1"/>
  <c r="U846"/>
  <c r="V846" s="1"/>
  <c r="U778"/>
  <c r="V778" s="1"/>
  <c r="U840"/>
  <c r="V840" s="1"/>
  <c r="U909"/>
  <c r="V909" s="1"/>
  <c r="T974"/>
  <c r="U974"/>
  <c r="V974" s="1"/>
  <c r="T711"/>
  <c r="U711"/>
  <c r="V711" s="1"/>
  <c r="T905"/>
  <c r="U905"/>
  <c r="V905" s="1"/>
  <c r="T903"/>
  <c r="U903"/>
  <c r="V903" s="1"/>
  <c r="T813"/>
  <c r="U813"/>
  <c r="V813" s="1"/>
  <c r="T1033"/>
  <c r="U1033"/>
  <c r="V1033" s="1"/>
  <c r="T1037"/>
  <c r="U1037"/>
  <c r="V1037" s="1"/>
  <c r="T971"/>
  <c r="U971"/>
  <c r="V971" s="1"/>
  <c r="T1038"/>
  <c r="U1038"/>
  <c r="V1038" s="1"/>
  <c r="T781"/>
  <c r="U781"/>
  <c r="V781" s="1"/>
  <c r="T1000"/>
  <c r="U1000"/>
  <c r="V1000" s="1"/>
  <c r="T1005"/>
  <c r="U1005"/>
  <c r="V1005" s="1"/>
  <c r="T845"/>
  <c r="U845"/>
  <c r="V845" s="1"/>
  <c r="T1004"/>
  <c r="U1004"/>
  <c r="V1004" s="1"/>
  <c r="T941"/>
  <c r="U941"/>
  <c r="V941" s="1"/>
  <c r="T940"/>
  <c r="U940"/>
  <c r="V940" s="1"/>
  <c r="T1034"/>
  <c r="U1034"/>
  <c r="V1034" s="1"/>
  <c r="T970"/>
  <c r="U970"/>
  <c r="V970" s="1"/>
  <c r="T839"/>
  <c r="U839"/>
  <c r="V839" s="1"/>
  <c r="T775"/>
  <c r="U775"/>
  <c r="V775" s="1"/>
  <c r="T999"/>
  <c r="U999"/>
  <c r="V999" s="1"/>
  <c r="T841"/>
  <c r="U841"/>
  <c r="V841" s="1"/>
  <c r="T1001"/>
  <c r="U1001"/>
  <c r="V1001" s="1"/>
  <c r="E77" i="29"/>
  <c r="E78" s="1"/>
  <c r="E127"/>
  <c r="E129" l="1"/>
  <c r="E134"/>
  <c r="E136"/>
  <c r="E137" l="1"/>
  <c r="E138" s="1"/>
  <c r="J544" i="49"/>
  <c r="D31" i="29"/>
  <c r="D37" l="1"/>
  <c r="D38" l="1"/>
  <c r="D118" s="1"/>
  <c r="D119" s="1"/>
  <c r="J10" i="49" s="1"/>
  <c r="H4" i="29"/>
  <c r="B32"/>
  <c r="D63" l="1"/>
  <c r="B68"/>
  <c r="D32"/>
  <c r="D67"/>
  <c r="B128"/>
  <c r="D71" l="1"/>
  <c r="B70"/>
  <c r="B79" s="1"/>
  <c r="B113" s="1"/>
  <c r="B130"/>
  <c r="B139" s="1"/>
  <c r="B173" s="1"/>
  <c r="B174" s="1"/>
  <c r="B16" i="48" s="1"/>
  <c r="D69" i="29"/>
  <c r="D74"/>
  <c r="D76"/>
  <c r="D68"/>
  <c r="D70" l="1"/>
  <c r="D79" s="1"/>
  <c r="D113" s="1"/>
  <c r="D114" s="1"/>
  <c r="J49" i="49" s="1"/>
  <c r="K49" s="1"/>
  <c r="B114" i="29"/>
  <c r="B3" i="48" s="1"/>
  <c r="B115" i="29"/>
  <c r="B29" i="48" s="1"/>
  <c r="K29"/>
  <c r="F24"/>
  <c r="I27"/>
  <c r="G26"/>
  <c r="I26"/>
  <c r="H24"/>
  <c r="M28"/>
  <c r="F22"/>
  <c r="I25"/>
  <c r="L29"/>
  <c r="F25"/>
  <c r="L28"/>
  <c r="G27"/>
  <c r="H27"/>
  <c r="G22"/>
  <c r="H26"/>
  <c r="G24"/>
  <c r="K26"/>
  <c r="G29"/>
  <c r="H29"/>
  <c r="K27"/>
  <c r="F21"/>
  <c r="I28"/>
  <c r="G23"/>
  <c r="H23"/>
  <c r="J29"/>
  <c r="F27"/>
  <c r="K28"/>
  <c r="J26"/>
  <c r="G25"/>
  <c r="H25"/>
  <c r="J27"/>
  <c r="G28"/>
  <c r="H28"/>
  <c r="N29"/>
  <c r="N31" s="1"/>
  <c r="F28"/>
  <c r="J25"/>
  <c r="F23"/>
  <c r="J28"/>
  <c r="I24"/>
  <c r="L27"/>
  <c r="F26"/>
  <c r="I29"/>
  <c r="M29"/>
  <c r="F29"/>
  <c r="D77" i="29"/>
  <c r="D78" s="1"/>
  <c r="D127"/>
  <c r="J177" i="49" l="1"/>
  <c r="K177" s="1"/>
  <c r="D131" i="29"/>
  <c r="J432" i="49"/>
  <c r="K432" s="1"/>
  <c r="J351"/>
  <c r="K351" s="1"/>
  <c r="J499"/>
  <c r="K499" s="1"/>
  <c r="J246"/>
  <c r="K246" s="1"/>
  <c r="J263"/>
  <c r="K263" s="1"/>
  <c r="J382"/>
  <c r="K382" s="1"/>
  <c r="J481"/>
  <c r="K481" s="1"/>
  <c r="J303"/>
  <c r="K303" s="1"/>
  <c r="J461"/>
  <c r="K461" s="1"/>
  <c r="J225"/>
  <c r="K225" s="1"/>
  <c r="J372"/>
  <c r="K372" s="1"/>
  <c r="J376"/>
  <c r="K376" s="1"/>
  <c r="J528"/>
  <c r="K528" s="1"/>
  <c r="J281"/>
  <c r="K281" s="1"/>
  <c r="J390"/>
  <c r="K390" s="1"/>
  <c r="J384"/>
  <c r="K384" s="1"/>
  <c r="J289"/>
  <c r="K289" s="1"/>
  <c r="J353"/>
  <c r="K353" s="1"/>
  <c r="J487"/>
  <c r="K487" s="1"/>
  <c r="J523"/>
  <c r="K523" s="1"/>
  <c r="J247"/>
  <c r="K247" s="1"/>
  <c r="J160"/>
  <c r="K160" s="1"/>
  <c r="J383"/>
  <c r="K383" s="1"/>
  <c r="J97"/>
  <c r="K97" s="1"/>
  <c r="J319"/>
  <c r="K319" s="1"/>
  <c r="J105"/>
  <c r="K105" s="1"/>
  <c r="J261"/>
  <c r="K261" s="1"/>
  <c r="J511"/>
  <c r="K511" s="1"/>
  <c r="J272"/>
  <c r="K272" s="1"/>
  <c r="J520"/>
  <c r="K520" s="1"/>
  <c r="J430"/>
  <c r="K430" s="1"/>
  <c r="J510"/>
  <c r="K510" s="1"/>
  <c r="J397"/>
  <c r="K397" s="1"/>
  <c r="J524"/>
  <c r="K524" s="1"/>
  <c r="J89"/>
  <c r="K89" s="1"/>
  <c r="J253"/>
  <c r="K253" s="1"/>
  <c r="J417"/>
  <c r="K417" s="1"/>
  <c r="J200"/>
  <c r="K200" s="1"/>
  <c r="J264"/>
  <c r="K264" s="1"/>
  <c r="J457"/>
  <c r="K457" s="1"/>
  <c r="J153"/>
  <c r="K153" s="1"/>
  <c r="J222"/>
  <c r="K222" s="1"/>
  <c r="J468"/>
  <c r="K468" s="1"/>
  <c r="J465"/>
  <c r="K465" s="1"/>
  <c r="J328"/>
  <c r="K328" s="1"/>
  <c r="J437"/>
  <c r="K437" s="1"/>
  <c r="J280"/>
  <c r="K280" s="1"/>
  <c r="J495"/>
  <c r="K495" s="1"/>
  <c r="J438"/>
  <c r="K438" s="1"/>
  <c r="J137"/>
  <c r="K137" s="1"/>
  <c r="J488"/>
  <c r="K488" s="1"/>
  <c r="J207"/>
  <c r="K207" s="1"/>
  <c r="J120"/>
  <c r="K120" s="1"/>
  <c r="J526"/>
  <c r="K526" s="1"/>
  <c r="J262"/>
  <c r="K262" s="1"/>
  <c r="J257"/>
  <c r="K257" s="1"/>
  <c r="J448"/>
  <c r="K448" s="1"/>
  <c r="J357"/>
  <c r="K357" s="1"/>
  <c r="J360"/>
  <c r="K360" s="1"/>
  <c r="J505"/>
  <c r="K505" s="1"/>
  <c r="J329"/>
  <c r="K329" s="1"/>
  <c r="J377"/>
  <c r="K377" s="1"/>
  <c r="J352"/>
  <c r="K352" s="1"/>
  <c r="J453"/>
  <c r="K453" s="1"/>
  <c r="J502"/>
  <c r="K502" s="1"/>
  <c r="J439"/>
  <c r="K439" s="1"/>
  <c r="J388"/>
  <c r="K388" s="1"/>
  <c r="J501"/>
  <c r="K501" s="1"/>
  <c r="J215"/>
  <c r="K215" s="1"/>
  <c r="J214"/>
  <c r="K214" s="1"/>
  <c r="J103"/>
  <c r="K103" s="1"/>
  <c r="J233"/>
  <c r="K233" s="1"/>
  <c r="J128"/>
  <c r="K128" s="1"/>
  <c r="J345"/>
  <c r="K345" s="1"/>
  <c r="J423"/>
  <c r="K423" s="1"/>
  <c r="J374"/>
  <c r="K374" s="1"/>
  <c r="J342"/>
  <c r="K342" s="1"/>
  <c r="J504"/>
  <c r="K504" s="1"/>
  <c r="J143"/>
  <c r="K143" s="1"/>
  <c r="J126"/>
  <c r="K126" s="1"/>
  <c r="J65"/>
  <c r="K65" s="1"/>
  <c r="J193"/>
  <c r="K193" s="1"/>
  <c r="J72"/>
  <c r="K72" s="1"/>
  <c r="J232"/>
  <c r="K232" s="1"/>
  <c r="J489"/>
  <c r="K489" s="1"/>
  <c r="J518"/>
  <c r="K518" s="1"/>
  <c r="J464"/>
  <c r="K464" s="1"/>
  <c r="J425"/>
  <c r="K425" s="1"/>
  <c r="J529"/>
  <c r="K529" s="1"/>
  <c r="J231"/>
  <c r="K231" s="1"/>
  <c r="J230"/>
  <c r="K230" s="1"/>
  <c r="J121"/>
  <c r="K121" s="1"/>
  <c r="J245"/>
  <c r="K245" s="1"/>
  <c r="J176"/>
  <c r="K176" s="1"/>
  <c r="J255"/>
  <c r="K255" s="1"/>
  <c r="J407"/>
  <c r="K407" s="1"/>
  <c r="J456"/>
  <c r="K456" s="1"/>
  <c r="J56"/>
  <c r="K56" s="1"/>
  <c r="J519"/>
  <c r="K519" s="1"/>
  <c r="J441"/>
  <c r="K441" s="1"/>
  <c r="J470"/>
  <c r="K470" s="1"/>
  <c r="J400"/>
  <c r="K400" s="1"/>
  <c r="J406"/>
  <c r="K406" s="1"/>
  <c r="J431"/>
  <c r="K431" s="1"/>
  <c r="J473"/>
  <c r="K473" s="1"/>
  <c r="J424"/>
  <c r="K424" s="1"/>
  <c r="J344"/>
  <c r="K344" s="1"/>
  <c r="J415"/>
  <c r="K415" s="1"/>
  <c r="J335"/>
  <c r="K335" s="1"/>
  <c r="J508"/>
  <c r="K508" s="1"/>
  <c r="J380"/>
  <c r="K380" s="1"/>
  <c r="J479"/>
  <c r="K479" s="1"/>
  <c r="J295"/>
  <c r="K295" s="1"/>
  <c r="J391"/>
  <c r="K391" s="1"/>
  <c r="J477"/>
  <c r="K477" s="1"/>
  <c r="J287"/>
  <c r="K287" s="1"/>
  <c r="J398"/>
  <c r="K398" s="1"/>
  <c r="J512"/>
  <c r="K512" s="1"/>
  <c r="J349"/>
  <c r="K349" s="1"/>
  <c r="J449"/>
  <c r="K449" s="1"/>
  <c r="J321"/>
  <c r="K321" s="1"/>
  <c r="J445"/>
  <c r="K445" s="1"/>
  <c r="J366"/>
  <c r="K366" s="1"/>
  <c r="J447"/>
  <c r="K447" s="1"/>
  <c r="J389"/>
  <c r="K389" s="1"/>
  <c r="J358"/>
  <c r="K358" s="1"/>
  <c r="J507"/>
  <c r="K507" s="1"/>
  <c r="J185"/>
  <c r="K185" s="1"/>
  <c r="J134"/>
  <c r="K134" s="1"/>
  <c r="J73"/>
  <c r="K73" s="1"/>
  <c r="J199"/>
  <c r="K199" s="1"/>
  <c r="J80"/>
  <c r="K80" s="1"/>
  <c r="J240"/>
  <c r="K240" s="1"/>
  <c r="J350"/>
  <c r="K350" s="1"/>
  <c r="J313"/>
  <c r="K313" s="1"/>
  <c r="J273"/>
  <c r="K273" s="1"/>
  <c r="J463"/>
  <c r="K463" s="1"/>
  <c r="J111"/>
  <c r="K111" s="1"/>
  <c r="J25"/>
  <c r="K25" s="1"/>
  <c r="J270"/>
  <c r="K270" s="1"/>
  <c r="J161"/>
  <c r="K161" s="1"/>
  <c r="J265"/>
  <c r="K265" s="1"/>
  <c r="J192"/>
  <c r="K192" s="1"/>
  <c r="J401"/>
  <c r="K401" s="1"/>
  <c r="J476"/>
  <c r="K476" s="1"/>
  <c r="J408"/>
  <c r="K408" s="1"/>
  <c r="J373"/>
  <c r="K373" s="1"/>
  <c r="J525"/>
  <c r="K525" s="1"/>
  <c r="J201"/>
  <c r="K201" s="1"/>
  <c r="J184"/>
  <c r="K184" s="1"/>
  <c r="J87"/>
  <c r="K87" s="1"/>
  <c r="J217"/>
  <c r="K217" s="1"/>
  <c r="J144"/>
  <c r="K144" s="1"/>
  <c r="J95"/>
  <c r="K95" s="1"/>
  <c r="J446"/>
  <c r="K446" s="1"/>
  <c r="J385"/>
  <c r="K385" s="1"/>
  <c r="J104"/>
  <c r="K104" s="1"/>
  <c r="J361"/>
  <c r="K361" s="1"/>
  <c r="J365"/>
  <c r="K365" s="1"/>
  <c r="J513"/>
  <c r="K513" s="1"/>
  <c r="J297"/>
  <c r="K297" s="1"/>
  <c r="J326"/>
  <c r="K326" s="1"/>
  <c r="J494"/>
  <c r="K494" s="1"/>
  <c r="J527"/>
  <c r="K527" s="1"/>
  <c r="J472"/>
  <c r="K472" s="1"/>
  <c r="J341"/>
  <c r="K341" s="1"/>
  <c r="J500"/>
  <c r="K500" s="1"/>
  <c r="J336"/>
  <c r="K336" s="1"/>
  <c r="J497"/>
  <c r="K497" s="1"/>
  <c r="J440"/>
  <c r="K440" s="1"/>
  <c r="J311"/>
  <c r="K311" s="1"/>
  <c r="J399"/>
  <c r="K399" s="1"/>
  <c r="J485"/>
  <c r="K485" s="1"/>
  <c r="J310"/>
  <c r="K310" s="1"/>
  <c r="J305"/>
  <c r="K305" s="1"/>
  <c r="J396"/>
  <c r="K396" s="1"/>
  <c r="J480"/>
  <c r="K480" s="1"/>
  <c r="J304"/>
  <c r="K304" s="1"/>
  <c r="J409"/>
  <c r="K409" s="1"/>
  <c r="J515"/>
  <c r="K515" s="1"/>
  <c r="J359"/>
  <c r="K359" s="1"/>
  <c r="J455"/>
  <c r="K455" s="1"/>
  <c r="J327"/>
  <c r="K327" s="1"/>
  <c r="J369"/>
  <c r="K369" s="1"/>
  <c r="J462"/>
  <c r="K462" s="1"/>
  <c r="J496"/>
  <c r="K496" s="1"/>
  <c r="J381"/>
  <c r="K381" s="1"/>
  <c r="J493"/>
  <c r="K493" s="1"/>
  <c r="J318"/>
  <c r="K318" s="1"/>
  <c r="J422"/>
  <c r="K422" s="1"/>
  <c r="J279"/>
  <c r="K279" s="1"/>
  <c r="J416"/>
  <c r="K416" s="1"/>
  <c r="J516"/>
  <c r="K516" s="1"/>
  <c r="J375"/>
  <c r="K375" s="1"/>
  <c r="J334"/>
  <c r="K334" s="1"/>
  <c r="J296"/>
  <c r="K296" s="1"/>
  <c r="J478"/>
  <c r="K478" s="1"/>
  <c r="J119"/>
  <c r="K119" s="1"/>
  <c r="J88"/>
  <c r="K88" s="1"/>
  <c r="J33"/>
  <c r="K33" s="1"/>
  <c r="J169"/>
  <c r="K169" s="1"/>
  <c r="J269"/>
  <c r="K269" s="1"/>
  <c r="J208"/>
  <c r="K208" s="1"/>
  <c r="J503"/>
  <c r="K503" s="1"/>
  <c r="J521"/>
  <c r="K521" s="1"/>
  <c r="J469"/>
  <c r="K469" s="1"/>
  <c r="J433"/>
  <c r="K433" s="1"/>
  <c r="J41"/>
  <c r="K41" s="1"/>
  <c r="J239"/>
  <c r="K239" s="1"/>
  <c r="J238"/>
  <c r="K238" s="1"/>
  <c r="J129"/>
  <c r="K129" s="1"/>
  <c r="J249"/>
  <c r="K249" s="1"/>
  <c r="J152"/>
  <c r="K152" s="1"/>
  <c r="J320"/>
  <c r="K320" s="1"/>
  <c r="J414"/>
  <c r="K414" s="1"/>
  <c r="J368"/>
  <c r="K368" s="1"/>
  <c r="J337"/>
  <c r="K337" s="1"/>
  <c r="J492"/>
  <c r="K492" s="1"/>
  <c r="J135"/>
  <c r="K135" s="1"/>
  <c r="J118"/>
  <c r="K118" s="1"/>
  <c r="J57"/>
  <c r="K57" s="1"/>
  <c r="J183"/>
  <c r="K183" s="1"/>
  <c r="J64"/>
  <c r="K64" s="1"/>
  <c r="J271"/>
  <c r="K271" s="1"/>
  <c r="J168"/>
  <c r="K168" s="1"/>
  <c r="J113"/>
  <c r="K113" s="1"/>
  <c r="J209"/>
  <c r="K209" s="1"/>
  <c r="J112"/>
  <c r="K112" s="1"/>
  <c r="J256"/>
  <c r="K256" s="1"/>
  <c r="J454"/>
  <c r="K454" s="1"/>
  <c r="J145"/>
  <c r="K145" s="1"/>
  <c r="J509"/>
  <c r="K509" s="1"/>
  <c r="J223"/>
  <c r="K223" s="1"/>
  <c r="J136"/>
  <c r="K136" s="1"/>
  <c r="J367"/>
  <c r="K367" s="1"/>
  <c r="J81"/>
  <c r="K81" s="1"/>
  <c r="J343"/>
  <c r="K343" s="1"/>
  <c r="J127"/>
  <c r="K127" s="1"/>
  <c r="J312"/>
  <c r="K312" s="1"/>
  <c r="J224"/>
  <c r="K224" s="1"/>
  <c r="J484"/>
  <c r="K484" s="1"/>
  <c r="J254"/>
  <c r="K254" s="1"/>
  <c r="J471"/>
  <c r="K471" s="1"/>
  <c r="J517"/>
  <c r="K517" s="1"/>
  <c r="J241"/>
  <c r="K241" s="1"/>
  <c r="J392"/>
  <c r="K392" s="1"/>
  <c r="J142"/>
  <c r="K142" s="1"/>
  <c r="J248"/>
  <c r="K248" s="1"/>
  <c r="J393"/>
  <c r="K393" s="1"/>
  <c r="J486"/>
  <c r="K486" s="1"/>
  <c r="J191"/>
  <c r="K191" s="1"/>
  <c r="J96"/>
  <c r="K96" s="1"/>
  <c r="J216"/>
  <c r="K216" s="1"/>
  <c r="I31" i="48"/>
  <c r="J158" i="49"/>
  <c r="K158" s="1"/>
  <c r="J179"/>
  <c r="K179" s="1"/>
  <c r="J195"/>
  <c r="K195" s="1"/>
  <c r="J205"/>
  <c r="K205" s="1"/>
  <c r="J212"/>
  <c r="K212" s="1"/>
  <c r="J220"/>
  <c r="K220" s="1"/>
  <c r="J228"/>
  <c r="K228" s="1"/>
  <c r="J236"/>
  <c r="K236" s="1"/>
  <c r="J244"/>
  <c r="K244" s="1"/>
  <c r="J258"/>
  <c r="K258" s="1"/>
  <c r="J267"/>
  <c r="K267" s="1"/>
  <c r="J277"/>
  <c r="K277" s="1"/>
  <c r="J285"/>
  <c r="K285" s="1"/>
  <c r="J293"/>
  <c r="K293" s="1"/>
  <c r="J301"/>
  <c r="K301" s="1"/>
  <c r="J308"/>
  <c r="K308" s="1"/>
  <c r="J316"/>
  <c r="K316" s="1"/>
  <c r="J324"/>
  <c r="K324" s="1"/>
  <c r="J332"/>
  <c r="K332" s="1"/>
  <c r="J340"/>
  <c r="K340" s="1"/>
  <c r="J354"/>
  <c r="K354" s="1"/>
  <c r="J363"/>
  <c r="K363" s="1"/>
  <c r="J378"/>
  <c r="K378" s="1"/>
  <c r="J394"/>
  <c r="K394" s="1"/>
  <c r="J404"/>
  <c r="K404" s="1"/>
  <c r="J428"/>
  <c r="K428" s="1"/>
  <c r="J459"/>
  <c r="K459" s="1"/>
  <c r="J339"/>
  <c r="K339" s="1"/>
  <c r="J387"/>
  <c r="K387" s="1"/>
  <c r="J427"/>
  <c r="K427" s="1"/>
  <c r="J458"/>
  <c r="K458" s="1"/>
  <c r="J150"/>
  <c r="K150" s="1"/>
  <c r="J174"/>
  <c r="K174" s="1"/>
  <c r="J189"/>
  <c r="K189" s="1"/>
  <c r="J204"/>
  <c r="K204" s="1"/>
  <c r="J211"/>
  <c r="K211" s="1"/>
  <c r="J219"/>
  <c r="K219" s="1"/>
  <c r="J227"/>
  <c r="K227" s="1"/>
  <c r="J235"/>
  <c r="K235" s="1"/>
  <c r="J243"/>
  <c r="K243" s="1"/>
  <c r="J252"/>
  <c r="K252" s="1"/>
  <c r="J266"/>
  <c r="K266" s="1"/>
  <c r="J276"/>
  <c r="K276" s="1"/>
  <c r="J284"/>
  <c r="K284" s="1"/>
  <c r="J292"/>
  <c r="K292" s="1"/>
  <c r="J300"/>
  <c r="K300" s="1"/>
  <c r="J307"/>
  <c r="K307" s="1"/>
  <c r="J315"/>
  <c r="K315" s="1"/>
  <c r="J323"/>
  <c r="K323" s="1"/>
  <c r="J362"/>
  <c r="K362" s="1"/>
  <c r="J419"/>
  <c r="K419" s="1"/>
  <c r="J467"/>
  <c r="K467" s="1"/>
  <c r="J140"/>
  <c r="K140" s="1"/>
  <c r="J172"/>
  <c r="K172" s="1"/>
  <c r="J187"/>
  <c r="K187" s="1"/>
  <c r="J203"/>
  <c r="K203" s="1"/>
  <c r="J210"/>
  <c r="K210" s="1"/>
  <c r="J218"/>
  <c r="K218" s="1"/>
  <c r="J226"/>
  <c r="K226" s="1"/>
  <c r="J234"/>
  <c r="K234" s="1"/>
  <c r="J242"/>
  <c r="K242" s="1"/>
  <c r="J251"/>
  <c r="K251" s="1"/>
  <c r="J260"/>
  <c r="K260" s="1"/>
  <c r="J275"/>
  <c r="K275" s="1"/>
  <c r="J283"/>
  <c r="K283" s="1"/>
  <c r="J291"/>
  <c r="K291" s="1"/>
  <c r="J299"/>
  <c r="K299" s="1"/>
  <c r="J306"/>
  <c r="K306" s="1"/>
  <c r="J314"/>
  <c r="K314" s="1"/>
  <c r="J322"/>
  <c r="K322" s="1"/>
  <c r="J330"/>
  <c r="K330" s="1"/>
  <c r="J338"/>
  <c r="K338" s="1"/>
  <c r="J347"/>
  <c r="K347" s="1"/>
  <c r="J356"/>
  <c r="K356" s="1"/>
  <c r="J370"/>
  <c r="K370" s="1"/>
  <c r="J386"/>
  <c r="K386" s="1"/>
  <c r="J402"/>
  <c r="K402" s="1"/>
  <c r="J410"/>
  <c r="K410" s="1"/>
  <c r="J418"/>
  <c r="K418" s="1"/>
  <c r="J426"/>
  <c r="K426" s="1"/>
  <c r="J434"/>
  <c r="K434" s="1"/>
  <c r="J443"/>
  <c r="K443" s="1"/>
  <c r="J452"/>
  <c r="K452" s="1"/>
  <c r="J466"/>
  <c r="K466" s="1"/>
  <c r="J482"/>
  <c r="K482" s="1"/>
  <c r="J498"/>
  <c r="K498" s="1"/>
  <c r="J412"/>
  <c r="K412" s="1"/>
  <c r="J436"/>
  <c r="K436" s="1"/>
  <c r="J490"/>
  <c r="K490" s="1"/>
  <c r="J331"/>
  <c r="K331" s="1"/>
  <c r="J371"/>
  <c r="K371" s="1"/>
  <c r="J411"/>
  <c r="K411" s="1"/>
  <c r="J444"/>
  <c r="K444" s="1"/>
  <c r="J506"/>
  <c r="K506" s="1"/>
  <c r="J132"/>
  <c r="K132" s="1"/>
  <c r="J166"/>
  <c r="K166" s="1"/>
  <c r="J181"/>
  <c r="K181" s="1"/>
  <c r="J197"/>
  <c r="K197" s="1"/>
  <c r="J206"/>
  <c r="K206" s="1"/>
  <c r="J213"/>
  <c r="K213" s="1"/>
  <c r="J221"/>
  <c r="K221" s="1"/>
  <c r="J229"/>
  <c r="K229" s="1"/>
  <c r="J237"/>
  <c r="K237" s="1"/>
  <c r="J250"/>
  <c r="K250" s="1"/>
  <c r="J259"/>
  <c r="K259" s="1"/>
  <c r="J268"/>
  <c r="K268" s="1"/>
  <c r="J278"/>
  <c r="K278" s="1"/>
  <c r="J286"/>
  <c r="K286" s="1"/>
  <c r="J294"/>
  <c r="K294" s="1"/>
  <c r="J302"/>
  <c r="K302" s="1"/>
  <c r="J309"/>
  <c r="K309" s="1"/>
  <c r="J317"/>
  <c r="K317" s="1"/>
  <c r="J325"/>
  <c r="K325" s="1"/>
  <c r="J333"/>
  <c r="K333" s="1"/>
  <c r="J346"/>
  <c r="K346" s="1"/>
  <c r="J355"/>
  <c r="K355" s="1"/>
  <c r="J364"/>
  <c r="K364" s="1"/>
  <c r="J379"/>
  <c r="K379" s="1"/>
  <c r="J395"/>
  <c r="K395" s="1"/>
  <c r="J405"/>
  <c r="K405" s="1"/>
  <c r="J413"/>
  <c r="K413" s="1"/>
  <c r="J421"/>
  <c r="K421" s="1"/>
  <c r="J429"/>
  <c r="K429" s="1"/>
  <c r="J442"/>
  <c r="K442" s="1"/>
  <c r="J451"/>
  <c r="K451" s="1"/>
  <c r="J460"/>
  <c r="K460" s="1"/>
  <c r="J475"/>
  <c r="K475" s="1"/>
  <c r="J491"/>
  <c r="K491" s="1"/>
  <c r="J522"/>
  <c r="K522" s="1"/>
  <c r="J420"/>
  <c r="K420" s="1"/>
  <c r="J450"/>
  <c r="K450" s="1"/>
  <c r="J474"/>
  <c r="K474" s="1"/>
  <c r="J514"/>
  <c r="K514" s="1"/>
  <c r="J348"/>
  <c r="K348" s="1"/>
  <c r="J403"/>
  <c r="K403" s="1"/>
  <c r="J435"/>
  <c r="K435" s="1"/>
  <c r="J483"/>
  <c r="K483" s="1"/>
  <c r="J116"/>
  <c r="K116" s="1"/>
  <c r="J93"/>
  <c r="K93" s="1"/>
  <c r="J173"/>
  <c r="K173" s="1"/>
  <c r="J139"/>
  <c r="K139" s="1"/>
  <c r="J108"/>
  <c r="K108" s="1"/>
  <c r="J198"/>
  <c r="K198" s="1"/>
  <c r="J167"/>
  <c r="K167" s="1"/>
  <c r="J133"/>
  <c r="K133" s="1"/>
  <c r="J102"/>
  <c r="K102" s="1"/>
  <c r="J164"/>
  <c r="K164" s="1"/>
  <c r="J99"/>
  <c r="K99" s="1"/>
  <c r="J55"/>
  <c r="K55" s="1"/>
  <c r="J61"/>
  <c r="K61" s="1"/>
  <c r="J175"/>
  <c r="K175" s="1"/>
  <c r="J138"/>
  <c r="K138" s="1"/>
  <c r="J48"/>
  <c r="K48" s="1"/>
  <c r="J52"/>
  <c r="K52" s="1"/>
  <c r="J124"/>
  <c r="K124" s="1"/>
  <c r="J85"/>
  <c r="K85" s="1"/>
  <c r="J180"/>
  <c r="K180" s="1"/>
  <c r="J149"/>
  <c r="K149" s="1"/>
  <c r="J141"/>
  <c r="K141" s="1"/>
  <c r="J76"/>
  <c r="K76" s="1"/>
  <c r="J31"/>
  <c r="K31" s="1"/>
  <c r="J109"/>
  <c r="K109" s="1"/>
  <c r="J188"/>
  <c r="K188" s="1"/>
  <c r="J157"/>
  <c r="K157" s="1"/>
  <c r="J123"/>
  <c r="K123" s="1"/>
  <c r="J92"/>
  <c r="K92" s="1"/>
  <c r="J182"/>
  <c r="K182" s="1"/>
  <c r="J151"/>
  <c r="K151" s="1"/>
  <c r="J117"/>
  <c r="K117" s="1"/>
  <c r="J86"/>
  <c r="K86" s="1"/>
  <c r="J148"/>
  <c r="K148" s="1"/>
  <c r="J114"/>
  <c r="K114" s="1"/>
  <c r="J83"/>
  <c r="K83" s="1"/>
  <c r="J70"/>
  <c r="K70" s="1"/>
  <c r="J62"/>
  <c r="K62" s="1"/>
  <c r="J32"/>
  <c r="K32" s="1"/>
  <c r="J39"/>
  <c r="K39" s="1"/>
  <c r="J60"/>
  <c r="K60" s="1"/>
  <c r="J29"/>
  <c r="K29" s="1"/>
  <c r="J46"/>
  <c r="K46" s="1"/>
  <c r="J63"/>
  <c r="K63" s="1"/>
  <c r="J23"/>
  <c r="K23" s="1"/>
  <c r="J30"/>
  <c r="K30" s="1"/>
  <c r="J84"/>
  <c r="K84" s="1"/>
  <c r="J79"/>
  <c r="K79" s="1"/>
  <c r="J71"/>
  <c r="K71" s="1"/>
  <c r="J21"/>
  <c r="K21" s="1"/>
  <c r="J101"/>
  <c r="K101" s="1"/>
  <c r="J196"/>
  <c r="K196" s="1"/>
  <c r="J165"/>
  <c r="K165" s="1"/>
  <c r="J131"/>
  <c r="K131" s="1"/>
  <c r="J100"/>
  <c r="K100" s="1"/>
  <c r="J190"/>
  <c r="K190" s="1"/>
  <c r="J159"/>
  <c r="K159" s="1"/>
  <c r="J125"/>
  <c r="K125" s="1"/>
  <c r="J94"/>
  <c r="K94" s="1"/>
  <c r="J156"/>
  <c r="K156" s="1"/>
  <c r="J122"/>
  <c r="K122" s="1"/>
  <c r="J91"/>
  <c r="K91" s="1"/>
  <c r="J77"/>
  <c r="K77" s="1"/>
  <c r="J69"/>
  <c r="K69" s="1"/>
  <c r="J24"/>
  <c r="K24" s="1"/>
  <c r="J47"/>
  <c r="K47" s="1"/>
  <c r="J68"/>
  <c r="K68" s="1"/>
  <c r="J37"/>
  <c r="K37" s="1"/>
  <c r="J53"/>
  <c r="K53" s="1"/>
  <c r="J130"/>
  <c r="K130" s="1"/>
  <c r="J78"/>
  <c r="K78" s="1"/>
  <c r="J54"/>
  <c r="K54" s="1"/>
  <c r="J45"/>
  <c r="K45" s="1"/>
  <c r="J115"/>
  <c r="K115" s="1"/>
  <c r="J110"/>
  <c r="K110" s="1"/>
  <c r="J107"/>
  <c r="K107" s="1"/>
  <c r="J40"/>
  <c r="K40" s="1"/>
  <c r="J38"/>
  <c r="K38" s="1"/>
  <c r="J22"/>
  <c r="K22" s="1"/>
  <c r="J288"/>
  <c r="K288" s="1"/>
  <c r="F31" i="48"/>
  <c r="K31"/>
  <c r="G7"/>
  <c r="N13"/>
  <c r="N15" s="1"/>
  <c r="K11"/>
  <c r="G9"/>
  <c r="K10"/>
  <c r="G10"/>
  <c r="I11"/>
  <c r="L13"/>
  <c r="I9"/>
  <c r="F7"/>
  <c r="F8"/>
  <c r="M12"/>
  <c r="J13"/>
  <c r="H13"/>
  <c r="L12"/>
  <c r="H9"/>
  <c r="J11"/>
  <c r="G8"/>
  <c r="I13"/>
  <c r="G11"/>
  <c r="F11"/>
  <c r="F9"/>
  <c r="L11"/>
  <c r="I12"/>
  <c r="H10"/>
  <c r="G12"/>
  <c r="I8"/>
  <c r="K13"/>
  <c r="G13"/>
  <c r="J12"/>
  <c r="H7"/>
  <c r="F12"/>
  <c r="F10"/>
  <c r="J10"/>
  <c r="I10"/>
  <c r="H8"/>
  <c r="J9"/>
  <c r="M13"/>
  <c r="H12"/>
  <c r="K12"/>
  <c r="H11"/>
  <c r="F13"/>
  <c r="F5"/>
  <c r="G31"/>
  <c r="M31"/>
  <c r="G6"/>
  <c r="F6"/>
  <c r="L31"/>
  <c r="J31"/>
  <c r="H31"/>
  <c r="D129" i="29"/>
  <c r="D134"/>
  <c r="D136"/>
  <c r="L15" i="48" l="1"/>
  <c r="G15"/>
  <c r="J15"/>
  <c r="K15"/>
  <c r="F15"/>
  <c r="H15"/>
  <c r="I15"/>
  <c r="M15"/>
  <c r="D137" i="29"/>
  <c r="D138" s="1"/>
  <c r="J11" i="49"/>
  <c r="B37" i="29"/>
  <c r="B38" s="1"/>
  <c r="B118" s="1"/>
  <c r="B119" s="1"/>
  <c r="B69"/>
  <c r="B74"/>
  <c r="B76"/>
  <c r="F16" i="48" l="1"/>
  <c r="B211" i="29" s="1"/>
  <c r="F37" i="48"/>
  <c r="M37"/>
  <c r="L37"/>
  <c r="H37"/>
  <c r="J37"/>
  <c r="K37"/>
  <c r="G37"/>
  <c r="E37"/>
  <c r="I37"/>
  <c r="B78" i="29"/>
  <c r="B80" s="1"/>
  <c r="B82" s="1"/>
  <c r="B193"/>
  <c r="B194" s="1"/>
  <c r="B196"/>
  <c r="R13" i="48" l="1"/>
  <c r="R14" s="1"/>
  <c r="R15" s="1"/>
  <c r="R16" s="1"/>
  <c r="R17" s="1"/>
  <c r="R18" s="1"/>
  <c r="R19" s="1"/>
  <c r="R20" s="1"/>
  <c r="R21" s="1"/>
  <c r="R22" s="1"/>
  <c r="R23" s="1"/>
  <c r="R24" s="1"/>
  <c r="E38"/>
  <c r="B84" i="29"/>
  <c r="B88"/>
  <c r="B83"/>
  <c r="B87"/>
  <c r="B95"/>
  <c r="B98"/>
  <c r="B99" s="1"/>
  <c r="F32" i="48"/>
  <c r="B212" i="29" s="1"/>
  <c r="B127"/>
  <c r="B131" l="1"/>
  <c r="B90"/>
  <c r="B104"/>
  <c r="B103"/>
  <c r="B100"/>
  <c r="B101" s="1"/>
  <c r="B109" s="1"/>
  <c r="B111"/>
  <c r="B86"/>
  <c r="B85"/>
  <c r="B93" s="1"/>
  <c r="B89"/>
  <c r="B129"/>
  <c r="B134"/>
  <c r="B136"/>
  <c r="B92" l="1"/>
  <c r="B102"/>
  <c r="B105"/>
  <c r="B107" s="1"/>
  <c r="B106"/>
  <c r="B91"/>
  <c r="B138"/>
  <c r="B140" s="1"/>
  <c r="B142" s="1"/>
  <c r="C151"/>
  <c r="R25" i="48"/>
  <c r="R26" s="1"/>
  <c r="R27" s="1"/>
  <c r="C152" i="29"/>
  <c r="U25" i="48"/>
  <c r="C168" i="29"/>
  <c r="C167"/>
  <c r="J52" i="26"/>
  <c r="J29"/>
  <c r="J56"/>
  <c r="J26"/>
  <c r="J21"/>
  <c r="J44"/>
  <c r="J15"/>
  <c r="J27"/>
  <c r="J41"/>
  <c r="J19"/>
  <c r="J42"/>
  <c r="J78"/>
  <c r="J62"/>
  <c r="J25"/>
  <c r="J6"/>
  <c r="J77"/>
  <c r="J20"/>
  <c r="J16"/>
  <c r="J75"/>
  <c r="J7"/>
  <c r="J11"/>
  <c r="J67"/>
  <c r="J47"/>
  <c r="J68"/>
  <c r="J32"/>
  <c r="J35"/>
  <c r="J34"/>
  <c r="J22"/>
  <c r="J46"/>
  <c r="J23"/>
  <c r="J66"/>
  <c r="J33"/>
  <c r="J10"/>
  <c r="J28"/>
  <c r="J49"/>
  <c r="J53"/>
  <c r="J4"/>
  <c r="J76"/>
  <c r="J12"/>
  <c r="J71"/>
  <c r="J48"/>
  <c r="J8"/>
  <c r="J36"/>
  <c r="J24"/>
  <c r="J64"/>
  <c r="J51"/>
  <c r="J30"/>
  <c r="J50"/>
  <c r="J31"/>
  <c r="J70"/>
  <c r="J54"/>
  <c r="J14"/>
  <c r="J45"/>
  <c r="J65"/>
  <c r="J57"/>
  <c r="J9"/>
  <c r="J60"/>
  <c r="J43"/>
  <c r="J18"/>
  <c r="J72"/>
  <c r="J39"/>
  <c r="J63"/>
  <c r="J55"/>
  <c r="J59"/>
  <c r="J40"/>
  <c r="J73"/>
  <c r="J37"/>
  <c r="J38"/>
  <c r="J74"/>
  <c r="J58"/>
  <c r="J17"/>
  <c r="J5"/>
  <c r="J69"/>
  <c r="J61"/>
  <c r="J13"/>
  <c r="I40"/>
  <c r="I69"/>
  <c r="I10"/>
  <c r="I60"/>
  <c r="I29"/>
  <c r="I4"/>
  <c r="I72"/>
  <c r="I28"/>
  <c r="I77"/>
  <c r="I20"/>
  <c r="I62"/>
  <c r="I12"/>
  <c r="I51"/>
  <c r="I32"/>
  <c r="I67"/>
  <c r="I34"/>
  <c r="I9"/>
  <c r="I42"/>
  <c r="I66"/>
  <c r="I15"/>
  <c r="I53"/>
  <c r="I26"/>
  <c r="I65"/>
  <c r="I7"/>
  <c r="I44"/>
  <c r="I56"/>
  <c r="I52"/>
  <c r="I57"/>
  <c r="I68"/>
  <c r="I78"/>
  <c r="I17"/>
  <c r="I19"/>
  <c r="I39"/>
  <c r="I71"/>
  <c r="I55"/>
  <c r="I13"/>
  <c r="I25"/>
  <c r="I70"/>
  <c r="I35"/>
  <c r="I49"/>
  <c r="I30"/>
  <c r="I41"/>
  <c r="I45"/>
  <c r="I61"/>
  <c r="I21"/>
  <c r="I16"/>
  <c r="I36"/>
  <c r="I23"/>
  <c r="I54"/>
  <c r="I5"/>
  <c r="I43"/>
  <c r="I75"/>
  <c r="I59"/>
  <c r="I18"/>
  <c r="I74"/>
  <c r="I31"/>
  <c r="I14"/>
  <c r="I64"/>
  <c r="I48"/>
  <c r="I76"/>
  <c r="I6"/>
  <c r="I22"/>
  <c r="I37"/>
  <c r="I73"/>
  <c r="I11"/>
  <c r="I46"/>
  <c r="I58"/>
  <c r="I8"/>
  <c r="I47"/>
  <c r="I24"/>
  <c r="I63"/>
  <c r="I27"/>
  <c r="I50"/>
  <c r="I38"/>
  <c r="I33"/>
  <c r="N77" i="48"/>
  <c r="N37"/>
  <c r="O55"/>
  <c r="O71"/>
  <c r="O31"/>
  <c r="O15"/>
  <c r="K531" i="49"/>
  <c r="C221" i="29"/>
  <c r="AM22" i="12"/>
  <c r="K1064" i="49"/>
  <c r="C175" i="29"/>
  <c r="B221"/>
  <c r="M22" i="12"/>
  <c r="B175" i="29"/>
  <c r="M45" i="12"/>
  <c r="B7" i="49"/>
  <c r="D115" i="29"/>
  <c r="AM45" i="12"/>
  <c r="E115" i="29"/>
  <c r="B540" i="49"/>
  <c r="E63" i="31"/>
  <c r="E3" s="1"/>
  <c r="B6" i="29" s="1"/>
  <c r="I6" s="1"/>
  <c r="E67" i="31"/>
  <c r="E68"/>
  <c r="E69"/>
  <c r="E70"/>
  <c r="E71"/>
  <c r="E73"/>
  <c r="E34" i="29"/>
  <c r="C34"/>
  <c r="C170" l="1"/>
  <c r="C172" s="1"/>
  <c r="Q559" i="49"/>
  <c r="P623"/>
  <c r="P665"/>
  <c r="Q656"/>
  <c r="P568"/>
  <c r="Q626"/>
  <c r="Q594"/>
  <c r="Q623"/>
  <c r="O591"/>
  <c r="Q570"/>
  <c r="P633"/>
  <c r="O663"/>
  <c r="O625"/>
  <c r="Q591"/>
  <c r="P664"/>
  <c r="P601"/>
  <c r="P634"/>
  <c r="P914"/>
  <c r="P1050"/>
  <c r="P722"/>
  <c r="P818"/>
  <c r="P986"/>
  <c r="P1018"/>
  <c r="P602"/>
  <c r="Q696"/>
  <c r="O720"/>
  <c r="O753"/>
  <c r="Q783"/>
  <c r="O815"/>
  <c r="Q848"/>
  <c r="Q856"/>
  <c r="O912"/>
  <c r="O944"/>
  <c r="Q985"/>
  <c r="O1007"/>
  <c r="O1017"/>
  <c r="O1040"/>
  <c r="P697"/>
  <c r="Q721"/>
  <c r="Q729"/>
  <c r="Q754"/>
  <c r="P783"/>
  <c r="O791"/>
  <c r="Q817"/>
  <c r="Q825"/>
  <c r="Q855"/>
  <c r="O881"/>
  <c r="Q890"/>
  <c r="O913"/>
  <c r="Q944"/>
  <c r="O952"/>
  <c r="O975"/>
  <c r="P984"/>
  <c r="Q1007"/>
  <c r="P1016"/>
  <c r="P1039"/>
  <c r="Q1048"/>
  <c r="P687"/>
  <c r="P721"/>
  <c r="R721" s="1"/>
  <c r="P752"/>
  <c r="Q761"/>
  <c r="Q791"/>
  <c r="P817"/>
  <c r="Q880"/>
  <c r="P911"/>
  <c r="Q922"/>
  <c r="P943"/>
  <c r="Q952"/>
  <c r="Q977"/>
  <c r="P1008"/>
  <c r="P1048"/>
  <c r="Q695"/>
  <c r="P727"/>
  <c r="O784"/>
  <c r="P793"/>
  <c r="P824"/>
  <c r="O847"/>
  <c r="O857"/>
  <c r="Q882"/>
  <c r="O919"/>
  <c r="P976"/>
  <c r="O984"/>
  <c r="P1009"/>
  <c r="Q1042"/>
  <c r="P563"/>
  <c r="P659"/>
  <c r="Q571"/>
  <c r="O602"/>
  <c r="Q635"/>
  <c r="O666"/>
  <c r="Q563"/>
  <c r="Q595"/>
  <c r="Q627"/>
  <c r="Q659"/>
  <c r="P731"/>
  <c r="Q700"/>
  <c r="O731"/>
  <c r="Q764"/>
  <c r="P755"/>
  <c r="O698"/>
  <c r="Q731"/>
  <c r="O762"/>
  <c r="O794"/>
  <c r="Q827"/>
  <c r="P787"/>
  <c r="Q851"/>
  <c r="O883"/>
  <c r="O915"/>
  <c r="O947"/>
  <c r="P819"/>
  <c r="P883"/>
  <c r="O978"/>
  <c r="Q979"/>
  <c r="Q631"/>
  <c r="O664"/>
  <c r="O559"/>
  <c r="Q664"/>
  <c r="Q657"/>
  <c r="Q593"/>
  <c r="Q568"/>
  <c r="Q602"/>
  <c r="O569"/>
  <c r="O656"/>
  <c r="O623"/>
  <c r="P657"/>
  <c r="P593"/>
  <c r="O631"/>
  <c r="O599"/>
  <c r="P560"/>
  <c r="Q687"/>
  <c r="Q624"/>
  <c r="Q592"/>
  <c r="P591"/>
  <c r="Q634"/>
  <c r="O600"/>
  <c r="Q567"/>
  <c r="Q562"/>
  <c r="P882"/>
  <c r="P1042"/>
  <c r="P858"/>
  <c r="P786"/>
  <c r="P946"/>
  <c r="P954"/>
  <c r="P626"/>
  <c r="P695"/>
  <c r="O752"/>
  <c r="O825"/>
  <c r="Q847"/>
  <c r="O855"/>
  <c r="Q889"/>
  <c r="O911"/>
  <c r="O921"/>
  <c r="O943"/>
  <c r="Q984"/>
  <c r="Q1016"/>
  <c r="Q1039"/>
  <c r="P696"/>
  <c r="R696" s="1"/>
  <c r="O719"/>
  <c r="O728"/>
  <c r="Q753"/>
  <c r="O761"/>
  <c r="Q786"/>
  <c r="Q816"/>
  <c r="O824"/>
  <c r="P849"/>
  <c r="O880"/>
  <c r="P889"/>
  <c r="Q912"/>
  <c r="Q921"/>
  <c r="Q943"/>
  <c r="O951"/>
  <c r="P983"/>
  <c r="P1015"/>
  <c r="P1047"/>
  <c r="O695"/>
  <c r="Q720"/>
  <c r="P729"/>
  <c r="P751"/>
  <c r="Q760"/>
  <c r="P816"/>
  <c r="P825"/>
  <c r="R825" s="1"/>
  <c r="P855"/>
  <c r="R855" s="1"/>
  <c r="Q879"/>
  <c r="P921"/>
  <c r="Q951"/>
  <c r="Q976"/>
  <c r="P1007"/>
  <c r="Q1018"/>
  <c r="Q1041"/>
  <c r="Q690"/>
  <c r="P720"/>
  <c r="P761"/>
  <c r="O783"/>
  <c r="P792"/>
  <c r="P823"/>
  <c r="O856"/>
  <c r="P881"/>
  <c r="O889"/>
  <c r="Q914"/>
  <c r="P953"/>
  <c r="P975"/>
  <c r="O983"/>
  <c r="O1016"/>
  <c r="P1041"/>
  <c r="Q1050"/>
  <c r="P627"/>
  <c r="O563"/>
  <c r="O595"/>
  <c r="O627"/>
  <c r="O659"/>
  <c r="P635"/>
  <c r="O571"/>
  <c r="Q604"/>
  <c r="O635"/>
  <c r="Q668"/>
  <c r="Q699"/>
  <c r="O730"/>
  <c r="Q763"/>
  <c r="P723"/>
  <c r="O691"/>
  <c r="O723"/>
  <c r="O755"/>
  <c r="O787"/>
  <c r="O819"/>
  <c r="O851"/>
  <c r="O827"/>
  <c r="O882"/>
  <c r="O914"/>
  <c r="O946"/>
  <c r="P795"/>
  <c r="Q820"/>
  <c r="Q859"/>
  <c r="P859"/>
  <c r="P923"/>
  <c r="P1019"/>
  <c r="Q955"/>
  <c r="O987"/>
  <c r="O1019"/>
  <c r="O1051"/>
  <c r="Q1051"/>
  <c r="P955"/>
  <c r="Q1043"/>
  <c r="P915"/>
  <c r="Q987"/>
  <c r="P1051"/>
  <c r="Q980"/>
  <c r="O1047"/>
  <c r="P562"/>
  <c r="P667"/>
  <c r="Q636"/>
  <c r="Q596"/>
  <c r="Q691"/>
  <c r="P691"/>
  <c r="O699"/>
  <c r="O795"/>
  <c r="O858"/>
  <c r="O890"/>
  <c r="P851"/>
  <c r="R851" s="1"/>
  <c r="Q891"/>
  <c r="O979"/>
  <c r="O1043"/>
  <c r="Q1012"/>
  <c r="P1011"/>
  <c r="Q947"/>
  <c r="O1010"/>
  <c r="Q884"/>
  <c r="Q1052"/>
  <c r="O592"/>
  <c r="P567"/>
  <c r="O568"/>
  <c r="Q665"/>
  <c r="Q625"/>
  <c r="Q658"/>
  <c r="Q601"/>
  <c r="O655"/>
  <c r="P592"/>
  <c r="R592" s="1"/>
  <c r="S592" s="1"/>
  <c r="P631"/>
  <c r="Q560"/>
  <c r="O665"/>
  <c r="Q632"/>
  <c r="O593"/>
  <c r="P559"/>
  <c r="P624"/>
  <c r="R624" s="1"/>
  <c r="O560"/>
  <c r="O657"/>
  <c r="O624"/>
  <c r="P663"/>
  <c r="P600"/>
  <c r="O632"/>
  <c r="Q600"/>
  <c r="O567"/>
  <c r="P794"/>
  <c r="P1010"/>
  <c r="P850"/>
  <c r="P754"/>
  <c r="P890"/>
  <c r="R890" s="1"/>
  <c r="P922"/>
  <c r="P658"/>
  <c r="P689"/>
  <c r="Q698"/>
  <c r="O729"/>
  <c r="O751"/>
  <c r="Q785"/>
  <c r="O817"/>
  <c r="Q850"/>
  <c r="Q858"/>
  <c r="Q888"/>
  <c r="Q920"/>
  <c r="Q983"/>
  <c r="Q1015"/>
  <c r="O1048"/>
  <c r="O687"/>
  <c r="O727"/>
  <c r="Q752"/>
  <c r="O760"/>
  <c r="P785"/>
  <c r="O793"/>
  <c r="Q815"/>
  <c r="O823"/>
  <c r="P848"/>
  <c r="P857"/>
  <c r="O879"/>
  <c r="P888"/>
  <c r="R888" s="1"/>
  <c r="Q911"/>
  <c r="P920"/>
  <c r="Q946"/>
  <c r="O977"/>
  <c r="Q986"/>
  <c r="O1009"/>
  <c r="O1041"/>
  <c r="O689"/>
  <c r="Q719"/>
  <c r="Q728"/>
  <c r="Q759"/>
  <c r="Q793"/>
  <c r="P815"/>
  <c r="Q824"/>
  <c r="Q913"/>
  <c r="P945"/>
  <c r="Q954"/>
  <c r="Q975"/>
  <c r="P1017"/>
  <c r="P1040"/>
  <c r="Q689"/>
  <c r="O697"/>
  <c r="P719"/>
  <c r="P760"/>
  <c r="R760" s="1"/>
  <c r="S760" s="1"/>
  <c r="P791"/>
  <c r="O849"/>
  <c r="P880"/>
  <c r="O888"/>
  <c r="P913"/>
  <c r="P952"/>
  <c r="Q978"/>
  <c r="O1015"/>
  <c r="O1039"/>
  <c r="P1049"/>
  <c r="P603"/>
  <c r="O562"/>
  <c r="O594"/>
  <c r="O626"/>
  <c r="O658"/>
  <c r="P571"/>
  <c r="R571" s="1"/>
  <c r="O570"/>
  <c r="Q603"/>
  <c r="O634"/>
  <c r="Q667"/>
  <c r="Q692"/>
  <c r="Q724"/>
  <c r="Q756"/>
  <c r="P699"/>
  <c r="O690"/>
  <c r="O722"/>
  <c r="O754"/>
  <c r="O786"/>
  <c r="O818"/>
  <c r="O850"/>
  <c r="Q819"/>
  <c r="O859"/>
  <c r="O891"/>
  <c r="O923"/>
  <c r="O955"/>
  <c r="Q788"/>
  <c r="Q852"/>
  <c r="Q796"/>
  <c r="Q916"/>
  <c r="P987"/>
  <c r="P947"/>
  <c r="O986"/>
  <c r="O1018"/>
  <c r="O1050"/>
  <c r="Q1020"/>
  <c r="Q948"/>
  <c r="Q1019"/>
  <c r="Q892"/>
  <c r="P1043"/>
  <c r="P977"/>
  <c r="R977" s="1"/>
  <c r="O985"/>
  <c r="Q1010"/>
  <c r="Q572"/>
  <c r="O667"/>
  <c r="Q628"/>
  <c r="Q723"/>
  <c r="P763"/>
  <c r="O763"/>
  <c r="Q795"/>
  <c r="O954"/>
  <c r="P827"/>
  <c r="R827" s="1"/>
  <c r="P979"/>
  <c r="R979" s="1"/>
  <c r="O1011"/>
  <c r="Q915"/>
  <c r="Q956"/>
  <c r="O826"/>
  <c r="P891"/>
  <c r="Q988"/>
  <c r="Q923"/>
  <c r="P570"/>
  <c r="Q655"/>
  <c r="Q663"/>
  <c r="O601"/>
  <c r="P599"/>
  <c r="Q666"/>
  <c r="O633"/>
  <c r="P656"/>
  <c r="R656" s="1"/>
  <c r="P569"/>
  <c r="Q569"/>
  <c r="P632"/>
  <c r="O561"/>
  <c r="Q633"/>
  <c r="Q599"/>
  <c r="P561"/>
  <c r="P625"/>
  <c r="R625" s="1"/>
  <c r="Q561"/>
  <c r="P655"/>
  <c r="R655" s="1"/>
  <c r="P690"/>
  <c r="P978"/>
  <c r="P698"/>
  <c r="P730"/>
  <c r="P826"/>
  <c r="P762"/>
  <c r="P666"/>
  <c r="P594"/>
  <c r="P688"/>
  <c r="Q697"/>
  <c r="O721"/>
  <c r="Q784"/>
  <c r="O816"/>
  <c r="Q849"/>
  <c r="Q857"/>
  <c r="Q887"/>
  <c r="Q919"/>
  <c r="O945"/>
  <c r="O1008"/>
  <c r="Q1047"/>
  <c r="Q722"/>
  <c r="Q730"/>
  <c r="Q751"/>
  <c r="O759"/>
  <c r="P784"/>
  <c r="O792"/>
  <c r="Q818"/>
  <c r="Q826"/>
  <c r="P847"/>
  <c r="P856"/>
  <c r="P887"/>
  <c r="P919"/>
  <c r="Q945"/>
  <c r="O953"/>
  <c r="O976"/>
  <c r="P985"/>
  <c r="R985" s="1"/>
  <c r="S985" s="1"/>
  <c r="Q1008"/>
  <c r="Q1017"/>
  <c r="Q1040"/>
  <c r="O1049"/>
  <c r="O688"/>
  <c r="Q727"/>
  <c r="P753"/>
  <c r="Q762"/>
  <c r="Q792"/>
  <c r="Q823"/>
  <c r="Q881"/>
  <c r="P912"/>
  <c r="P944"/>
  <c r="Q953"/>
  <c r="Q1009"/>
  <c r="Q1049"/>
  <c r="Q688"/>
  <c r="O696"/>
  <c r="P728"/>
  <c r="P759"/>
  <c r="R759" s="1"/>
  <c r="S759" s="1"/>
  <c r="O785"/>
  <c r="Q794"/>
  <c r="O848"/>
  <c r="P879"/>
  <c r="O887"/>
  <c r="O920"/>
  <c r="P951"/>
  <c r="R951" s="1"/>
  <c r="P595"/>
  <c r="O603"/>
  <c r="Q564"/>
  <c r="Q660"/>
  <c r="Q755"/>
  <c r="Q732"/>
  <c r="Q828"/>
  <c r="O922"/>
  <c r="Q787"/>
  <c r="Q924"/>
  <c r="Q1011"/>
  <c r="Q883"/>
  <c r="Q860"/>
  <c r="O1042"/>
  <c r="Q1044"/>
  <c r="R28" i="48"/>
  <c r="Q82" i="49"/>
  <c r="Q274"/>
  <c r="O402"/>
  <c r="P274"/>
  <c r="P146"/>
  <c r="O466"/>
  <c r="Q402"/>
  <c r="O210"/>
  <c r="Q466"/>
  <c r="O147"/>
  <c r="Q275"/>
  <c r="Q276"/>
  <c r="Q404"/>
  <c r="Q147"/>
  <c r="Q114"/>
  <c r="Q18"/>
  <c r="P306"/>
  <c r="Q306"/>
  <c r="O434"/>
  <c r="P178"/>
  <c r="P115"/>
  <c r="Q19"/>
  <c r="O371"/>
  <c r="P371"/>
  <c r="Q500"/>
  <c r="O243"/>
  <c r="P211"/>
  <c r="O178"/>
  <c r="P19"/>
  <c r="P83"/>
  <c r="Q148"/>
  <c r="Q52"/>
  <c r="Q21"/>
  <c r="O25"/>
  <c r="P57"/>
  <c r="Q86"/>
  <c r="O118"/>
  <c r="O150"/>
  <c r="O184"/>
  <c r="P217"/>
  <c r="P249"/>
  <c r="Q26"/>
  <c r="P56"/>
  <c r="O87"/>
  <c r="Q119"/>
  <c r="O149"/>
  <c r="Q185"/>
  <c r="P216"/>
  <c r="Q247"/>
  <c r="P22"/>
  <c r="Q54"/>
  <c r="Q88"/>
  <c r="P119"/>
  <c r="Q150"/>
  <c r="O182"/>
  <c r="O212"/>
  <c r="Q218"/>
  <c r="Q226"/>
  <c r="O248"/>
  <c r="P25"/>
  <c r="P54"/>
  <c r="P88"/>
  <c r="Q117"/>
  <c r="O151"/>
  <c r="P184"/>
  <c r="Q213"/>
  <c r="Q245"/>
  <c r="O276"/>
  <c r="Q282"/>
  <c r="O310"/>
  <c r="P345"/>
  <c r="O374"/>
  <c r="P409"/>
  <c r="O438"/>
  <c r="P473"/>
  <c r="O502"/>
  <c r="Q281"/>
  <c r="P308"/>
  <c r="O313"/>
  <c r="O341"/>
  <c r="Q375"/>
  <c r="P408"/>
  <c r="P436"/>
  <c r="O441"/>
  <c r="O469"/>
  <c r="Q503"/>
  <c r="P281"/>
  <c r="O308"/>
  <c r="Q314"/>
  <c r="O340"/>
  <c r="Q346"/>
  <c r="O372"/>
  <c r="Q378"/>
  <c r="O404"/>
  <c r="Q410"/>
  <c r="O436"/>
  <c r="Q442"/>
  <c r="O468"/>
  <c r="Q474"/>
  <c r="O500"/>
  <c r="Q506"/>
  <c r="P276"/>
  <c r="O281"/>
  <c r="Q309"/>
  <c r="Q341"/>
  <c r="Q373"/>
  <c r="Q405"/>
  <c r="Q437"/>
  <c r="Q469"/>
  <c r="Q501"/>
  <c r="Q338"/>
  <c r="P402"/>
  <c r="Q242"/>
  <c r="P466"/>
  <c r="P82"/>
  <c r="O339"/>
  <c r="P339"/>
  <c r="Q468"/>
  <c r="O211"/>
  <c r="Q180"/>
  <c r="O114"/>
  <c r="P370"/>
  <c r="Q370"/>
  <c r="O498"/>
  <c r="P242"/>
  <c r="R242" s="1"/>
  <c r="Q210"/>
  <c r="O146"/>
  <c r="O435"/>
  <c r="P435"/>
  <c r="Q371"/>
  <c r="Q308"/>
  <c r="Q51"/>
  <c r="Q115"/>
  <c r="P179"/>
  <c r="P147"/>
  <c r="Q212"/>
  <c r="Q116"/>
  <c r="P21"/>
  <c r="P24"/>
  <c r="Q56"/>
  <c r="O84"/>
  <c r="Q90"/>
  <c r="P117"/>
  <c r="R117" s="1"/>
  <c r="P149"/>
  <c r="P183"/>
  <c r="Q216"/>
  <c r="Q248"/>
  <c r="O24"/>
  <c r="Q55"/>
  <c r="P86"/>
  <c r="O117"/>
  <c r="P148"/>
  <c r="O153"/>
  <c r="O183"/>
  <c r="Q215"/>
  <c r="O245"/>
  <c r="Q34"/>
  <c r="O52"/>
  <c r="Q58"/>
  <c r="O86"/>
  <c r="Q118"/>
  <c r="Q130"/>
  <c r="O148"/>
  <c r="Q154"/>
  <c r="Q162"/>
  <c r="P181"/>
  <c r="Q194"/>
  <c r="O216"/>
  <c r="P247"/>
  <c r="R247" s="1"/>
  <c r="Q24"/>
  <c r="Q53"/>
  <c r="Q87"/>
  <c r="Q121"/>
  <c r="P150"/>
  <c r="Q183"/>
  <c r="Q217"/>
  <c r="Q249"/>
  <c r="O280"/>
  <c r="P309"/>
  <c r="Q344"/>
  <c r="P373"/>
  <c r="Q408"/>
  <c r="P437"/>
  <c r="Q472"/>
  <c r="P501"/>
  <c r="O279"/>
  <c r="P312"/>
  <c r="P340"/>
  <c r="O345"/>
  <c r="O373"/>
  <c r="Q407"/>
  <c r="P440"/>
  <c r="P468"/>
  <c r="O473"/>
  <c r="O501"/>
  <c r="Q280"/>
  <c r="Q290"/>
  <c r="O312"/>
  <c r="O344"/>
  <c r="O376"/>
  <c r="O408"/>
  <c r="O440"/>
  <c r="O472"/>
  <c r="O504"/>
  <c r="P280"/>
  <c r="Q313"/>
  <c r="Q345"/>
  <c r="Q377"/>
  <c r="Q409"/>
  <c r="Q441"/>
  <c r="Q473"/>
  <c r="Q505"/>
  <c r="O82"/>
  <c r="O274"/>
  <c r="P210"/>
  <c r="O338"/>
  <c r="O403"/>
  <c r="P403"/>
  <c r="Q307"/>
  <c r="P275"/>
  <c r="P243"/>
  <c r="O242"/>
  <c r="P434"/>
  <c r="Q434"/>
  <c r="Q339"/>
  <c r="O306"/>
  <c r="P50"/>
  <c r="Q244"/>
  <c r="O499"/>
  <c r="P499"/>
  <c r="Q499"/>
  <c r="Q372"/>
  <c r="O115"/>
  <c r="Q50"/>
  <c r="O18"/>
  <c r="O51"/>
  <c r="O83"/>
  <c r="Q20"/>
  <c r="O20"/>
  <c r="Q23"/>
  <c r="O54"/>
  <c r="O88"/>
  <c r="P121"/>
  <c r="P153"/>
  <c r="Q182"/>
  <c r="O214"/>
  <c r="O246"/>
  <c r="P23"/>
  <c r="O53"/>
  <c r="Q85"/>
  <c r="P116"/>
  <c r="O121"/>
  <c r="P152"/>
  <c r="P182"/>
  <c r="O213"/>
  <c r="P244"/>
  <c r="O249"/>
  <c r="Q25"/>
  <c r="O56"/>
  <c r="Q66"/>
  <c r="P85"/>
  <c r="Q98"/>
  <c r="O116"/>
  <c r="Q122"/>
  <c r="O152"/>
  <c r="P185"/>
  <c r="P215"/>
  <c r="R215" s="1"/>
  <c r="Q246"/>
  <c r="O22"/>
  <c r="Q57"/>
  <c r="O85"/>
  <c r="O119"/>
  <c r="Q149"/>
  <c r="O181"/>
  <c r="O215"/>
  <c r="O247"/>
  <c r="P279"/>
  <c r="P313"/>
  <c r="O342"/>
  <c r="P377"/>
  <c r="R377" s="1"/>
  <c r="O406"/>
  <c r="P441"/>
  <c r="R441" s="1"/>
  <c r="O470"/>
  <c r="P505"/>
  <c r="R505" s="1"/>
  <c r="P278"/>
  <c r="Q311"/>
  <c r="P344"/>
  <c r="P372"/>
  <c r="R372" s="1"/>
  <c r="S372" s="1"/>
  <c r="O377"/>
  <c r="O405"/>
  <c r="Q439"/>
  <c r="P472"/>
  <c r="P500"/>
  <c r="R500" s="1"/>
  <c r="O505"/>
  <c r="O278"/>
  <c r="P311"/>
  <c r="Q322"/>
  <c r="P343"/>
  <c r="Q354"/>
  <c r="P375"/>
  <c r="Q386"/>
  <c r="P407"/>
  <c r="Q418"/>
  <c r="P439"/>
  <c r="Q450"/>
  <c r="P471"/>
  <c r="Q482"/>
  <c r="P503"/>
  <c r="Q514"/>
  <c r="Q279"/>
  <c r="O311"/>
  <c r="O343"/>
  <c r="O375"/>
  <c r="O407"/>
  <c r="O439"/>
  <c r="O471"/>
  <c r="O503"/>
  <c r="O19"/>
  <c r="Q178"/>
  <c r="O275"/>
  <c r="P338"/>
  <c r="Q403"/>
  <c r="O467"/>
  <c r="P467"/>
  <c r="Q435"/>
  <c r="Q340"/>
  <c r="Q83"/>
  <c r="Q211"/>
  <c r="P498"/>
  <c r="Q498"/>
  <c r="Q467"/>
  <c r="O370"/>
  <c r="P114"/>
  <c r="Q243"/>
  <c r="P18"/>
  <c r="O307"/>
  <c r="P307"/>
  <c r="Q436"/>
  <c r="Q179"/>
  <c r="Q146"/>
  <c r="O50"/>
  <c r="O179"/>
  <c r="Q84"/>
  <c r="P51"/>
  <c r="R51" s="1"/>
  <c r="S51" s="1"/>
  <c r="P20"/>
  <c r="O21"/>
  <c r="P53"/>
  <c r="R53" s="1"/>
  <c r="P87"/>
  <c r="R87" s="1"/>
  <c r="S87" s="1"/>
  <c r="Q120"/>
  <c r="Q152"/>
  <c r="O180"/>
  <c r="Q186"/>
  <c r="P213"/>
  <c r="P245"/>
  <c r="Q22"/>
  <c r="P52"/>
  <c r="R52" s="1"/>
  <c r="O57"/>
  <c r="Q89"/>
  <c r="P120"/>
  <c r="Q151"/>
  <c r="Q181"/>
  <c r="P212"/>
  <c r="O217"/>
  <c r="P248"/>
  <c r="O23"/>
  <c r="P55"/>
  <c r="P89"/>
  <c r="O120"/>
  <c r="P151"/>
  <c r="Q184"/>
  <c r="Q214"/>
  <c r="O244"/>
  <c r="Q250"/>
  <c r="Q258"/>
  <c r="O55"/>
  <c r="P84"/>
  <c r="O89"/>
  <c r="P118"/>
  <c r="Q153"/>
  <c r="P180"/>
  <c r="R180" s="1"/>
  <c r="O185"/>
  <c r="P214"/>
  <c r="P246"/>
  <c r="Q278"/>
  <c r="Q312"/>
  <c r="P341"/>
  <c r="Q376"/>
  <c r="P405"/>
  <c r="Q440"/>
  <c r="P469"/>
  <c r="Q504"/>
  <c r="Q277"/>
  <c r="O309"/>
  <c r="Q343"/>
  <c r="P376"/>
  <c r="P404"/>
  <c r="O409"/>
  <c r="O437"/>
  <c r="Q471"/>
  <c r="P504"/>
  <c r="P277"/>
  <c r="Q310"/>
  <c r="Q342"/>
  <c r="Q374"/>
  <c r="Q406"/>
  <c r="Q438"/>
  <c r="Q470"/>
  <c r="Q502"/>
  <c r="O277"/>
  <c r="P310"/>
  <c r="R310" s="1"/>
  <c r="S310" s="1"/>
  <c r="P342"/>
  <c r="R342" s="1"/>
  <c r="S342" s="1"/>
  <c r="P374"/>
  <c r="R374" s="1"/>
  <c r="S374" s="1"/>
  <c r="P406"/>
  <c r="R406" s="1"/>
  <c r="S406" s="1"/>
  <c r="P438"/>
  <c r="P470"/>
  <c r="P502"/>
  <c r="R502" s="1"/>
  <c r="S502" s="1"/>
  <c r="C154" i="29"/>
  <c r="C156" s="1"/>
  <c r="U26" i="48"/>
  <c r="P578" i="49" s="1"/>
  <c r="P565"/>
  <c r="P598"/>
  <c r="P606"/>
  <c r="P611"/>
  <c r="O598"/>
  <c r="O605"/>
  <c r="O628"/>
  <c r="O670"/>
  <c r="P574"/>
  <c r="P636"/>
  <c r="O638"/>
  <c r="Q662"/>
  <c r="Q670"/>
  <c r="P734"/>
  <c r="Q694"/>
  <c r="Q702"/>
  <c r="Q726"/>
  <c r="O733"/>
  <c r="Q757"/>
  <c r="Q765"/>
  <c r="P692"/>
  <c r="P700"/>
  <c r="P725"/>
  <c r="P757"/>
  <c r="P765"/>
  <c r="O702"/>
  <c r="O725"/>
  <c r="Q733"/>
  <c r="O756"/>
  <c r="O790"/>
  <c r="O797"/>
  <c r="O820"/>
  <c r="P796"/>
  <c r="P828"/>
  <c r="O852"/>
  <c r="O886"/>
  <c r="O893"/>
  <c r="O916"/>
  <c r="O950"/>
  <c r="O957"/>
  <c r="P790"/>
  <c r="P821"/>
  <c r="Q797"/>
  <c r="O830"/>
  <c r="P820"/>
  <c r="P854"/>
  <c r="P862"/>
  <c r="P892"/>
  <c r="P925"/>
  <c r="P958"/>
  <c r="P981"/>
  <c r="P989"/>
  <c r="P1053"/>
  <c r="O982"/>
  <c r="O989"/>
  <c r="O1012"/>
  <c r="O1046"/>
  <c r="O1053"/>
  <c r="Q1045"/>
  <c r="P1021"/>
  <c r="P1052"/>
  <c r="P885"/>
  <c r="Q917"/>
  <c r="Q950"/>
  <c r="P1020"/>
  <c r="R1020" s="1"/>
  <c r="P1046"/>
  <c r="P564"/>
  <c r="P581"/>
  <c r="P597"/>
  <c r="P605"/>
  <c r="P630"/>
  <c r="P662"/>
  <c r="P670"/>
  <c r="O566"/>
  <c r="Q574"/>
  <c r="O597"/>
  <c r="O604"/>
  <c r="O662"/>
  <c r="O669"/>
  <c r="P573"/>
  <c r="O574"/>
  <c r="Q598"/>
  <c r="Q606"/>
  <c r="Q610"/>
  <c r="Q630"/>
  <c r="O637"/>
  <c r="Q661"/>
  <c r="Q669"/>
  <c r="P733"/>
  <c r="Q693"/>
  <c r="Q701"/>
  <c r="Q725"/>
  <c r="O732"/>
  <c r="P724"/>
  <c r="R724" s="1"/>
  <c r="P756"/>
  <c r="R756" s="1"/>
  <c r="P764"/>
  <c r="O694"/>
  <c r="O701"/>
  <c r="O705"/>
  <c r="O724"/>
  <c r="O766"/>
  <c r="O789"/>
  <c r="O796"/>
  <c r="O862"/>
  <c r="O885"/>
  <c r="O892"/>
  <c r="O926"/>
  <c r="O949"/>
  <c r="O956"/>
  <c r="Q789"/>
  <c r="P789"/>
  <c r="Q822"/>
  <c r="P829"/>
  <c r="Q854"/>
  <c r="Q862"/>
  <c r="P797"/>
  <c r="P853"/>
  <c r="P861"/>
  <c r="P956"/>
  <c r="P980"/>
  <c r="P988"/>
  <c r="P1013"/>
  <c r="P1045"/>
  <c r="P886"/>
  <c r="P918"/>
  <c r="P949"/>
  <c r="O981"/>
  <c r="O988"/>
  <c r="O1022"/>
  <c r="O1045"/>
  <c r="O1052"/>
  <c r="Q990"/>
  <c r="Q1022"/>
  <c r="P1014"/>
  <c r="P1044"/>
  <c r="P893"/>
  <c r="P901"/>
  <c r="Q925"/>
  <c r="Q958"/>
  <c r="Q982"/>
  <c r="Q1046"/>
  <c r="Q981"/>
  <c r="Q1013"/>
  <c r="P948"/>
  <c r="P575"/>
  <c r="P596"/>
  <c r="P604"/>
  <c r="P629"/>
  <c r="P661"/>
  <c r="P669"/>
  <c r="P677"/>
  <c r="O565"/>
  <c r="Q573"/>
  <c r="O596"/>
  <c r="O630"/>
  <c r="Q638"/>
  <c r="O661"/>
  <c r="O668"/>
  <c r="P572"/>
  <c r="P638"/>
  <c r="Q566"/>
  <c r="O573"/>
  <c r="Q597"/>
  <c r="Q605"/>
  <c r="Q629"/>
  <c r="O636"/>
  <c r="Q640"/>
  <c r="P732"/>
  <c r="R732" s="1"/>
  <c r="P694"/>
  <c r="P702"/>
  <c r="O693"/>
  <c r="O700"/>
  <c r="O739"/>
  <c r="O758"/>
  <c r="O765"/>
  <c r="O788"/>
  <c r="O822"/>
  <c r="Q830"/>
  <c r="Q790"/>
  <c r="P800"/>
  <c r="Q821"/>
  <c r="P830"/>
  <c r="O854"/>
  <c r="O861"/>
  <c r="O884"/>
  <c r="O918"/>
  <c r="O925"/>
  <c r="O948"/>
  <c r="Q798"/>
  <c r="O828"/>
  <c r="Q853"/>
  <c r="Q861"/>
  <c r="P852"/>
  <c r="R852" s="1"/>
  <c r="P860"/>
  <c r="Q886"/>
  <c r="Q918"/>
  <c r="Q949"/>
  <c r="P1012"/>
  <c r="Q885"/>
  <c r="P916"/>
  <c r="O980"/>
  <c r="O995"/>
  <c r="O1014"/>
  <c r="O1021"/>
  <c r="O1044"/>
  <c r="Q1053"/>
  <c r="P894"/>
  <c r="P926"/>
  <c r="P957"/>
  <c r="P566"/>
  <c r="P628"/>
  <c r="R628" s="1"/>
  <c r="P660"/>
  <c r="P668"/>
  <c r="O564"/>
  <c r="O606"/>
  <c r="O629"/>
  <c r="Q637"/>
  <c r="O660"/>
  <c r="P576"/>
  <c r="P637"/>
  <c r="Q565"/>
  <c r="O572"/>
  <c r="O576"/>
  <c r="O734"/>
  <c r="Q742"/>
  <c r="Q758"/>
  <c r="Q766"/>
  <c r="P693"/>
  <c r="P701"/>
  <c r="P726"/>
  <c r="P758"/>
  <c r="P766"/>
  <c r="O692"/>
  <c r="O726"/>
  <c r="Q734"/>
  <c r="O757"/>
  <c r="O764"/>
  <c r="O798"/>
  <c r="O802"/>
  <c r="O821"/>
  <c r="Q829"/>
  <c r="O829"/>
  <c r="O853"/>
  <c r="O860"/>
  <c r="O894"/>
  <c r="O917"/>
  <c r="O924"/>
  <c r="O958"/>
  <c r="P803"/>
  <c r="P798"/>
  <c r="P788"/>
  <c r="P822"/>
  <c r="P982"/>
  <c r="P990"/>
  <c r="P1022"/>
  <c r="Q894"/>
  <c r="Q926"/>
  <c r="Q957"/>
  <c r="O990"/>
  <c r="O1013"/>
  <c r="O1020"/>
  <c r="O1054"/>
  <c r="Q1014"/>
  <c r="Q893"/>
  <c r="P924"/>
  <c r="P963"/>
  <c r="Q1021"/>
  <c r="P1054"/>
  <c r="P884"/>
  <c r="P917"/>
  <c r="P950"/>
  <c r="Q989"/>
  <c r="Q997"/>
  <c r="Q1054"/>
  <c r="B94" i="29"/>
  <c r="B96" s="1"/>
  <c r="B108"/>
  <c r="B110" s="1"/>
  <c r="B112" s="1"/>
  <c r="B158"/>
  <c r="B159" s="1"/>
  <c r="B144"/>
  <c r="B148"/>
  <c r="B143"/>
  <c r="B147"/>
  <c r="B155"/>
  <c r="H6"/>
  <c r="J535" i="49"/>
  <c r="B34" i="29"/>
  <c r="D34"/>
  <c r="R23" i="49" l="1"/>
  <c r="S23" s="1"/>
  <c r="R119"/>
  <c r="R626"/>
  <c r="R764"/>
  <c r="R313"/>
  <c r="S313" s="1"/>
  <c r="T313" s="1"/>
  <c r="R472"/>
  <c r="S472" s="1"/>
  <c r="T472" s="1"/>
  <c r="R892"/>
  <c r="S892" s="1"/>
  <c r="R856"/>
  <c r="S856" s="1"/>
  <c r="T856" s="1"/>
  <c r="R594"/>
  <c r="S594" s="1"/>
  <c r="T594" s="1"/>
  <c r="R604"/>
  <c r="S604" s="1"/>
  <c r="U604" s="1"/>
  <c r="V604" s="1"/>
  <c r="R244"/>
  <c r="S244" s="1"/>
  <c r="R791"/>
  <c r="S791" s="1"/>
  <c r="T791" s="1"/>
  <c r="R848"/>
  <c r="S848" s="1"/>
  <c r="R922"/>
  <c r="S922" s="1"/>
  <c r="R591"/>
  <c r="S591" s="1"/>
  <c r="T591" s="1"/>
  <c r="R944"/>
  <c r="S944" s="1"/>
  <c r="U944" s="1"/>
  <c r="V944" s="1"/>
  <c r="R1007"/>
  <c r="S1007" s="1"/>
  <c r="U1007" s="1"/>
  <c r="V1007" s="1"/>
  <c r="R728"/>
  <c r="S728" s="1"/>
  <c r="T728" s="1"/>
  <c r="B214" i="29"/>
  <c r="B220" s="1"/>
  <c r="R947" i="49"/>
  <c r="S947" s="1"/>
  <c r="T947" s="1"/>
  <c r="R700"/>
  <c r="S700" s="1"/>
  <c r="C216" i="29"/>
  <c r="C224" s="1"/>
  <c r="C43" i="30" s="1"/>
  <c r="R631" i="49"/>
  <c r="S631" s="1"/>
  <c r="T631" s="1"/>
  <c r="R438"/>
  <c r="S438" s="1"/>
  <c r="U438" s="1"/>
  <c r="V438" s="1"/>
  <c r="R660"/>
  <c r="S660" s="1"/>
  <c r="R948"/>
  <c r="S948" s="1"/>
  <c r="R796"/>
  <c r="S796" s="1"/>
  <c r="R884"/>
  <c r="S884" s="1"/>
  <c r="T884" s="1"/>
  <c r="R1012"/>
  <c r="S1012" s="1"/>
  <c r="U1012" s="1"/>
  <c r="V1012" s="1"/>
  <c r="R860"/>
  <c r="S860" s="1"/>
  <c r="R636"/>
  <c r="S636" s="1"/>
  <c r="R916"/>
  <c r="S916" s="1"/>
  <c r="T916" s="1"/>
  <c r="R980"/>
  <c r="S980" s="1"/>
  <c r="R470"/>
  <c r="S470" s="1"/>
  <c r="T470" s="1"/>
  <c r="R956"/>
  <c r="S956" s="1"/>
  <c r="T956" s="1"/>
  <c r="R572"/>
  <c r="S572" s="1"/>
  <c r="R753"/>
  <c r="S753" s="1"/>
  <c r="U753" s="1"/>
  <c r="V753" s="1"/>
  <c r="R596"/>
  <c r="S596" s="1"/>
  <c r="T596" s="1"/>
  <c r="R788"/>
  <c r="S788" s="1"/>
  <c r="U788" s="1"/>
  <c r="V788" s="1"/>
  <c r="R924"/>
  <c r="S924" s="1"/>
  <c r="T924" s="1"/>
  <c r="R668"/>
  <c r="S668" s="1"/>
  <c r="U668" s="1"/>
  <c r="V668" s="1"/>
  <c r="R988"/>
  <c r="S988" s="1"/>
  <c r="R1052"/>
  <c r="S1052" s="1"/>
  <c r="R820"/>
  <c r="S820" s="1"/>
  <c r="U820" s="1"/>
  <c r="V820" s="1"/>
  <c r="S979"/>
  <c r="T979" s="1"/>
  <c r="R952"/>
  <c r="S952" s="1"/>
  <c r="T952" s="1"/>
  <c r="R567"/>
  <c r="S567" s="1"/>
  <c r="R729"/>
  <c r="S729" s="1"/>
  <c r="R695"/>
  <c r="S695" s="1"/>
  <c r="R1044"/>
  <c r="S1044" s="1"/>
  <c r="R595"/>
  <c r="S595" s="1"/>
  <c r="T595" s="1"/>
  <c r="R912"/>
  <c r="S912" s="1"/>
  <c r="T912" s="1"/>
  <c r="R880"/>
  <c r="S880" s="1"/>
  <c r="U880" s="1"/>
  <c r="V880" s="1"/>
  <c r="R847"/>
  <c r="S847" s="1"/>
  <c r="U847" s="1"/>
  <c r="V847" s="1"/>
  <c r="R987"/>
  <c r="S987" s="1"/>
  <c r="T987" s="1"/>
  <c r="R699"/>
  <c r="S699" s="1"/>
  <c r="U699" s="1"/>
  <c r="V699" s="1"/>
  <c r="S571"/>
  <c r="U571" s="1"/>
  <c r="V571" s="1"/>
  <c r="R1042"/>
  <c r="S1042" s="1"/>
  <c r="R694"/>
  <c r="S694" s="1"/>
  <c r="T694" s="1"/>
  <c r="S951"/>
  <c r="U951" s="1"/>
  <c r="V951" s="1"/>
  <c r="R879"/>
  <c r="S879" s="1"/>
  <c r="U879" s="1"/>
  <c r="V879" s="1"/>
  <c r="S655"/>
  <c r="U655" s="1"/>
  <c r="V655" s="1"/>
  <c r="R891"/>
  <c r="S891" s="1"/>
  <c r="T891" s="1"/>
  <c r="S656"/>
  <c r="U656" s="1"/>
  <c r="V656" s="1"/>
  <c r="R376"/>
  <c r="S376" s="1"/>
  <c r="T376" s="1"/>
  <c r="S732"/>
  <c r="T732" s="1"/>
  <c r="Q895"/>
  <c r="P770"/>
  <c r="Q996"/>
  <c r="Q927"/>
  <c r="Q864"/>
  <c r="O928"/>
  <c r="O703"/>
  <c r="O645"/>
  <c r="Q959"/>
  <c r="P991"/>
  <c r="P864"/>
  <c r="Q739"/>
  <c r="Q577"/>
  <c r="P607"/>
  <c r="Q1056"/>
  <c r="Q1058"/>
  <c r="P959"/>
  <c r="R959" s="1"/>
  <c r="Q998"/>
  <c r="Q772"/>
  <c r="O837"/>
  <c r="Q774"/>
  <c r="O610"/>
  <c r="Q900"/>
  <c r="P1029"/>
  <c r="O1029"/>
  <c r="Q804"/>
  <c r="Q834"/>
  <c r="O773"/>
  <c r="O581"/>
  <c r="P609"/>
  <c r="Q964"/>
  <c r="Q965"/>
  <c r="Q929"/>
  <c r="Q1026"/>
  <c r="Q639"/>
  <c r="P612"/>
  <c r="O959"/>
  <c r="P739"/>
  <c r="Q609"/>
  <c r="P645"/>
  <c r="O992"/>
  <c r="P992"/>
  <c r="Q836"/>
  <c r="O835"/>
  <c r="R783"/>
  <c r="S783" s="1"/>
  <c r="R798"/>
  <c r="S798" s="1"/>
  <c r="T798" s="1"/>
  <c r="R150"/>
  <c r="S150" s="1"/>
  <c r="T150" s="1"/>
  <c r="Q960"/>
  <c r="Q1059"/>
  <c r="Q902"/>
  <c r="P927"/>
  <c r="Q832"/>
  <c r="Q1062"/>
  <c r="Q962"/>
  <c r="P897"/>
  <c r="Q1029"/>
  <c r="P1025"/>
  <c r="Q994"/>
  <c r="O1024"/>
  <c r="P960"/>
  <c r="R960" s="1"/>
  <c r="P863"/>
  <c r="O864"/>
  <c r="O772"/>
  <c r="O738"/>
  <c r="Q703"/>
  <c r="Q671"/>
  <c r="Q608"/>
  <c r="O671"/>
  <c r="O580"/>
  <c r="P672"/>
  <c r="P640"/>
  <c r="R640" s="1"/>
  <c r="P579"/>
  <c r="P1026"/>
  <c r="O1055"/>
  <c r="Q865"/>
  <c r="O933"/>
  <c r="O899"/>
  <c r="O865"/>
  <c r="O834"/>
  <c r="O799"/>
  <c r="O708"/>
  <c r="P771"/>
  <c r="P707"/>
  <c r="Q771"/>
  <c r="Q708"/>
  <c r="Q672"/>
  <c r="O676"/>
  <c r="O642"/>
  <c r="Q607"/>
  <c r="Q966"/>
  <c r="Q991"/>
  <c r="P1055"/>
  <c r="Q993"/>
  <c r="Q933"/>
  <c r="P1061"/>
  <c r="Q897"/>
  <c r="Q1030"/>
  <c r="O1060"/>
  <c r="P869"/>
  <c r="Q833"/>
  <c r="P802"/>
  <c r="O900"/>
  <c r="O866"/>
  <c r="O736"/>
  <c r="P736"/>
  <c r="Q673"/>
  <c r="O673"/>
  <c r="P674"/>
  <c r="P1028"/>
  <c r="Q932"/>
  <c r="S52"/>
  <c r="U52" s="1"/>
  <c r="V52" s="1"/>
  <c r="R503"/>
  <c r="S503" s="1"/>
  <c r="Q896"/>
  <c r="P1023"/>
  <c r="P932"/>
  <c r="P1056"/>
  <c r="O1028"/>
  <c r="O994"/>
  <c r="Q934"/>
  <c r="P1059"/>
  <c r="P867"/>
  <c r="P801"/>
  <c r="P832"/>
  <c r="O962"/>
  <c r="O868"/>
  <c r="P835"/>
  <c r="O833"/>
  <c r="O707"/>
  <c r="P706"/>
  <c r="Q770"/>
  <c r="R770" s="1"/>
  <c r="Q738"/>
  <c r="Q675"/>
  <c r="Q612"/>
  <c r="O675"/>
  <c r="O641"/>
  <c r="P676"/>
  <c r="P644"/>
  <c r="P608"/>
  <c r="P1057"/>
  <c r="Q1061"/>
  <c r="O1059"/>
  <c r="O1025"/>
  <c r="O991"/>
  <c r="Q928"/>
  <c r="P1027"/>
  <c r="P962"/>
  <c r="R962" s="1"/>
  <c r="P896"/>
  <c r="Q869"/>
  <c r="P834"/>
  <c r="Q806"/>
  <c r="O869"/>
  <c r="P837"/>
  <c r="O803"/>
  <c r="O769"/>
  <c r="O735"/>
  <c r="P735"/>
  <c r="Q678"/>
  <c r="Q735"/>
  <c r="Q676"/>
  <c r="O611"/>
  <c r="O577"/>
  <c r="P673"/>
  <c r="R673" s="1"/>
  <c r="P641"/>
  <c r="Q995"/>
  <c r="Q931"/>
  <c r="P928"/>
  <c r="Q1055"/>
  <c r="O1026"/>
  <c r="Q930"/>
  <c r="P931"/>
  <c r="Q866"/>
  <c r="P799"/>
  <c r="O831"/>
  <c r="O740"/>
  <c r="Q641"/>
  <c r="O639"/>
  <c r="Q1027"/>
  <c r="R213"/>
  <c r="S213" s="1"/>
  <c r="T213" s="1"/>
  <c r="R20"/>
  <c r="S20" s="1"/>
  <c r="T20" s="1"/>
  <c r="R468"/>
  <c r="S468" s="1"/>
  <c r="U468" s="1"/>
  <c r="V468" s="1"/>
  <c r="R501"/>
  <c r="S501" s="1"/>
  <c r="R373"/>
  <c r="S373" s="1"/>
  <c r="Q901"/>
  <c r="R901" s="1"/>
  <c r="O1058"/>
  <c r="O964"/>
  <c r="P994"/>
  <c r="R994" s="1"/>
  <c r="S994" s="1"/>
  <c r="Q837"/>
  <c r="Q868"/>
  <c r="O932"/>
  <c r="O898"/>
  <c r="Q799"/>
  <c r="O768"/>
  <c r="P738"/>
  <c r="Q707"/>
  <c r="Q643"/>
  <c r="Q580"/>
  <c r="Q576"/>
  <c r="R576" s="1"/>
  <c r="S576" s="1"/>
  <c r="Q1023"/>
  <c r="P1060"/>
  <c r="Q1028"/>
  <c r="O965"/>
  <c r="P895"/>
  <c r="P995"/>
  <c r="P929"/>
  <c r="P868"/>
  <c r="Q831"/>
  <c r="Q801"/>
  <c r="O963"/>
  <c r="O929"/>
  <c r="O895"/>
  <c r="O704"/>
  <c r="P767"/>
  <c r="Q767"/>
  <c r="Q704"/>
  <c r="Q644"/>
  <c r="Q613"/>
  <c r="Q581"/>
  <c r="R581" s="1"/>
  <c r="O672"/>
  <c r="P613"/>
  <c r="P580"/>
  <c r="R580" s="1"/>
  <c r="P1024"/>
  <c r="Q1025"/>
  <c r="O996"/>
  <c r="Q961"/>
  <c r="Q898"/>
  <c r="P996"/>
  <c r="P964"/>
  <c r="R964" s="1"/>
  <c r="P865"/>
  <c r="P805"/>
  <c r="O896"/>
  <c r="P768"/>
  <c r="Q578"/>
  <c r="R578" s="1"/>
  <c r="O993"/>
  <c r="R692"/>
  <c r="S692" s="1"/>
  <c r="R275"/>
  <c r="S275" s="1"/>
  <c r="R148"/>
  <c r="S148" s="1"/>
  <c r="R402"/>
  <c r="S402" s="1"/>
  <c r="T402" s="1"/>
  <c r="R698"/>
  <c r="S698" s="1"/>
  <c r="U698" s="1"/>
  <c r="V698" s="1"/>
  <c r="R828"/>
  <c r="S828" s="1"/>
  <c r="Q741"/>
  <c r="R114"/>
  <c r="S114" s="1"/>
  <c r="T114" s="1"/>
  <c r="R564"/>
  <c r="S564" s="1"/>
  <c r="R245"/>
  <c r="S245" s="1"/>
  <c r="U245" s="1"/>
  <c r="V245" s="1"/>
  <c r="R185"/>
  <c r="S185" s="1"/>
  <c r="R632"/>
  <c r="S632" s="1"/>
  <c r="R1045"/>
  <c r="S1045" s="1"/>
  <c r="T1045" s="1"/>
  <c r="O930"/>
  <c r="P831"/>
  <c r="O804"/>
  <c r="O770"/>
  <c r="P708"/>
  <c r="Q740"/>
  <c r="Q709"/>
  <c r="O608"/>
  <c r="Q992"/>
  <c r="P993"/>
  <c r="Q867"/>
  <c r="O931"/>
  <c r="O897"/>
  <c r="O863"/>
  <c r="O737"/>
  <c r="S977"/>
  <c r="T977" s="1"/>
  <c r="S825"/>
  <c r="U825" s="1"/>
  <c r="V825" s="1"/>
  <c r="Q768"/>
  <c r="O612"/>
  <c r="O578"/>
  <c r="P610"/>
  <c r="R610" s="1"/>
  <c r="P577"/>
  <c r="Q1060"/>
  <c r="P961"/>
  <c r="Q1024"/>
  <c r="O1027"/>
  <c r="Q800"/>
  <c r="R800" s="1"/>
  <c r="Q805"/>
  <c r="Q802"/>
  <c r="O901"/>
  <c r="O867"/>
  <c r="P804"/>
  <c r="O805"/>
  <c r="O741"/>
  <c r="O706"/>
  <c r="P737"/>
  <c r="Q773"/>
  <c r="R85"/>
  <c r="S85" s="1"/>
  <c r="T85" s="1"/>
  <c r="R19"/>
  <c r="S19" s="1"/>
  <c r="R882"/>
  <c r="S882" s="1"/>
  <c r="O1056"/>
  <c r="Q899"/>
  <c r="Q870"/>
  <c r="P836"/>
  <c r="O960"/>
  <c r="Q803"/>
  <c r="R803" s="1"/>
  <c r="O800"/>
  <c r="O709"/>
  <c r="P772"/>
  <c r="P740"/>
  <c r="P704"/>
  <c r="Q736"/>
  <c r="Q705"/>
  <c r="Q677"/>
  <c r="R677" s="1"/>
  <c r="Q645"/>
  <c r="Q614"/>
  <c r="Q582"/>
  <c r="O677"/>
  <c r="O643"/>
  <c r="P642"/>
  <c r="P1058"/>
  <c r="P930"/>
  <c r="O997"/>
  <c r="Q963"/>
  <c r="R963" s="1"/>
  <c r="P900"/>
  <c r="Q835"/>
  <c r="Q863"/>
  <c r="Q838"/>
  <c r="O961"/>
  <c r="O927"/>
  <c r="O832"/>
  <c r="Q710"/>
  <c r="R210"/>
  <c r="S210" s="1"/>
  <c r="R147"/>
  <c r="S147" s="1"/>
  <c r="T147" s="1"/>
  <c r="O613"/>
  <c r="R559"/>
  <c r="S559" s="1"/>
  <c r="U559" s="1"/>
  <c r="V559" s="1"/>
  <c r="R627"/>
  <c r="S627" s="1"/>
  <c r="U627" s="1"/>
  <c r="V627" s="1"/>
  <c r="R754"/>
  <c r="S754" s="1"/>
  <c r="R635"/>
  <c r="S635" s="1"/>
  <c r="P898"/>
  <c r="Q1057"/>
  <c r="O1061"/>
  <c r="P997"/>
  <c r="R997" s="1"/>
  <c r="P965"/>
  <c r="O771"/>
  <c r="P769"/>
  <c r="Q575"/>
  <c r="R575" s="1"/>
  <c r="O644"/>
  <c r="S625"/>
  <c r="U625" s="1"/>
  <c r="V625" s="1"/>
  <c r="R761"/>
  <c r="S761" s="1"/>
  <c r="R726"/>
  <c r="S726" s="1"/>
  <c r="R405"/>
  <c r="S405" s="1"/>
  <c r="T405" s="1"/>
  <c r="R338"/>
  <c r="S338" s="1"/>
  <c r="U338" s="1"/>
  <c r="V338" s="1"/>
  <c r="S855"/>
  <c r="T855" s="1"/>
  <c r="R1048"/>
  <c r="S1048" s="1"/>
  <c r="R562"/>
  <c r="S562" s="1"/>
  <c r="R733"/>
  <c r="S733" s="1"/>
  <c r="U733" s="1"/>
  <c r="V733" s="1"/>
  <c r="O579"/>
  <c r="R919"/>
  <c r="S919" s="1"/>
  <c r="U919" s="1"/>
  <c r="V919" s="1"/>
  <c r="R603"/>
  <c r="S603" s="1"/>
  <c r="R658"/>
  <c r="S658" s="1"/>
  <c r="R850"/>
  <c r="S850" s="1"/>
  <c r="S851"/>
  <c r="U851" s="1"/>
  <c r="V851" s="1"/>
  <c r="P709"/>
  <c r="Q611"/>
  <c r="R611" s="1"/>
  <c r="O609"/>
  <c r="O575"/>
  <c r="R54"/>
  <c r="S54" s="1"/>
  <c r="R404"/>
  <c r="S404" s="1"/>
  <c r="U404" s="1"/>
  <c r="V404" s="1"/>
  <c r="R146"/>
  <c r="S146" s="1"/>
  <c r="T146" s="1"/>
  <c r="R375"/>
  <c r="S375" s="1"/>
  <c r="S628"/>
  <c r="T628" s="1"/>
  <c r="R702"/>
  <c r="S702" s="1"/>
  <c r="R469"/>
  <c r="S469" s="1"/>
  <c r="T469" s="1"/>
  <c r="R341"/>
  <c r="S341" s="1"/>
  <c r="R21"/>
  <c r="S21" s="1"/>
  <c r="R466"/>
  <c r="S466" s="1"/>
  <c r="U466" s="1"/>
  <c r="V466" s="1"/>
  <c r="R690"/>
  <c r="S690" s="1"/>
  <c r="T690" s="1"/>
  <c r="R82"/>
  <c r="S82" s="1"/>
  <c r="R978"/>
  <c r="S978" s="1"/>
  <c r="U978" s="1"/>
  <c r="V978" s="1"/>
  <c r="S827"/>
  <c r="T827" s="1"/>
  <c r="R763"/>
  <c r="S763" s="1"/>
  <c r="U763" s="1"/>
  <c r="V763" s="1"/>
  <c r="R1043"/>
  <c r="S1043" s="1"/>
  <c r="T1043" s="1"/>
  <c r="R913"/>
  <c r="S913" s="1"/>
  <c r="T913" s="1"/>
  <c r="S890"/>
  <c r="U890" s="1"/>
  <c r="V890" s="1"/>
  <c r="R1041"/>
  <c r="S1041" s="1"/>
  <c r="R921"/>
  <c r="S921" s="1"/>
  <c r="T921" s="1"/>
  <c r="O1057"/>
  <c r="O1023"/>
  <c r="P899"/>
  <c r="P933"/>
  <c r="P866"/>
  <c r="P833"/>
  <c r="O836"/>
  <c r="O801"/>
  <c r="O767"/>
  <c r="P773"/>
  <c r="P741"/>
  <c r="P705"/>
  <c r="Q769"/>
  <c r="Q737"/>
  <c r="Q706"/>
  <c r="P703"/>
  <c r="Q646"/>
  <c r="O607"/>
  <c r="O640"/>
  <c r="P675"/>
  <c r="R593"/>
  <c r="S593" s="1"/>
  <c r="Q674"/>
  <c r="Q642"/>
  <c r="Q579"/>
  <c r="O674"/>
  <c r="P643"/>
  <c r="R785"/>
  <c r="S785" s="1"/>
  <c r="R816"/>
  <c r="S816" s="1"/>
  <c r="R118"/>
  <c r="S118" s="1"/>
  <c r="U118" s="1"/>
  <c r="V118" s="1"/>
  <c r="R55"/>
  <c r="S55" s="1"/>
  <c r="S53"/>
  <c r="U53" s="1"/>
  <c r="V53" s="1"/>
  <c r="R116"/>
  <c r="S116" s="1"/>
  <c r="R920"/>
  <c r="S920" s="1"/>
  <c r="R691"/>
  <c r="S691" s="1"/>
  <c r="T691" s="1"/>
  <c r="R1051"/>
  <c r="S1051" s="1"/>
  <c r="T1051" s="1"/>
  <c r="R955"/>
  <c r="S955" s="1"/>
  <c r="R859"/>
  <c r="S859" s="1"/>
  <c r="R719"/>
  <c r="S719" s="1"/>
  <c r="T719" s="1"/>
  <c r="R720"/>
  <c r="S720" s="1"/>
  <c r="U720" s="1"/>
  <c r="V720" s="1"/>
  <c r="R731"/>
  <c r="S731" s="1"/>
  <c r="T731" s="1"/>
  <c r="R817"/>
  <c r="S817" s="1"/>
  <c r="P671"/>
  <c r="R730"/>
  <c r="S730" s="1"/>
  <c r="U730" s="1"/>
  <c r="V730" s="1"/>
  <c r="P639"/>
  <c r="R887"/>
  <c r="S887" s="1"/>
  <c r="R666"/>
  <c r="S666" s="1"/>
  <c r="R569"/>
  <c r="S569" s="1"/>
  <c r="R599"/>
  <c r="S599" s="1"/>
  <c r="R1049"/>
  <c r="S1049" s="1"/>
  <c r="R857"/>
  <c r="S857" s="1"/>
  <c r="R1010"/>
  <c r="S1010" s="1"/>
  <c r="R667"/>
  <c r="S667" s="1"/>
  <c r="R975"/>
  <c r="S975" s="1"/>
  <c r="R881"/>
  <c r="S881" s="1"/>
  <c r="R1015"/>
  <c r="S1015" s="1"/>
  <c r="R849"/>
  <c r="S849" s="1"/>
  <c r="S696"/>
  <c r="R786"/>
  <c r="S786" s="1"/>
  <c r="R560"/>
  <c r="S560" s="1"/>
  <c r="R657"/>
  <c r="S657" s="1"/>
  <c r="R787"/>
  <c r="S787" s="1"/>
  <c r="R563"/>
  <c r="S563" s="1"/>
  <c r="R976"/>
  <c r="S976" s="1"/>
  <c r="R727"/>
  <c r="S727" s="1"/>
  <c r="R911"/>
  <c r="S911" s="1"/>
  <c r="R984"/>
  <c r="S984" s="1"/>
  <c r="R818"/>
  <c r="S818" s="1"/>
  <c r="R634"/>
  <c r="S634" s="1"/>
  <c r="R568"/>
  <c r="S568" s="1"/>
  <c r="T759"/>
  <c r="U759"/>
  <c r="V759" s="1"/>
  <c r="U985"/>
  <c r="V985" s="1"/>
  <c r="T985"/>
  <c r="R1017"/>
  <c r="S1017" s="1"/>
  <c r="R923"/>
  <c r="S923" s="1"/>
  <c r="R795"/>
  <c r="S795" s="1"/>
  <c r="R792"/>
  <c r="S792" s="1"/>
  <c r="R751"/>
  <c r="S751" s="1"/>
  <c r="R1047"/>
  <c r="S1047" s="1"/>
  <c r="R946"/>
  <c r="S946" s="1"/>
  <c r="R819"/>
  <c r="S819" s="1"/>
  <c r="R659"/>
  <c r="S659" s="1"/>
  <c r="R1008"/>
  <c r="S1008" s="1"/>
  <c r="R687"/>
  <c r="S687" s="1"/>
  <c r="R697"/>
  <c r="S697" s="1"/>
  <c r="R986"/>
  <c r="S986" s="1"/>
  <c r="R914"/>
  <c r="S914" s="1"/>
  <c r="R570"/>
  <c r="S570" s="1"/>
  <c r="R623"/>
  <c r="S623" s="1"/>
  <c r="T760"/>
  <c r="U760"/>
  <c r="V760" s="1"/>
  <c r="R784"/>
  <c r="S784" s="1"/>
  <c r="R688"/>
  <c r="S688" s="1"/>
  <c r="R826"/>
  <c r="S826" s="1"/>
  <c r="R561"/>
  <c r="S561" s="1"/>
  <c r="R1040"/>
  <c r="S1040" s="1"/>
  <c r="R945"/>
  <c r="S945" s="1"/>
  <c r="S888"/>
  <c r="R689"/>
  <c r="S689" s="1"/>
  <c r="R663"/>
  <c r="S663" s="1"/>
  <c r="S624"/>
  <c r="R1011"/>
  <c r="S1011" s="1"/>
  <c r="R915"/>
  <c r="S915" s="1"/>
  <c r="R1019"/>
  <c r="S1019" s="1"/>
  <c r="R723"/>
  <c r="S723" s="1"/>
  <c r="R823"/>
  <c r="S823" s="1"/>
  <c r="R889"/>
  <c r="S889" s="1"/>
  <c r="R954"/>
  <c r="S954" s="1"/>
  <c r="R883"/>
  <c r="S883" s="1"/>
  <c r="R755"/>
  <c r="S755" s="1"/>
  <c r="R1009"/>
  <c r="S1009" s="1"/>
  <c r="R793"/>
  <c r="S793" s="1"/>
  <c r="R943"/>
  <c r="S943" s="1"/>
  <c r="S721"/>
  <c r="R1016"/>
  <c r="S1016" s="1"/>
  <c r="R1018"/>
  <c r="S1018" s="1"/>
  <c r="R1050"/>
  <c r="S1050" s="1"/>
  <c r="R664"/>
  <c r="S664" s="1"/>
  <c r="R633"/>
  <c r="S633" s="1"/>
  <c r="R665"/>
  <c r="S665" s="1"/>
  <c r="T592"/>
  <c r="U592"/>
  <c r="V592" s="1"/>
  <c r="R121"/>
  <c r="S121" s="1"/>
  <c r="U121" s="1"/>
  <c r="V121" s="1"/>
  <c r="R762"/>
  <c r="S762" s="1"/>
  <c r="R815"/>
  <c r="S815" s="1"/>
  <c r="R794"/>
  <c r="S794" s="1"/>
  <c r="R600"/>
  <c r="S600" s="1"/>
  <c r="R953"/>
  <c r="S953" s="1"/>
  <c r="R983"/>
  <c r="S983" s="1"/>
  <c r="S626"/>
  <c r="R858"/>
  <c r="S858" s="1"/>
  <c r="R824"/>
  <c r="S824" s="1"/>
  <c r="R752"/>
  <c r="S752" s="1"/>
  <c r="R1039"/>
  <c r="S1039" s="1"/>
  <c r="R602"/>
  <c r="S602" s="1"/>
  <c r="R722"/>
  <c r="S722" s="1"/>
  <c r="R601"/>
  <c r="S601" s="1"/>
  <c r="R18"/>
  <c r="S18" s="1"/>
  <c r="T18" s="1"/>
  <c r="R248"/>
  <c r="S248" s="1"/>
  <c r="T248" s="1"/>
  <c r="R307"/>
  <c r="S307" s="1"/>
  <c r="R950"/>
  <c r="S950" s="1"/>
  <c r="T950" s="1"/>
  <c r="R407"/>
  <c r="S407" s="1"/>
  <c r="S500"/>
  <c r="T500" s="1"/>
  <c r="R212"/>
  <c r="S212" s="1"/>
  <c r="T212" s="1"/>
  <c r="S441"/>
  <c r="T441" s="1"/>
  <c r="R86"/>
  <c r="S86" s="1"/>
  <c r="R276"/>
  <c r="S276" s="1"/>
  <c r="T276" s="1"/>
  <c r="R246"/>
  <c r="S246" s="1"/>
  <c r="T246" s="1"/>
  <c r="R344"/>
  <c r="S344" s="1"/>
  <c r="T344" s="1"/>
  <c r="R437"/>
  <c r="S437" s="1"/>
  <c r="R309"/>
  <c r="S309" s="1"/>
  <c r="R50"/>
  <c r="S50" s="1"/>
  <c r="R306"/>
  <c r="S306" s="1"/>
  <c r="R280"/>
  <c r="S280" s="1"/>
  <c r="U280" s="1"/>
  <c r="V280" s="1"/>
  <c r="R434"/>
  <c r="S434" s="1"/>
  <c r="T434" s="1"/>
  <c r="R693"/>
  <c r="S693" s="1"/>
  <c r="S852"/>
  <c r="U852" s="1"/>
  <c r="V852" s="1"/>
  <c r="R669"/>
  <c r="S669" s="1"/>
  <c r="T669" s="1"/>
  <c r="R662"/>
  <c r="S662" s="1"/>
  <c r="R277"/>
  <c r="S277" s="1"/>
  <c r="R151"/>
  <c r="S151" s="1"/>
  <c r="T151" s="1"/>
  <c r="R661"/>
  <c r="S661" s="1"/>
  <c r="T661" s="1"/>
  <c r="R498"/>
  <c r="S498" s="1"/>
  <c r="T498" s="1"/>
  <c r="R990"/>
  <c r="S990" s="1"/>
  <c r="R822"/>
  <c r="S822" s="1"/>
  <c r="U822" s="1"/>
  <c r="V822" s="1"/>
  <c r="R638"/>
  <c r="S638" s="1"/>
  <c r="S180"/>
  <c r="U180" s="1"/>
  <c r="V180" s="1"/>
  <c r="R84"/>
  <c r="S84" s="1"/>
  <c r="U84" s="1"/>
  <c r="V84" s="1"/>
  <c r="R214"/>
  <c r="S214" s="1"/>
  <c r="U214" s="1"/>
  <c r="V214" s="1"/>
  <c r="R566"/>
  <c r="S566" s="1"/>
  <c r="T566" s="1"/>
  <c r="R274"/>
  <c r="S274" s="1"/>
  <c r="R88"/>
  <c r="S88" s="1"/>
  <c r="B171" i="29"/>
  <c r="R183" i="49"/>
  <c r="S183" s="1"/>
  <c r="U183" s="1"/>
  <c r="V183" s="1"/>
  <c r="U502"/>
  <c r="V502" s="1"/>
  <c r="T502"/>
  <c r="U374"/>
  <c r="V374" s="1"/>
  <c r="T374"/>
  <c r="U87"/>
  <c r="V87" s="1"/>
  <c r="T87"/>
  <c r="U51"/>
  <c r="V51" s="1"/>
  <c r="T51"/>
  <c r="U372"/>
  <c r="V372" s="1"/>
  <c r="T372"/>
  <c r="R29" i="48"/>
  <c r="P30" i="49"/>
  <c r="Q38"/>
  <c r="P61"/>
  <c r="Q68"/>
  <c r="Q92"/>
  <c r="P99"/>
  <c r="Q124"/>
  <c r="Q132"/>
  <c r="P155"/>
  <c r="O162"/>
  <c r="O166"/>
  <c r="O190"/>
  <c r="Q198"/>
  <c r="O222"/>
  <c r="O230"/>
  <c r="O254"/>
  <c r="O262"/>
  <c r="P38"/>
  <c r="R38" s="1"/>
  <c r="O61"/>
  <c r="O69"/>
  <c r="P92"/>
  <c r="R92" s="1"/>
  <c r="Q101"/>
  <c r="P124"/>
  <c r="R124" s="1"/>
  <c r="P132"/>
  <c r="R132" s="1"/>
  <c r="O155"/>
  <c r="O163"/>
  <c r="P168"/>
  <c r="O189"/>
  <c r="P198"/>
  <c r="R198" s="1"/>
  <c r="O221"/>
  <c r="O229"/>
  <c r="P252"/>
  <c r="Q259"/>
  <c r="Q27"/>
  <c r="O36"/>
  <c r="O60"/>
  <c r="Q70"/>
  <c r="O92"/>
  <c r="P101"/>
  <c r="O124"/>
  <c r="P131"/>
  <c r="O156"/>
  <c r="O164"/>
  <c r="P187"/>
  <c r="Q196"/>
  <c r="O232"/>
  <c r="Q254"/>
  <c r="Q262"/>
  <c r="Q30"/>
  <c r="Q35"/>
  <c r="Q59"/>
  <c r="Q65"/>
  <c r="P70"/>
  <c r="R70" s="1"/>
  <c r="P94"/>
  <c r="Q99"/>
  <c r="P122"/>
  <c r="R122" s="1"/>
  <c r="O127"/>
  <c r="Q133"/>
  <c r="Q157"/>
  <c r="P162"/>
  <c r="R162" s="1"/>
  <c r="O167"/>
  <c r="P190"/>
  <c r="Q195"/>
  <c r="P218"/>
  <c r="R218" s="1"/>
  <c r="O223"/>
  <c r="Q229"/>
  <c r="P250"/>
  <c r="R250" s="1"/>
  <c r="O255"/>
  <c r="Q261"/>
  <c r="Q288"/>
  <c r="Q294"/>
  <c r="Q316"/>
  <c r="O322"/>
  <c r="Q328"/>
  <c r="O350"/>
  <c r="P357"/>
  <c r="Q380"/>
  <c r="O386"/>
  <c r="Q392"/>
  <c r="O414"/>
  <c r="P421"/>
  <c r="Q444"/>
  <c r="O450"/>
  <c r="Q456"/>
  <c r="O478"/>
  <c r="P485"/>
  <c r="Q508"/>
  <c r="O514"/>
  <c r="Q520"/>
  <c r="O285"/>
  <c r="Q293"/>
  <c r="Q319"/>
  <c r="O325"/>
  <c r="Q347"/>
  <c r="P352"/>
  <c r="Q359"/>
  <c r="P380"/>
  <c r="Q387"/>
  <c r="P392"/>
  <c r="R392" s="1"/>
  <c r="O413"/>
  <c r="P420"/>
  <c r="Q447"/>
  <c r="O453"/>
  <c r="Q475"/>
  <c r="P480"/>
  <c r="Q487"/>
  <c r="P508"/>
  <c r="R508" s="1"/>
  <c r="Q515"/>
  <c r="P520"/>
  <c r="R520" s="1"/>
  <c r="Q286"/>
  <c r="Q292"/>
  <c r="P319"/>
  <c r="R319" s="1"/>
  <c r="O324"/>
  <c r="P351"/>
  <c r="O356"/>
  <c r="P383"/>
  <c r="O388"/>
  <c r="P415"/>
  <c r="O420"/>
  <c r="P447"/>
  <c r="O452"/>
  <c r="P479"/>
  <c r="O484"/>
  <c r="P511"/>
  <c r="O516"/>
  <c r="O287"/>
  <c r="P292"/>
  <c r="P314"/>
  <c r="R314" s="1"/>
  <c r="O319"/>
  <c r="Q325"/>
  <c r="P346"/>
  <c r="R346" s="1"/>
  <c r="O351"/>
  <c r="Q357"/>
  <c r="P378"/>
  <c r="R378" s="1"/>
  <c r="O383"/>
  <c r="Q389"/>
  <c r="P410"/>
  <c r="R410" s="1"/>
  <c r="O415"/>
  <c r="Q421"/>
  <c r="P442"/>
  <c r="R442" s="1"/>
  <c r="O447"/>
  <c r="Q453"/>
  <c r="P474"/>
  <c r="R474" s="1"/>
  <c r="O479"/>
  <c r="Q485"/>
  <c r="P506"/>
  <c r="R506" s="1"/>
  <c r="O511"/>
  <c r="Q517"/>
  <c r="Q29"/>
  <c r="Q36"/>
  <c r="Q60"/>
  <c r="P67"/>
  <c r="O98"/>
  <c r="O122"/>
  <c r="O130"/>
  <c r="O154"/>
  <c r="O158"/>
  <c r="P165"/>
  <c r="P189"/>
  <c r="O196"/>
  <c r="P221"/>
  <c r="P229"/>
  <c r="R229" s="1"/>
  <c r="P253"/>
  <c r="P261"/>
  <c r="O30"/>
  <c r="Q37"/>
  <c r="P60"/>
  <c r="P68"/>
  <c r="R68" s="1"/>
  <c r="Q91"/>
  <c r="O99"/>
  <c r="Q123"/>
  <c r="Q131"/>
  <c r="Q159"/>
  <c r="Q167"/>
  <c r="P188"/>
  <c r="Q197"/>
  <c r="P220"/>
  <c r="P228"/>
  <c r="Q251"/>
  <c r="P256"/>
  <c r="Q263"/>
  <c r="P26"/>
  <c r="R26" s="1"/>
  <c r="O68"/>
  <c r="P91"/>
  <c r="Q100"/>
  <c r="P123"/>
  <c r="O186"/>
  <c r="Q200"/>
  <c r="Q222"/>
  <c r="Q230"/>
  <c r="O252"/>
  <c r="O260"/>
  <c r="Q28"/>
  <c r="P34"/>
  <c r="R34" s="1"/>
  <c r="P58"/>
  <c r="R58" s="1"/>
  <c r="O63"/>
  <c r="Q69"/>
  <c r="Q93"/>
  <c r="P98"/>
  <c r="R98" s="1"/>
  <c r="Q103"/>
  <c r="P126"/>
  <c r="O131"/>
  <c r="Q155"/>
  <c r="Q161"/>
  <c r="P166"/>
  <c r="Q189"/>
  <c r="P194"/>
  <c r="R194" s="1"/>
  <c r="Q199"/>
  <c r="P222"/>
  <c r="R222" s="1"/>
  <c r="O227"/>
  <c r="Q233"/>
  <c r="P254"/>
  <c r="O259"/>
  <c r="Q265"/>
  <c r="O286"/>
  <c r="O292"/>
  <c r="O314"/>
  <c r="Q320"/>
  <c r="O326"/>
  <c r="P349"/>
  <c r="Q356"/>
  <c r="O378"/>
  <c r="Q384"/>
  <c r="O390"/>
  <c r="P413"/>
  <c r="Q420"/>
  <c r="O442"/>
  <c r="Q448"/>
  <c r="O454"/>
  <c r="P477"/>
  <c r="Q484"/>
  <c r="O506"/>
  <c r="Q512"/>
  <c r="O518"/>
  <c r="P284"/>
  <c r="O291"/>
  <c r="Q297"/>
  <c r="O317"/>
  <c r="P324"/>
  <c r="Q351"/>
  <c r="O357"/>
  <c r="Q379"/>
  <c r="P384"/>
  <c r="R384" s="1"/>
  <c r="Q391"/>
  <c r="P412"/>
  <c r="Q419"/>
  <c r="P424"/>
  <c r="O445"/>
  <c r="P452"/>
  <c r="Q479"/>
  <c r="O485"/>
  <c r="Q507"/>
  <c r="P512"/>
  <c r="R512" s="1"/>
  <c r="Q519"/>
  <c r="O284"/>
  <c r="Q296"/>
  <c r="Q318"/>
  <c r="P323"/>
  <c r="O328"/>
  <c r="Q350"/>
  <c r="P355"/>
  <c r="O360"/>
  <c r="Q382"/>
  <c r="P387"/>
  <c r="O392"/>
  <c r="Q414"/>
  <c r="P419"/>
  <c r="O424"/>
  <c r="Q446"/>
  <c r="P451"/>
  <c r="O456"/>
  <c r="Q478"/>
  <c r="P483"/>
  <c r="O488"/>
  <c r="Q510"/>
  <c r="P515"/>
  <c r="R515" s="1"/>
  <c r="O520"/>
  <c r="P286"/>
  <c r="R286" s="1"/>
  <c r="Q291"/>
  <c r="P296"/>
  <c r="R296" s="1"/>
  <c r="P318"/>
  <c r="R318" s="1"/>
  <c r="O323"/>
  <c r="Q329"/>
  <c r="P350"/>
  <c r="R350" s="1"/>
  <c r="O355"/>
  <c r="Q361"/>
  <c r="P382"/>
  <c r="R382" s="1"/>
  <c r="O387"/>
  <c r="Q393"/>
  <c r="P414"/>
  <c r="R414" s="1"/>
  <c r="O419"/>
  <c r="Q425"/>
  <c r="P446"/>
  <c r="R446" s="1"/>
  <c r="O451"/>
  <c r="Q457"/>
  <c r="P478"/>
  <c r="R478" s="1"/>
  <c r="O483"/>
  <c r="Q489"/>
  <c r="P510"/>
  <c r="R510" s="1"/>
  <c r="O515"/>
  <c r="Q521"/>
  <c r="P28"/>
  <c r="P35"/>
  <c r="P59"/>
  <c r="O66"/>
  <c r="O70"/>
  <c r="O94"/>
  <c r="Q102"/>
  <c r="O126"/>
  <c r="O134"/>
  <c r="P157"/>
  <c r="R157" s="1"/>
  <c r="Q164"/>
  <c r="Q188"/>
  <c r="P195"/>
  <c r="Q220"/>
  <c r="Q228"/>
  <c r="Q252"/>
  <c r="Q260"/>
  <c r="P29"/>
  <c r="P36"/>
  <c r="O59"/>
  <c r="O67"/>
  <c r="P90"/>
  <c r="R90" s="1"/>
  <c r="Q95"/>
  <c r="Q127"/>
  <c r="Q135"/>
  <c r="O157"/>
  <c r="O165"/>
  <c r="Q187"/>
  <c r="O195"/>
  <c r="Q219"/>
  <c r="Q227"/>
  <c r="Q255"/>
  <c r="O261"/>
  <c r="Q31"/>
  <c r="O38"/>
  <c r="O90"/>
  <c r="P127"/>
  <c r="Q134"/>
  <c r="O160"/>
  <c r="P167"/>
  <c r="Q190"/>
  <c r="O198"/>
  <c r="O220"/>
  <c r="O228"/>
  <c r="P251"/>
  <c r="P259"/>
  <c r="P27"/>
  <c r="O32"/>
  <c r="Q39"/>
  <c r="P62"/>
  <c r="Q67"/>
  <c r="O91"/>
  <c r="Q97"/>
  <c r="O101"/>
  <c r="Q125"/>
  <c r="P130"/>
  <c r="R130" s="1"/>
  <c r="P154"/>
  <c r="R154" s="1"/>
  <c r="O159"/>
  <c r="Q165"/>
  <c r="O187"/>
  <c r="Q193"/>
  <c r="O197"/>
  <c r="Q221"/>
  <c r="P226"/>
  <c r="R226" s="1"/>
  <c r="O231"/>
  <c r="Q253"/>
  <c r="P258"/>
  <c r="R258" s="1"/>
  <c r="O263"/>
  <c r="P285"/>
  <c r="P291"/>
  <c r="R291" s="1"/>
  <c r="O296"/>
  <c r="O318"/>
  <c r="P325"/>
  <c r="R325" s="1"/>
  <c r="Q348"/>
  <c r="O354"/>
  <c r="Q360"/>
  <c r="O382"/>
  <c r="P389"/>
  <c r="Q412"/>
  <c r="O418"/>
  <c r="Q424"/>
  <c r="O446"/>
  <c r="P453"/>
  <c r="Q476"/>
  <c r="O482"/>
  <c r="Q488"/>
  <c r="O510"/>
  <c r="P517"/>
  <c r="Q283"/>
  <c r="P288"/>
  <c r="O295"/>
  <c r="P316"/>
  <c r="Q323"/>
  <c r="P328"/>
  <c r="O349"/>
  <c r="P356"/>
  <c r="R356" s="1"/>
  <c r="Q383"/>
  <c r="O389"/>
  <c r="Q411"/>
  <c r="P416"/>
  <c r="Q423"/>
  <c r="P444"/>
  <c r="Q451"/>
  <c r="P456"/>
  <c r="O477"/>
  <c r="P484"/>
  <c r="R484" s="1"/>
  <c r="Q511"/>
  <c r="O517"/>
  <c r="P283"/>
  <c r="O288"/>
  <c r="O294"/>
  <c r="O316"/>
  <c r="P327"/>
  <c r="O348"/>
  <c r="P359"/>
  <c r="R359" s="1"/>
  <c r="O380"/>
  <c r="P391"/>
  <c r="O412"/>
  <c r="P423"/>
  <c r="O444"/>
  <c r="P455"/>
  <c r="O476"/>
  <c r="P487"/>
  <c r="O508"/>
  <c r="P519"/>
  <c r="R519" s="1"/>
  <c r="Q285"/>
  <c r="P290"/>
  <c r="R290" s="1"/>
  <c r="Q295"/>
  <c r="Q317"/>
  <c r="P322"/>
  <c r="R322" s="1"/>
  <c r="O327"/>
  <c r="Q349"/>
  <c r="P354"/>
  <c r="R354" s="1"/>
  <c r="O359"/>
  <c r="Q381"/>
  <c r="P386"/>
  <c r="R386" s="1"/>
  <c r="O391"/>
  <c r="Q413"/>
  <c r="P418"/>
  <c r="R418" s="1"/>
  <c r="O423"/>
  <c r="Q445"/>
  <c r="P450"/>
  <c r="R450" s="1"/>
  <c r="S450" s="1"/>
  <c r="O455"/>
  <c r="Q477"/>
  <c r="P482"/>
  <c r="R482" s="1"/>
  <c r="O487"/>
  <c r="Q509"/>
  <c r="P514"/>
  <c r="R514" s="1"/>
  <c r="O519"/>
  <c r="O27"/>
  <c r="O34"/>
  <c r="O58"/>
  <c r="O62"/>
  <c r="P69"/>
  <c r="P93"/>
  <c r="O100"/>
  <c r="P125"/>
  <c r="P133"/>
  <c r="Q156"/>
  <c r="P163"/>
  <c r="O194"/>
  <c r="O218"/>
  <c r="O226"/>
  <c r="O250"/>
  <c r="O258"/>
  <c r="O28"/>
  <c r="O35"/>
  <c r="Q63"/>
  <c r="Q71"/>
  <c r="O93"/>
  <c r="P102"/>
  <c r="R102" s="1"/>
  <c r="O125"/>
  <c r="O133"/>
  <c r="P156"/>
  <c r="P164"/>
  <c r="R164" s="1"/>
  <c r="P186"/>
  <c r="R186" s="1"/>
  <c r="Q191"/>
  <c r="Q223"/>
  <c r="Q231"/>
  <c r="O253"/>
  <c r="P260"/>
  <c r="R260" s="1"/>
  <c r="O29"/>
  <c r="P37"/>
  <c r="Q62"/>
  <c r="O72"/>
  <c r="Q94"/>
  <c r="O102"/>
  <c r="Q126"/>
  <c r="O132"/>
  <c r="Q158"/>
  <c r="Q166"/>
  <c r="O188"/>
  <c r="P197"/>
  <c r="P219"/>
  <c r="R219" s="1"/>
  <c r="P227"/>
  <c r="R227" s="1"/>
  <c r="O264"/>
  <c r="O26"/>
  <c r="P31"/>
  <c r="R31" s="1"/>
  <c r="O37"/>
  <c r="Q61"/>
  <c r="P66"/>
  <c r="R66" s="1"/>
  <c r="O95"/>
  <c r="P100"/>
  <c r="O123"/>
  <c r="Q129"/>
  <c r="P134"/>
  <c r="P158"/>
  <c r="Q163"/>
  <c r="O191"/>
  <c r="P196"/>
  <c r="O219"/>
  <c r="Q225"/>
  <c r="P230"/>
  <c r="R230" s="1"/>
  <c r="O251"/>
  <c r="Q257"/>
  <c r="P262"/>
  <c r="Q284"/>
  <c r="O290"/>
  <c r="P295"/>
  <c r="P317"/>
  <c r="Q324"/>
  <c r="O346"/>
  <c r="Q352"/>
  <c r="O358"/>
  <c r="P381"/>
  <c r="Q388"/>
  <c r="O410"/>
  <c r="Q416"/>
  <c r="O422"/>
  <c r="P445"/>
  <c r="Q452"/>
  <c r="O474"/>
  <c r="Q480"/>
  <c r="O486"/>
  <c r="P509"/>
  <c r="R509" s="1"/>
  <c r="Q516"/>
  <c r="P282"/>
  <c r="R282" s="1"/>
  <c r="Q287"/>
  <c r="P294"/>
  <c r="Q315"/>
  <c r="P320"/>
  <c r="R320" s="1"/>
  <c r="Q327"/>
  <c r="P348"/>
  <c r="Q355"/>
  <c r="P360"/>
  <c r="O381"/>
  <c r="P388"/>
  <c r="Q415"/>
  <c r="O421"/>
  <c r="Q443"/>
  <c r="P448"/>
  <c r="R448" s="1"/>
  <c r="Q455"/>
  <c r="P476"/>
  <c r="Q483"/>
  <c r="P488"/>
  <c r="O509"/>
  <c r="P516"/>
  <c r="O282"/>
  <c r="P287"/>
  <c r="P293"/>
  <c r="P315"/>
  <c r="O320"/>
  <c r="Q326"/>
  <c r="P347"/>
  <c r="O352"/>
  <c r="Q358"/>
  <c r="P379"/>
  <c r="O384"/>
  <c r="Q390"/>
  <c r="P411"/>
  <c r="O416"/>
  <c r="Q422"/>
  <c r="P443"/>
  <c r="O448"/>
  <c r="Q454"/>
  <c r="P475"/>
  <c r="O480"/>
  <c r="Q486"/>
  <c r="P507"/>
  <c r="R507" s="1"/>
  <c r="O512"/>
  <c r="Q518"/>
  <c r="O283"/>
  <c r="Q289"/>
  <c r="O293"/>
  <c r="O315"/>
  <c r="Q321"/>
  <c r="P326"/>
  <c r="R326" s="1"/>
  <c r="O347"/>
  <c r="Q353"/>
  <c r="P358"/>
  <c r="O379"/>
  <c r="Q385"/>
  <c r="P390"/>
  <c r="O411"/>
  <c r="Q417"/>
  <c r="P422"/>
  <c r="O443"/>
  <c r="Q449"/>
  <c r="P454"/>
  <c r="R454" s="1"/>
  <c r="O475"/>
  <c r="Q481"/>
  <c r="P486"/>
  <c r="O507"/>
  <c r="Q513"/>
  <c r="P518"/>
  <c r="R518" s="1"/>
  <c r="S518" s="1"/>
  <c r="P255"/>
  <c r="O128"/>
  <c r="O71"/>
  <c r="P63"/>
  <c r="Q192"/>
  <c r="Q169"/>
  <c r="Q73"/>
  <c r="P231"/>
  <c r="Q104"/>
  <c r="P160"/>
  <c r="Q96"/>
  <c r="Q160"/>
  <c r="O31"/>
  <c r="Q232"/>
  <c r="P39"/>
  <c r="Q105"/>
  <c r="O200"/>
  <c r="P33"/>
  <c r="P73"/>
  <c r="P77"/>
  <c r="P97"/>
  <c r="P137"/>
  <c r="P169"/>
  <c r="P173"/>
  <c r="P193"/>
  <c r="P233"/>
  <c r="P265"/>
  <c r="O45"/>
  <c r="O65"/>
  <c r="O77"/>
  <c r="O97"/>
  <c r="O109"/>
  <c r="O129"/>
  <c r="O141"/>
  <c r="O161"/>
  <c r="O173"/>
  <c r="O193"/>
  <c r="O205"/>
  <c r="O225"/>
  <c r="O237"/>
  <c r="O257"/>
  <c r="O269"/>
  <c r="Q44"/>
  <c r="Q74"/>
  <c r="O108"/>
  <c r="Q138"/>
  <c r="Q174"/>
  <c r="O202"/>
  <c r="O236"/>
  <c r="Q266"/>
  <c r="O41"/>
  <c r="Q75"/>
  <c r="O139"/>
  <c r="O203"/>
  <c r="O267"/>
  <c r="Q300"/>
  <c r="Q332"/>
  <c r="Q364"/>
  <c r="Q396"/>
  <c r="Q428"/>
  <c r="Q460"/>
  <c r="Q492"/>
  <c r="Q524"/>
  <c r="O289"/>
  <c r="O301"/>
  <c r="O321"/>
  <c r="O333"/>
  <c r="O353"/>
  <c r="O365"/>
  <c r="O385"/>
  <c r="O397"/>
  <c r="O417"/>
  <c r="O429"/>
  <c r="O449"/>
  <c r="O461"/>
  <c r="O481"/>
  <c r="O493"/>
  <c r="O513"/>
  <c r="O525"/>
  <c r="O300"/>
  <c r="Q330"/>
  <c r="O364"/>
  <c r="Q394"/>
  <c r="O428"/>
  <c r="Q458"/>
  <c r="O492"/>
  <c r="Q522"/>
  <c r="O297"/>
  <c r="Q333"/>
  <c r="P362"/>
  <c r="Q397"/>
  <c r="P426"/>
  <c r="Q461"/>
  <c r="P490"/>
  <c r="Q525"/>
  <c r="O168"/>
  <c r="P264"/>
  <c r="O135"/>
  <c r="O256"/>
  <c r="P191"/>
  <c r="R191" s="1"/>
  <c r="S191" s="1"/>
  <c r="P232"/>
  <c r="P64"/>
  <c r="P263"/>
  <c r="R263" s="1"/>
  <c r="S263" s="1"/>
  <c r="O136"/>
  <c r="Q201"/>
  <c r="Q256"/>
  <c r="R256" s="1"/>
  <c r="P199"/>
  <c r="Q128"/>
  <c r="Q72"/>
  <c r="Q41"/>
  <c r="O104"/>
  <c r="P45"/>
  <c r="P65"/>
  <c r="Q76"/>
  <c r="P109"/>
  <c r="P129"/>
  <c r="R129" s="1"/>
  <c r="P141"/>
  <c r="P161"/>
  <c r="R161" s="1"/>
  <c r="Q172"/>
  <c r="P205"/>
  <c r="P225"/>
  <c r="P237"/>
  <c r="P257"/>
  <c r="P269"/>
  <c r="Q43"/>
  <c r="P76"/>
  <c r="R76" s="1"/>
  <c r="P108"/>
  <c r="P140"/>
  <c r="P172"/>
  <c r="P204"/>
  <c r="P236"/>
  <c r="P268"/>
  <c r="P43"/>
  <c r="R43" s="1"/>
  <c r="P107"/>
  <c r="Q142"/>
  <c r="O172"/>
  <c r="P201"/>
  <c r="Q206"/>
  <c r="P235"/>
  <c r="Q270"/>
  <c r="Q45"/>
  <c r="P74"/>
  <c r="Q109"/>
  <c r="P138"/>
  <c r="Q173"/>
  <c r="O201"/>
  <c r="Q237"/>
  <c r="P266"/>
  <c r="Q298"/>
  <c r="O330"/>
  <c r="O362"/>
  <c r="O394"/>
  <c r="O426"/>
  <c r="O458"/>
  <c r="O490"/>
  <c r="O522"/>
  <c r="P300"/>
  <c r="P332"/>
  <c r="P364"/>
  <c r="P396"/>
  <c r="P428"/>
  <c r="P460"/>
  <c r="P492"/>
  <c r="P524"/>
  <c r="P299"/>
  <c r="Q334"/>
  <c r="P363"/>
  <c r="Q398"/>
  <c r="P427"/>
  <c r="Q462"/>
  <c r="P491"/>
  <c r="Q526"/>
  <c r="O331"/>
  <c r="O395"/>
  <c r="O459"/>
  <c r="O523"/>
  <c r="P32"/>
  <c r="P136"/>
  <c r="Q33"/>
  <c r="O96"/>
  <c r="P192"/>
  <c r="R192" s="1"/>
  <c r="P200"/>
  <c r="P104"/>
  <c r="P159"/>
  <c r="O64"/>
  <c r="Q32"/>
  <c r="Q264"/>
  <c r="Q64"/>
  <c r="Q224"/>
  <c r="O39"/>
  <c r="Q136"/>
  <c r="P96"/>
  <c r="O44"/>
  <c r="P75"/>
  <c r="Q108"/>
  <c r="Q140"/>
  <c r="P171"/>
  <c r="Q204"/>
  <c r="Q236"/>
  <c r="Q268"/>
  <c r="P42"/>
  <c r="O75"/>
  <c r="Q107"/>
  <c r="Q139"/>
  <c r="O171"/>
  <c r="Q203"/>
  <c r="Q235"/>
  <c r="Q267"/>
  <c r="O42"/>
  <c r="Q78"/>
  <c r="O106"/>
  <c r="O140"/>
  <c r="Q170"/>
  <c r="O204"/>
  <c r="Q234"/>
  <c r="O268"/>
  <c r="P44"/>
  <c r="O107"/>
  <c r="Q171"/>
  <c r="O235"/>
  <c r="P289"/>
  <c r="P329"/>
  <c r="P361"/>
  <c r="P393"/>
  <c r="P425"/>
  <c r="P457"/>
  <c r="P489"/>
  <c r="P521"/>
  <c r="Q299"/>
  <c r="Q331"/>
  <c r="Q363"/>
  <c r="Q395"/>
  <c r="Q427"/>
  <c r="Q459"/>
  <c r="Q491"/>
  <c r="Q523"/>
  <c r="O298"/>
  <c r="O332"/>
  <c r="Q362"/>
  <c r="O396"/>
  <c r="Q426"/>
  <c r="O460"/>
  <c r="Q490"/>
  <c r="O524"/>
  <c r="Q301"/>
  <c r="P330"/>
  <c r="Q365"/>
  <c r="P394"/>
  <c r="Q429"/>
  <c r="P458"/>
  <c r="Q493"/>
  <c r="P522"/>
  <c r="O40"/>
  <c r="P223"/>
  <c r="P95"/>
  <c r="P224"/>
  <c r="O224"/>
  <c r="P135"/>
  <c r="Q40"/>
  <c r="O199"/>
  <c r="Q137"/>
  <c r="P40"/>
  <c r="O192"/>
  <c r="P71"/>
  <c r="R71" s="1"/>
  <c r="O103"/>
  <c r="P103"/>
  <c r="R103" s="1"/>
  <c r="Q168"/>
  <c r="P128"/>
  <c r="R128" s="1"/>
  <c r="P72"/>
  <c r="R72" s="1"/>
  <c r="Q42"/>
  <c r="O74"/>
  <c r="Q106"/>
  <c r="O138"/>
  <c r="O170"/>
  <c r="Q202"/>
  <c r="O234"/>
  <c r="O266"/>
  <c r="O33"/>
  <c r="O73"/>
  <c r="P106"/>
  <c r="O137"/>
  <c r="O169"/>
  <c r="P202"/>
  <c r="O233"/>
  <c r="O265"/>
  <c r="P41"/>
  <c r="Q46"/>
  <c r="O76"/>
  <c r="P105"/>
  <c r="Q110"/>
  <c r="P139"/>
  <c r="P203"/>
  <c r="Q238"/>
  <c r="P267"/>
  <c r="O43"/>
  <c r="Q77"/>
  <c r="O105"/>
  <c r="Q141"/>
  <c r="P170"/>
  <c r="Q205"/>
  <c r="P234"/>
  <c r="Q269"/>
  <c r="P301"/>
  <c r="P321"/>
  <c r="P333"/>
  <c r="R333" s="1"/>
  <c r="P353"/>
  <c r="P365"/>
  <c r="R365" s="1"/>
  <c r="P385"/>
  <c r="P397"/>
  <c r="P417"/>
  <c r="R417" s="1"/>
  <c r="P429"/>
  <c r="P449"/>
  <c r="P461"/>
  <c r="P481"/>
  <c r="P493"/>
  <c r="R493" s="1"/>
  <c r="P513"/>
  <c r="P525"/>
  <c r="P298"/>
  <c r="O329"/>
  <c r="O361"/>
  <c r="O393"/>
  <c r="O425"/>
  <c r="O457"/>
  <c r="O489"/>
  <c r="O521"/>
  <c r="P297"/>
  <c r="Q302"/>
  <c r="P331"/>
  <c r="Q366"/>
  <c r="P395"/>
  <c r="Q430"/>
  <c r="P459"/>
  <c r="Q494"/>
  <c r="P523"/>
  <c r="O299"/>
  <c r="O363"/>
  <c r="O427"/>
  <c r="O491"/>
  <c r="R504"/>
  <c r="S504" s="1"/>
  <c r="R467"/>
  <c r="S467" s="1"/>
  <c r="R439"/>
  <c r="S439" s="1"/>
  <c r="R311"/>
  <c r="S311" s="1"/>
  <c r="S505"/>
  <c r="S377"/>
  <c r="R153"/>
  <c r="S153" s="1"/>
  <c r="R440"/>
  <c r="S440" s="1"/>
  <c r="R340"/>
  <c r="S340" s="1"/>
  <c r="R149"/>
  <c r="S149" s="1"/>
  <c r="R25"/>
  <c r="S25" s="1"/>
  <c r="R216"/>
  <c r="S216" s="1"/>
  <c r="R217"/>
  <c r="S217" s="1"/>
  <c r="R371"/>
  <c r="S371" s="1"/>
  <c r="R178"/>
  <c r="S178" s="1"/>
  <c r="U406"/>
  <c r="V406" s="1"/>
  <c r="T406"/>
  <c r="R278"/>
  <c r="S278" s="1"/>
  <c r="R279"/>
  <c r="S279" s="1"/>
  <c r="R152"/>
  <c r="S152" s="1"/>
  <c r="R243"/>
  <c r="S243" s="1"/>
  <c r="S247"/>
  <c r="R435"/>
  <c r="S435" s="1"/>
  <c r="S242"/>
  <c r="R339"/>
  <c r="S339" s="1"/>
  <c r="R409"/>
  <c r="S409" s="1"/>
  <c r="R184"/>
  <c r="S184" s="1"/>
  <c r="S119"/>
  <c r="R249"/>
  <c r="S249" s="1"/>
  <c r="R115"/>
  <c r="S115" s="1"/>
  <c r="U310"/>
  <c r="V310" s="1"/>
  <c r="T310"/>
  <c r="R471"/>
  <c r="S471" s="1"/>
  <c r="R343"/>
  <c r="S343" s="1"/>
  <c r="R182"/>
  <c r="S182" s="1"/>
  <c r="R499"/>
  <c r="S499" s="1"/>
  <c r="R403"/>
  <c r="S403" s="1"/>
  <c r="R181"/>
  <c r="S181" s="1"/>
  <c r="R179"/>
  <c r="S179" s="1"/>
  <c r="R370"/>
  <c r="S370" s="1"/>
  <c r="R408"/>
  <c r="S408" s="1"/>
  <c r="R308"/>
  <c r="S308" s="1"/>
  <c r="R22"/>
  <c r="S22" s="1"/>
  <c r="R83"/>
  <c r="S83" s="1"/>
  <c r="U342"/>
  <c r="V342" s="1"/>
  <c r="T342"/>
  <c r="R89"/>
  <c r="S89" s="1"/>
  <c r="R120"/>
  <c r="S120" s="1"/>
  <c r="S215"/>
  <c r="R312"/>
  <c r="S312" s="1"/>
  <c r="S117"/>
  <c r="R24"/>
  <c r="S24" s="1"/>
  <c r="R281"/>
  <c r="S281" s="1"/>
  <c r="R436"/>
  <c r="S436" s="1"/>
  <c r="R473"/>
  <c r="S473" s="1"/>
  <c r="R345"/>
  <c r="S345" s="1"/>
  <c r="R56"/>
  <c r="S56" s="1"/>
  <c r="R57"/>
  <c r="S57" s="1"/>
  <c r="R211"/>
  <c r="S211" s="1"/>
  <c r="R765"/>
  <c r="S765" s="1"/>
  <c r="R1022"/>
  <c r="S1022" s="1"/>
  <c r="T1022" s="1"/>
  <c r="S756"/>
  <c r="U756" s="1"/>
  <c r="V756" s="1"/>
  <c r="R982"/>
  <c r="S982" s="1"/>
  <c r="U982" s="1"/>
  <c r="V982" s="1"/>
  <c r="R797"/>
  <c r="S797" s="1"/>
  <c r="U797" s="1"/>
  <c r="V797" s="1"/>
  <c r="R670"/>
  <c r="S670" s="1"/>
  <c r="T670" s="1"/>
  <c r="R757"/>
  <c r="S757" s="1"/>
  <c r="R701"/>
  <c r="S701" s="1"/>
  <c r="T701" s="1"/>
  <c r="R917"/>
  <c r="S917" s="1"/>
  <c r="T917" s="1"/>
  <c r="R758"/>
  <c r="S758" s="1"/>
  <c r="U758" s="1"/>
  <c r="V758" s="1"/>
  <c r="R830"/>
  <c r="S830" s="1"/>
  <c r="T830" s="1"/>
  <c r="U27" i="48"/>
  <c r="U28" s="1"/>
  <c r="U29" s="1"/>
  <c r="U30" s="1"/>
  <c r="U31" s="1"/>
  <c r="U32" s="1"/>
  <c r="U33" s="1"/>
  <c r="U34" s="1"/>
  <c r="U35" s="1"/>
  <c r="U36" s="1"/>
  <c r="U37" s="1"/>
  <c r="U38" s="1"/>
  <c r="U39" s="1"/>
  <c r="U40" s="1"/>
  <c r="U41" s="1"/>
  <c r="U42" s="1"/>
  <c r="U43" s="1"/>
  <c r="U44" s="1"/>
  <c r="U45" s="1"/>
  <c r="U46" s="1"/>
  <c r="U47" s="1"/>
  <c r="U48" s="1"/>
  <c r="U49" s="1"/>
  <c r="U50" s="1"/>
  <c r="U51" s="1"/>
  <c r="U52" s="1"/>
  <c r="U53" s="1"/>
  <c r="U54" s="1"/>
  <c r="U55" s="1"/>
  <c r="U56" s="1"/>
  <c r="U57" s="1"/>
  <c r="U58" s="1"/>
  <c r="U59" s="1"/>
  <c r="U60" s="1"/>
  <c r="U61" s="1"/>
  <c r="U62" s="1"/>
  <c r="U63" s="1"/>
  <c r="U64" s="1"/>
  <c r="U65" s="1"/>
  <c r="U66" s="1"/>
  <c r="U67" s="1"/>
  <c r="U68" s="1"/>
  <c r="U69" s="1"/>
  <c r="U70" s="1"/>
  <c r="U71" s="1"/>
  <c r="U72" s="1"/>
  <c r="U73" s="1"/>
  <c r="U74" s="1"/>
  <c r="U75" s="1"/>
  <c r="U76" s="1"/>
  <c r="U77" s="1"/>
  <c r="U78" s="1"/>
  <c r="U79" s="1"/>
  <c r="U80" s="1"/>
  <c r="U81" s="1"/>
  <c r="U82" s="1"/>
  <c r="U83" s="1"/>
  <c r="U84" s="1"/>
  <c r="U85" s="1"/>
  <c r="U86" s="1"/>
  <c r="U87" s="1"/>
  <c r="U88" s="1"/>
  <c r="U89" s="1"/>
  <c r="U90" s="1"/>
  <c r="U91" s="1"/>
  <c r="U92" s="1"/>
  <c r="U93" s="1"/>
  <c r="U94" s="1"/>
  <c r="U95" s="1"/>
  <c r="U96" s="1"/>
  <c r="U97" s="1"/>
  <c r="U98" s="1"/>
  <c r="U99" s="1"/>
  <c r="U100" s="1"/>
  <c r="U101" s="1"/>
  <c r="U102" s="1"/>
  <c r="U103" s="1"/>
  <c r="U104" s="1"/>
  <c r="U105" s="1"/>
  <c r="U106" s="1"/>
  <c r="U107" s="1"/>
  <c r="U108" s="1"/>
  <c r="U109" s="1"/>
  <c r="U110" s="1"/>
  <c r="U111" s="1"/>
  <c r="U112" s="1"/>
  <c r="P582" i="49"/>
  <c r="O678"/>
  <c r="O710"/>
  <c r="P838"/>
  <c r="P870"/>
  <c r="P614"/>
  <c r="P646"/>
  <c r="O582"/>
  <c r="O774"/>
  <c r="O870"/>
  <c r="O934"/>
  <c r="O966"/>
  <c r="O1030"/>
  <c r="P1030"/>
  <c r="O646"/>
  <c r="P678"/>
  <c r="O838"/>
  <c r="P902"/>
  <c r="P934"/>
  <c r="O614"/>
  <c r="P710"/>
  <c r="P742"/>
  <c r="R742" s="1"/>
  <c r="P774"/>
  <c r="O742"/>
  <c r="O806"/>
  <c r="O902"/>
  <c r="P806"/>
  <c r="P966"/>
  <c r="P998"/>
  <c r="O998"/>
  <c r="O1062"/>
  <c r="P1062"/>
  <c r="R637"/>
  <c r="S637" s="1"/>
  <c r="R918"/>
  <c r="S918" s="1"/>
  <c r="R1013"/>
  <c r="S1013" s="1"/>
  <c r="R853"/>
  <c r="S853" s="1"/>
  <c r="R789"/>
  <c r="S789" s="1"/>
  <c r="R597"/>
  <c r="S597" s="1"/>
  <c r="S1020"/>
  <c r="R1053"/>
  <c r="S1053" s="1"/>
  <c r="R981"/>
  <c r="S981" s="1"/>
  <c r="R925"/>
  <c r="S925" s="1"/>
  <c r="R862"/>
  <c r="S862" s="1"/>
  <c r="R606"/>
  <c r="S606" s="1"/>
  <c r="R894"/>
  <c r="S894" s="1"/>
  <c r="R629"/>
  <c r="S629" s="1"/>
  <c r="R861"/>
  <c r="S861" s="1"/>
  <c r="R573"/>
  <c r="S573" s="1"/>
  <c r="R605"/>
  <c r="S605" s="1"/>
  <c r="R1046"/>
  <c r="S1046" s="1"/>
  <c r="R885"/>
  <c r="S885" s="1"/>
  <c r="R989"/>
  <c r="S989" s="1"/>
  <c r="R821"/>
  <c r="S821" s="1"/>
  <c r="R574"/>
  <c r="S574" s="1"/>
  <c r="R565"/>
  <c r="S565" s="1"/>
  <c r="R766"/>
  <c r="S766" s="1"/>
  <c r="R926"/>
  <c r="S926" s="1"/>
  <c r="R893"/>
  <c r="S893" s="1"/>
  <c r="R949"/>
  <c r="S949" s="1"/>
  <c r="R886"/>
  <c r="S886" s="1"/>
  <c r="S764"/>
  <c r="S724"/>
  <c r="R958"/>
  <c r="S958" s="1"/>
  <c r="R734"/>
  <c r="S734" s="1"/>
  <c r="R1054"/>
  <c r="S1054" s="1"/>
  <c r="R957"/>
  <c r="S957" s="1"/>
  <c r="R1014"/>
  <c r="S1014" s="1"/>
  <c r="R829"/>
  <c r="S829" s="1"/>
  <c r="R630"/>
  <c r="S630" s="1"/>
  <c r="R1021"/>
  <c r="S1021" s="1"/>
  <c r="R854"/>
  <c r="S854" s="1"/>
  <c r="R790"/>
  <c r="S790" s="1"/>
  <c r="R725"/>
  <c r="S725" s="1"/>
  <c r="R598"/>
  <c r="S598" s="1"/>
  <c r="B163" i="29"/>
  <c r="B164"/>
  <c r="B160"/>
  <c r="B150"/>
  <c r="B149"/>
  <c r="B145"/>
  <c r="B153" s="1"/>
  <c r="B146"/>
  <c r="D193"/>
  <c r="D194" s="1"/>
  <c r="J2" i="49"/>
  <c r="D196" i="29"/>
  <c r="S484" i="49" l="1"/>
  <c r="R283"/>
  <c r="R461"/>
  <c r="S461" s="1"/>
  <c r="T461" s="1"/>
  <c r="R380"/>
  <c r="S380" s="1"/>
  <c r="R486"/>
  <c r="S486" s="1"/>
  <c r="U486" s="1"/>
  <c r="V486" s="1"/>
  <c r="S482"/>
  <c r="U482" s="1"/>
  <c r="V482" s="1"/>
  <c r="U856"/>
  <c r="V856" s="1"/>
  <c r="R292"/>
  <c r="S292" s="1"/>
  <c r="C232" i="29"/>
  <c r="C44" i="30" s="1"/>
  <c r="U791" i="49"/>
  <c r="V791" s="1"/>
  <c r="U591"/>
  <c r="V591" s="1"/>
  <c r="T1007"/>
  <c r="U979"/>
  <c r="V979" s="1"/>
  <c r="S610"/>
  <c r="U610" s="1"/>
  <c r="V610" s="1"/>
  <c r="R60"/>
  <c r="S60" s="1"/>
  <c r="T60" s="1"/>
  <c r="R202"/>
  <c r="S202" s="1"/>
  <c r="T202" s="1"/>
  <c r="T571"/>
  <c r="R806"/>
  <c r="S806" s="1"/>
  <c r="T806" s="1"/>
  <c r="T438"/>
  <c r="U728"/>
  <c r="V728" s="1"/>
  <c r="R41"/>
  <c r="S41" s="1"/>
  <c r="T41" s="1"/>
  <c r="R646"/>
  <c r="S646" s="1"/>
  <c r="U628"/>
  <c r="V628" s="1"/>
  <c r="R645"/>
  <c r="S645" s="1"/>
  <c r="T645" s="1"/>
  <c r="R358"/>
  <c r="S358" s="1"/>
  <c r="T358" s="1"/>
  <c r="B219" i="29"/>
  <c r="U952" i="49"/>
  <c r="V952" s="1"/>
  <c r="U470"/>
  <c r="V470" s="1"/>
  <c r="R934"/>
  <c r="S934" s="1"/>
  <c r="T934" s="1"/>
  <c r="R642"/>
  <c r="S642" s="1"/>
  <c r="T642" s="1"/>
  <c r="R422"/>
  <c r="S422" s="1"/>
  <c r="T422" s="1"/>
  <c r="T753"/>
  <c r="R998"/>
  <c r="S998" s="1"/>
  <c r="T998" s="1"/>
  <c r="T466"/>
  <c r="T656"/>
  <c r="T880"/>
  <c r="R902"/>
  <c r="S902" s="1"/>
  <c r="R804"/>
  <c r="S804" s="1"/>
  <c r="U804" s="1"/>
  <c r="V804" s="1"/>
  <c r="U595"/>
  <c r="V595" s="1"/>
  <c r="U912"/>
  <c r="V912" s="1"/>
  <c r="R609"/>
  <c r="S609" s="1"/>
  <c r="U609" s="1"/>
  <c r="V609" s="1"/>
  <c r="R992"/>
  <c r="S992" s="1"/>
  <c r="R607"/>
  <c r="S607" s="1"/>
  <c r="U607" s="1"/>
  <c r="V607" s="1"/>
  <c r="U313"/>
  <c r="V313" s="1"/>
  <c r="R838"/>
  <c r="S838" s="1"/>
  <c r="U838" s="1"/>
  <c r="V838" s="1"/>
  <c r="R1029"/>
  <c r="S1029" s="1"/>
  <c r="T655"/>
  <c r="U732"/>
  <c r="V732" s="1"/>
  <c r="S611"/>
  <c r="U611" s="1"/>
  <c r="V611" s="1"/>
  <c r="R106"/>
  <c r="S106" s="1"/>
  <c r="U106" s="1"/>
  <c r="V106" s="1"/>
  <c r="R869"/>
  <c r="S869" s="1"/>
  <c r="R641"/>
  <c r="S641" s="1"/>
  <c r="T641" s="1"/>
  <c r="R865"/>
  <c r="S865" s="1"/>
  <c r="T865" s="1"/>
  <c r="R608"/>
  <c r="S608" s="1"/>
  <c r="R836"/>
  <c r="S836" s="1"/>
  <c r="R772"/>
  <c r="S772" s="1"/>
  <c r="T772" s="1"/>
  <c r="U150"/>
  <c r="V150" s="1"/>
  <c r="T879"/>
  <c r="R900"/>
  <c r="S900" s="1"/>
  <c r="T900" s="1"/>
  <c r="U924"/>
  <c r="V924" s="1"/>
  <c r="R639"/>
  <c r="S639" s="1"/>
  <c r="R929"/>
  <c r="S929" s="1"/>
  <c r="T929" s="1"/>
  <c r="S959"/>
  <c r="U959" s="1"/>
  <c r="V959" s="1"/>
  <c r="R864"/>
  <c r="S864" s="1"/>
  <c r="U864" s="1"/>
  <c r="V864" s="1"/>
  <c r="U114"/>
  <c r="V114" s="1"/>
  <c r="R774"/>
  <c r="S774" s="1"/>
  <c r="T774" s="1"/>
  <c r="T951"/>
  <c r="R1062"/>
  <c r="S1062" s="1"/>
  <c r="U1062" s="1"/>
  <c r="V1062" s="1"/>
  <c r="S580"/>
  <c r="U580" s="1"/>
  <c r="V580" s="1"/>
  <c r="R1059"/>
  <c r="S1059" s="1"/>
  <c r="R740"/>
  <c r="S740" s="1"/>
  <c r="U740" s="1"/>
  <c r="V740" s="1"/>
  <c r="U916"/>
  <c r="V916" s="1"/>
  <c r="T852"/>
  <c r="R582"/>
  <c r="S582" s="1"/>
  <c r="U950"/>
  <c r="V950" s="1"/>
  <c r="U344"/>
  <c r="V344" s="1"/>
  <c r="R866"/>
  <c r="S866" s="1"/>
  <c r="U866" s="1"/>
  <c r="V866" s="1"/>
  <c r="R1061"/>
  <c r="S1061" s="1"/>
  <c r="R1056"/>
  <c r="S1056" s="1"/>
  <c r="R899"/>
  <c r="S899" s="1"/>
  <c r="U899" s="1"/>
  <c r="V899" s="1"/>
  <c r="R613"/>
  <c r="S613" s="1"/>
  <c r="R799"/>
  <c r="S799" s="1"/>
  <c r="T799" s="1"/>
  <c r="R837"/>
  <c r="S837" s="1"/>
  <c r="T837" s="1"/>
  <c r="R675"/>
  <c r="S675" s="1"/>
  <c r="S960"/>
  <c r="T960" s="1"/>
  <c r="R832"/>
  <c r="S832" s="1"/>
  <c r="R965"/>
  <c r="S965" s="1"/>
  <c r="R1058"/>
  <c r="S1058" s="1"/>
  <c r="T1058" s="1"/>
  <c r="R927"/>
  <c r="S927" s="1"/>
  <c r="U927" s="1"/>
  <c r="V927" s="1"/>
  <c r="T118"/>
  <c r="T468"/>
  <c r="R612"/>
  <c r="S612" s="1"/>
  <c r="R739"/>
  <c r="S739" s="1"/>
  <c r="T739" s="1"/>
  <c r="U921"/>
  <c r="V921" s="1"/>
  <c r="U891"/>
  <c r="V891" s="1"/>
  <c r="R834"/>
  <c r="S834" s="1"/>
  <c r="U834" s="1"/>
  <c r="V834" s="1"/>
  <c r="T52"/>
  <c r="R996"/>
  <c r="S996" s="1"/>
  <c r="R707"/>
  <c r="S707" s="1"/>
  <c r="S673"/>
  <c r="U673" s="1"/>
  <c r="V673" s="1"/>
  <c r="R703"/>
  <c r="S703" s="1"/>
  <c r="T703" s="1"/>
  <c r="R995"/>
  <c r="S995" s="1"/>
  <c r="T995" s="1"/>
  <c r="R577"/>
  <c r="S577" s="1"/>
  <c r="T577" s="1"/>
  <c r="R706"/>
  <c r="S706" s="1"/>
  <c r="T706" s="1"/>
  <c r="T825"/>
  <c r="R643"/>
  <c r="S643" s="1"/>
  <c r="U643" s="1"/>
  <c r="V643" s="1"/>
  <c r="R773"/>
  <c r="S773" s="1"/>
  <c r="T773" s="1"/>
  <c r="U212"/>
  <c r="V212" s="1"/>
  <c r="U434"/>
  <c r="V434" s="1"/>
  <c r="U1043"/>
  <c r="V1043" s="1"/>
  <c r="U947"/>
  <c r="V947" s="1"/>
  <c r="R991"/>
  <c r="S991" s="1"/>
  <c r="U991" s="1"/>
  <c r="V991" s="1"/>
  <c r="R710"/>
  <c r="S710" s="1"/>
  <c r="T710" s="1"/>
  <c r="R614"/>
  <c r="S614" s="1"/>
  <c r="T53"/>
  <c r="R1026"/>
  <c r="S1026" s="1"/>
  <c r="R741"/>
  <c r="S741" s="1"/>
  <c r="S963"/>
  <c r="U963" s="1"/>
  <c r="V963" s="1"/>
  <c r="R895"/>
  <c r="S895" s="1"/>
  <c r="R928"/>
  <c r="S928" s="1"/>
  <c r="U928" s="1"/>
  <c r="V928" s="1"/>
  <c r="S962"/>
  <c r="T962" s="1"/>
  <c r="R579"/>
  <c r="S579" s="1"/>
  <c r="R1055"/>
  <c r="S1055" s="1"/>
  <c r="R674"/>
  <c r="S674" s="1"/>
  <c r="U674" s="1"/>
  <c r="V674" s="1"/>
  <c r="R833"/>
  <c r="S833" s="1"/>
  <c r="T833" s="1"/>
  <c r="S581"/>
  <c r="U581" s="1"/>
  <c r="V581" s="1"/>
  <c r="R737"/>
  <c r="S737" s="1"/>
  <c r="R704"/>
  <c r="S704" s="1"/>
  <c r="U704" s="1"/>
  <c r="V704" s="1"/>
  <c r="T559"/>
  <c r="U913"/>
  <c r="V913" s="1"/>
  <c r="R868"/>
  <c r="S868" s="1"/>
  <c r="U868" s="1"/>
  <c r="V868" s="1"/>
  <c r="R961"/>
  <c r="S961" s="1"/>
  <c r="R831"/>
  <c r="S831" s="1"/>
  <c r="S770"/>
  <c r="T770" s="1"/>
  <c r="R801"/>
  <c r="S801" s="1"/>
  <c r="T801" s="1"/>
  <c r="R1023"/>
  <c r="S1023" s="1"/>
  <c r="T1023" s="1"/>
  <c r="R933"/>
  <c r="S933" s="1"/>
  <c r="U933" s="1"/>
  <c r="V933" s="1"/>
  <c r="T373"/>
  <c r="U373"/>
  <c r="V373" s="1"/>
  <c r="S578"/>
  <c r="U578" s="1"/>
  <c r="V578" s="1"/>
  <c r="U669"/>
  <c r="V669" s="1"/>
  <c r="R870"/>
  <c r="S870" s="1"/>
  <c r="T870" s="1"/>
  <c r="U469"/>
  <c r="V469" s="1"/>
  <c r="S997"/>
  <c r="U997" s="1"/>
  <c r="V997" s="1"/>
  <c r="S800"/>
  <c r="T800" s="1"/>
  <c r="R835"/>
  <c r="S835" s="1"/>
  <c r="U835" s="1"/>
  <c r="V835" s="1"/>
  <c r="R966"/>
  <c r="S966" s="1"/>
  <c r="T966" s="1"/>
  <c r="U631"/>
  <c r="V631" s="1"/>
  <c r="R671"/>
  <c r="S671" s="1"/>
  <c r="U671" s="1"/>
  <c r="V671" s="1"/>
  <c r="T404"/>
  <c r="U731"/>
  <c r="V731" s="1"/>
  <c r="R390"/>
  <c r="S390" s="1"/>
  <c r="T390" s="1"/>
  <c r="R1060"/>
  <c r="S1060" s="1"/>
  <c r="U1060" s="1"/>
  <c r="V1060" s="1"/>
  <c r="R932"/>
  <c r="S932" s="1"/>
  <c r="U932" s="1"/>
  <c r="V932" s="1"/>
  <c r="T890"/>
  <c r="U827"/>
  <c r="V827" s="1"/>
  <c r="T847"/>
  <c r="U594"/>
  <c r="V594" s="1"/>
  <c r="T698"/>
  <c r="R768"/>
  <c r="S768" s="1"/>
  <c r="T768" s="1"/>
  <c r="R738"/>
  <c r="S738" s="1"/>
  <c r="U738" s="1"/>
  <c r="V738" s="1"/>
  <c r="U690"/>
  <c r="V690" s="1"/>
  <c r="R1057"/>
  <c r="S1057" s="1"/>
  <c r="T1057" s="1"/>
  <c r="T702"/>
  <c r="U702"/>
  <c r="V702" s="1"/>
  <c r="R73"/>
  <c r="S73" s="1"/>
  <c r="T978"/>
  <c r="U977"/>
  <c r="V977" s="1"/>
  <c r="U402"/>
  <c r="V402" s="1"/>
  <c r="T944"/>
  <c r="R931"/>
  <c r="S931" s="1"/>
  <c r="R705"/>
  <c r="S705" s="1"/>
  <c r="U705" s="1"/>
  <c r="V705" s="1"/>
  <c r="R805"/>
  <c r="S805" s="1"/>
  <c r="T805" s="1"/>
  <c r="R898"/>
  <c r="S898" s="1"/>
  <c r="U898" s="1"/>
  <c r="V898" s="1"/>
  <c r="R930"/>
  <c r="S930" s="1"/>
  <c r="T930" s="1"/>
  <c r="R1027"/>
  <c r="S1027" s="1"/>
  <c r="U1027" s="1"/>
  <c r="V1027" s="1"/>
  <c r="R644"/>
  <c r="S644" s="1"/>
  <c r="T644" s="1"/>
  <c r="R867"/>
  <c r="S867" s="1"/>
  <c r="T867" s="1"/>
  <c r="R896"/>
  <c r="S896" s="1"/>
  <c r="U896" s="1"/>
  <c r="V896" s="1"/>
  <c r="R1028"/>
  <c r="S1028" s="1"/>
  <c r="T1028" s="1"/>
  <c r="R736"/>
  <c r="S736" s="1"/>
  <c r="U736" s="1"/>
  <c r="V736" s="1"/>
  <c r="R802"/>
  <c r="S802" s="1"/>
  <c r="U802" s="1"/>
  <c r="V802" s="1"/>
  <c r="R993"/>
  <c r="S993" s="1"/>
  <c r="U993" s="1"/>
  <c r="V993" s="1"/>
  <c r="R708"/>
  <c r="S708" s="1"/>
  <c r="T708" s="1"/>
  <c r="R863"/>
  <c r="S863" s="1"/>
  <c r="T863" s="1"/>
  <c r="R1025"/>
  <c r="S1025" s="1"/>
  <c r="U1025" s="1"/>
  <c r="V1025" s="1"/>
  <c r="U210"/>
  <c r="V210" s="1"/>
  <c r="T210"/>
  <c r="U632"/>
  <c r="V632" s="1"/>
  <c r="T632"/>
  <c r="U501"/>
  <c r="V501" s="1"/>
  <c r="T501"/>
  <c r="S964"/>
  <c r="T964" s="1"/>
  <c r="S901"/>
  <c r="T901" s="1"/>
  <c r="R1030"/>
  <c r="S1030" s="1"/>
  <c r="S640"/>
  <c r="U640" s="1"/>
  <c r="V640" s="1"/>
  <c r="U246"/>
  <c r="V246" s="1"/>
  <c r="U987"/>
  <c r="V987" s="1"/>
  <c r="R709"/>
  <c r="S709" s="1"/>
  <c r="T709" s="1"/>
  <c r="S803"/>
  <c r="T803" s="1"/>
  <c r="U441"/>
  <c r="V441" s="1"/>
  <c r="U405"/>
  <c r="V405" s="1"/>
  <c r="T625"/>
  <c r="T851"/>
  <c r="T919"/>
  <c r="R678"/>
  <c r="S678" s="1"/>
  <c r="U678" s="1"/>
  <c r="V678" s="1"/>
  <c r="R1024"/>
  <c r="S1024" s="1"/>
  <c r="U1024" s="1"/>
  <c r="V1024" s="1"/>
  <c r="R771"/>
  <c r="S771" s="1"/>
  <c r="R897"/>
  <c r="S897" s="1"/>
  <c r="U897" s="1"/>
  <c r="V897" s="1"/>
  <c r="R767"/>
  <c r="S767" s="1"/>
  <c r="U767" s="1"/>
  <c r="V767" s="1"/>
  <c r="R735"/>
  <c r="S735" s="1"/>
  <c r="U735" s="1"/>
  <c r="V735" s="1"/>
  <c r="R676"/>
  <c r="S676" s="1"/>
  <c r="R672"/>
  <c r="S672" s="1"/>
  <c r="T672" s="1"/>
  <c r="U761"/>
  <c r="V761" s="1"/>
  <c r="T761"/>
  <c r="R769"/>
  <c r="S769" s="1"/>
  <c r="T769" s="1"/>
  <c r="S677"/>
  <c r="T677" s="1"/>
  <c r="U147"/>
  <c r="V147" s="1"/>
  <c r="U500"/>
  <c r="V500" s="1"/>
  <c r="U20"/>
  <c r="V20" s="1"/>
  <c r="U18"/>
  <c r="V18" s="1"/>
  <c r="T280"/>
  <c r="U855"/>
  <c r="V855" s="1"/>
  <c r="R201"/>
  <c r="S201" s="1"/>
  <c r="S575"/>
  <c r="U575" s="1"/>
  <c r="V575" s="1"/>
  <c r="U341"/>
  <c r="V341" s="1"/>
  <c r="T341"/>
  <c r="U55"/>
  <c r="V55" s="1"/>
  <c r="T55"/>
  <c r="T699"/>
  <c r="T763"/>
  <c r="T627"/>
  <c r="T720"/>
  <c r="T730"/>
  <c r="U146"/>
  <c r="V146" s="1"/>
  <c r="U719"/>
  <c r="V719" s="1"/>
  <c r="U1051"/>
  <c r="V1051" s="1"/>
  <c r="U691"/>
  <c r="V691" s="1"/>
  <c r="T602"/>
  <c r="U602"/>
  <c r="V602" s="1"/>
  <c r="U858"/>
  <c r="V858" s="1"/>
  <c r="T858"/>
  <c r="T953"/>
  <c r="U953"/>
  <c r="V953" s="1"/>
  <c r="T794"/>
  <c r="U794"/>
  <c r="V794" s="1"/>
  <c r="U762"/>
  <c r="V762" s="1"/>
  <c r="T762"/>
  <c r="U664"/>
  <c r="V664" s="1"/>
  <c r="T664"/>
  <c r="T721"/>
  <c r="U721"/>
  <c r="V721" s="1"/>
  <c r="T793"/>
  <c r="U793"/>
  <c r="V793" s="1"/>
  <c r="T1042"/>
  <c r="U1042"/>
  <c r="V1042" s="1"/>
  <c r="U635"/>
  <c r="V635" s="1"/>
  <c r="T635"/>
  <c r="U1011"/>
  <c r="V1011" s="1"/>
  <c r="T1011"/>
  <c r="U689"/>
  <c r="V689" s="1"/>
  <c r="T689"/>
  <c r="T561"/>
  <c r="U561"/>
  <c r="V561" s="1"/>
  <c r="U914"/>
  <c r="V914" s="1"/>
  <c r="T914"/>
  <c r="T687"/>
  <c r="U687"/>
  <c r="V687" s="1"/>
  <c r="T593"/>
  <c r="U593"/>
  <c r="V593" s="1"/>
  <c r="T751"/>
  <c r="U751"/>
  <c r="V751" s="1"/>
  <c r="U850"/>
  <c r="V850" s="1"/>
  <c r="T850"/>
  <c r="T568"/>
  <c r="U568"/>
  <c r="V568" s="1"/>
  <c r="T911"/>
  <c r="U911"/>
  <c r="V911" s="1"/>
  <c r="T787"/>
  <c r="U787"/>
  <c r="V787" s="1"/>
  <c r="U695"/>
  <c r="V695" s="1"/>
  <c r="T695"/>
  <c r="T729"/>
  <c r="U729"/>
  <c r="V729" s="1"/>
  <c r="U955"/>
  <c r="V955" s="1"/>
  <c r="T955"/>
  <c r="T922"/>
  <c r="U922"/>
  <c r="V922" s="1"/>
  <c r="T599"/>
  <c r="U599"/>
  <c r="V599" s="1"/>
  <c r="U722"/>
  <c r="V722" s="1"/>
  <c r="T722"/>
  <c r="T824"/>
  <c r="U824"/>
  <c r="V824" s="1"/>
  <c r="T816"/>
  <c r="U816"/>
  <c r="V816" s="1"/>
  <c r="T600"/>
  <c r="U600"/>
  <c r="V600" s="1"/>
  <c r="T815"/>
  <c r="U815"/>
  <c r="V815" s="1"/>
  <c r="T633"/>
  <c r="U633"/>
  <c r="V633" s="1"/>
  <c r="U1016"/>
  <c r="V1016" s="1"/>
  <c r="T1016"/>
  <c r="T1048"/>
  <c r="U1048"/>
  <c r="V1048" s="1"/>
  <c r="T883"/>
  <c r="U883"/>
  <c r="V883" s="1"/>
  <c r="U823"/>
  <c r="V823" s="1"/>
  <c r="T823"/>
  <c r="T915"/>
  <c r="U915"/>
  <c r="V915" s="1"/>
  <c r="U754"/>
  <c r="V754" s="1"/>
  <c r="T754"/>
  <c r="T1040"/>
  <c r="U1040"/>
  <c r="V1040" s="1"/>
  <c r="T784"/>
  <c r="U784"/>
  <c r="V784" s="1"/>
  <c r="U570"/>
  <c r="V570" s="1"/>
  <c r="T570"/>
  <c r="U783"/>
  <c r="V783" s="1"/>
  <c r="T783"/>
  <c r="T819"/>
  <c r="U819"/>
  <c r="V819" s="1"/>
  <c r="U1047"/>
  <c r="V1047" s="1"/>
  <c r="T1047"/>
  <c r="T923"/>
  <c r="U923"/>
  <c r="V923" s="1"/>
  <c r="U603"/>
  <c r="V603" s="1"/>
  <c r="T603"/>
  <c r="U984"/>
  <c r="V984" s="1"/>
  <c r="T984"/>
  <c r="T563"/>
  <c r="U563"/>
  <c r="V563" s="1"/>
  <c r="U786"/>
  <c r="V786" s="1"/>
  <c r="T786"/>
  <c r="U1015"/>
  <c r="V1015" s="1"/>
  <c r="T1015"/>
  <c r="T859"/>
  <c r="U859"/>
  <c r="V859" s="1"/>
  <c r="U1010"/>
  <c r="V1010" s="1"/>
  <c r="T1010"/>
  <c r="T1049"/>
  <c r="U1049"/>
  <c r="V1049" s="1"/>
  <c r="T887"/>
  <c r="U887"/>
  <c r="V887" s="1"/>
  <c r="T601"/>
  <c r="U601"/>
  <c r="V601" s="1"/>
  <c r="T752"/>
  <c r="U752"/>
  <c r="V752" s="1"/>
  <c r="U983"/>
  <c r="V983" s="1"/>
  <c r="T983"/>
  <c r="U562"/>
  <c r="V562" s="1"/>
  <c r="T562"/>
  <c r="T848"/>
  <c r="U848"/>
  <c r="V848" s="1"/>
  <c r="T665"/>
  <c r="U665"/>
  <c r="V665" s="1"/>
  <c r="U1018"/>
  <c r="V1018" s="1"/>
  <c r="T1018"/>
  <c r="T943"/>
  <c r="U943"/>
  <c r="V943" s="1"/>
  <c r="U755"/>
  <c r="V755" s="1"/>
  <c r="T755"/>
  <c r="T889"/>
  <c r="U889"/>
  <c r="V889" s="1"/>
  <c r="U1019"/>
  <c r="V1019" s="1"/>
  <c r="T1019"/>
  <c r="T663"/>
  <c r="U663"/>
  <c r="V663" s="1"/>
  <c r="T945"/>
  <c r="U945"/>
  <c r="V945" s="1"/>
  <c r="T688"/>
  <c r="U688"/>
  <c r="V688" s="1"/>
  <c r="T623"/>
  <c r="U623"/>
  <c r="V623" s="1"/>
  <c r="T697"/>
  <c r="U697"/>
  <c r="V697" s="1"/>
  <c r="T659"/>
  <c r="U659"/>
  <c r="V659" s="1"/>
  <c r="T946"/>
  <c r="U946"/>
  <c r="V946" s="1"/>
  <c r="T795"/>
  <c r="U795"/>
  <c r="V795" s="1"/>
  <c r="T1017"/>
  <c r="U1017"/>
  <c r="V1017" s="1"/>
  <c r="U818"/>
  <c r="V818" s="1"/>
  <c r="T818"/>
  <c r="T976"/>
  <c r="U976"/>
  <c r="V976" s="1"/>
  <c r="U560"/>
  <c r="V560" s="1"/>
  <c r="T560"/>
  <c r="U849"/>
  <c r="V849" s="1"/>
  <c r="T849"/>
  <c r="U975"/>
  <c r="V975" s="1"/>
  <c r="T975"/>
  <c r="T567"/>
  <c r="U567"/>
  <c r="V567" s="1"/>
  <c r="T920"/>
  <c r="U920"/>
  <c r="V920" s="1"/>
  <c r="T666"/>
  <c r="U666"/>
  <c r="V666" s="1"/>
  <c r="T1039"/>
  <c r="U1039"/>
  <c r="V1039" s="1"/>
  <c r="T626"/>
  <c r="U626"/>
  <c r="V626" s="1"/>
  <c r="T1041"/>
  <c r="U1041"/>
  <c r="V1041" s="1"/>
  <c r="T785"/>
  <c r="U785"/>
  <c r="V785" s="1"/>
  <c r="U1050"/>
  <c r="V1050" s="1"/>
  <c r="T1050"/>
  <c r="T817"/>
  <c r="U817"/>
  <c r="V817" s="1"/>
  <c r="T1009"/>
  <c r="U1009"/>
  <c r="V1009" s="1"/>
  <c r="U954"/>
  <c r="V954" s="1"/>
  <c r="T954"/>
  <c r="U723"/>
  <c r="V723" s="1"/>
  <c r="T723"/>
  <c r="T624"/>
  <c r="U624"/>
  <c r="V624" s="1"/>
  <c r="T888"/>
  <c r="U888"/>
  <c r="V888" s="1"/>
  <c r="T826"/>
  <c r="U826"/>
  <c r="V826" s="1"/>
  <c r="U986"/>
  <c r="V986" s="1"/>
  <c r="T986"/>
  <c r="T1008"/>
  <c r="U1008"/>
  <c r="V1008" s="1"/>
  <c r="U882"/>
  <c r="V882" s="1"/>
  <c r="T882"/>
  <c r="T792"/>
  <c r="U792"/>
  <c r="V792" s="1"/>
  <c r="U658"/>
  <c r="V658" s="1"/>
  <c r="T658"/>
  <c r="T634"/>
  <c r="U634"/>
  <c r="V634" s="1"/>
  <c r="T727"/>
  <c r="U727"/>
  <c r="V727" s="1"/>
  <c r="T657"/>
  <c r="U657"/>
  <c r="V657" s="1"/>
  <c r="T696"/>
  <c r="U696"/>
  <c r="V696" s="1"/>
  <c r="T881"/>
  <c r="U881"/>
  <c r="V881" s="1"/>
  <c r="U667"/>
  <c r="V667" s="1"/>
  <c r="T667"/>
  <c r="T857"/>
  <c r="U857"/>
  <c r="V857" s="1"/>
  <c r="T569"/>
  <c r="U569"/>
  <c r="V569" s="1"/>
  <c r="U694"/>
  <c r="V694" s="1"/>
  <c r="U498"/>
  <c r="V498" s="1"/>
  <c r="T121"/>
  <c r="T245"/>
  <c r="T338"/>
  <c r="T86"/>
  <c r="U86"/>
  <c r="V86" s="1"/>
  <c r="U472"/>
  <c r="V472" s="1"/>
  <c r="T307"/>
  <c r="U307"/>
  <c r="V307" s="1"/>
  <c r="U248"/>
  <c r="V248" s="1"/>
  <c r="U376"/>
  <c r="V376" s="1"/>
  <c r="U276"/>
  <c r="V276" s="1"/>
  <c r="U151"/>
  <c r="V151" s="1"/>
  <c r="U85"/>
  <c r="V85" s="1"/>
  <c r="U693"/>
  <c r="V693" s="1"/>
  <c r="T693"/>
  <c r="R521"/>
  <c r="S521" s="1"/>
  <c r="R393"/>
  <c r="S393" s="1"/>
  <c r="R159"/>
  <c r="S159" s="1"/>
  <c r="U213"/>
  <c r="V213" s="1"/>
  <c r="R196"/>
  <c r="S196" s="1"/>
  <c r="U196" s="1"/>
  <c r="V196" s="1"/>
  <c r="T180"/>
  <c r="R297"/>
  <c r="S297" s="1"/>
  <c r="U297" s="1"/>
  <c r="V297" s="1"/>
  <c r="U638"/>
  <c r="V638" s="1"/>
  <c r="T638"/>
  <c r="T822"/>
  <c r="U566"/>
  <c r="V566" s="1"/>
  <c r="T214"/>
  <c r="R168"/>
  <c r="S168" s="1"/>
  <c r="S230"/>
  <c r="T230" s="1"/>
  <c r="T84"/>
  <c r="R513"/>
  <c r="S513" s="1"/>
  <c r="R385"/>
  <c r="S385" s="1"/>
  <c r="S71"/>
  <c r="U71" s="1"/>
  <c r="V71" s="1"/>
  <c r="R522"/>
  <c r="S522" s="1"/>
  <c r="U522" s="1"/>
  <c r="V522" s="1"/>
  <c r="R394"/>
  <c r="S394" s="1"/>
  <c r="T394" s="1"/>
  <c r="R96"/>
  <c r="S96" s="1"/>
  <c r="T96" s="1"/>
  <c r="R524"/>
  <c r="S524" s="1"/>
  <c r="R396"/>
  <c r="S396" s="1"/>
  <c r="R63"/>
  <c r="S63" s="1"/>
  <c r="R516"/>
  <c r="S516" s="1"/>
  <c r="T516" s="1"/>
  <c r="R476"/>
  <c r="S476" s="1"/>
  <c r="T476" s="1"/>
  <c r="R360"/>
  <c r="S360" s="1"/>
  <c r="U360" s="1"/>
  <c r="V360" s="1"/>
  <c r="S66"/>
  <c r="T66" s="1"/>
  <c r="S325"/>
  <c r="U325" s="1"/>
  <c r="V325" s="1"/>
  <c r="R28"/>
  <c r="S28" s="1"/>
  <c r="R525"/>
  <c r="S525" s="1"/>
  <c r="U525" s="1"/>
  <c r="V525" s="1"/>
  <c r="R397"/>
  <c r="S397" s="1"/>
  <c r="T397" s="1"/>
  <c r="S333"/>
  <c r="T333" s="1"/>
  <c r="R44"/>
  <c r="S44" s="1"/>
  <c r="U44" s="1"/>
  <c r="V44" s="1"/>
  <c r="R225"/>
  <c r="S225" s="1"/>
  <c r="R255"/>
  <c r="S255" s="1"/>
  <c r="R69"/>
  <c r="S69" s="1"/>
  <c r="S322"/>
  <c r="T322" s="1"/>
  <c r="R259"/>
  <c r="S259" s="1"/>
  <c r="U259" s="1"/>
  <c r="V259" s="1"/>
  <c r="R29"/>
  <c r="S29" s="1"/>
  <c r="S98"/>
  <c r="T98" s="1"/>
  <c r="R40"/>
  <c r="S40" s="1"/>
  <c r="U40" s="1"/>
  <c r="V40" s="1"/>
  <c r="R136"/>
  <c r="S136" s="1"/>
  <c r="T136" s="1"/>
  <c r="R237"/>
  <c r="S237" s="1"/>
  <c r="T237" s="1"/>
  <c r="S161"/>
  <c r="U161" s="1"/>
  <c r="V161" s="1"/>
  <c r="S256"/>
  <c r="T256" s="1"/>
  <c r="S454"/>
  <c r="U454" s="1"/>
  <c r="V454" s="1"/>
  <c r="S509"/>
  <c r="T509" s="1"/>
  <c r="R295"/>
  <c r="S295" s="1"/>
  <c r="T295" s="1"/>
  <c r="R100"/>
  <c r="S100" s="1"/>
  <c r="U100" s="1"/>
  <c r="V100" s="1"/>
  <c r="S418"/>
  <c r="U418" s="1"/>
  <c r="V418" s="1"/>
  <c r="S478"/>
  <c r="U478" s="1"/>
  <c r="V478" s="1"/>
  <c r="R91"/>
  <c r="S91" s="1"/>
  <c r="R261"/>
  <c r="S261" s="1"/>
  <c r="R127"/>
  <c r="S127" s="1"/>
  <c r="U127" s="1"/>
  <c r="V127" s="1"/>
  <c r="R200"/>
  <c r="S200" s="1"/>
  <c r="R457"/>
  <c r="S457" s="1"/>
  <c r="R329"/>
  <c r="S329" s="1"/>
  <c r="R233"/>
  <c r="S233" s="1"/>
  <c r="S326"/>
  <c r="T326" s="1"/>
  <c r="R294"/>
  <c r="S294" s="1"/>
  <c r="T294" s="1"/>
  <c r="S164"/>
  <c r="T164" s="1"/>
  <c r="R59"/>
  <c r="S59" s="1"/>
  <c r="S350"/>
  <c r="T350" s="1"/>
  <c r="R254"/>
  <c r="S254" s="1"/>
  <c r="U254" s="1"/>
  <c r="V254" s="1"/>
  <c r="R293"/>
  <c r="S293" s="1"/>
  <c r="S186"/>
  <c r="T186" s="1"/>
  <c r="S356"/>
  <c r="U356" s="1"/>
  <c r="V356" s="1"/>
  <c r="S130"/>
  <c r="T130" s="1"/>
  <c r="R251"/>
  <c r="S251" s="1"/>
  <c r="R195"/>
  <c r="S195" s="1"/>
  <c r="S286"/>
  <c r="U286" s="1"/>
  <c r="V286" s="1"/>
  <c r="R123"/>
  <c r="S123" s="1"/>
  <c r="S229"/>
  <c r="T229" s="1"/>
  <c r="R315"/>
  <c r="S315" s="1"/>
  <c r="R234"/>
  <c r="S234" s="1"/>
  <c r="R172"/>
  <c r="S172" s="1"/>
  <c r="U1022"/>
  <c r="V1022" s="1"/>
  <c r="R223"/>
  <c r="S223" s="1"/>
  <c r="T223" s="1"/>
  <c r="R458"/>
  <c r="S458" s="1"/>
  <c r="U458" s="1"/>
  <c r="V458" s="1"/>
  <c r="R330"/>
  <c r="S330" s="1"/>
  <c r="T330" s="1"/>
  <c r="R460"/>
  <c r="S460" s="1"/>
  <c r="R332"/>
  <c r="S332" s="1"/>
  <c r="R287"/>
  <c r="S287" s="1"/>
  <c r="T287" s="1"/>
  <c r="R488"/>
  <c r="S488" s="1"/>
  <c r="S448"/>
  <c r="T448" s="1"/>
  <c r="R388"/>
  <c r="S388" s="1"/>
  <c r="T388" s="1"/>
  <c r="R348"/>
  <c r="S348" s="1"/>
  <c r="T348" s="1"/>
  <c r="R158"/>
  <c r="S158" s="1"/>
  <c r="T158" s="1"/>
  <c r="R134"/>
  <c r="S134" s="1"/>
  <c r="S493"/>
  <c r="U493" s="1"/>
  <c r="V493" s="1"/>
  <c r="S365"/>
  <c r="U365" s="1"/>
  <c r="V365" s="1"/>
  <c r="R104"/>
  <c r="S104" s="1"/>
  <c r="U104" s="1"/>
  <c r="V104" s="1"/>
  <c r="R449"/>
  <c r="S449" s="1"/>
  <c r="R321"/>
  <c r="S321" s="1"/>
  <c r="S129"/>
  <c r="T129" s="1"/>
  <c r="R443"/>
  <c r="S443" s="1"/>
  <c r="S320"/>
  <c r="U320" s="1"/>
  <c r="V320" s="1"/>
  <c r="S282"/>
  <c r="U282" s="1"/>
  <c r="V282" s="1"/>
  <c r="T733"/>
  <c r="T982"/>
  <c r="U670"/>
  <c r="V670" s="1"/>
  <c r="R298"/>
  <c r="S298" s="1"/>
  <c r="T298" s="1"/>
  <c r="S103"/>
  <c r="T103" s="1"/>
  <c r="R429"/>
  <c r="S429" s="1"/>
  <c r="T429" s="1"/>
  <c r="R301"/>
  <c r="S301" s="1"/>
  <c r="T301" s="1"/>
  <c r="R170"/>
  <c r="S170" s="1"/>
  <c r="R224"/>
  <c r="S224" s="1"/>
  <c r="T224" s="1"/>
  <c r="U917"/>
  <c r="V917" s="1"/>
  <c r="U798"/>
  <c r="V798" s="1"/>
  <c r="R425"/>
  <c r="S425" s="1"/>
  <c r="R289"/>
  <c r="S289" s="1"/>
  <c r="R65"/>
  <c r="S65" s="1"/>
  <c r="T65" s="1"/>
  <c r="R411"/>
  <c r="S411" s="1"/>
  <c r="R389"/>
  <c r="S389" s="1"/>
  <c r="S291"/>
  <c r="T291" s="1"/>
  <c r="R95"/>
  <c r="S95" s="1"/>
  <c r="T95" s="1"/>
  <c r="R492"/>
  <c r="S492" s="1"/>
  <c r="T492" s="1"/>
  <c r="R364"/>
  <c r="S364" s="1"/>
  <c r="T364" s="1"/>
  <c r="R257"/>
  <c r="S257" s="1"/>
  <c r="T257" s="1"/>
  <c r="R199"/>
  <c r="S199" s="1"/>
  <c r="R475"/>
  <c r="S475" s="1"/>
  <c r="R262"/>
  <c r="S262" s="1"/>
  <c r="T262" s="1"/>
  <c r="S514"/>
  <c r="T514" s="1"/>
  <c r="R456"/>
  <c r="S456" s="1"/>
  <c r="U456" s="1"/>
  <c r="V456" s="1"/>
  <c r="R316"/>
  <c r="S316" s="1"/>
  <c r="R517"/>
  <c r="S517" s="1"/>
  <c r="R459"/>
  <c r="S459" s="1"/>
  <c r="U459" s="1"/>
  <c r="V459" s="1"/>
  <c r="R331"/>
  <c r="S331" s="1"/>
  <c r="U331" s="1"/>
  <c r="V331" s="1"/>
  <c r="R203"/>
  <c r="S203" s="1"/>
  <c r="U203" s="1"/>
  <c r="V203" s="1"/>
  <c r="S128"/>
  <c r="T128" s="1"/>
  <c r="R266"/>
  <c r="S266" s="1"/>
  <c r="R138"/>
  <c r="S138" s="1"/>
  <c r="R231"/>
  <c r="S231" s="1"/>
  <c r="T231" s="1"/>
  <c r="R381"/>
  <c r="S381" s="1"/>
  <c r="U381" s="1"/>
  <c r="V381" s="1"/>
  <c r="R197"/>
  <c r="S197" s="1"/>
  <c r="T197" s="1"/>
  <c r="S260"/>
  <c r="U260" s="1"/>
  <c r="V260" s="1"/>
  <c r="R125"/>
  <c r="S125" s="1"/>
  <c r="U125" s="1"/>
  <c r="V125" s="1"/>
  <c r="S354"/>
  <c r="T354" s="1"/>
  <c r="R391"/>
  <c r="S391" s="1"/>
  <c r="S154"/>
  <c r="T154" s="1"/>
  <c r="S414"/>
  <c r="U414" s="1"/>
  <c r="V414" s="1"/>
  <c r="R232"/>
  <c r="S232" s="1"/>
  <c r="R45"/>
  <c r="S45" s="1"/>
  <c r="T45" s="1"/>
  <c r="T820"/>
  <c r="T183"/>
  <c r="R523"/>
  <c r="S523" s="1"/>
  <c r="U523" s="1"/>
  <c r="V523" s="1"/>
  <c r="R395"/>
  <c r="S395" s="1"/>
  <c r="T395" s="1"/>
  <c r="R481"/>
  <c r="S481" s="1"/>
  <c r="T481" s="1"/>
  <c r="S417"/>
  <c r="T417" s="1"/>
  <c r="R353"/>
  <c r="S353" s="1"/>
  <c r="T353" s="1"/>
  <c r="R267"/>
  <c r="S267" s="1"/>
  <c r="T267" s="1"/>
  <c r="R135"/>
  <c r="S135" s="1"/>
  <c r="T135" s="1"/>
  <c r="R75"/>
  <c r="S75" s="1"/>
  <c r="R74"/>
  <c r="S74" s="1"/>
  <c r="R379"/>
  <c r="S379" s="1"/>
  <c r="S227"/>
  <c r="T227" s="1"/>
  <c r="R37"/>
  <c r="S37" s="1"/>
  <c r="R93"/>
  <c r="S93" s="1"/>
  <c r="T93" s="1"/>
  <c r="R487"/>
  <c r="S487" s="1"/>
  <c r="R423"/>
  <c r="S423" s="1"/>
  <c r="T423" s="1"/>
  <c r="R453"/>
  <c r="S453" s="1"/>
  <c r="T453" s="1"/>
  <c r="R27"/>
  <c r="S27" s="1"/>
  <c r="R36"/>
  <c r="S36" s="1"/>
  <c r="T36" s="1"/>
  <c r="R387"/>
  <c r="S387" s="1"/>
  <c r="R447"/>
  <c r="S447" s="1"/>
  <c r="S162"/>
  <c r="T162" s="1"/>
  <c r="U956"/>
  <c r="V956" s="1"/>
  <c r="R139"/>
  <c r="S139" s="1"/>
  <c r="T139" s="1"/>
  <c r="R489"/>
  <c r="S489" s="1"/>
  <c r="R361"/>
  <c r="S361" s="1"/>
  <c r="R265"/>
  <c r="S265" s="1"/>
  <c r="R39"/>
  <c r="S39" s="1"/>
  <c r="R347"/>
  <c r="S347" s="1"/>
  <c r="R317"/>
  <c r="S317" s="1"/>
  <c r="U317" s="1"/>
  <c r="V317" s="1"/>
  <c r="S386"/>
  <c r="T386" s="1"/>
  <c r="R167"/>
  <c r="S167" s="1"/>
  <c r="U167" s="1"/>
  <c r="V167" s="1"/>
  <c r="S222"/>
  <c r="T222" s="1"/>
  <c r="T604"/>
  <c r="T1012"/>
  <c r="R105"/>
  <c r="S105" s="1"/>
  <c r="S72"/>
  <c r="U72" s="1"/>
  <c r="V72" s="1"/>
  <c r="R428"/>
  <c r="S428" s="1"/>
  <c r="T428" s="1"/>
  <c r="R300"/>
  <c r="S300" s="1"/>
  <c r="T300" s="1"/>
  <c r="R193"/>
  <c r="S193" s="1"/>
  <c r="R97"/>
  <c r="S97" s="1"/>
  <c r="R445"/>
  <c r="S445" s="1"/>
  <c r="U445" s="1"/>
  <c r="V445" s="1"/>
  <c r="R133"/>
  <c r="S133" s="1"/>
  <c r="R444"/>
  <c r="S444" s="1"/>
  <c r="T444" s="1"/>
  <c r="R328"/>
  <c r="S328" s="1"/>
  <c r="U328" s="1"/>
  <c r="V328" s="1"/>
  <c r="R288"/>
  <c r="S288" s="1"/>
  <c r="R35"/>
  <c r="S35" s="1"/>
  <c r="R101"/>
  <c r="S101" s="1"/>
  <c r="T756"/>
  <c r="U437"/>
  <c r="V437" s="1"/>
  <c r="T437"/>
  <c r="U215"/>
  <c r="V215" s="1"/>
  <c r="T215"/>
  <c r="U308"/>
  <c r="V308" s="1"/>
  <c r="T308"/>
  <c r="U182"/>
  <c r="V182" s="1"/>
  <c r="T182"/>
  <c r="U471"/>
  <c r="V471" s="1"/>
  <c r="T471"/>
  <c r="U115"/>
  <c r="V115" s="1"/>
  <c r="T115"/>
  <c r="U54"/>
  <c r="V54" s="1"/>
  <c r="T54"/>
  <c r="U152"/>
  <c r="V152" s="1"/>
  <c r="T152"/>
  <c r="U371"/>
  <c r="V371" s="1"/>
  <c r="T371"/>
  <c r="U149"/>
  <c r="V149" s="1"/>
  <c r="T149"/>
  <c r="U275"/>
  <c r="V275" s="1"/>
  <c r="T275"/>
  <c r="U377"/>
  <c r="V377" s="1"/>
  <c r="T377"/>
  <c r="U439"/>
  <c r="V439" s="1"/>
  <c r="T439"/>
  <c r="R30" i="48"/>
  <c r="R31" s="1"/>
  <c r="R32" s="1"/>
  <c r="R33" s="1"/>
  <c r="R34" s="1"/>
  <c r="R35" s="1"/>
  <c r="R36" s="1"/>
  <c r="R37" s="1"/>
  <c r="R38" s="1"/>
  <c r="R39" s="1"/>
  <c r="R40" s="1"/>
  <c r="R41" s="1"/>
  <c r="R42" s="1"/>
  <c r="R43" s="1"/>
  <c r="R44" s="1"/>
  <c r="R45" s="1"/>
  <c r="R46" s="1"/>
  <c r="R47" s="1"/>
  <c r="R48" s="1"/>
  <c r="R49" s="1"/>
  <c r="R50" s="1"/>
  <c r="R51" s="1"/>
  <c r="R52" s="1"/>
  <c r="R53" s="1"/>
  <c r="R54" s="1"/>
  <c r="R55" s="1"/>
  <c r="R56" s="1"/>
  <c r="R57" s="1"/>
  <c r="R58" s="1"/>
  <c r="R59" s="1"/>
  <c r="R60" s="1"/>
  <c r="R61" s="1"/>
  <c r="R62" s="1"/>
  <c r="R63" s="1"/>
  <c r="R64" s="1"/>
  <c r="R65" s="1"/>
  <c r="R66" s="1"/>
  <c r="R67" s="1"/>
  <c r="R68" s="1"/>
  <c r="R69" s="1"/>
  <c r="R70" s="1"/>
  <c r="R71" s="1"/>
  <c r="R72" s="1"/>
  <c r="R73" s="1"/>
  <c r="R74" s="1"/>
  <c r="R75" s="1"/>
  <c r="R76" s="1"/>
  <c r="R77" s="1"/>
  <c r="R78" s="1"/>
  <c r="R79" s="1"/>
  <c r="R80" s="1"/>
  <c r="R81" s="1"/>
  <c r="R82" s="1"/>
  <c r="R83" s="1"/>
  <c r="R84" s="1"/>
  <c r="R85" s="1"/>
  <c r="R86" s="1"/>
  <c r="R87" s="1"/>
  <c r="R88" s="1"/>
  <c r="R89" s="1"/>
  <c r="R90" s="1"/>
  <c r="R91" s="1"/>
  <c r="R92" s="1"/>
  <c r="R93" s="1"/>
  <c r="R94" s="1"/>
  <c r="R95" s="1"/>
  <c r="R96" s="1"/>
  <c r="R97" s="1"/>
  <c r="R98" s="1"/>
  <c r="R99" s="1"/>
  <c r="R100" s="1"/>
  <c r="R101" s="1"/>
  <c r="R102" s="1"/>
  <c r="R103" s="1"/>
  <c r="R104" s="1"/>
  <c r="R105" s="1"/>
  <c r="R106" s="1"/>
  <c r="R107" s="1"/>
  <c r="R108" s="1"/>
  <c r="R109" s="1"/>
  <c r="R110" s="1"/>
  <c r="R111" s="1"/>
  <c r="R112" s="1"/>
  <c r="O46" i="49"/>
  <c r="O110"/>
  <c r="O142"/>
  <c r="O206"/>
  <c r="O238"/>
  <c r="O270"/>
  <c r="O80"/>
  <c r="P143"/>
  <c r="P207"/>
  <c r="P46"/>
  <c r="R46" s="1"/>
  <c r="Q81"/>
  <c r="P110"/>
  <c r="R110" s="1"/>
  <c r="Q145"/>
  <c r="P174"/>
  <c r="R174" s="1"/>
  <c r="Q209"/>
  <c r="P238"/>
  <c r="R238" s="1"/>
  <c r="Q272"/>
  <c r="P305"/>
  <c r="P337"/>
  <c r="P369"/>
  <c r="P401"/>
  <c r="P433"/>
  <c r="P465"/>
  <c r="P497"/>
  <c r="P529"/>
  <c r="O272"/>
  <c r="P335"/>
  <c r="P399"/>
  <c r="P463"/>
  <c r="P527"/>
  <c r="O303"/>
  <c r="O367"/>
  <c r="O431"/>
  <c r="O495"/>
  <c r="P81"/>
  <c r="R81" s="1"/>
  <c r="P177"/>
  <c r="O49"/>
  <c r="O81"/>
  <c r="O113"/>
  <c r="O145"/>
  <c r="O177"/>
  <c r="O209"/>
  <c r="O241"/>
  <c r="O48"/>
  <c r="P79"/>
  <c r="O112"/>
  <c r="O240"/>
  <c r="O79"/>
  <c r="O143"/>
  <c r="O207"/>
  <c r="Q271"/>
  <c r="Q304"/>
  <c r="Q336"/>
  <c r="Q368"/>
  <c r="Q400"/>
  <c r="Q432"/>
  <c r="Q464"/>
  <c r="Q496"/>
  <c r="Q528"/>
  <c r="O273"/>
  <c r="O305"/>
  <c r="O337"/>
  <c r="O369"/>
  <c r="O401"/>
  <c r="O433"/>
  <c r="O465"/>
  <c r="O497"/>
  <c r="O529"/>
  <c r="O304"/>
  <c r="O368"/>
  <c r="O432"/>
  <c r="O496"/>
  <c r="Q273"/>
  <c r="P302"/>
  <c r="R302" s="1"/>
  <c r="Q337"/>
  <c r="P366"/>
  <c r="R366" s="1"/>
  <c r="Q401"/>
  <c r="P430"/>
  <c r="R430" s="1"/>
  <c r="Q465"/>
  <c r="P494"/>
  <c r="R494" s="1"/>
  <c r="Q529"/>
  <c r="P49"/>
  <c r="Q80"/>
  <c r="P113"/>
  <c r="P145"/>
  <c r="R145" s="1"/>
  <c r="Q176"/>
  <c r="P209"/>
  <c r="R209" s="1"/>
  <c r="P241"/>
  <c r="P48"/>
  <c r="P80"/>
  <c r="P112"/>
  <c r="P144"/>
  <c r="P176"/>
  <c r="P208"/>
  <c r="P240"/>
  <c r="P47"/>
  <c r="P111"/>
  <c r="O176"/>
  <c r="P239"/>
  <c r="Q49"/>
  <c r="P78"/>
  <c r="R78" s="1"/>
  <c r="Q113"/>
  <c r="P142"/>
  <c r="R142" s="1"/>
  <c r="S142" s="1"/>
  <c r="Q177"/>
  <c r="P206"/>
  <c r="R206" s="1"/>
  <c r="Q241"/>
  <c r="P270"/>
  <c r="R270" s="1"/>
  <c r="O302"/>
  <c r="O334"/>
  <c r="O366"/>
  <c r="O398"/>
  <c r="O430"/>
  <c r="O462"/>
  <c r="O494"/>
  <c r="O526"/>
  <c r="P272"/>
  <c r="P304"/>
  <c r="P336"/>
  <c r="P368"/>
  <c r="P400"/>
  <c r="P432"/>
  <c r="P464"/>
  <c r="P496"/>
  <c r="P528"/>
  <c r="P303"/>
  <c r="P367"/>
  <c r="P431"/>
  <c r="P495"/>
  <c r="O271"/>
  <c r="O335"/>
  <c r="O399"/>
  <c r="O463"/>
  <c r="O527"/>
  <c r="Q48"/>
  <c r="O78"/>
  <c r="Q112"/>
  <c r="Q144"/>
  <c r="O174"/>
  <c r="Q208"/>
  <c r="Q240"/>
  <c r="Q47"/>
  <c r="Q79"/>
  <c r="Q111"/>
  <c r="Q143"/>
  <c r="Q175"/>
  <c r="Q207"/>
  <c r="Q239"/>
  <c r="O144"/>
  <c r="P175"/>
  <c r="O208"/>
  <c r="O47"/>
  <c r="O111"/>
  <c r="O175"/>
  <c r="O239"/>
  <c r="P273"/>
  <c r="P271"/>
  <c r="Q303"/>
  <c r="Q335"/>
  <c r="Q367"/>
  <c r="Q399"/>
  <c r="Q431"/>
  <c r="Q463"/>
  <c r="Q495"/>
  <c r="Q527"/>
  <c r="O336"/>
  <c r="O400"/>
  <c r="O464"/>
  <c r="O528"/>
  <c r="Q305"/>
  <c r="P334"/>
  <c r="R334" s="1"/>
  <c r="Q369"/>
  <c r="P398"/>
  <c r="R398" s="1"/>
  <c r="Q433"/>
  <c r="P462"/>
  <c r="R462" s="1"/>
  <c r="Q497"/>
  <c r="P526"/>
  <c r="R526" s="1"/>
  <c r="R107"/>
  <c r="S107" s="1"/>
  <c r="R204"/>
  <c r="S204" s="1"/>
  <c r="S76"/>
  <c r="R64"/>
  <c r="S64" s="1"/>
  <c r="R490"/>
  <c r="S490" s="1"/>
  <c r="R362"/>
  <c r="S362" s="1"/>
  <c r="R137"/>
  <c r="S137" s="1"/>
  <c r="R33"/>
  <c r="S33" s="1"/>
  <c r="R160"/>
  <c r="S160" s="1"/>
  <c r="S507"/>
  <c r="S102"/>
  <c r="S290"/>
  <c r="S359"/>
  <c r="S258"/>
  <c r="S296"/>
  <c r="S515"/>
  <c r="R349"/>
  <c r="S349" s="1"/>
  <c r="S68"/>
  <c r="R67"/>
  <c r="S67" s="1"/>
  <c r="S442"/>
  <c r="S314"/>
  <c r="R511"/>
  <c r="S511" s="1"/>
  <c r="R383"/>
  <c r="S383" s="1"/>
  <c r="S319"/>
  <c r="R357"/>
  <c r="S357" s="1"/>
  <c r="S218"/>
  <c r="S122"/>
  <c r="R187"/>
  <c r="S187" s="1"/>
  <c r="R252"/>
  <c r="S252" s="1"/>
  <c r="S132"/>
  <c r="U56"/>
  <c r="V56" s="1"/>
  <c r="T56"/>
  <c r="U281"/>
  <c r="V281" s="1"/>
  <c r="T281"/>
  <c r="U309"/>
  <c r="V309" s="1"/>
  <c r="T309"/>
  <c r="U116"/>
  <c r="V116" s="1"/>
  <c r="T116"/>
  <c r="U88"/>
  <c r="V88" s="1"/>
  <c r="T88"/>
  <c r="U179"/>
  <c r="V179" s="1"/>
  <c r="T179"/>
  <c r="U499"/>
  <c r="V499" s="1"/>
  <c r="T499"/>
  <c r="U407"/>
  <c r="V407" s="1"/>
  <c r="T407"/>
  <c r="U306"/>
  <c r="V306" s="1"/>
  <c r="T306"/>
  <c r="U119"/>
  <c r="V119" s="1"/>
  <c r="T119"/>
  <c r="U339"/>
  <c r="V339" s="1"/>
  <c r="T339"/>
  <c r="U243"/>
  <c r="V243" s="1"/>
  <c r="T243"/>
  <c r="U277"/>
  <c r="V277" s="1"/>
  <c r="T277"/>
  <c r="U178"/>
  <c r="V178" s="1"/>
  <c r="T178"/>
  <c r="U25"/>
  <c r="V25" s="1"/>
  <c r="T25"/>
  <c r="U440"/>
  <c r="V440" s="1"/>
  <c r="T440"/>
  <c r="U244"/>
  <c r="V244" s="1"/>
  <c r="T244"/>
  <c r="U375"/>
  <c r="V375" s="1"/>
  <c r="T375"/>
  <c r="U504"/>
  <c r="V504" s="1"/>
  <c r="T504"/>
  <c r="U263"/>
  <c r="V263" s="1"/>
  <c r="T263"/>
  <c r="T788"/>
  <c r="R491"/>
  <c r="S491" s="1"/>
  <c r="R363"/>
  <c r="S363" s="1"/>
  <c r="R235"/>
  <c r="S235" s="1"/>
  <c r="R236"/>
  <c r="S236" s="1"/>
  <c r="R108"/>
  <c r="S108" s="1"/>
  <c r="R109"/>
  <c r="S109" s="1"/>
  <c r="R169"/>
  <c r="S169" s="1"/>
  <c r="R163"/>
  <c r="S163" s="1"/>
  <c r="R416"/>
  <c r="S416" s="1"/>
  <c r="S226"/>
  <c r="S446"/>
  <c r="S318"/>
  <c r="R483"/>
  <c r="S483" s="1"/>
  <c r="R355"/>
  <c r="S355" s="1"/>
  <c r="S512"/>
  <c r="R452"/>
  <c r="S452" s="1"/>
  <c r="R412"/>
  <c r="S412" s="1"/>
  <c r="R413"/>
  <c r="S413" s="1"/>
  <c r="R166"/>
  <c r="S166" s="1"/>
  <c r="R126"/>
  <c r="S126" s="1"/>
  <c r="R220"/>
  <c r="S220" s="1"/>
  <c r="R221"/>
  <c r="S221" s="1"/>
  <c r="S410"/>
  <c r="S520"/>
  <c r="R480"/>
  <c r="S480" s="1"/>
  <c r="R420"/>
  <c r="S420" s="1"/>
  <c r="R421"/>
  <c r="S421" s="1"/>
  <c r="S70"/>
  <c r="R131"/>
  <c r="S131" s="1"/>
  <c r="S198"/>
  <c r="S92"/>
  <c r="R155"/>
  <c r="S155" s="1"/>
  <c r="R30"/>
  <c r="S30" s="1"/>
  <c r="U82"/>
  <c r="V82" s="1"/>
  <c r="T82"/>
  <c r="U21"/>
  <c r="V21" s="1"/>
  <c r="T21"/>
  <c r="U242"/>
  <c r="V242" s="1"/>
  <c r="T242"/>
  <c r="U57"/>
  <c r="V57" s="1"/>
  <c r="T57"/>
  <c r="U436"/>
  <c r="V436" s="1"/>
  <c r="T436"/>
  <c r="U117"/>
  <c r="V117" s="1"/>
  <c r="T117"/>
  <c r="U50"/>
  <c r="V50" s="1"/>
  <c r="T50"/>
  <c r="U89"/>
  <c r="V89" s="1"/>
  <c r="T89"/>
  <c r="U22"/>
  <c r="V22" s="1"/>
  <c r="T22"/>
  <c r="U370"/>
  <c r="V370" s="1"/>
  <c r="T370"/>
  <c r="U403"/>
  <c r="V403" s="1"/>
  <c r="T403"/>
  <c r="U343"/>
  <c r="V343" s="1"/>
  <c r="T343"/>
  <c r="U249"/>
  <c r="V249" s="1"/>
  <c r="T249"/>
  <c r="U409"/>
  <c r="V409" s="1"/>
  <c r="T409"/>
  <c r="U247"/>
  <c r="V247" s="1"/>
  <c r="T247"/>
  <c r="U278"/>
  <c r="V278" s="1"/>
  <c r="T278"/>
  <c r="U274"/>
  <c r="V274" s="1"/>
  <c r="T274"/>
  <c r="U216"/>
  <c r="V216" s="1"/>
  <c r="T216"/>
  <c r="U340"/>
  <c r="V340" s="1"/>
  <c r="T340"/>
  <c r="U23"/>
  <c r="V23" s="1"/>
  <c r="T23"/>
  <c r="U311"/>
  <c r="V311" s="1"/>
  <c r="T311"/>
  <c r="U467"/>
  <c r="V467" s="1"/>
  <c r="T467"/>
  <c r="U191"/>
  <c r="V191" s="1"/>
  <c r="T191"/>
  <c r="U518"/>
  <c r="V518" s="1"/>
  <c r="T518"/>
  <c r="R268"/>
  <c r="S268" s="1"/>
  <c r="R140"/>
  <c r="S140" s="1"/>
  <c r="R269"/>
  <c r="S269" s="1"/>
  <c r="R205"/>
  <c r="S205" s="1"/>
  <c r="R426"/>
  <c r="S426" s="1"/>
  <c r="R173"/>
  <c r="S173" s="1"/>
  <c r="R77"/>
  <c r="S77" s="1"/>
  <c r="S519"/>
  <c r="R455"/>
  <c r="S455" s="1"/>
  <c r="R327"/>
  <c r="S327" s="1"/>
  <c r="S283"/>
  <c r="R285"/>
  <c r="S285" s="1"/>
  <c r="R451"/>
  <c r="S451" s="1"/>
  <c r="R323"/>
  <c r="S323" s="1"/>
  <c r="R477"/>
  <c r="S477" s="1"/>
  <c r="S34"/>
  <c r="S26"/>
  <c r="R228"/>
  <c r="S228" s="1"/>
  <c r="R165"/>
  <c r="S165" s="1"/>
  <c r="S506"/>
  <c r="S378"/>
  <c r="R479"/>
  <c r="S479" s="1"/>
  <c r="R415"/>
  <c r="S415" s="1"/>
  <c r="R351"/>
  <c r="S351" s="1"/>
  <c r="R485"/>
  <c r="S485" s="1"/>
  <c r="R190"/>
  <c r="S190" s="1"/>
  <c r="R94"/>
  <c r="S94" s="1"/>
  <c r="S38"/>
  <c r="R99"/>
  <c r="S99" s="1"/>
  <c r="U345"/>
  <c r="V345" s="1"/>
  <c r="T345"/>
  <c r="U211"/>
  <c r="V211" s="1"/>
  <c r="T211"/>
  <c r="U473"/>
  <c r="V473" s="1"/>
  <c r="T473"/>
  <c r="U24"/>
  <c r="V24" s="1"/>
  <c r="T24"/>
  <c r="U312"/>
  <c r="V312" s="1"/>
  <c r="T312"/>
  <c r="U120"/>
  <c r="V120" s="1"/>
  <c r="T120"/>
  <c r="U83"/>
  <c r="V83" s="1"/>
  <c r="T83"/>
  <c r="U408"/>
  <c r="V408" s="1"/>
  <c r="T408"/>
  <c r="U181"/>
  <c r="V181" s="1"/>
  <c r="T181"/>
  <c r="U185"/>
  <c r="V185" s="1"/>
  <c r="T185"/>
  <c r="U19"/>
  <c r="V19" s="1"/>
  <c r="T19"/>
  <c r="U184"/>
  <c r="V184" s="1"/>
  <c r="T184"/>
  <c r="U435"/>
  <c r="V435" s="1"/>
  <c r="T435"/>
  <c r="U279"/>
  <c r="V279" s="1"/>
  <c r="T279"/>
  <c r="U217"/>
  <c r="V217" s="1"/>
  <c r="T217"/>
  <c r="U148"/>
  <c r="V148" s="1"/>
  <c r="T148"/>
  <c r="U153"/>
  <c r="V153" s="1"/>
  <c r="T153"/>
  <c r="U505"/>
  <c r="V505" s="1"/>
  <c r="T505"/>
  <c r="U503"/>
  <c r="V503" s="1"/>
  <c r="T503"/>
  <c r="U450"/>
  <c r="V450" s="1"/>
  <c r="T450"/>
  <c r="U484"/>
  <c r="V484" s="1"/>
  <c r="T484"/>
  <c r="R42"/>
  <c r="S42" s="1"/>
  <c r="R171"/>
  <c r="S171" s="1"/>
  <c r="S192"/>
  <c r="R32"/>
  <c r="S32" s="1"/>
  <c r="R427"/>
  <c r="S427" s="1"/>
  <c r="R299"/>
  <c r="S299" s="1"/>
  <c r="S43"/>
  <c r="R141"/>
  <c r="S141" s="1"/>
  <c r="R264"/>
  <c r="S264" s="1"/>
  <c r="S31"/>
  <c r="S219"/>
  <c r="R156"/>
  <c r="S156" s="1"/>
  <c r="R62"/>
  <c r="S62" s="1"/>
  <c r="S90"/>
  <c r="S157"/>
  <c r="S510"/>
  <c r="S382"/>
  <c r="R419"/>
  <c r="S419" s="1"/>
  <c r="R424"/>
  <c r="S424" s="1"/>
  <c r="S384"/>
  <c r="R324"/>
  <c r="S324" s="1"/>
  <c r="R284"/>
  <c r="S284" s="1"/>
  <c r="S194"/>
  <c r="S58"/>
  <c r="R188"/>
  <c r="S188" s="1"/>
  <c r="R253"/>
  <c r="S253" s="1"/>
  <c r="R189"/>
  <c r="S189" s="1"/>
  <c r="S474"/>
  <c r="S346"/>
  <c r="S508"/>
  <c r="S392"/>
  <c r="R352"/>
  <c r="S352" s="1"/>
  <c r="S250"/>
  <c r="S124"/>
  <c r="R61"/>
  <c r="S61" s="1"/>
  <c r="T797"/>
  <c r="U701"/>
  <c r="V701" s="1"/>
  <c r="U596"/>
  <c r="V596" s="1"/>
  <c r="T758"/>
  <c r="U661"/>
  <c r="V661" s="1"/>
  <c r="U1045"/>
  <c r="V1045" s="1"/>
  <c r="U830"/>
  <c r="V830" s="1"/>
  <c r="U884"/>
  <c r="V884" s="1"/>
  <c r="T668"/>
  <c r="U892"/>
  <c r="V892" s="1"/>
  <c r="T892"/>
  <c r="U574"/>
  <c r="V574" s="1"/>
  <c r="T574"/>
  <c r="T1046"/>
  <c r="U1046"/>
  <c r="V1046" s="1"/>
  <c r="T700"/>
  <c r="U700"/>
  <c r="V700" s="1"/>
  <c r="U597"/>
  <c r="V597" s="1"/>
  <c r="T597"/>
  <c r="U692"/>
  <c r="V692" s="1"/>
  <c r="T692"/>
  <c r="T790"/>
  <c r="U790"/>
  <c r="V790" s="1"/>
  <c r="U630"/>
  <c r="V630" s="1"/>
  <c r="T630"/>
  <c r="T660"/>
  <c r="U660"/>
  <c r="V660" s="1"/>
  <c r="U1054"/>
  <c r="V1054" s="1"/>
  <c r="T1054"/>
  <c r="U757"/>
  <c r="V757" s="1"/>
  <c r="T757"/>
  <c r="T766"/>
  <c r="U766"/>
  <c r="V766" s="1"/>
  <c r="T821"/>
  <c r="U821"/>
  <c r="V821" s="1"/>
  <c r="U605"/>
  <c r="V605" s="1"/>
  <c r="T605"/>
  <c r="U988"/>
  <c r="V988" s="1"/>
  <c r="T988"/>
  <c r="U606"/>
  <c r="V606" s="1"/>
  <c r="T606"/>
  <c r="U981"/>
  <c r="V981" s="1"/>
  <c r="T981"/>
  <c r="U1020"/>
  <c r="V1020" s="1"/>
  <c r="T1020"/>
  <c r="U918"/>
  <c r="V918" s="1"/>
  <c r="T918"/>
  <c r="S742"/>
  <c r="U765"/>
  <c r="V765" s="1"/>
  <c r="T765"/>
  <c r="T829"/>
  <c r="U829"/>
  <c r="V829" s="1"/>
  <c r="T764"/>
  <c r="U764"/>
  <c r="V764" s="1"/>
  <c r="T926"/>
  <c r="U926"/>
  <c r="V926" s="1"/>
  <c r="T862"/>
  <c r="U862"/>
  <c r="V862" s="1"/>
  <c r="U637"/>
  <c r="V637" s="1"/>
  <c r="T637"/>
  <c r="T957"/>
  <c r="U957"/>
  <c r="V957" s="1"/>
  <c r="U990"/>
  <c r="V990" s="1"/>
  <c r="T990"/>
  <c r="T958"/>
  <c r="U958"/>
  <c r="V958" s="1"/>
  <c r="T949"/>
  <c r="U949"/>
  <c r="V949" s="1"/>
  <c r="T572"/>
  <c r="U572"/>
  <c r="V572" s="1"/>
  <c r="T860"/>
  <c r="U860"/>
  <c r="V860" s="1"/>
  <c r="U565"/>
  <c r="V565" s="1"/>
  <c r="T565"/>
  <c r="T989"/>
  <c r="U989"/>
  <c r="V989" s="1"/>
  <c r="T564"/>
  <c r="U564"/>
  <c r="V564" s="1"/>
  <c r="U629"/>
  <c r="V629" s="1"/>
  <c r="T629"/>
  <c r="T925"/>
  <c r="U925"/>
  <c r="V925" s="1"/>
  <c r="T789"/>
  <c r="U789"/>
  <c r="V789" s="1"/>
  <c r="T1013"/>
  <c r="U1013"/>
  <c r="V1013" s="1"/>
  <c r="T948"/>
  <c r="U948"/>
  <c r="V948" s="1"/>
  <c r="U598"/>
  <c r="V598" s="1"/>
  <c r="T598"/>
  <c r="U734"/>
  <c r="V734" s="1"/>
  <c r="T734"/>
  <c r="T886"/>
  <c r="U886"/>
  <c r="V886" s="1"/>
  <c r="U861"/>
  <c r="V861" s="1"/>
  <c r="T861"/>
  <c r="U1052"/>
  <c r="V1052" s="1"/>
  <c r="T1052"/>
  <c r="U980"/>
  <c r="V980" s="1"/>
  <c r="T980"/>
  <c r="U1014"/>
  <c r="V1014" s="1"/>
  <c r="T1014"/>
  <c r="U726"/>
  <c r="V726" s="1"/>
  <c r="T726"/>
  <c r="U573"/>
  <c r="V573" s="1"/>
  <c r="T573"/>
  <c r="U725"/>
  <c r="V725" s="1"/>
  <c r="T725"/>
  <c r="T854"/>
  <c r="U854"/>
  <c r="V854" s="1"/>
  <c r="U1021"/>
  <c r="V1021" s="1"/>
  <c r="T1021"/>
  <c r="T576"/>
  <c r="U576"/>
  <c r="V576" s="1"/>
  <c r="U636"/>
  <c r="V636" s="1"/>
  <c r="T636"/>
  <c r="U796"/>
  <c r="V796" s="1"/>
  <c r="T796"/>
  <c r="U724"/>
  <c r="V724" s="1"/>
  <c r="T724"/>
  <c r="T893"/>
  <c r="U893"/>
  <c r="V893" s="1"/>
  <c r="T885"/>
  <c r="U885"/>
  <c r="V885" s="1"/>
  <c r="U662"/>
  <c r="V662" s="1"/>
  <c r="T662"/>
  <c r="T894"/>
  <c r="U894"/>
  <c r="V894" s="1"/>
  <c r="U828"/>
  <c r="V828" s="1"/>
  <c r="T828"/>
  <c r="U1053"/>
  <c r="V1053" s="1"/>
  <c r="T1053"/>
  <c r="U853"/>
  <c r="V853" s="1"/>
  <c r="T853"/>
  <c r="T1044"/>
  <c r="U1044"/>
  <c r="V1044" s="1"/>
  <c r="T994"/>
  <c r="U994"/>
  <c r="V994" s="1"/>
  <c r="B166" i="29"/>
  <c r="B165"/>
  <c r="B161"/>
  <c r="B169" s="1"/>
  <c r="B162"/>
  <c r="B151"/>
  <c r="B152"/>
  <c r="B154" s="1"/>
  <c r="B156" s="1"/>
  <c r="G63" i="31"/>
  <c r="G67"/>
  <c r="G68"/>
  <c r="G69"/>
  <c r="G70"/>
  <c r="G71"/>
  <c r="G73"/>
  <c r="G3"/>
  <c r="B7" i="29" s="1"/>
  <c r="H7" s="1"/>
  <c r="D35"/>
  <c r="B35"/>
  <c r="T486" i="49" l="1"/>
  <c r="T482"/>
  <c r="T610"/>
  <c r="T736"/>
  <c r="U934"/>
  <c r="V934" s="1"/>
  <c r="T611"/>
  <c r="U833"/>
  <c r="V833" s="1"/>
  <c r="T959"/>
  <c r="R175"/>
  <c r="U645"/>
  <c r="V645" s="1"/>
  <c r="T896"/>
  <c r="T993"/>
  <c r="U514"/>
  <c r="V514" s="1"/>
  <c r="T933"/>
  <c r="U739"/>
  <c r="V739" s="1"/>
  <c r="T671"/>
  <c r="U60"/>
  <c r="V60" s="1"/>
  <c r="U641"/>
  <c r="V641" s="1"/>
  <c r="T525"/>
  <c r="T286"/>
  <c r="T899"/>
  <c r="T868"/>
  <c r="U1058"/>
  <c r="V1058" s="1"/>
  <c r="T738"/>
  <c r="U837"/>
  <c r="V837" s="1"/>
  <c r="T835"/>
  <c r="U577"/>
  <c r="V577" s="1"/>
  <c r="U836"/>
  <c r="V836" s="1"/>
  <c r="T836"/>
  <c r="U773"/>
  <c r="V773" s="1"/>
  <c r="T581"/>
  <c r="U1061"/>
  <c r="V1061" s="1"/>
  <c r="T1061"/>
  <c r="U1059"/>
  <c r="V1059" s="1"/>
  <c r="T1059"/>
  <c r="U966"/>
  <c r="V966" s="1"/>
  <c r="U799"/>
  <c r="V799" s="1"/>
  <c r="T643"/>
  <c r="U995"/>
  <c r="V995" s="1"/>
  <c r="U444"/>
  <c r="V444" s="1"/>
  <c r="U929"/>
  <c r="V929" s="1"/>
  <c r="U65"/>
  <c r="V65" s="1"/>
  <c r="U962"/>
  <c r="V962" s="1"/>
  <c r="T997"/>
  <c r="U257"/>
  <c r="V257" s="1"/>
  <c r="T735"/>
  <c r="U202"/>
  <c r="V202" s="1"/>
  <c r="U803"/>
  <c r="V803" s="1"/>
  <c r="T866"/>
  <c r="U900"/>
  <c r="V900" s="1"/>
  <c r="U703"/>
  <c r="V703" s="1"/>
  <c r="T992"/>
  <c r="U992"/>
  <c r="V992" s="1"/>
  <c r="U964"/>
  <c r="V964" s="1"/>
  <c r="T609"/>
  <c r="T1024"/>
  <c r="U642"/>
  <c r="V642" s="1"/>
  <c r="U960"/>
  <c r="V960" s="1"/>
  <c r="T578"/>
  <c r="T580"/>
  <c r="T203"/>
  <c r="T802"/>
  <c r="T965"/>
  <c r="U965"/>
  <c r="V965" s="1"/>
  <c r="U772"/>
  <c r="V772" s="1"/>
  <c r="U229"/>
  <c r="V229" s="1"/>
  <c r="T705"/>
  <c r="U1029"/>
  <c r="V1029" s="1"/>
  <c r="T1029"/>
  <c r="U608"/>
  <c r="V608" s="1"/>
  <c r="T608"/>
  <c r="T869"/>
  <c r="U869"/>
  <c r="V869" s="1"/>
  <c r="U639"/>
  <c r="V639" s="1"/>
  <c r="T639"/>
  <c r="T612"/>
  <c r="U612"/>
  <c r="V612" s="1"/>
  <c r="U613"/>
  <c r="V613" s="1"/>
  <c r="T613"/>
  <c r="T1060"/>
  <c r="T673"/>
  <c r="U996"/>
  <c r="V996" s="1"/>
  <c r="T996"/>
  <c r="U675"/>
  <c r="V675" s="1"/>
  <c r="T675"/>
  <c r="U1056"/>
  <c r="V1056" s="1"/>
  <c r="T1056"/>
  <c r="U1055"/>
  <c r="V1055" s="1"/>
  <c r="T1055"/>
  <c r="T895"/>
  <c r="U895"/>
  <c r="V895" s="1"/>
  <c r="T832"/>
  <c r="U832"/>
  <c r="V832" s="1"/>
  <c r="T707"/>
  <c r="U707"/>
  <c r="V707" s="1"/>
  <c r="U386"/>
  <c r="V386" s="1"/>
  <c r="U801"/>
  <c r="V801" s="1"/>
  <c r="T928"/>
  <c r="T445"/>
  <c r="T927"/>
  <c r="U901"/>
  <c r="V901" s="1"/>
  <c r="U154"/>
  <c r="V154" s="1"/>
  <c r="T260"/>
  <c r="T104"/>
  <c r="U768"/>
  <c r="V768" s="1"/>
  <c r="U708"/>
  <c r="V708" s="1"/>
  <c r="T259"/>
  <c r="T325"/>
  <c r="U230"/>
  <c r="V230" s="1"/>
  <c r="T320"/>
  <c r="T459"/>
  <c r="U831"/>
  <c r="V831" s="1"/>
  <c r="T831"/>
  <c r="T864"/>
  <c r="U397"/>
  <c r="V397" s="1"/>
  <c r="U677"/>
  <c r="V677" s="1"/>
  <c r="U516"/>
  <c r="V516" s="1"/>
  <c r="U231"/>
  <c r="V231" s="1"/>
  <c r="U96"/>
  <c r="V96" s="1"/>
  <c r="U492"/>
  <c r="V492" s="1"/>
  <c r="T1025"/>
  <c r="U1026"/>
  <c r="V1026" s="1"/>
  <c r="T1026"/>
  <c r="T991"/>
  <c r="U98"/>
  <c r="V98" s="1"/>
  <c r="T834"/>
  <c r="U930"/>
  <c r="V930" s="1"/>
  <c r="T804"/>
  <c r="T360"/>
  <c r="T493"/>
  <c r="T963"/>
  <c r="U800"/>
  <c r="V800" s="1"/>
  <c r="T44"/>
  <c r="T522"/>
  <c r="U863"/>
  <c r="V863" s="1"/>
  <c r="U867"/>
  <c r="V867" s="1"/>
  <c r="T579"/>
  <c r="U579"/>
  <c r="V579" s="1"/>
  <c r="T741"/>
  <c r="U741"/>
  <c r="V741" s="1"/>
  <c r="T740"/>
  <c r="T704"/>
  <c r="U865"/>
  <c r="V865" s="1"/>
  <c r="U1028"/>
  <c r="V1028" s="1"/>
  <c r="T640"/>
  <c r="U706"/>
  <c r="V706" s="1"/>
  <c r="U672"/>
  <c r="V672" s="1"/>
  <c r="U644"/>
  <c r="V644" s="1"/>
  <c r="T898"/>
  <c r="U770"/>
  <c r="V770" s="1"/>
  <c r="U428"/>
  <c r="V428" s="1"/>
  <c r="T897"/>
  <c r="T737"/>
  <c r="U737"/>
  <c r="V737" s="1"/>
  <c r="T356"/>
  <c r="T1027"/>
  <c r="U805"/>
  <c r="V805" s="1"/>
  <c r="U961"/>
  <c r="V961" s="1"/>
  <c r="T961"/>
  <c r="T932"/>
  <c r="U330"/>
  <c r="V330" s="1"/>
  <c r="U509"/>
  <c r="V509" s="1"/>
  <c r="T478"/>
  <c r="U931"/>
  <c r="V931" s="1"/>
  <c r="T931"/>
  <c r="T575"/>
  <c r="U709"/>
  <c r="V709" s="1"/>
  <c r="S206"/>
  <c r="T206" s="1"/>
  <c r="U1023"/>
  <c r="V1023" s="1"/>
  <c r="T767"/>
  <c r="U45"/>
  <c r="V45" s="1"/>
  <c r="U769"/>
  <c r="V769" s="1"/>
  <c r="U771"/>
  <c r="V771" s="1"/>
  <c r="T771"/>
  <c r="T676"/>
  <c r="U676"/>
  <c r="V676" s="1"/>
  <c r="T607"/>
  <c r="T72"/>
  <c r="T125"/>
  <c r="T317"/>
  <c r="T106"/>
  <c r="T71"/>
  <c r="T100"/>
  <c r="U164"/>
  <c r="V164" s="1"/>
  <c r="U1057"/>
  <c r="V1057" s="1"/>
  <c r="T674"/>
  <c r="U158"/>
  <c r="V158" s="1"/>
  <c r="U256"/>
  <c r="V256" s="1"/>
  <c r="T167"/>
  <c r="U197"/>
  <c r="V197" s="1"/>
  <c r="T282"/>
  <c r="U364"/>
  <c r="V364" s="1"/>
  <c r="U66"/>
  <c r="V66" s="1"/>
  <c r="T331"/>
  <c r="T365"/>
  <c r="T328"/>
  <c r="T127"/>
  <c r="U358"/>
  <c r="V358" s="1"/>
  <c r="U333"/>
  <c r="V333" s="1"/>
  <c r="T414"/>
  <c r="U224"/>
  <c r="V224" s="1"/>
  <c r="U128"/>
  <c r="V128" s="1"/>
  <c r="U186"/>
  <c r="V186" s="1"/>
  <c r="U476"/>
  <c r="V476" s="1"/>
  <c r="U390"/>
  <c r="V390" s="1"/>
  <c r="T161"/>
  <c r="T254"/>
  <c r="T458"/>
  <c r="U36"/>
  <c r="V36" s="1"/>
  <c r="U348"/>
  <c r="V348" s="1"/>
  <c r="T385"/>
  <c r="U385"/>
  <c r="V385" s="1"/>
  <c r="T255"/>
  <c r="U255"/>
  <c r="V255" s="1"/>
  <c r="U448"/>
  <c r="V448" s="1"/>
  <c r="T63"/>
  <c r="U63"/>
  <c r="V63" s="1"/>
  <c r="T513"/>
  <c r="U513"/>
  <c r="V513" s="1"/>
  <c r="T168"/>
  <c r="U168"/>
  <c r="V168" s="1"/>
  <c r="T381"/>
  <c r="U130"/>
  <c r="V130" s="1"/>
  <c r="U422"/>
  <c r="V422" s="1"/>
  <c r="U301"/>
  <c r="V301" s="1"/>
  <c r="S526"/>
  <c r="U526" s="1"/>
  <c r="V526" s="1"/>
  <c r="S398"/>
  <c r="T398" s="1"/>
  <c r="R271"/>
  <c r="R528"/>
  <c r="R400"/>
  <c r="S400" s="1"/>
  <c r="T400" s="1"/>
  <c r="U295"/>
  <c r="V295" s="1"/>
  <c r="U41"/>
  <c r="V41" s="1"/>
  <c r="U322"/>
  <c r="V322" s="1"/>
  <c r="T196"/>
  <c r="U300"/>
  <c r="V300" s="1"/>
  <c r="U461"/>
  <c r="V461" s="1"/>
  <c r="U129"/>
  <c r="V129" s="1"/>
  <c r="U394"/>
  <c r="V394" s="1"/>
  <c r="U294"/>
  <c r="V294" s="1"/>
  <c r="T456"/>
  <c r="U95"/>
  <c r="V95" s="1"/>
  <c r="T418"/>
  <c r="T454"/>
  <c r="R432"/>
  <c r="S432" s="1"/>
  <c r="T432" s="1"/>
  <c r="R304"/>
  <c r="S304" s="1"/>
  <c r="U304" s="1"/>
  <c r="V304" s="1"/>
  <c r="U388"/>
  <c r="V388" s="1"/>
  <c r="U223"/>
  <c r="V223" s="1"/>
  <c r="U453"/>
  <c r="V453" s="1"/>
  <c r="U162"/>
  <c r="V162" s="1"/>
  <c r="U998"/>
  <c r="V998" s="1"/>
  <c r="T449"/>
  <c r="U449"/>
  <c r="V449" s="1"/>
  <c r="T159"/>
  <c r="U159"/>
  <c r="V159" s="1"/>
  <c r="T69"/>
  <c r="U69"/>
  <c r="V69" s="1"/>
  <c r="T838"/>
  <c r="T200"/>
  <c r="U200"/>
  <c r="V200" s="1"/>
  <c r="T134"/>
  <c r="U134"/>
  <c r="V134" s="1"/>
  <c r="U139"/>
  <c r="V139" s="1"/>
  <c r="R496"/>
  <c r="S496" s="1"/>
  <c r="T496" s="1"/>
  <c r="R368"/>
  <c r="S368" s="1"/>
  <c r="T368" s="1"/>
  <c r="S270"/>
  <c r="T270" s="1"/>
  <c r="U350"/>
  <c r="V350" s="1"/>
  <c r="U481"/>
  <c r="V481" s="1"/>
  <c r="S110"/>
  <c r="U110" s="1"/>
  <c r="V110" s="1"/>
  <c r="U326"/>
  <c r="V326" s="1"/>
  <c r="T225"/>
  <c r="U225"/>
  <c r="V225" s="1"/>
  <c r="U321"/>
  <c r="V321" s="1"/>
  <c r="T321"/>
  <c r="T40"/>
  <c r="U267"/>
  <c r="V267" s="1"/>
  <c r="U227"/>
  <c r="V227" s="1"/>
  <c r="U423"/>
  <c r="V423" s="1"/>
  <c r="T297"/>
  <c r="T488"/>
  <c r="U488"/>
  <c r="V488" s="1"/>
  <c r="R80"/>
  <c r="S80" s="1"/>
  <c r="U80" s="1"/>
  <c r="V80" s="1"/>
  <c r="U287"/>
  <c r="V287" s="1"/>
  <c r="T289"/>
  <c r="U289"/>
  <c r="V289" s="1"/>
  <c r="U353"/>
  <c r="V353" s="1"/>
  <c r="U395"/>
  <c r="V395" s="1"/>
  <c r="U93"/>
  <c r="V93" s="1"/>
  <c r="U136"/>
  <c r="V136" s="1"/>
  <c r="U103"/>
  <c r="V103" s="1"/>
  <c r="U354"/>
  <c r="V354" s="1"/>
  <c r="S462"/>
  <c r="U462" s="1"/>
  <c r="V462" s="1"/>
  <c r="S334"/>
  <c r="T334" s="1"/>
  <c r="R464"/>
  <c r="S464" s="1"/>
  <c r="R336"/>
  <c r="S336" s="1"/>
  <c r="S46"/>
  <c r="T46" s="1"/>
  <c r="U417"/>
  <c r="V417" s="1"/>
  <c r="U291"/>
  <c r="V291" s="1"/>
  <c r="U222"/>
  <c r="V222" s="1"/>
  <c r="U262"/>
  <c r="V262" s="1"/>
  <c r="U429"/>
  <c r="V429" s="1"/>
  <c r="R273"/>
  <c r="S273" s="1"/>
  <c r="T273" s="1"/>
  <c r="U298"/>
  <c r="V298" s="1"/>
  <c r="T523"/>
  <c r="S271"/>
  <c r="T271" s="1"/>
  <c r="R272"/>
  <c r="S272" s="1"/>
  <c r="T272" s="1"/>
  <c r="S238"/>
  <c r="U238" s="1"/>
  <c r="V238" s="1"/>
  <c r="T232"/>
  <c r="U232"/>
  <c r="V232" s="1"/>
  <c r="R495"/>
  <c r="S495" s="1"/>
  <c r="T495" s="1"/>
  <c r="S209"/>
  <c r="T209" s="1"/>
  <c r="R241"/>
  <c r="S241" s="1"/>
  <c r="T241" s="1"/>
  <c r="R113"/>
  <c r="S113" s="1"/>
  <c r="T113" s="1"/>
  <c r="U237"/>
  <c r="V237" s="1"/>
  <c r="U135"/>
  <c r="V135" s="1"/>
  <c r="R176"/>
  <c r="S176" s="1"/>
  <c r="R47"/>
  <c r="S47" s="1"/>
  <c r="T47" s="1"/>
  <c r="U346"/>
  <c r="V346" s="1"/>
  <c r="T346"/>
  <c r="U264"/>
  <c r="V264" s="1"/>
  <c r="T264"/>
  <c r="U477"/>
  <c r="V477" s="1"/>
  <c r="T477"/>
  <c r="U426"/>
  <c r="V426" s="1"/>
  <c r="T426"/>
  <c r="U524"/>
  <c r="V524" s="1"/>
  <c r="T524"/>
  <c r="U155"/>
  <c r="V155" s="1"/>
  <c r="T155"/>
  <c r="U70"/>
  <c r="V70" s="1"/>
  <c r="T70"/>
  <c r="U480"/>
  <c r="V480" s="1"/>
  <c r="T480"/>
  <c r="U220"/>
  <c r="V220" s="1"/>
  <c r="T220"/>
  <c r="U412"/>
  <c r="V412" s="1"/>
  <c r="T412"/>
  <c r="U483"/>
  <c r="V483" s="1"/>
  <c r="T483"/>
  <c r="U517"/>
  <c r="V517" s="1"/>
  <c r="T517"/>
  <c r="U293"/>
  <c r="V293" s="1"/>
  <c r="T293"/>
  <c r="U73"/>
  <c r="V73" s="1"/>
  <c r="T73"/>
  <c r="U109"/>
  <c r="V109" s="1"/>
  <c r="T109"/>
  <c r="U363"/>
  <c r="V363" s="1"/>
  <c r="T363"/>
  <c r="U170"/>
  <c r="V170" s="1"/>
  <c r="T170"/>
  <c r="U187"/>
  <c r="V187" s="1"/>
  <c r="T187"/>
  <c r="U319"/>
  <c r="V319" s="1"/>
  <c r="T319"/>
  <c r="U314"/>
  <c r="V314" s="1"/>
  <c r="T314"/>
  <c r="U68"/>
  <c r="V68" s="1"/>
  <c r="T68"/>
  <c r="U515"/>
  <c r="V515" s="1"/>
  <c r="T515"/>
  <c r="U258"/>
  <c r="V258" s="1"/>
  <c r="T258"/>
  <c r="U102"/>
  <c r="V102" s="1"/>
  <c r="T102"/>
  <c r="U160"/>
  <c r="V160" s="1"/>
  <c r="T160"/>
  <c r="U362"/>
  <c r="V362" s="1"/>
  <c r="T362"/>
  <c r="U204"/>
  <c r="V204" s="1"/>
  <c r="T204"/>
  <c r="U460"/>
  <c r="V460" s="1"/>
  <c r="T460"/>
  <c r="S528"/>
  <c r="R144"/>
  <c r="S144" s="1"/>
  <c r="S494"/>
  <c r="S366"/>
  <c r="R177"/>
  <c r="S177" s="1"/>
  <c r="R399"/>
  <c r="S399" s="1"/>
  <c r="R497"/>
  <c r="S497" s="1"/>
  <c r="R369"/>
  <c r="S369" s="1"/>
  <c r="R143"/>
  <c r="S143" s="1"/>
  <c r="U188"/>
  <c r="V188" s="1"/>
  <c r="T188"/>
  <c r="U288"/>
  <c r="V288" s="1"/>
  <c r="T288"/>
  <c r="U105"/>
  <c r="V105" s="1"/>
  <c r="T105"/>
  <c r="U479"/>
  <c r="V479" s="1"/>
  <c r="T479"/>
  <c r="U195"/>
  <c r="V195" s="1"/>
  <c r="T195"/>
  <c r="U327"/>
  <c r="V327" s="1"/>
  <c r="T327"/>
  <c r="U268"/>
  <c r="V268" s="1"/>
  <c r="T268"/>
  <c r="U250"/>
  <c r="V250" s="1"/>
  <c r="T250"/>
  <c r="U292"/>
  <c r="V292" s="1"/>
  <c r="T292"/>
  <c r="U253"/>
  <c r="V253" s="1"/>
  <c r="T253"/>
  <c r="U284"/>
  <c r="V284" s="1"/>
  <c r="T284"/>
  <c r="U419"/>
  <c r="V419" s="1"/>
  <c r="T419"/>
  <c r="U157"/>
  <c r="V157" s="1"/>
  <c r="T157"/>
  <c r="U389"/>
  <c r="V389" s="1"/>
  <c r="T389"/>
  <c r="U219"/>
  <c r="V219" s="1"/>
  <c r="T219"/>
  <c r="U193"/>
  <c r="V193" s="1"/>
  <c r="T193"/>
  <c r="U43"/>
  <c r="V43" s="1"/>
  <c r="T43"/>
  <c r="U32"/>
  <c r="V32" s="1"/>
  <c r="T32"/>
  <c r="U425"/>
  <c r="V425" s="1"/>
  <c r="T425"/>
  <c r="U94"/>
  <c r="V94" s="1"/>
  <c r="T94"/>
  <c r="U415"/>
  <c r="V415" s="1"/>
  <c r="T415"/>
  <c r="U165"/>
  <c r="V165" s="1"/>
  <c r="T165"/>
  <c r="U34"/>
  <c r="V34" s="1"/>
  <c r="T34"/>
  <c r="U28"/>
  <c r="V28" s="1"/>
  <c r="T28"/>
  <c r="U283"/>
  <c r="V283" s="1"/>
  <c r="T283"/>
  <c r="U519"/>
  <c r="V519" s="1"/>
  <c r="T519"/>
  <c r="U173"/>
  <c r="V173" s="1"/>
  <c r="T173"/>
  <c r="U140"/>
  <c r="V140" s="1"/>
  <c r="T140"/>
  <c r="U396"/>
  <c r="V396" s="1"/>
  <c r="T396"/>
  <c r="U30"/>
  <c r="V30" s="1"/>
  <c r="T30"/>
  <c r="U131"/>
  <c r="V131" s="1"/>
  <c r="T131"/>
  <c r="U420"/>
  <c r="V420" s="1"/>
  <c r="T420"/>
  <c r="U221"/>
  <c r="V221" s="1"/>
  <c r="T221"/>
  <c r="U413"/>
  <c r="V413" s="1"/>
  <c r="T413"/>
  <c r="U355"/>
  <c r="V355" s="1"/>
  <c r="T355"/>
  <c r="U226"/>
  <c r="V226" s="1"/>
  <c r="T226"/>
  <c r="U163"/>
  <c r="V163" s="1"/>
  <c r="T163"/>
  <c r="U39"/>
  <c r="V39" s="1"/>
  <c r="T39"/>
  <c r="U199"/>
  <c r="V199" s="1"/>
  <c r="T199"/>
  <c r="U235"/>
  <c r="V235" s="1"/>
  <c r="T235"/>
  <c r="U489"/>
  <c r="V489" s="1"/>
  <c r="T489"/>
  <c r="U252"/>
  <c r="V252" s="1"/>
  <c r="T252"/>
  <c r="U357"/>
  <c r="V357" s="1"/>
  <c r="T357"/>
  <c r="U511"/>
  <c r="V511" s="1"/>
  <c r="T511"/>
  <c r="U261"/>
  <c r="V261" s="1"/>
  <c r="T261"/>
  <c r="U387"/>
  <c r="V387" s="1"/>
  <c r="T387"/>
  <c r="U27"/>
  <c r="V27" s="1"/>
  <c r="T27"/>
  <c r="U290"/>
  <c r="V290" s="1"/>
  <c r="T290"/>
  <c r="U507"/>
  <c r="V507" s="1"/>
  <c r="T507"/>
  <c r="U233"/>
  <c r="V233" s="1"/>
  <c r="T233"/>
  <c r="U76"/>
  <c r="V76" s="1"/>
  <c r="T76"/>
  <c r="U332"/>
  <c r="V332" s="1"/>
  <c r="T332"/>
  <c r="U457"/>
  <c r="V457" s="1"/>
  <c r="T457"/>
  <c r="U206"/>
  <c r="V206" s="1"/>
  <c r="S175"/>
  <c r="R303"/>
  <c r="S303" s="1"/>
  <c r="S78"/>
  <c r="R111"/>
  <c r="S111" s="1"/>
  <c r="R48"/>
  <c r="S48" s="1"/>
  <c r="S145"/>
  <c r="R79"/>
  <c r="S79" s="1"/>
  <c r="R463"/>
  <c r="S463" s="1"/>
  <c r="R529"/>
  <c r="S529" s="1"/>
  <c r="R401"/>
  <c r="S401" s="1"/>
  <c r="R207"/>
  <c r="S207" s="1"/>
  <c r="U61"/>
  <c r="V61" s="1"/>
  <c r="T61"/>
  <c r="U324"/>
  <c r="V324" s="1"/>
  <c r="T324"/>
  <c r="U29"/>
  <c r="V29" s="1"/>
  <c r="T29"/>
  <c r="U201"/>
  <c r="V201" s="1"/>
  <c r="T201"/>
  <c r="U190"/>
  <c r="V190" s="1"/>
  <c r="T190"/>
  <c r="U228"/>
  <c r="V228" s="1"/>
  <c r="T228"/>
  <c r="U315"/>
  <c r="V315" s="1"/>
  <c r="T315"/>
  <c r="U101"/>
  <c r="V101" s="1"/>
  <c r="T101"/>
  <c r="U508"/>
  <c r="V508" s="1"/>
  <c r="T508"/>
  <c r="U189"/>
  <c r="V189" s="1"/>
  <c r="T189"/>
  <c r="U194"/>
  <c r="V194" s="1"/>
  <c r="T194"/>
  <c r="U424"/>
  <c r="V424" s="1"/>
  <c r="T424"/>
  <c r="U35"/>
  <c r="V35" s="1"/>
  <c r="T35"/>
  <c r="U62"/>
  <c r="V62" s="1"/>
  <c r="T62"/>
  <c r="U156"/>
  <c r="V156" s="1"/>
  <c r="T156"/>
  <c r="U97"/>
  <c r="V97" s="1"/>
  <c r="T97"/>
  <c r="U172"/>
  <c r="V172" s="1"/>
  <c r="T172"/>
  <c r="U427"/>
  <c r="V427" s="1"/>
  <c r="T427"/>
  <c r="U42"/>
  <c r="V42" s="1"/>
  <c r="T42"/>
  <c r="U38"/>
  <c r="V38" s="1"/>
  <c r="T38"/>
  <c r="U351"/>
  <c r="V351" s="1"/>
  <c r="T351"/>
  <c r="U506"/>
  <c r="V506" s="1"/>
  <c r="T506"/>
  <c r="U123"/>
  <c r="V123" s="1"/>
  <c r="T123"/>
  <c r="U451"/>
  <c r="V451" s="1"/>
  <c r="T451"/>
  <c r="U285"/>
  <c r="V285" s="1"/>
  <c r="T285"/>
  <c r="U455"/>
  <c r="V455" s="1"/>
  <c r="T455"/>
  <c r="U77"/>
  <c r="V77" s="1"/>
  <c r="T77"/>
  <c r="U269"/>
  <c r="V269" s="1"/>
  <c r="T269"/>
  <c r="U266"/>
  <c r="V266" s="1"/>
  <c r="T266"/>
  <c r="U521"/>
  <c r="V521" s="1"/>
  <c r="T521"/>
  <c r="U198"/>
  <c r="V198" s="1"/>
  <c r="T198"/>
  <c r="U380"/>
  <c r="V380" s="1"/>
  <c r="T380"/>
  <c r="U410"/>
  <c r="V410" s="1"/>
  <c r="T410"/>
  <c r="U166"/>
  <c r="V166" s="1"/>
  <c r="T166"/>
  <c r="U512"/>
  <c r="V512" s="1"/>
  <c r="T512"/>
  <c r="U446"/>
  <c r="V446" s="1"/>
  <c r="T446"/>
  <c r="U416"/>
  <c r="V416" s="1"/>
  <c r="T416"/>
  <c r="U475"/>
  <c r="V475" s="1"/>
  <c r="T475"/>
  <c r="U265"/>
  <c r="V265" s="1"/>
  <c r="T265"/>
  <c r="U236"/>
  <c r="V236" s="1"/>
  <c r="T236"/>
  <c r="U361"/>
  <c r="V361" s="1"/>
  <c r="T361"/>
  <c r="U132"/>
  <c r="V132" s="1"/>
  <c r="T132"/>
  <c r="U218"/>
  <c r="V218" s="1"/>
  <c r="T218"/>
  <c r="U447"/>
  <c r="V447" s="1"/>
  <c r="T447"/>
  <c r="U67"/>
  <c r="V67" s="1"/>
  <c r="T67"/>
  <c r="U349"/>
  <c r="V349" s="1"/>
  <c r="T349"/>
  <c r="U59"/>
  <c r="V59" s="1"/>
  <c r="T59"/>
  <c r="U487"/>
  <c r="V487" s="1"/>
  <c r="T487"/>
  <c r="U379"/>
  <c r="V379" s="1"/>
  <c r="T379"/>
  <c r="U137"/>
  <c r="V137" s="1"/>
  <c r="T137"/>
  <c r="U64"/>
  <c r="V64" s="1"/>
  <c r="T64"/>
  <c r="U74"/>
  <c r="V74" s="1"/>
  <c r="T74"/>
  <c r="U329"/>
  <c r="V329" s="1"/>
  <c r="T329"/>
  <c r="R367"/>
  <c r="S367" s="1"/>
  <c r="R208"/>
  <c r="S208" s="1"/>
  <c r="R49"/>
  <c r="S49" s="1"/>
  <c r="S430"/>
  <c r="S302"/>
  <c r="R527"/>
  <c r="S527" s="1"/>
  <c r="R433"/>
  <c r="S433" s="1"/>
  <c r="R305"/>
  <c r="S305" s="1"/>
  <c r="S174"/>
  <c r="U352"/>
  <c r="V352" s="1"/>
  <c r="T352"/>
  <c r="U382"/>
  <c r="V382" s="1"/>
  <c r="T382"/>
  <c r="U31"/>
  <c r="V31" s="1"/>
  <c r="T31"/>
  <c r="U192"/>
  <c r="V192" s="1"/>
  <c r="T192"/>
  <c r="U124"/>
  <c r="V124" s="1"/>
  <c r="T124"/>
  <c r="U392"/>
  <c r="V392" s="1"/>
  <c r="T392"/>
  <c r="U474"/>
  <c r="V474" s="1"/>
  <c r="T474"/>
  <c r="U58"/>
  <c r="V58" s="1"/>
  <c r="T58"/>
  <c r="U384"/>
  <c r="V384" s="1"/>
  <c r="T384"/>
  <c r="U510"/>
  <c r="V510" s="1"/>
  <c r="T510"/>
  <c r="U90"/>
  <c r="V90" s="1"/>
  <c r="T90"/>
  <c r="U133"/>
  <c r="V133" s="1"/>
  <c r="T133"/>
  <c r="U411"/>
  <c r="V411" s="1"/>
  <c r="T411"/>
  <c r="U141"/>
  <c r="V141" s="1"/>
  <c r="T141"/>
  <c r="U299"/>
  <c r="V299" s="1"/>
  <c r="T299"/>
  <c r="U171"/>
  <c r="V171" s="1"/>
  <c r="T171"/>
  <c r="U234"/>
  <c r="V234" s="1"/>
  <c r="T234"/>
  <c r="U99"/>
  <c r="V99" s="1"/>
  <c r="T99"/>
  <c r="U485"/>
  <c r="V485" s="1"/>
  <c r="T485"/>
  <c r="U378"/>
  <c r="V378" s="1"/>
  <c r="T378"/>
  <c r="U26"/>
  <c r="V26" s="1"/>
  <c r="T26"/>
  <c r="U323"/>
  <c r="V323" s="1"/>
  <c r="T323"/>
  <c r="U251"/>
  <c r="V251" s="1"/>
  <c r="T251"/>
  <c r="U391"/>
  <c r="V391" s="1"/>
  <c r="T391"/>
  <c r="U443"/>
  <c r="V443" s="1"/>
  <c r="T443"/>
  <c r="U205"/>
  <c r="V205" s="1"/>
  <c r="T205"/>
  <c r="U138"/>
  <c r="V138" s="1"/>
  <c r="T138"/>
  <c r="U393"/>
  <c r="V393" s="1"/>
  <c r="T393"/>
  <c r="U92"/>
  <c r="V92" s="1"/>
  <c r="T92"/>
  <c r="U421"/>
  <c r="V421" s="1"/>
  <c r="T421"/>
  <c r="U520"/>
  <c r="V520" s="1"/>
  <c r="T520"/>
  <c r="U126"/>
  <c r="V126" s="1"/>
  <c r="T126"/>
  <c r="U452"/>
  <c r="V452" s="1"/>
  <c r="T452"/>
  <c r="U318"/>
  <c r="V318" s="1"/>
  <c r="T318"/>
  <c r="U316"/>
  <c r="V316" s="1"/>
  <c r="T316"/>
  <c r="U347"/>
  <c r="V347" s="1"/>
  <c r="T347"/>
  <c r="U169"/>
  <c r="V169" s="1"/>
  <c r="T169"/>
  <c r="U108"/>
  <c r="V108" s="1"/>
  <c r="T108"/>
  <c r="U491"/>
  <c r="V491" s="1"/>
  <c r="T491"/>
  <c r="U122"/>
  <c r="V122" s="1"/>
  <c r="T122"/>
  <c r="U383"/>
  <c r="V383" s="1"/>
  <c r="T383"/>
  <c r="U442"/>
  <c r="V442" s="1"/>
  <c r="T442"/>
  <c r="U91"/>
  <c r="V91" s="1"/>
  <c r="T91"/>
  <c r="U296"/>
  <c r="V296" s="1"/>
  <c r="T296"/>
  <c r="U359"/>
  <c r="V359" s="1"/>
  <c r="T359"/>
  <c r="U37"/>
  <c r="V37" s="1"/>
  <c r="T37"/>
  <c r="U33"/>
  <c r="V33" s="1"/>
  <c r="T33"/>
  <c r="U490"/>
  <c r="V490" s="1"/>
  <c r="T490"/>
  <c r="U107"/>
  <c r="V107" s="1"/>
  <c r="T107"/>
  <c r="U75"/>
  <c r="V75" s="1"/>
  <c r="T75"/>
  <c r="U142"/>
  <c r="V142" s="1"/>
  <c r="T142"/>
  <c r="R431"/>
  <c r="S431" s="1"/>
  <c r="R239"/>
  <c r="S239" s="1"/>
  <c r="R240"/>
  <c r="S240" s="1"/>
  <c r="R112"/>
  <c r="S112" s="1"/>
  <c r="S81"/>
  <c r="R335"/>
  <c r="S335" s="1"/>
  <c r="R465"/>
  <c r="S465" s="1"/>
  <c r="R337"/>
  <c r="S337" s="1"/>
  <c r="U774"/>
  <c r="V774" s="1"/>
  <c r="U806"/>
  <c r="V806" s="1"/>
  <c r="U870"/>
  <c r="V870" s="1"/>
  <c r="T678"/>
  <c r="T1062"/>
  <c r="U710"/>
  <c r="V710" s="1"/>
  <c r="B167" i="29"/>
  <c r="U646" i="49"/>
  <c r="V646" s="1"/>
  <c r="T646"/>
  <c r="T1030"/>
  <c r="U1030"/>
  <c r="V1030" s="1"/>
  <c r="U582"/>
  <c r="V582" s="1"/>
  <c r="T582"/>
  <c r="T614"/>
  <c r="U614"/>
  <c r="V614" s="1"/>
  <c r="U742"/>
  <c r="V742" s="1"/>
  <c r="T742"/>
  <c r="T902"/>
  <c r="U902"/>
  <c r="V902" s="1"/>
  <c r="B168" i="29"/>
  <c r="E193"/>
  <c r="E194" s="1"/>
  <c r="E196"/>
  <c r="U46" i="49" l="1"/>
  <c r="V46" s="1"/>
  <c r="B170" i="29"/>
  <c r="B172" s="1"/>
  <c r="B216" s="1"/>
  <c r="B224" s="1"/>
  <c r="B43" i="30" s="1"/>
  <c r="U368" i="49"/>
  <c r="V368" s="1"/>
  <c r="T80"/>
  <c r="T304"/>
  <c r="U270"/>
  <c r="V270" s="1"/>
  <c r="U209"/>
  <c r="V209" s="1"/>
  <c r="T526"/>
  <c r="U496"/>
  <c r="V496" s="1"/>
  <c r="T462"/>
  <c r="U398"/>
  <c r="V398" s="1"/>
  <c r="U432"/>
  <c r="V432" s="1"/>
  <c r="U334"/>
  <c r="V334" s="1"/>
  <c r="U47"/>
  <c r="V47" s="1"/>
  <c r="T110"/>
  <c r="U241"/>
  <c r="V241" s="1"/>
  <c r="U495"/>
  <c r="V495" s="1"/>
  <c r="U273"/>
  <c r="V273" s="1"/>
  <c r="U272"/>
  <c r="V272" s="1"/>
  <c r="T238"/>
  <c r="U400"/>
  <c r="V400" s="1"/>
  <c r="U271"/>
  <c r="V271" s="1"/>
  <c r="U113"/>
  <c r="V113" s="1"/>
  <c r="U465"/>
  <c r="V465" s="1"/>
  <c r="T465"/>
  <c r="U240"/>
  <c r="V240" s="1"/>
  <c r="T240"/>
  <c r="U305"/>
  <c r="V305" s="1"/>
  <c r="T305"/>
  <c r="U430"/>
  <c r="V430" s="1"/>
  <c r="T430"/>
  <c r="U464"/>
  <c r="V464" s="1"/>
  <c r="T464"/>
  <c r="U207"/>
  <c r="V207" s="1"/>
  <c r="T207"/>
  <c r="U79"/>
  <c r="V79" s="1"/>
  <c r="T79"/>
  <c r="U111"/>
  <c r="V111" s="1"/>
  <c r="T111"/>
  <c r="U143"/>
  <c r="V143" s="1"/>
  <c r="T143"/>
  <c r="U177"/>
  <c r="V177" s="1"/>
  <c r="T177"/>
  <c r="U528"/>
  <c r="V528" s="1"/>
  <c r="T528"/>
  <c r="U337"/>
  <c r="V337" s="1"/>
  <c r="T337"/>
  <c r="U112"/>
  <c r="V112" s="1"/>
  <c r="T112"/>
  <c r="U174"/>
  <c r="V174" s="1"/>
  <c r="T174"/>
  <c r="U302"/>
  <c r="V302" s="1"/>
  <c r="T302"/>
  <c r="U336"/>
  <c r="V336" s="1"/>
  <c r="T336"/>
  <c r="U463"/>
  <c r="V463" s="1"/>
  <c r="T463"/>
  <c r="U176"/>
  <c r="V176" s="1"/>
  <c r="T176"/>
  <c r="U175"/>
  <c r="V175" s="1"/>
  <c r="T175"/>
  <c r="U399"/>
  <c r="V399" s="1"/>
  <c r="T399"/>
  <c r="U144"/>
  <c r="V144" s="1"/>
  <c r="T144"/>
  <c r="U81"/>
  <c r="V81" s="1"/>
  <c r="T81"/>
  <c r="U431"/>
  <c r="V431" s="1"/>
  <c r="T431"/>
  <c r="U527"/>
  <c r="V527" s="1"/>
  <c r="T527"/>
  <c r="U208"/>
  <c r="V208" s="1"/>
  <c r="T208"/>
  <c r="U529"/>
  <c r="V529" s="1"/>
  <c r="T529"/>
  <c r="U48"/>
  <c r="V48" s="1"/>
  <c r="T48"/>
  <c r="U303"/>
  <c r="V303" s="1"/>
  <c r="T303"/>
  <c r="U497"/>
  <c r="V497" s="1"/>
  <c r="T497"/>
  <c r="U494"/>
  <c r="V494" s="1"/>
  <c r="T494"/>
  <c r="U335"/>
  <c r="V335" s="1"/>
  <c r="T335"/>
  <c r="U239"/>
  <c r="V239" s="1"/>
  <c r="T239"/>
  <c r="U433"/>
  <c r="V433" s="1"/>
  <c r="T433"/>
  <c r="U49"/>
  <c r="V49" s="1"/>
  <c r="T49"/>
  <c r="U367"/>
  <c r="V367" s="1"/>
  <c r="T367"/>
  <c r="U401"/>
  <c r="V401" s="1"/>
  <c r="T401"/>
  <c r="U145"/>
  <c r="V145" s="1"/>
  <c r="T145"/>
  <c r="U78"/>
  <c r="V78" s="1"/>
  <c r="T78"/>
  <c r="U369"/>
  <c r="V369" s="1"/>
  <c r="T369"/>
  <c r="U366"/>
  <c r="V366" s="1"/>
  <c r="T366"/>
  <c r="T1064"/>
  <c r="R2" s="1"/>
  <c r="E241" i="29" s="1"/>
  <c r="C46" i="30" s="1"/>
  <c r="V1064" i="49"/>
  <c r="J540" s="1"/>
  <c r="N539" s="1"/>
  <c r="I7" i="29"/>
  <c r="C35"/>
  <c r="E128"/>
  <c r="E35"/>
  <c r="B232" l="1"/>
  <c r="B44" i="30" s="1"/>
  <c r="V531" i="49"/>
  <c r="J7" s="1"/>
  <c r="K8" s="1"/>
  <c r="T531"/>
  <c r="Q2" s="1"/>
  <c r="D241" i="29" s="1"/>
  <c r="B46" i="30" s="1"/>
  <c r="AB46" i="12"/>
  <c r="E242" i="29"/>
  <c r="C50" i="30" s="1"/>
  <c r="K541" i="49"/>
  <c r="L540"/>
  <c r="E130" i="29"/>
  <c r="E139" s="1"/>
  <c r="E173" s="1"/>
  <c r="E174" s="1"/>
  <c r="E175" s="1"/>
  <c r="D128"/>
  <c r="B46" i="12" l="1"/>
  <c r="L7" i="49"/>
  <c r="N6"/>
  <c r="D242" i="29"/>
  <c r="B50" i="30" s="1"/>
  <c r="D130" i="29"/>
  <c r="D139" s="1"/>
  <c r="D173" s="1"/>
  <c r="D174" s="1"/>
  <c r="D175" s="1"/>
  <c r="B63" i="31"/>
  <c r="H63"/>
  <c r="H3" s="1"/>
  <c r="B8" i="29" s="1"/>
  <c r="I8" s="1"/>
  <c r="F63" i="31"/>
  <c r="I63"/>
  <c r="H67"/>
  <c r="H68"/>
  <c r="H69"/>
  <c r="H70"/>
  <c r="H71"/>
  <c r="H73"/>
  <c r="E36" i="29"/>
  <c r="C36"/>
  <c r="P3" l="1"/>
  <c r="E140" s="1"/>
  <c r="O3"/>
  <c r="H8"/>
  <c r="J536" i="49"/>
  <c r="J537" s="1"/>
  <c r="B36" i="29"/>
  <c r="D36"/>
  <c r="K544" i="49" l="1"/>
  <c r="E80" i="29"/>
  <c r="J547" i="49" s="1"/>
  <c r="D80" i="29"/>
  <c r="D140"/>
  <c r="E142"/>
  <c r="E158"/>
  <c r="F67" i="31"/>
  <c r="F68"/>
  <c r="F69"/>
  <c r="F70"/>
  <c r="F71"/>
  <c r="F73"/>
  <c r="F3"/>
  <c r="B5" i="29" s="1"/>
  <c r="H5" s="1"/>
  <c r="J3" i="49"/>
  <c r="B33" i="29"/>
  <c r="D33"/>
  <c r="J4" i="49" l="1"/>
  <c r="K10" s="1"/>
  <c r="K543"/>
  <c r="E82" i="29"/>
  <c r="E87" s="1"/>
  <c r="E98"/>
  <c r="E99" s="1"/>
  <c r="D98"/>
  <c r="D82"/>
  <c r="J14" i="49"/>
  <c r="D142" i="29"/>
  <c r="D158"/>
  <c r="E160"/>
  <c r="E171"/>
  <c r="E163"/>
  <c r="E159"/>
  <c r="E164"/>
  <c r="E143"/>
  <c r="E148"/>
  <c r="E155"/>
  <c r="E144"/>
  <c r="E147"/>
  <c r="I5"/>
  <c r="E33"/>
  <c r="C33"/>
  <c r="K11" i="49" l="1"/>
  <c r="E88" i="29"/>
  <c r="E90" s="1"/>
  <c r="E104"/>
  <c r="E103"/>
  <c r="E83"/>
  <c r="E84"/>
  <c r="E95"/>
  <c r="E100"/>
  <c r="E101" s="1"/>
  <c r="E109" s="1"/>
  <c r="E111"/>
  <c r="D155"/>
  <c r="D144"/>
  <c r="D147"/>
  <c r="D143"/>
  <c r="D148"/>
  <c r="D160"/>
  <c r="D171"/>
  <c r="D164"/>
  <c r="D163"/>
  <c r="D159"/>
  <c r="D111"/>
  <c r="D104"/>
  <c r="D100"/>
  <c r="D103"/>
  <c r="D99"/>
  <c r="D88"/>
  <c r="D84"/>
  <c r="D95"/>
  <c r="D87"/>
  <c r="D83"/>
  <c r="E165"/>
  <c r="E166"/>
  <c r="E149"/>
  <c r="E150"/>
  <c r="E146"/>
  <c r="E145"/>
  <c r="E153" s="1"/>
  <c r="E161"/>
  <c r="E169" s="1"/>
  <c r="E162"/>
  <c r="B52" i="31"/>
  <c r="B53"/>
  <c r="I51"/>
  <c r="I53"/>
  <c r="I67"/>
  <c r="I68"/>
  <c r="I69"/>
  <c r="I70"/>
  <c r="I71"/>
  <c r="I73"/>
  <c r="I3"/>
  <c r="B67"/>
  <c r="B68"/>
  <c r="B69"/>
  <c r="B70"/>
  <c r="B71"/>
  <c r="B72"/>
  <c r="B73"/>
  <c r="E89" i="29" l="1"/>
  <c r="D90"/>
  <c r="E105"/>
  <c r="E107" s="1"/>
  <c r="E102"/>
  <c r="E86"/>
  <c r="E92" s="1"/>
  <c r="E85"/>
  <c r="E93" s="1"/>
  <c r="E106"/>
  <c r="D165"/>
  <c r="D166"/>
  <c r="D105"/>
  <c r="D106"/>
  <c r="D162"/>
  <c r="D161"/>
  <c r="D169" s="1"/>
  <c r="D89"/>
  <c r="D102"/>
  <c r="D101"/>
  <c r="D109" s="1"/>
  <c r="D149"/>
  <c r="D150"/>
  <c r="D85"/>
  <c r="D93" s="1"/>
  <c r="D86"/>
  <c r="D146"/>
  <c r="D145"/>
  <c r="D153" s="1"/>
  <c r="E152"/>
  <c r="E151"/>
  <c r="E167"/>
  <c r="E168"/>
  <c r="E154" l="1"/>
  <c r="E156" s="1"/>
  <c r="L548" i="49" s="1"/>
  <c r="E91" i="29"/>
  <c r="E94" s="1"/>
  <c r="E96" s="1"/>
  <c r="E108"/>
  <c r="E110" s="1"/>
  <c r="E112" s="1"/>
  <c r="E170"/>
  <c r="E172" s="1"/>
  <c r="M548" i="49" s="1"/>
  <c r="D108" i="29"/>
  <c r="D152"/>
  <c r="D167"/>
  <c r="D168"/>
  <c r="D151"/>
  <c r="D92"/>
  <c r="D107"/>
  <c r="D91"/>
  <c r="D154" l="1"/>
  <c r="D156" s="1"/>
  <c r="L15" i="49" s="1"/>
  <c r="L547"/>
  <c r="M547"/>
  <c r="D94" i="29"/>
  <c r="D110"/>
  <c r="D170"/>
  <c r="D172" s="1"/>
  <c r="M15" i="49" s="1"/>
  <c r="W866" l="1"/>
  <c r="X866" s="1"/>
  <c r="W929"/>
  <c r="X929" s="1"/>
  <c r="W561"/>
  <c r="W1008"/>
  <c r="Z1008" s="1"/>
  <c r="AA1008" s="1"/>
  <c r="W832"/>
  <c r="Z832" s="1"/>
  <c r="AA832" s="1"/>
  <c r="W907"/>
  <c r="X907" s="1"/>
  <c r="W1061"/>
  <c r="W870"/>
  <c r="Z870" s="1"/>
  <c r="AA870" s="1"/>
  <c r="W975"/>
  <c r="Z975" s="1"/>
  <c r="AA975" s="1"/>
  <c r="W950"/>
  <c r="X950" s="1"/>
  <c r="W590"/>
  <c r="W895"/>
  <c r="Z895" s="1"/>
  <c r="AA895" s="1"/>
  <c r="W924"/>
  <c r="Z924" s="1"/>
  <c r="AA924" s="1"/>
  <c r="W845"/>
  <c r="X845" s="1"/>
  <c r="W968"/>
  <c r="W957"/>
  <c r="X957" s="1"/>
  <c r="W874"/>
  <c r="X874" s="1"/>
  <c r="W948"/>
  <c r="Z948" s="1"/>
  <c r="AA948" s="1"/>
  <c r="W956"/>
  <c r="W943"/>
  <c r="Z943" s="1"/>
  <c r="AA943" s="1"/>
  <c r="W1007"/>
  <c r="Z1007" s="1"/>
  <c r="AA1007" s="1"/>
  <c r="W676"/>
  <c r="Z676" s="1"/>
  <c r="AA676" s="1"/>
  <c r="W965"/>
  <c r="W843"/>
  <c r="Z843" s="1"/>
  <c r="AA843" s="1"/>
  <c r="W809"/>
  <c r="Z809" s="1"/>
  <c r="AA809" s="1"/>
  <c r="W905"/>
  <c r="X905" s="1"/>
  <c r="W1022"/>
  <c r="W620"/>
  <c r="X620" s="1"/>
  <c r="W733"/>
  <c r="X733" s="1"/>
  <c r="W888"/>
  <c r="Z888" s="1"/>
  <c r="AA888" s="1"/>
  <c r="W778"/>
  <c r="W617"/>
  <c r="Z617" s="1"/>
  <c r="AA617" s="1"/>
  <c r="W599"/>
  <c r="Z599" s="1"/>
  <c r="AA599" s="1"/>
  <c r="W719"/>
  <c r="X719" s="1"/>
  <c r="W640"/>
  <c r="W577"/>
  <c r="Z577" s="1"/>
  <c r="AA577" s="1"/>
  <c r="W1040"/>
  <c r="X1040" s="1"/>
  <c r="W964"/>
  <c r="Z964" s="1"/>
  <c r="AA964" s="1"/>
  <c r="W835"/>
  <c r="W615"/>
  <c r="X615" s="1"/>
  <c r="W982"/>
  <c r="X982" s="1"/>
  <c r="W904"/>
  <c r="Z904" s="1"/>
  <c r="AA904" s="1"/>
  <c r="W868"/>
  <c r="Z868" s="1"/>
  <c r="AA868" s="1"/>
  <c r="W715"/>
  <c r="Z715" s="1"/>
  <c r="AA715" s="1"/>
  <c r="W836"/>
  <c r="X836" s="1"/>
  <c r="W643"/>
  <c r="X643" s="1"/>
  <c r="W634"/>
  <c r="X634" s="1"/>
  <c r="W980"/>
  <c r="X980" s="1"/>
  <c r="W997"/>
  <c r="X997" s="1"/>
  <c r="W1034"/>
  <c r="X1034" s="1"/>
  <c r="W750"/>
  <c r="X750" s="1"/>
  <c r="W552"/>
  <c r="X552" s="1"/>
  <c r="W732"/>
  <c r="Z732" s="1"/>
  <c r="AA732" s="1"/>
  <c r="W795"/>
  <c r="Z795" s="1"/>
  <c r="AA795" s="1"/>
  <c r="W894"/>
  <c r="Z894" s="1"/>
  <c r="AA894" s="1"/>
  <c r="W972"/>
  <c r="Z972" s="1"/>
  <c r="AA972" s="1"/>
  <c r="W576"/>
  <c r="X576" s="1"/>
  <c r="W567"/>
  <c r="Z567" s="1"/>
  <c r="AA567" s="1"/>
  <c r="W796"/>
  <c r="X796" s="1"/>
  <c r="W811"/>
  <c r="Z811" s="1"/>
  <c r="AA811" s="1"/>
  <c r="W674"/>
  <c r="Z674" s="1"/>
  <c r="AA674" s="1"/>
  <c r="W767"/>
  <c r="Z767" s="1"/>
  <c r="AA767" s="1"/>
  <c r="W669"/>
  <c r="X669" s="1"/>
  <c r="W922"/>
  <c r="Z922" s="1"/>
  <c r="AA922" s="1"/>
  <c r="W923"/>
  <c r="X923" s="1"/>
  <c r="W1039"/>
  <c r="X1039" s="1"/>
  <c r="W881"/>
  <c r="X881" s="1"/>
  <c r="W765"/>
  <c r="X765" s="1"/>
  <c r="W871"/>
  <c r="Z871" s="1"/>
  <c r="AA871" s="1"/>
  <c r="W1047"/>
  <c r="Z1047" s="1"/>
  <c r="AA1047" s="1"/>
  <c r="W821"/>
  <c r="X821" s="1"/>
  <c r="W592"/>
  <c r="Z592" s="1"/>
  <c r="AA592" s="1"/>
  <c r="W867"/>
  <c r="X867" s="1"/>
  <c r="W578"/>
  <c r="Z578" s="1"/>
  <c r="AA578" s="1"/>
  <c r="W649"/>
  <c r="X649" s="1"/>
  <c r="W808"/>
  <c r="Z808" s="1"/>
  <c r="AA808" s="1"/>
  <c r="W927"/>
  <c r="Z927" s="1"/>
  <c r="AA927" s="1"/>
  <c r="W782"/>
  <c r="X782" s="1"/>
  <c r="W839"/>
  <c r="X839" s="1"/>
  <c r="W764"/>
  <c r="Z764" s="1"/>
  <c r="AA764" s="1"/>
  <c r="W1035"/>
  <c r="Z1035" s="1"/>
  <c r="AA1035" s="1"/>
  <c r="W960"/>
  <c r="Z960" s="1"/>
  <c r="AA960" s="1"/>
  <c r="W885"/>
  <c r="X885" s="1"/>
  <c r="W814"/>
  <c r="Z814" s="1"/>
  <c r="AA814" s="1"/>
  <c r="W877"/>
  <c r="Z877" s="1"/>
  <c r="AA877" s="1"/>
  <c r="W828"/>
  <c r="Z828" s="1"/>
  <c r="AA828" s="1"/>
  <c r="W815"/>
  <c r="X815" s="1"/>
  <c r="W642"/>
  <c r="Z642" s="1"/>
  <c r="AA642" s="1"/>
  <c r="W979"/>
  <c r="X979" s="1"/>
  <c r="W594"/>
  <c r="Z594" s="1"/>
  <c r="AA594" s="1"/>
  <c r="W614"/>
  <c r="X614" s="1"/>
  <c r="W1057"/>
  <c r="X1057" s="1"/>
  <c r="W696"/>
  <c r="Z696" s="1"/>
  <c r="AA696" s="1"/>
  <c r="W754"/>
  <c r="Z754" s="1"/>
  <c r="AA754" s="1"/>
  <c r="W710"/>
  <c r="Z710" s="1"/>
  <c r="AA710" s="1"/>
  <c r="W880"/>
  <c r="X880" s="1"/>
  <c r="W998"/>
  <c r="Z998" s="1"/>
  <c r="AA998" s="1"/>
  <c r="W822"/>
  <c r="X822" s="1"/>
  <c r="W989"/>
  <c r="X989" s="1"/>
  <c r="W876"/>
  <c r="X876" s="1"/>
  <c r="W823"/>
  <c r="Z823" s="1"/>
  <c r="AA823" s="1"/>
  <c r="W893"/>
  <c r="Z893" s="1"/>
  <c r="AA893" s="1"/>
  <c r="W831"/>
  <c r="X831" s="1"/>
  <c r="W610"/>
  <c r="X610" s="1"/>
  <c r="W554"/>
  <c r="Z554" s="1"/>
  <c r="AA554" s="1"/>
  <c r="W720"/>
  <c r="Z720" s="1"/>
  <c r="AA720" s="1"/>
  <c r="W847"/>
  <c r="X847" s="1"/>
  <c r="W670"/>
  <c r="Z670" s="1"/>
  <c r="AA670" s="1"/>
  <c r="W826"/>
  <c r="Z826" s="1"/>
  <c r="AA826" s="1"/>
  <c r="W602"/>
  <c r="Z602" s="1"/>
  <c r="AA602" s="1"/>
  <c r="W722"/>
  <c r="Z722" s="1"/>
  <c r="AA722" s="1"/>
  <c r="W781"/>
  <c r="Z781" s="1"/>
  <c r="AA781" s="1"/>
  <c r="W993"/>
  <c r="X993" s="1"/>
  <c r="W825"/>
  <c r="X825" s="1"/>
  <c r="W834"/>
  <c r="Z834" s="1"/>
  <c r="AA834" s="1"/>
  <c r="W724"/>
  <c r="X724" s="1"/>
  <c r="W1042"/>
  <c r="X1042" s="1"/>
  <c r="W650"/>
  <c r="Z650" s="1"/>
  <c r="AA650" s="1"/>
  <c r="W776"/>
  <c r="X776" s="1"/>
  <c r="W933"/>
  <c r="Z933" s="1"/>
  <c r="AA933" s="1"/>
  <c r="W1001"/>
  <c r="X1001" s="1"/>
  <c r="W609"/>
  <c r="Z609" s="1"/>
  <c r="AA609" s="1"/>
  <c r="W824"/>
  <c r="Z824" s="1"/>
  <c r="AA824" s="1"/>
  <c r="W931"/>
  <c r="Z931" s="1"/>
  <c r="AA931" s="1"/>
  <c r="W625"/>
  <c r="X625" s="1"/>
  <c r="W879"/>
  <c r="Z879" s="1"/>
  <c r="AA879" s="1"/>
  <c r="W1029"/>
  <c r="X1029" s="1"/>
  <c r="W1055"/>
  <c r="X1055" s="1"/>
  <c r="W725"/>
  <c r="X725" s="1"/>
  <c r="W829"/>
  <c r="X829" s="1"/>
  <c r="W708"/>
  <c r="X708" s="1"/>
  <c r="W664"/>
  <c r="Z664" s="1"/>
  <c r="AA664" s="1"/>
  <c r="W663"/>
  <c r="Z663" s="1"/>
  <c r="AA663" s="1"/>
  <c r="W570"/>
  <c r="X570" s="1"/>
  <c r="W1005"/>
  <c r="Z1005" s="1"/>
  <c r="AA1005" s="1"/>
  <c r="W830"/>
  <c r="Z830" s="1"/>
  <c r="AA830" s="1"/>
  <c r="W1014"/>
  <c r="X1014" s="1"/>
  <c r="W648"/>
  <c r="X648" s="1"/>
  <c r="W875"/>
  <c r="Z875" s="1"/>
  <c r="AA875" s="1"/>
  <c r="W833"/>
  <c r="Z833" s="1"/>
  <c r="AA833" s="1"/>
  <c r="W884"/>
  <c r="Z884" s="1"/>
  <c r="AA884" s="1"/>
  <c r="W1051"/>
  <c r="Z1051" s="1"/>
  <c r="AA1051" s="1"/>
  <c r="W618"/>
  <c r="X618" s="1"/>
  <c r="W757"/>
  <c r="Z757" s="1"/>
  <c r="AA757" s="1"/>
  <c r="W667"/>
  <c r="X667" s="1"/>
  <c r="W621"/>
  <c r="Z621" s="1"/>
  <c r="AA621" s="1"/>
  <c r="W657"/>
  <c r="Z657" s="1"/>
  <c r="AA657" s="1"/>
  <c r="W851"/>
  <c r="X851" s="1"/>
  <c r="W770"/>
  <c r="X770" s="1"/>
  <c r="W709"/>
  <c r="Z709" s="1"/>
  <c r="AA709" s="1"/>
  <c r="W581"/>
  <c r="X581" s="1"/>
  <c r="W1045"/>
  <c r="X1045" s="1"/>
  <c r="W953"/>
  <c r="X953" s="1"/>
  <c r="W608"/>
  <c r="X608" s="1"/>
  <c r="W704"/>
  <c r="Z704" s="1"/>
  <c r="AA704" s="1"/>
  <c r="W569"/>
  <c r="Z569" s="1"/>
  <c r="AA569" s="1"/>
  <c r="W1009"/>
  <c r="Z1009" s="1"/>
  <c r="AA1009" s="1"/>
  <c r="W887"/>
  <c r="Z887" s="1"/>
  <c r="AA887" s="1"/>
  <c r="W930"/>
  <c r="X930" s="1"/>
  <c r="W582"/>
  <c r="Z582" s="1"/>
  <c r="AA582" s="1"/>
  <c r="W935"/>
  <c r="Z935" s="1"/>
  <c r="AA935" s="1"/>
  <c r="W999"/>
  <c r="X999" s="1"/>
  <c r="W632"/>
  <c r="X632" s="1"/>
  <c r="W671"/>
  <c r="Z671" s="1"/>
  <c r="AA671" s="1"/>
  <c r="W773"/>
  <c r="X773" s="1"/>
  <c r="W713"/>
  <c r="X713" s="1"/>
  <c r="W656"/>
  <c r="Z656" s="1"/>
  <c r="AA656" s="1"/>
  <c r="W1024"/>
  <c r="Z1024" s="1"/>
  <c r="AA1024" s="1"/>
  <c r="W857"/>
  <c r="Z857" s="1"/>
  <c r="AA857" s="1"/>
  <c r="W891"/>
  <c r="X891" s="1"/>
  <c r="W573"/>
  <c r="X573" s="1"/>
  <c r="W994"/>
  <c r="X994" s="1"/>
  <c r="W1036"/>
  <c r="Z1036" s="1"/>
  <c r="AA1036" s="1"/>
  <c r="W1003"/>
  <c r="X1003" s="1"/>
  <c r="W673"/>
  <c r="Z673" s="1"/>
  <c r="AA673" s="1"/>
  <c r="W672"/>
  <c r="Z672" s="1"/>
  <c r="AA672" s="1"/>
  <c r="W647"/>
  <c r="Z647" s="1"/>
  <c r="AA647" s="1"/>
  <c r="W849"/>
  <c r="Z849" s="1"/>
  <c r="AA849" s="1"/>
  <c r="W619"/>
  <c r="Z619" s="1"/>
  <c r="AA619" s="1"/>
  <c r="W553"/>
  <c r="Z553" s="1"/>
  <c r="AA553" s="1"/>
  <c r="W986"/>
  <c r="X986" s="1"/>
  <c r="W961"/>
  <c r="Z961" s="1"/>
  <c r="AA961" s="1"/>
  <c r="W955"/>
  <c r="X955" s="1"/>
  <c r="W633"/>
  <c r="X633" s="1"/>
  <c r="W842"/>
  <c r="Z842" s="1"/>
  <c r="AA842" s="1"/>
  <c r="W605"/>
  <c r="Z605" s="1"/>
  <c r="AA605" s="1"/>
  <c r="W585"/>
  <c r="Z585" s="1"/>
  <c r="AA585" s="1"/>
  <c r="W769"/>
  <c r="X769" s="1"/>
  <c r="W984"/>
  <c r="Z984" s="1"/>
  <c r="AA984" s="1"/>
  <c r="W1015"/>
  <c r="Z1015" s="1"/>
  <c r="AA1015" s="1"/>
  <c r="W613"/>
  <c r="Z613" s="1"/>
  <c r="AA613" s="1"/>
  <c r="W627"/>
  <c r="Z627" s="1"/>
  <c r="AA627" s="1"/>
  <c r="W900"/>
  <c r="Z900" s="1"/>
  <c r="AA900" s="1"/>
  <c r="W789"/>
  <c r="Z789" s="1"/>
  <c r="AA789" s="1"/>
  <c r="W623"/>
  <c r="X623" s="1"/>
  <c r="W557"/>
  <c r="X557" s="1"/>
  <c r="W990"/>
  <c r="Z990" s="1"/>
  <c r="AA990" s="1"/>
  <c r="W901"/>
  <c r="X901" s="1"/>
  <c r="W659"/>
  <c r="Z659" s="1"/>
  <c r="AA659" s="1"/>
  <c r="W902"/>
  <c r="X902" s="1"/>
  <c r="W666"/>
  <c r="X666" s="1"/>
  <c r="W579"/>
  <c r="Z579" s="1"/>
  <c r="AA579" s="1"/>
  <c r="W1002"/>
  <c r="Z1002" s="1"/>
  <c r="AA1002" s="1"/>
  <c r="W817"/>
  <c r="X817" s="1"/>
  <c r="W1044"/>
  <c r="X1044" s="1"/>
  <c r="W947"/>
  <c r="Z947" s="1"/>
  <c r="AA947" s="1"/>
  <c r="W909"/>
  <c r="Z909" s="1"/>
  <c r="AA909" s="1"/>
  <c r="W675"/>
  <c r="X675" s="1"/>
  <c r="W892"/>
  <c r="Z892" s="1"/>
  <c r="AA892" s="1"/>
  <c r="W636"/>
  <c r="X636" s="1"/>
  <c r="W563"/>
  <c r="X563" s="1"/>
  <c r="W761"/>
  <c r="Z761" s="1"/>
  <c r="AA761" s="1"/>
  <c r="W962"/>
  <c r="Z962" s="1"/>
  <c r="AA962" s="1"/>
  <c r="W969"/>
  <c r="Z969" s="1"/>
  <c r="AA969" s="1"/>
  <c r="W899"/>
  <c r="X899" s="1"/>
  <c r="W883"/>
  <c r="Z883" s="1"/>
  <c r="AA883" s="1"/>
  <c r="W731"/>
  <c r="Z731" s="1"/>
  <c r="AA731" s="1"/>
  <c r="W1013"/>
  <c r="Z1013" s="1"/>
  <c r="AA1013" s="1"/>
  <c r="W593"/>
  <c r="Z593" s="1"/>
  <c r="AA593" s="1"/>
  <c r="W801"/>
  <c r="X801" s="1"/>
  <c r="W992"/>
  <c r="X992" s="1"/>
  <c r="W1023"/>
  <c r="Z1023" s="1"/>
  <c r="AA1023" s="1"/>
  <c r="W913"/>
  <c r="Z913" s="1"/>
  <c r="AA913" s="1"/>
  <c r="W679"/>
  <c r="X679" s="1"/>
  <c r="W896"/>
  <c r="Z896" s="1"/>
  <c r="AA896" s="1"/>
  <c r="W655"/>
  <c r="X655" s="1"/>
  <c r="W631"/>
  <c r="Z631" s="1"/>
  <c r="AA631" s="1"/>
  <c r="W777"/>
  <c r="X777" s="1"/>
  <c r="W934"/>
  <c r="Z934" s="1"/>
  <c r="AA934" s="1"/>
  <c r="W973"/>
  <c r="Z973" s="1"/>
  <c r="AA973" s="1"/>
  <c r="W959"/>
  <c r="Z959" s="1"/>
  <c r="AA959" s="1"/>
  <c r="W637"/>
  <c r="Z637" s="1"/>
  <c r="AA637" s="1"/>
  <c r="W846"/>
  <c r="Z846" s="1"/>
  <c r="AA846" s="1"/>
  <c r="W1030"/>
  <c r="Z1030" s="1"/>
  <c r="AA1030" s="1"/>
  <c r="W589"/>
  <c r="X589" s="1"/>
  <c r="W785"/>
  <c r="X785" s="1"/>
  <c r="W988"/>
  <c r="X988" s="1"/>
  <c r="W1019"/>
  <c r="Z1019" s="1"/>
  <c r="AA1019" s="1"/>
  <c r="W853"/>
  <c r="X853" s="1"/>
  <c r="W641"/>
  <c r="Z641" s="1"/>
  <c r="AA641" s="1"/>
  <c r="W786"/>
  <c r="Z786" s="1"/>
  <c r="AA786" s="1"/>
  <c r="W596"/>
  <c r="X596" s="1"/>
  <c r="W635"/>
  <c r="X635" s="1"/>
  <c r="W793"/>
  <c r="X793" s="1"/>
  <c r="W938"/>
  <c r="Z938" s="1"/>
  <c r="AA938" s="1"/>
  <c r="W977"/>
  <c r="Z977" s="1"/>
  <c r="AA977" s="1"/>
  <c r="W971"/>
  <c r="Z971" s="1"/>
  <c r="AA971" s="1"/>
  <c r="W837"/>
  <c r="Z837" s="1"/>
  <c r="AA837" s="1"/>
  <c r="W716"/>
  <c r="X716" s="1"/>
  <c r="W1021"/>
  <c r="X1021" s="1"/>
  <c r="W903"/>
  <c r="X903" s="1"/>
  <c r="W612"/>
  <c r="Z612" s="1"/>
  <c r="AA612" s="1"/>
  <c r="W936"/>
  <c r="Z936" s="1"/>
  <c r="AA936" s="1"/>
  <c r="W1031"/>
  <c r="Z1031" s="1"/>
  <c r="AA1031" s="1"/>
  <c r="W921"/>
  <c r="X921" s="1"/>
  <c r="W944"/>
  <c r="X944" s="1"/>
  <c r="W865"/>
  <c r="Z865" s="1"/>
  <c r="AA865" s="1"/>
  <c r="W1059"/>
  <c r="X1059" s="1"/>
  <c r="W639"/>
  <c r="Z639" s="1"/>
  <c r="AA639" s="1"/>
  <c r="W652"/>
  <c r="Z652" s="1"/>
  <c r="AA652" s="1"/>
  <c r="W942"/>
  <c r="X942" s="1"/>
  <c r="W917"/>
  <c r="Z917" s="1"/>
  <c r="AA917" s="1"/>
  <c r="W1049"/>
  <c r="Z1049" s="1"/>
  <c r="AA1049" s="1"/>
  <c r="W1025"/>
  <c r="Z1025" s="1"/>
  <c r="AA1025" s="1"/>
  <c r="W840"/>
  <c r="Z840" s="1"/>
  <c r="AA840" s="1"/>
  <c r="W628"/>
  <c r="Z628" s="1"/>
  <c r="AA628" s="1"/>
  <c r="W1004"/>
  <c r="Z1004" s="1"/>
  <c r="AA1004" s="1"/>
  <c r="W737"/>
  <c r="Z737" s="1"/>
  <c r="AA737" s="1"/>
  <c r="W869"/>
  <c r="Z869" s="1"/>
  <c r="AA869" s="1"/>
  <c r="W622"/>
  <c r="X622" s="1"/>
  <c r="W644"/>
  <c r="Z644" s="1"/>
  <c r="AA644" s="1"/>
  <c r="W1026"/>
  <c r="Z1026" s="1"/>
  <c r="AA1026" s="1"/>
  <c r="W603"/>
  <c r="X603" s="1"/>
  <c r="W861"/>
  <c r="X861" s="1"/>
  <c r="W954"/>
  <c r="Z954" s="1"/>
  <c r="AA954" s="1"/>
  <c r="W677"/>
  <c r="X677" s="1"/>
  <c r="W915"/>
  <c r="Z915" s="1"/>
  <c r="AA915" s="1"/>
  <c r="W695"/>
  <c r="X695" s="1"/>
  <c r="W662"/>
  <c r="X662" s="1"/>
  <c r="W1037"/>
  <c r="Z1037" s="1"/>
  <c r="AA1037" s="1"/>
  <c r="W1052"/>
  <c r="Z1052" s="1"/>
  <c r="AA1052" s="1"/>
  <c r="W558"/>
  <c r="Z558" s="1"/>
  <c r="AA558" s="1"/>
  <c r="W952"/>
  <c r="X952" s="1"/>
  <c r="W771"/>
  <c r="X771" s="1"/>
  <c r="W743"/>
  <c r="Z743" s="1"/>
  <c r="AA743" s="1"/>
  <c r="W562"/>
  <c r="Z562" s="1"/>
  <c r="AA562" s="1"/>
  <c r="W937"/>
  <c r="Z937" s="1"/>
  <c r="AA937" s="1"/>
  <c r="W1011"/>
  <c r="Z1011" s="1"/>
  <c r="AA1011" s="1"/>
  <c r="W607"/>
  <c r="Z607" s="1"/>
  <c r="AA607" s="1"/>
  <c r="W787"/>
  <c r="Z787" s="1"/>
  <c r="AA787" s="1"/>
  <c r="W958"/>
  <c r="Z958" s="1"/>
  <c r="AA958" s="1"/>
  <c r="W813"/>
  <c r="X813" s="1"/>
  <c r="W791"/>
  <c r="Z791" s="1"/>
  <c r="AA791" s="1"/>
  <c r="W616"/>
  <c r="Z616" s="1"/>
  <c r="AA616" s="1"/>
  <c r="W735"/>
  <c r="Z735" s="1"/>
  <c r="AA735" s="1"/>
  <c r="W1033"/>
  <c r="Z1033" s="1"/>
  <c r="AA1033" s="1"/>
  <c r="W1048"/>
  <c r="Z1048" s="1"/>
  <c r="AA1048" s="1"/>
  <c r="W606"/>
  <c r="X606" s="1"/>
  <c r="W1012"/>
  <c r="X1012" s="1"/>
  <c r="W803"/>
  <c r="Z803" s="1"/>
  <c r="AA803" s="1"/>
  <c r="W753"/>
  <c r="Z753" s="1"/>
  <c r="AA753" s="1"/>
  <c r="W630"/>
  <c r="Z630" s="1"/>
  <c r="AA630" s="1"/>
  <c r="W805"/>
  <c r="Z805" s="1"/>
  <c r="AA805" s="1"/>
  <c r="W556"/>
  <c r="Z556" s="1"/>
  <c r="AA556" s="1"/>
  <c r="W898"/>
  <c r="Z898" s="1"/>
  <c r="AA898" s="1"/>
  <c r="W1062"/>
  <c r="Z1062" s="1"/>
  <c r="AA1062" s="1"/>
  <c r="W914"/>
  <c r="Z914" s="1"/>
  <c r="AA914" s="1"/>
  <c r="W755"/>
  <c r="X755" s="1"/>
  <c r="W705"/>
  <c r="Z705" s="1"/>
  <c r="AA705" s="1"/>
  <c r="W932"/>
  <c r="X932" s="1"/>
  <c r="W983"/>
  <c r="X983" s="1"/>
  <c r="W981"/>
  <c r="Z981" s="1"/>
  <c r="AA981" s="1"/>
  <c r="W1060"/>
  <c r="Z1060" s="1"/>
  <c r="AA1060" s="1"/>
  <c r="W798"/>
  <c r="Z798" s="1"/>
  <c r="AA798" s="1"/>
  <c r="W779"/>
  <c r="Z779" s="1"/>
  <c r="AA779" s="1"/>
  <c r="W780"/>
  <c r="Z780" s="1"/>
  <c r="AA780" s="1"/>
  <c r="W697"/>
  <c r="Z697" s="1"/>
  <c r="AA697" s="1"/>
  <c r="W638"/>
  <c r="X638" s="1"/>
  <c r="W941"/>
  <c r="Z941" s="1"/>
  <c r="AA941" s="1"/>
  <c r="W560"/>
  <c r="Z560" s="1"/>
  <c r="AA560" s="1"/>
  <c r="W551"/>
  <c r="Z551" s="1"/>
  <c r="AA551" s="1"/>
  <c r="W566"/>
  <c r="Z566" s="1"/>
  <c r="AA566" s="1"/>
  <c r="W966"/>
  <c r="Z966" s="1"/>
  <c r="AA966" s="1"/>
  <c r="W600"/>
  <c r="Z600" s="1"/>
  <c r="AA600" s="1"/>
  <c r="W721"/>
  <c r="Z721" s="1"/>
  <c r="AA721" s="1"/>
  <c r="W910"/>
  <c r="Z910" s="1"/>
  <c r="AA910" s="1"/>
  <c r="W889"/>
  <c r="X889" s="1"/>
  <c r="W1041"/>
  <c r="Z1041" s="1"/>
  <c r="AA1041" s="1"/>
  <c r="W1056"/>
  <c r="X1056" s="1"/>
  <c r="W574"/>
  <c r="X574" s="1"/>
  <c r="W1020"/>
  <c r="Z1020" s="1"/>
  <c r="AA1020" s="1"/>
  <c r="W568"/>
  <c r="Z568" s="1"/>
  <c r="AA568" s="1"/>
  <c r="W759"/>
  <c r="Z759" s="1"/>
  <c r="AA759" s="1"/>
  <c r="W878"/>
  <c r="X878" s="1"/>
  <c r="W595"/>
  <c r="Z595" s="1"/>
  <c r="AA595" s="1"/>
  <c r="W564"/>
  <c r="X564" s="1"/>
  <c r="W555"/>
  <c r="Z555" s="1"/>
  <c r="AA555" s="1"/>
  <c r="W601"/>
  <c r="X601" s="1"/>
  <c r="W970"/>
  <c r="X970" s="1"/>
  <c r="W726"/>
  <c r="X726" s="1"/>
  <c r="W745"/>
  <c r="Z745" s="1"/>
  <c r="AA745" s="1"/>
  <c r="W951"/>
  <c r="X951" s="1"/>
  <c r="W918"/>
  <c r="X918" s="1"/>
  <c r="W1053"/>
  <c r="X1053" s="1"/>
  <c r="W1010"/>
  <c r="Z1010" s="1"/>
  <c r="AA1010" s="1"/>
  <c r="W742"/>
  <c r="Z742" s="1"/>
  <c r="AA742" s="1"/>
  <c r="W859"/>
  <c r="Z859" s="1"/>
  <c r="AA859" s="1"/>
  <c r="W788"/>
  <c r="X788" s="1"/>
  <c r="W751"/>
  <c r="Z751" s="1"/>
  <c r="AA751" s="1"/>
  <c r="W818"/>
  <c r="Z818" s="1"/>
  <c r="AA818" s="1"/>
  <c r="W926"/>
  <c r="Z926" s="1"/>
  <c r="AA926" s="1"/>
  <c r="W1027"/>
  <c r="X1027" s="1"/>
  <c r="W559"/>
  <c r="Z559" s="1"/>
  <c r="AA559" s="1"/>
  <c r="W852"/>
  <c r="Z852" s="1"/>
  <c r="AA852" s="1"/>
  <c r="W783"/>
  <c r="Z783" s="1"/>
  <c r="AA783" s="1"/>
  <c r="W730"/>
  <c r="Z730" s="1"/>
  <c r="AA730" s="1"/>
  <c r="W668"/>
  <c r="Z668" s="1"/>
  <c r="AA668" s="1"/>
  <c r="W1018"/>
  <c r="X1018" s="1"/>
  <c r="W746"/>
  <c r="X746" s="1"/>
  <c r="W827"/>
  <c r="X827" s="1"/>
  <c r="W728"/>
  <c r="Z728" s="1"/>
  <c r="AA728" s="1"/>
  <c r="W729"/>
  <c r="Z729" s="1"/>
  <c r="AA729" s="1"/>
  <c r="W684"/>
  <c r="Z684" s="1"/>
  <c r="AA684" s="1"/>
  <c r="W976"/>
  <c r="Z976" s="1"/>
  <c r="AA976" s="1"/>
  <c r="W580"/>
  <c r="Z580" s="1"/>
  <c r="AA580" s="1"/>
  <c r="W571"/>
  <c r="Z571" s="1"/>
  <c r="AA571" s="1"/>
  <c r="W800"/>
  <c r="Z800" s="1"/>
  <c r="AA800" s="1"/>
  <c r="W741"/>
  <c r="X741" s="1"/>
  <c r="W678"/>
  <c r="Z678" s="1"/>
  <c r="AA678" s="1"/>
  <c r="W598"/>
  <c r="Z598" s="1"/>
  <c r="AA598" s="1"/>
  <c r="W850"/>
  <c r="Z850" s="1"/>
  <c r="AA850" s="1"/>
  <c r="W681"/>
  <c r="Z681" s="1"/>
  <c r="AA681" s="1"/>
  <c r="W912"/>
  <c r="X912" s="1"/>
  <c r="W1046"/>
  <c r="Z1046" s="1"/>
  <c r="AA1046" s="1"/>
  <c r="W758"/>
  <c r="Z758" s="1"/>
  <c r="AA758" s="1"/>
  <c r="W772"/>
  <c r="Z772" s="1"/>
  <c r="AA772" s="1"/>
  <c r="W740"/>
  <c r="X740" s="1"/>
  <c r="W763"/>
  <c r="Z763" s="1"/>
  <c r="AA763" s="1"/>
  <c r="W699"/>
  <c r="X699" s="1"/>
  <c r="W920"/>
  <c r="Z920" s="1"/>
  <c r="AA920" s="1"/>
  <c r="W1043"/>
  <c r="Z1043" s="1"/>
  <c r="AA1043" s="1"/>
  <c r="W575"/>
  <c r="Z575" s="1"/>
  <c r="AA575" s="1"/>
  <c r="W804"/>
  <c r="X804" s="1"/>
  <c r="W714"/>
  <c r="Z714" s="1"/>
  <c r="AA714" s="1"/>
  <c r="W682"/>
  <c r="X682" s="1"/>
  <c r="W739"/>
  <c r="Z739" s="1"/>
  <c r="AA739" s="1"/>
  <c r="W597"/>
  <c r="X597" s="1"/>
  <c r="W687"/>
  <c r="Z687" s="1"/>
  <c r="AA687" s="1"/>
  <c r="W908"/>
  <c r="Z908" s="1"/>
  <c r="AA908" s="1"/>
  <c r="W1016"/>
  <c r="Z1016" s="1"/>
  <c r="AA1016" s="1"/>
  <c r="W690"/>
  <c r="Z690" s="1"/>
  <c r="AA690" s="1"/>
  <c r="W768"/>
  <c r="Z768" s="1"/>
  <c r="AA768" s="1"/>
  <c r="W736"/>
  <c r="X736" s="1"/>
  <c r="W747"/>
  <c r="Z747" s="1"/>
  <c r="AA747" s="1"/>
  <c r="W711"/>
  <c r="X711" s="1"/>
  <c r="W854"/>
  <c r="X854" s="1"/>
  <c r="W858"/>
  <c r="X858" s="1"/>
  <c r="W978"/>
  <c r="Z978" s="1"/>
  <c r="AA978" s="1"/>
  <c r="W744"/>
  <c r="X744" s="1"/>
  <c r="W718"/>
  <c r="Z718" s="1"/>
  <c r="AA718" s="1"/>
  <c r="W686"/>
  <c r="X686" s="1"/>
  <c r="W691"/>
  <c r="Z691" s="1"/>
  <c r="AA691" s="1"/>
  <c r="W692"/>
  <c r="Z692" s="1"/>
  <c r="AA692" s="1"/>
  <c r="W629"/>
  <c r="Z629" s="1"/>
  <c r="AA629" s="1"/>
  <c r="W856"/>
  <c r="Z856" s="1"/>
  <c r="AA856" s="1"/>
  <c r="W1054"/>
  <c r="Z1054" s="1"/>
  <c r="AA1054" s="1"/>
  <c r="W766"/>
  <c r="Z766" s="1"/>
  <c r="AA766" s="1"/>
  <c r="W844"/>
  <c r="Z844" s="1"/>
  <c r="AA844" s="1"/>
  <c r="W748"/>
  <c r="X748" s="1"/>
  <c r="W693"/>
  <c r="Z693" s="1"/>
  <c r="AA693" s="1"/>
  <c r="W940"/>
  <c r="Z940" s="1"/>
  <c r="AA940" s="1"/>
  <c r="W727"/>
  <c r="Z727" s="1"/>
  <c r="AA727" s="1"/>
  <c r="W862"/>
  <c r="Z862" s="1"/>
  <c r="AA862" s="1"/>
  <c r="W583"/>
  <c r="Z583" s="1"/>
  <c r="AA583" s="1"/>
  <c r="W812"/>
  <c r="Z812" s="1"/>
  <c r="AA812" s="1"/>
  <c r="W658"/>
  <c r="Z658" s="1"/>
  <c r="AA658" s="1"/>
  <c r="W626"/>
  <c r="Z626" s="1"/>
  <c r="AA626" s="1"/>
  <c r="W707"/>
  <c r="Z707" s="1"/>
  <c r="AA707" s="1"/>
  <c r="W890"/>
  <c r="X890" s="1"/>
  <c r="W685"/>
  <c r="Z685" s="1"/>
  <c r="AA685" s="1"/>
  <c r="W916"/>
  <c r="X916" s="1"/>
  <c r="W1050"/>
  <c r="X1050" s="1"/>
  <c r="W762"/>
  <c r="Z762" s="1"/>
  <c r="AA762" s="1"/>
  <c r="W712"/>
  <c r="Z712" s="1"/>
  <c r="AA712" s="1"/>
  <c r="W680"/>
  <c r="Z680" s="1"/>
  <c r="AA680" s="1"/>
  <c r="W588"/>
  <c r="Z588" s="1"/>
  <c r="AA588" s="1"/>
  <c r="W688"/>
  <c r="X688" s="1"/>
  <c r="W689"/>
  <c r="Z689" s="1"/>
  <c r="AA689" s="1"/>
  <c r="W802"/>
  <c r="Z802" s="1"/>
  <c r="AA802" s="1"/>
  <c r="W587"/>
  <c r="Z587" s="1"/>
  <c r="AA587" s="1"/>
  <c r="W816"/>
  <c r="X816" s="1"/>
  <c r="W790"/>
  <c r="X790" s="1"/>
  <c r="W694"/>
  <c r="Z694" s="1"/>
  <c r="AA694" s="1"/>
  <c r="W749"/>
  <c r="Z749" s="1"/>
  <c r="AA749" s="1"/>
  <c r="W646"/>
  <c r="Z646" s="1"/>
  <c r="AA646" s="1"/>
  <c r="W991"/>
  <c r="X991" s="1"/>
  <c r="W864"/>
  <c r="Z864" s="1"/>
  <c r="AA864" s="1"/>
  <c r="W919"/>
  <c r="Z919" s="1"/>
  <c r="AA919" s="1"/>
  <c r="W774"/>
  <c r="Z774" s="1"/>
  <c r="AA774" s="1"/>
  <c r="W807"/>
  <c r="X807" s="1"/>
  <c r="W756"/>
  <c r="Z756" s="1"/>
  <c r="AA756" s="1"/>
  <c r="W661"/>
  <c r="Z661" s="1"/>
  <c r="AA661" s="1"/>
  <c r="W700"/>
  <c r="Z700" s="1"/>
  <c r="AA700" s="1"/>
  <c r="W939"/>
  <c r="X939" s="1"/>
  <c r="W806"/>
  <c r="Z806" s="1"/>
  <c r="AA806" s="1"/>
  <c r="W591"/>
  <c r="Z591" s="1"/>
  <c r="AA591" s="1"/>
  <c r="W820"/>
  <c r="Z820" s="1"/>
  <c r="AA820" s="1"/>
  <c r="W794"/>
  <c r="Z794" s="1"/>
  <c r="AA794" s="1"/>
  <c r="W698"/>
  <c r="Z698" s="1"/>
  <c r="AA698" s="1"/>
  <c r="W872"/>
  <c r="Z872" s="1"/>
  <c r="AA872" s="1"/>
  <c r="W572"/>
  <c r="Z572" s="1"/>
  <c r="AA572" s="1"/>
  <c r="W723"/>
  <c r="Z723" s="1"/>
  <c r="AA723" s="1"/>
  <c r="W1000"/>
  <c r="Z1000" s="1"/>
  <c r="AA1000" s="1"/>
  <c r="W738"/>
  <c r="X738" s="1"/>
  <c r="W886"/>
  <c r="X886" s="1"/>
  <c r="W775"/>
  <c r="X775" s="1"/>
  <c r="W784"/>
  <c r="X784" s="1"/>
  <c r="W584"/>
  <c r="X584" s="1"/>
  <c r="W799"/>
  <c r="X799" s="1"/>
  <c r="W792"/>
  <c r="Z792" s="1"/>
  <c r="AA792" s="1"/>
  <c r="W946"/>
  <c r="Z946" s="1"/>
  <c r="AA946" s="1"/>
  <c r="W797"/>
  <c r="Z797" s="1"/>
  <c r="AA797" s="1"/>
  <c r="W734"/>
  <c r="Z734" s="1"/>
  <c r="AA734" s="1"/>
  <c r="W855"/>
  <c r="X855" s="1"/>
  <c r="W967"/>
  <c r="Z967" s="1"/>
  <c r="AA967" s="1"/>
  <c r="W928"/>
  <c r="X928" s="1"/>
  <c r="W911"/>
  <c r="Z911" s="1"/>
  <c r="AA911" s="1"/>
  <c r="W1017"/>
  <c r="X1017" s="1"/>
  <c r="W1038"/>
  <c r="X1038" s="1"/>
  <c r="W660"/>
  <c r="X660" s="1"/>
  <c r="W996"/>
  <c r="X996" s="1"/>
  <c r="W963"/>
  <c r="Z963" s="1"/>
  <c r="AA963" s="1"/>
  <c r="W925"/>
  <c r="Z925" s="1"/>
  <c r="AA925" s="1"/>
  <c r="W897"/>
  <c r="X897" s="1"/>
  <c r="W1058"/>
  <c r="Z1058" s="1"/>
  <c r="AA1058" s="1"/>
  <c r="W1006"/>
  <c r="Z1006" s="1"/>
  <c r="AA1006" s="1"/>
  <c r="W838"/>
  <c r="Z838" s="1"/>
  <c r="AA838" s="1"/>
  <c r="W604"/>
  <c r="X604" s="1"/>
  <c r="W882"/>
  <c r="Z882" s="1"/>
  <c r="AA882" s="1"/>
  <c r="W985"/>
  <c r="X985" s="1"/>
  <c r="W701"/>
  <c r="X701" s="1"/>
  <c r="W654"/>
  <c r="X654" s="1"/>
  <c r="W987"/>
  <c r="Z987" s="1"/>
  <c r="AA987" s="1"/>
  <c r="W860"/>
  <c r="Z860" s="1"/>
  <c r="AA860" s="1"/>
  <c r="W1032"/>
  <c r="Z1032" s="1"/>
  <c r="AA1032" s="1"/>
  <c r="W706"/>
  <c r="Z706" s="1"/>
  <c r="AA706" s="1"/>
  <c r="W848"/>
  <c r="X848" s="1"/>
  <c r="W752"/>
  <c r="Z752" s="1"/>
  <c r="AA752" s="1"/>
  <c r="W645"/>
  <c r="Z645" s="1"/>
  <c r="AA645" s="1"/>
  <c r="W703"/>
  <c r="X703" s="1"/>
  <c r="W945"/>
  <c r="Z945" s="1"/>
  <c r="AA945" s="1"/>
  <c r="W810"/>
  <c r="X810" s="1"/>
  <c r="W873"/>
  <c r="Z873" s="1"/>
  <c r="AA873" s="1"/>
  <c r="W760"/>
  <c r="X760" s="1"/>
  <c r="W863"/>
  <c r="Z863" s="1"/>
  <c r="AA863" s="1"/>
  <c r="W702"/>
  <c r="Z702" s="1"/>
  <c r="AA702" s="1"/>
  <c r="W717"/>
  <c r="Z717" s="1"/>
  <c r="AA717" s="1"/>
  <c r="W949"/>
  <c r="X949" s="1"/>
  <c r="W665"/>
  <c r="X665" s="1"/>
  <c r="W683"/>
  <c r="X683" s="1"/>
  <c r="W586"/>
  <c r="Z586" s="1"/>
  <c r="AA586" s="1"/>
  <c r="W819"/>
  <c r="Z819" s="1"/>
  <c r="AA819" s="1"/>
  <c r="W565"/>
  <c r="X565" s="1"/>
  <c r="W974"/>
  <c r="X974" s="1"/>
  <c r="W624"/>
  <c r="Z624" s="1"/>
  <c r="AA624" s="1"/>
  <c r="W995"/>
  <c r="Z995" s="1"/>
  <c r="AA995" s="1"/>
  <c r="W906"/>
  <c r="X906" s="1"/>
  <c r="W653"/>
  <c r="Z653" s="1"/>
  <c r="AA653" s="1"/>
  <c r="W651"/>
  <c r="Z651" s="1"/>
  <c r="AA651" s="1"/>
  <c r="W841"/>
  <c r="Z841" s="1"/>
  <c r="AA841" s="1"/>
  <c r="W611"/>
  <c r="Z611" s="1"/>
  <c r="AA611" s="1"/>
  <c r="W1028"/>
  <c r="X1028" s="1"/>
  <c r="D96" i="29"/>
  <c r="L14" i="49" s="1"/>
  <c r="D112" i="29"/>
  <c r="M14" i="49" s="1"/>
  <c r="X965"/>
  <c r="Z965"/>
  <c r="AA965" s="1"/>
  <c r="Z1022"/>
  <c r="AA1022" s="1"/>
  <c r="X1022"/>
  <c r="X590"/>
  <c r="Z590"/>
  <c r="AA590" s="1"/>
  <c r="X895"/>
  <c r="X968"/>
  <c r="Z968"/>
  <c r="AA968" s="1"/>
  <c r="Z1061"/>
  <c r="AA1061" s="1"/>
  <c r="X1061"/>
  <c r="X561"/>
  <c r="Z561"/>
  <c r="AA561" s="1"/>
  <c r="Z634"/>
  <c r="AA634" s="1"/>
  <c r="Z796"/>
  <c r="AA796" s="1"/>
  <c r="Z649"/>
  <c r="AA649" s="1"/>
  <c r="Z815"/>
  <c r="AA815" s="1"/>
  <c r="Z778"/>
  <c r="AA778" s="1"/>
  <c r="X778"/>
  <c r="Z847"/>
  <c r="AA847" s="1"/>
  <c r="X956"/>
  <c r="Z956"/>
  <c r="AA956" s="1"/>
  <c r="X870"/>
  <c r="Z930"/>
  <c r="AA930" s="1"/>
  <c r="X640"/>
  <c r="Z640"/>
  <c r="AA640" s="1"/>
  <c r="X835"/>
  <c r="Z835"/>
  <c r="AA835" s="1"/>
  <c r="X627"/>
  <c r="Z589" l="1"/>
  <c r="AA589" s="1"/>
  <c r="Z970"/>
  <c r="AA970" s="1"/>
  <c r="X767"/>
  <c r="X954"/>
  <c r="X914"/>
  <c r="X569"/>
  <c r="Z615"/>
  <c r="AA615" s="1"/>
  <c r="Z1055"/>
  <c r="AA1055" s="1"/>
  <c r="X715"/>
  <c r="X1008"/>
  <c r="X602"/>
  <c r="Z822"/>
  <c r="AA822" s="1"/>
  <c r="X948"/>
  <c r="X1013"/>
  <c r="Z648"/>
  <c r="AA648" s="1"/>
  <c r="X1049"/>
  <c r="Z929"/>
  <c r="AA929" s="1"/>
  <c r="Z1059"/>
  <c r="AA1059" s="1"/>
  <c r="Z636"/>
  <c r="AA636" s="1"/>
  <c r="X605"/>
  <c r="Z829"/>
  <c r="AA829" s="1"/>
  <c r="Z643"/>
  <c r="AA643" s="1"/>
  <c r="Z782"/>
  <c r="AA782" s="1"/>
  <c r="Z719"/>
  <c r="AA719" s="1"/>
  <c r="Z950"/>
  <c r="AA950" s="1"/>
  <c r="Z655"/>
  <c r="AA655" s="1"/>
  <c r="X789"/>
  <c r="Z891"/>
  <c r="AA891" s="1"/>
  <c r="X964"/>
  <c r="Z570"/>
  <c r="AA570" s="1"/>
  <c r="Z825"/>
  <c r="AA825" s="1"/>
  <c r="X754"/>
  <c r="X594"/>
  <c r="X578"/>
  <c r="Z713"/>
  <c r="AA713" s="1"/>
  <c r="Z845"/>
  <c r="AA845" s="1"/>
  <c r="X579"/>
  <c r="X849"/>
  <c r="Z608"/>
  <c r="AA608" s="1"/>
  <c r="X1051"/>
  <c r="Z1034"/>
  <c r="AA1034" s="1"/>
  <c r="Z907"/>
  <c r="AA907" s="1"/>
  <c r="Z785"/>
  <c r="AA785" s="1"/>
  <c r="Z994"/>
  <c r="AA994" s="1"/>
  <c r="X1024"/>
  <c r="Z679"/>
  <c r="AA679" s="1"/>
  <c r="Z817"/>
  <c r="AA817" s="1"/>
  <c r="Z793"/>
  <c r="AA793" s="1"/>
  <c r="X830"/>
  <c r="X781"/>
  <c r="Z880"/>
  <c r="AA880" s="1"/>
  <c r="X814"/>
  <c r="X922"/>
  <c r="Z552"/>
  <c r="AA552" s="1"/>
  <c r="Z677"/>
  <c r="AA677" s="1"/>
  <c r="X612"/>
  <c r="Z777"/>
  <c r="AA777" s="1"/>
  <c r="X883"/>
  <c r="Z557"/>
  <c r="AA557" s="1"/>
  <c r="Z633"/>
  <c r="AA633" s="1"/>
  <c r="X833"/>
  <c r="Z771"/>
  <c r="AA771" s="1"/>
  <c r="X1025"/>
  <c r="Z620"/>
  <c r="AA620" s="1"/>
  <c r="X582"/>
  <c r="X933"/>
  <c r="Z876"/>
  <c r="AA876" s="1"/>
  <c r="X811"/>
  <c r="Z980"/>
  <c r="AA980" s="1"/>
  <c r="X803"/>
  <c r="X1026"/>
  <c r="X943"/>
  <c r="Z928"/>
  <c r="AA928" s="1"/>
  <c r="Z813"/>
  <c r="AA813" s="1"/>
  <c r="Z827"/>
  <c r="AA827" s="1"/>
  <c r="X600"/>
  <c r="X963"/>
  <c r="X768"/>
  <c r="X568"/>
  <c r="Z755"/>
  <c r="AA755" s="1"/>
  <c r="Z1027"/>
  <c r="AA1027" s="1"/>
  <c r="X780"/>
  <c r="X637"/>
  <c r="X553"/>
  <c r="Z957"/>
  <c r="AA957" s="1"/>
  <c r="Z610"/>
  <c r="AA610" s="1"/>
  <c r="X718"/>
  <c r="Z1057"/>
  <c r="AA1057" s="1"/>
  <c r="X972"/>
  <c r="X556"/>
  <c r="X1033"/>
  <c r="X1037"/>
  <c r="Z944"/>
  <c r="AA944" s="1"/>
  <c r="Z902"/>
  <c r="AA902" s="1"/>
  <c r="Z1045"/>
  <c r="AA1045" s="1"/>
  <c r="Z765"/>
  <c r="AA765" s="1"/>
  <c r="X652"/>
  <c r="X761"/>
  <c r="X757"/>
  <c r="Z724"/>
  <c r="AA724" s="1"/>
  <c r="X617"/>
  <c r="X764"/>
  <c r="Z741"/>
  <c r="AA741" s="1"/>
  <c r="X1011"/>
  <c r="X577"/>
  <c r="X837"/>
  <c r="X641"/>
  <c r="Z801"/>
  <c r="AA801" s="1"/>
  <c r="Z675"/>
  <c r="AA675" s="1"/>
  <c r="Z769"/>
  <c r="AA769" s="1"/>
  <c r="X672"/>
  <c r="X671"/>
  <c r="Z851"/>
  <c r="AA851" s="1"/>
  <c r="X664"/>
  <c r="X931"/>
  <c r="X670"/>
  <c r="X592"/>
  <c r="X642"/>
  <c r="X808"/>
  <c r="Z790"/>
  <c r="AA790" s="1"/>
  <c r="X772"/>
  <c r="X1041"/>
  <c r="X560"/>
  <c r="X981"/>
  <c r="X737"/>
  <c r="X843"/>
  <c r="X752"/>
  <c r="X714"/>
  <c r="Z1053"/>
  <c r="AA1053" s="1"/>
  <c r="X850"/>
  <c r="X646"/>
  <c r="Z1017"/>
  <c r="AA1017" s="1"/>
  <c r="X844"/>
  <c r="X976"/>
  <c r="Z775"/>
  <c r="AA775" s="1"/>
  <c r="X730"/>
  <c r="Z788"/>
  <c r="AA788" s="1"/>
  <c r="Z726"/>
  <c r="AA726" s="1"/>
  <c r="Z991"/>
  <c r="AA991" s="1"/>
  <c r="X658"/>
  <c r="Z854"/>
  <c r="AA854" s="1"/>
  <c r="X687"/>
  <c r="X920"/>
  <c r="X681"/>
  <c r="Z855"/>
  <c r="AA855" s="1"/>
  <c r="Z564"/>
  <c r="AA564" s="1"/>
  <c r="Z939"/>
  <c r="AA939" s="1"/>
  <c r="X712"/>
  <c r="Z836"/>
  <c r="AA836" s="1"/>
  <c r="X1048"/>
  <c r="Z992"/>
  <c r="AA992" s="1"/>
  <c r="X731"/>
  <c r="X732"/>
  <c r="Z997"/>
  <c r="AA997" s="1"/>
  <c r="Z733"/>
  <c r="AA733" s="1"/>
  <c r="Z953"/>
  <c r="AA953" s="1"/>
  <c r="Z1014"/>
  <c r="AA1014" s="1"/>
  <c r="Z625"/>
  <c r="AA625" s="1"/>
  <c r="X984"/>
  <c r="X842"/>
  <c r="X668"/>
  <c r="Z874"/>
  <c r="AA874" s="1"/>
  <c r="X826"/>
  <c r="X832"/>
  <c r="X1052"/>
  <c r="X702"/>
  <c r="X794"/>
  <c r="Z807"/>
  <c r="AA807" s="1"/>
  <c r="X792"/>
  <c r="X723"/>
  <c r="X689"/>
  <c r="X685"/>
  <c r="X727"/>
  <c r="X629"/>
  <c r="X860"/>
  <c r="Z942"/>
  <c r="AA942" s="1"/>
  <c r="X962"/>
  <c r="Z986"/>
  <c r="AA986" s="1"/>
  <c r="Z982"/>
  <c r="AA982" s="1"/>
  <c r="Z1001"/>
  <c r="AA1001" s="1"/>
  <c r="X998"/>
  <c r="X945"/>
  <c r="Z682"/>
  <c r="AA682" s="1"/>
  <c r="Z576"/>
  <c r="AA576" s="1"/>
  <c r="Z1040"/>
  <c r="AA1040" s="1"/>
  <c r="X791"/>
  <c r="X915"/>
  <c r="Z603"/>
  <c r="AA603" s="1"/>
  <c r="X884"/>
  <c r="Z1042"/>
  <c r="AA1042" s="1"/>
  <c r="Z686"/>
  <c r="AA686" s="1"/>
  <c r="X607"/>
  <c r="Z773"/>
  <c r="AA773" s="1"/>
  <c r="Z867"/>
  <c r="AA867" s="1"/>
  <c r="X856"/>
  <c r="X898"/>
  <c r="X869"/>
  <c r="X896"/>
  <c r="X900"/>
  <c r="X599"/>
  <c r="Z665"/>
  <c r="AA665" s="1"/>
  <c r="X935"/>
  <c r="X696"/>
  <c r="Z979"/>
  <c r="AA979" s="1"/>
  <c r="Z916"/>
  <c r="AA916" s="1"/>
  <c r="X692"/>
  <c r="X753"/>
  <c r="X743"/>
  <c r="X840"/>
  <c r="Z866"/>
  <c r="AA866" s="1"/>
  <c r="X717"/>
  <c r="X694"/>
  <c r="X626"/>
  <c r="Z858"/>
  <c r="AA858" s="1"/>
  <c r="X1043"/>
  <c r="X802"/>
  <c r="X862"/>
  <c r="Z736"/>
  <c r="AA736" s="1"/>
  <c r="Z740"/>
  <c r="AA740" s="1"/>
  <c r="X838"/>
  <c r="X624"/>
  <c r="X873"/>
  <c r="Z701"/>
  <c r="AA701" s="1"/>
  <c r="X680"/>
  <c r="Z748"/>
  <c r="AA748" s="1"/>
  <c r="X908"/>
  <c r="Z912"/>
  <c r="AA912" s="1"/>
  <c r="X967"/>
  <c r="X846"/>
  <c r="X934"/>
  <c r="Z666"/>
  <c r="AA666" s="1"/>
  <c r="X990"/>
  <c r="X857"/>
  <c r="X1009"/>
  <c r="Z667"/>
  <c r="AA667" s="1"/>
  <c r="Z770"/>
  <c r="AA770" s="1"/>
  <c r="Z725"/>
  <c r="AA725" s="1"/>
  <c r="X927"/>
  <c r="X645"/>
  <c r="X698"/>
  <c r="X806"/>
  <c r="X756"/>
  <c r="X864"/>
  <c r="X674"/>
  <c r="X924"/>
  <c r="X555"/>
  <c r="X759"/>
  <c r="Z1056"/>
  <c r="AA1056" s="1"/>
  <c r="X721"/>
  <c r="X551"/>
  <c r="X697"/>
  <c r="X1060"/>
  <c r="X705"/>
  <c r="X975"/>
  <c r="X809"/>
  <c r="X925"/>
  <c r="Z1038"/>
  <c r="AA1038" s="1"/>
  <c r="X865"/>
  <c r="X936"/>
  <c r="Z716"/>
  <c r="AA716" s="1"/>
  <c r="X938"/>
  <c r="X786"/>
  <c r="Z988"/>
  <c r="AA988" s="1"/>
  <c r="X892"/>
  <c r="Z1044"/>
  <c r="AA1044" s="1"/>
  <c r="X647"/>
  <c r="X1036"/>
  <c r="X651"/>
  <c r="X586"/>
  <c r="X663"/>
  <c r="Z993"/>
  <c r="AA993" s="1"/>
  <c r="X554"/>
  <c r="X871"/>
  <c r="X823"/>
  <c r="Z923"/>
  <c r="AA923" s="1"/>
  <c r="X877"/>
  <c r="X1035"/>
  <c r="X1032"/>
  <c r="X678"/>
  <c r="X580"/>
  <c r="X728"/>
  <c r="X946"/>
  <c r="Z784"/>
  <c r="AA784" s="1"/>
  <c r="X1000"/>
  <c r="X559"/>
  <c r="X751"/>
  <c r="X1010"/>
  <c r="X745"/>
  <c r="X1007"/>
  <c r="X706"/>
  <c r="Z654"/>
  <c r="AA654" s="1"/>
  <c r="Z584"/>
  <c r="AA584" s="1"/>
  <c r="X868"/>
  <c r="X911"/>
  <c r="X959"/>
  <c r="Z581"/>
  <c r="AA581" s="1"/>
  <c r="Z618"/>
  <c r="AA618" s="1"/>
  <c r="Z881"/>
  <c r="AA881" s="1"/>
  <c r="Z885"/>
  <c r="AA885" s="1"/>
  <c r="X863"/>
  <c r="Z688"/>
  <c r="AA688" s="1"/>
  <c r="Z711"/>
  <c r="AA711" s="1"/>
  <c r="X684"/>
  <c r="X894"/>
  <c r="X1020"/>
  <c r="Z1012"/>
  <c r="AA1012" s="1"/>
  <c r="X1004"/>
  <c r="X971"/>
  <c r="Z906"/>
  <c r="AA906" s="1"/>
  <c r="X1005"/>
  <c r="Z821"/>
  <c r="AA821" s="1"/>
  <c r="X700"/>
  <c r="X940"/>
  <c r="Z699"/>
  <c r="AA699" s="1"/>
  <c r="X859"/>
  <c r="X779"/>
  <c r="Z952"/>
  <c r="AA952" s="1"/>
  <c r="X882"/>
  <c r="Z903"/>
  <c r="AA903" s="1"/>
  <c r="X875"/>
  <c r="Z1029"/>
  <c r="AA1029" s="1"/>
  <c r="Z831"/>
  <c r="AA831" s="1"/>
  <c r="Z614"/>
  <c r="AA614" s="1"/>
  <c r="Z839"/>
  <c r="AA839" s="1"/>
  <c r="Z890"/>
  <c r="AA890" s="1"/>
  <c r="Z597"/>
  <c r="AA597" s="1"/>
  <c r="Z669"/>
  <c r="AA669" s="1"/>
  <c r="Z750"/>
  <c r="AA750" s="1"/>
  <c r="X783"/>
  <c r="X966"/>
  <c r="X958"/>
  <c r="X797"/>
  <c r="X621"/>
  <c r="X609"/>
  <c r="X879"/>
  <c r="X650"/>
  <c r="X720"/>
  <c r="X1047"/>
  <c r="X893"/>
  <c r="Z1039"/>
  <c r="AA1039" s="1"/>
  <c r="X828"/>
  <c r="X567"/>
  <c r="X888"/>
  <c r="Z905"/>
  <c r="AA905" s="1"/>
  <c r="X676"/>
  <c r="X917"/>
  <c r="Z1021"/>
  <c r="AA1021" s="1"/>
  <c r="X1019"/>
  <c r="X973"/>
  <c r="Z604"/>
  <c r="AA604" s="1"/>
  <c r="Z660"/>
  <c r="AA660" s="1"/>
  <c r="Z596"/>
  <c r="AA596" s="1"/>
  <c r="X1023"/>
  <c r="X969"/>
  <c r="X947"/>
  <c r="Z901"/>
  <c r="AA901" s="1"/>
  <c r="X1015"/>
  <c r="X961"/>
  <c r="Z1003"/>
  <c r="AA1003" s="1"/>
  <c r="X904"/>
  <c r="Z999"/>
  <c r="AA999" s="1"/>
  <c r="X887"/>
  <c r="X709"/>
  <c r="X960"/>
  <c r="X795"/>
  <c r="Z897"/>
  <c r="AA897" s="1"/>
  <c r="X1031"/>
  <c r="X977"/>
  <c r="X1030"/>
  <c r="Z760"/>
  <c r="AA760" s="1"/>
  <c r="Z799"/>
  <c r="AA799" s="1"/>
  <c r="X1006"/>
  <c r="Z985"/>
  <c r="AA985" s="1"/>
  <c r="Z1028"/>
  <c r="AA1028" s="1"/>
  <c r="X653"/>
  <c r="Z974"/>
  <c r="AA974" s="1"/>
  <c r="Z683"/>
  <c r="AA683" s="1"/>
  <c r="Z810"/>
  <c r="AA810" s="1"/>
  <c r="Z703"/>
  <c r="AA703" s="1"/>
  <c r="X1058"/>
  <c r="X639"/>
  <c r="Z635"/>
  <c r="AA635" s="1"/>
  <c r="X631"/>
  <c r="X611"/>
  <c r="Z565"/>
  <c r="AA565" s="1"/>
  <c r="X656"/>
  <c r="Z632"/>
  <c r="AA632" s="1"/>
  <c r="X704"/>
  <c r="X657"/>
  <c r="Z708"/>
  <c r="AA708" s="1"/>
  <c r="X824"/>
  <c r="X834"/>
  <c r="Z776"/>
  <c r="AA776" s="1"/>
  <c r="X722"/>
  <c r="Z989"/>
  <c r="AA989" s="1"/>
  <c r="X710"/>
  <c r="Z848"/>
  <c r="AA848" s="1"/>
  <c r="X820"/>
  <c r="X774"/>
  <c r="Z816"/>
  <c r="AA816" s="1"/>
  <c r="X762"/>
  <c r="X812"/>
  <c r="X766"/>
  <c r="Z744"/>
  <c r="AA744" s="1"/>
  <c r="X690"/>
  <c r="Z804"/>
  <c r="AA804" s="1"/>
  <c r="X758"/>
  <c r="X800"/>
  <c r="Z746"/>
  <c r="AA746" s="1"/>
  <c r="X734"/>
  <c r="X572"/>
  <c r="Z996"/>
  <c r="AA996" s="1"/>
  <c r="Z921"/>
  <c r="AA921" s="1"/>
  <c r="Z853"/>
  <c r="AA853" s="1"/>
  <c r="X913"/>
  <c r="X593"/>
  <c r="Z899"/>
  <c r="AA899" s="1"/>
  <c r="Z563"/>
  <c r="AA563" s="1"/>
  <c r="X909"/>
  <c r="X1002"/>
  <c r="X659"/>
  <c r="Z623"/>
  <c r="AA623" s="1"/>
  <c r="X613"/>
  <c r="X585"/>
  <c r="Z955"/>
  <c r="AA955" s="1"/>
  <c r="X619"/>
  <c r="X673"/>
  <c r="Z573"/>
  <c r="AA573" s="1"/>
  <c r="X987"/>
  <c r="Z886"/>
  <c r="AA886" s="1"/>
  <c r="X926"/>
  <c r="Z918"/>
  <c r="AA918" s="1"/>
  <c r="X595"/>
  <c r="Z889"/>
  <c r="AA889" s="1"/>
  <c r="X941"/>
  <c r="Z983"/>
  <c r="AA983" s="1"/>
  <c r="X805"/>
  <c r="X735"/>
  <c r="X937"/>
  <c r="Z662"/>
  <c r="AA662" s="1"/>
  <c r="X644"/>
  <c r="X841"/>
  <c r="X995"/>
  <c r="X819"/>
  <c r="Z949"/>
  <c r="AA949" s="1"/>
  <c r="X591"/>
  <c r="X661"/>
  <c r="X919"/>
  <c r="X749"/>
  <c r="X587"/>
  <c r="X588"/>
  <c r="Z1050"/>
  <c r="AA1050" s="1"/>
  <c r="X707"/>
  <c r="X583"/>
  <c r="X693"/>
  <c r="X1054"/>
  <c r="X691"/>
  <c r="X978"/>
  <c r="X747"/>
  <c r="X1016"/>
  <c r="X739"/>
  <c r="X575"/>
  <c r="X763"/>
  <c r="X1046"/>
  <c r="X598"/>
  <c r="X571"/>
  <c r="X729"/>
  <c r="Z1018"/>
  <c r="AA1018" s="1"/>
  <c r="Z738"/>
  <c r="AA738" s="1"/>
  <c r="X872"/>
  <c r="X852"/>
  <c r="X818"/>
  <c r="X742"/>
  <c r="Z951"/>
  <c r="AA951" s="1"/>
  <c r="Z601"/>
  <c r="AA601" s="1"/>
  <c r="Z878"/>
  <c r="AA878" s="1"/>
  <c r="Z574"/>
  <c r="AA574" s="1"/>
  <c r="X910"/>
  <c r="X566"/>
  <c r="Z638"/>
  <c r="AA638" s="1"/>
  <c r="X798"/>
  <c r="Z932"/>
  <c r="AA932" s="1"/>
  <c r="X1062"/>
  <c r="X630"/>
  <c r="Z606"/>
  <c r="AA606" s="1"/>
  <c r="X616"/>
  <c r="X787"/>
  <c r="X562"/>
  <c r="X558"/>
  <c r="Z695"/>
  <c r="AA695" s="1"/>
  <c r="Z861"/>
  <c r="AA861" s="1"/>
  <c r="Z622"/>
  <c r="AA622" s="1"/>
  <c r="X628"/>
  <c r="W190"/>
  <c r="X190" s="1"/>
  <c r="W306"/>
  <c r="Z306" s="1"/>
  <c r="AA306" s="1"/>
  <c r="W85"/>
  <c r="X85" s="1"/>
  <c r="W61"/>
  <c r="X61" s="1"/>
  <c r="W329"/>
  <c r="X329" s="1"/>
  <c r="W275"/>
  <c r="X275" s="1"/>
  <c r="W500"/>
  <c r="Z500" s="1"/>
  <c r="AA500" s="1"/>
  <c r="W50"/>
  <c r="Z50" s="1"/>
  <c r="AA50" s="1"/>
  <c r="W74"/>
  <c r="Z74" s="1"/>
  <c r="AA74" s="1"/>
  <c r="W423"/>
  <c r="X423" s="1"/>
  <c r="W458"/>
  <c r="Z458" s="1"/>
  <c r="AA458" s="1"/>
  <c r="W19"/>
  <c r="X19" s="1"/>
  <c r="W424"/>
  <c r="Z424" s="1"/>
  <c r="AA424" s="1"/>
  <c r="W407"/>
  <c r="Z407" s="1"/>
  <c r="AA407" s="1"/>
  <c r="W201"/>
  <c r="X201" s="1"/>
  <c r="W72"/>
  <c r="Z72" s="1"/>
  <c r="AA72" s="1"/>
  <c r="W318"/>
  <c r="Z318" s="1"/>
  <c r="AA318" s="1"/>
  <c r="W183"/>
  <c r="Z183" s="1"/>
  <c r="AA183" s="1"/>
  <c r="W52"/>
  <c r="X52" s="1"/>
  <c r="W55"/>
  <c r="Z55" s="1"/>
  <c r="AA55" s="1"/>
  <c r="W267"/>
  <c r="X267" s="1"/>
  <c r="W332"/>
  <c r="Z332" s="1"/>
  <c r="AA332" s="1"/>
  <c r="W180"/>
  <c r="Z180" s="1"/>
  <c r="AA180" s="1"/>
  <c r="W316"/>
  <c r="Z316" s="1"/>
  <c r="AA316" s="1"/>
  <c r="W341"/>
  <c r="Z341" s="1"/>
  <c r="AA341" s="1"/>
  <c r="W188"/>
  <c r="X188" s="1"/>
  <c r="W522"/>
  <c r="X522" s="1"/>
  <c r="W492"/>
  <c r="Z492" s="1"/>
  <c r="AA492" s="1"/>
  <c r="W383"/>
  <c r="Z383" s="1"/>
  <c r="AA383" s="1"/>
  <c r="W285"/>
  <c r="Z285" s="1"/>
  <c r="AA285" s="1"/>
  <c r="W481"/>
  <c r="Z481" s="1"/>
  <c r="AA481" s="1"/>
  <c r="W511"/>
  <c r="Z511" s="1"/>
  <c r="AA511" s="1"/>
  <c r="W64"/>
  <c r="Z64" s="1"/>
  <c r="AA64" s="1"/>
  <c r="W146"/>
  <c r="X146" s="1"/>
  <c r="W457"/>
  <c r="Z457" s="1"/>
  <c r="AA457" s="1"/>
  <c r="W45"/>
  <c r="Z45" s="1"/>
  <c r="AA45" s="1"/>
  <c r="W372"/>
  <c r="X372" s="1"/>
  <c r="W413"/>
  <c r="X413" s="1"/>
  <c r="W446"/>
  <c r="Z446" s="1"/>
  <c r="AA446" s="1"/>
  <c r="W237"/>
  <c r="Z237" s="1"/>
  <c r="AA237" s="1"/>
  <c r="W21"/>
  <c r="X21" s="1"/>
  <c r="W131"/>
  <c r="Z131" s="1"/>
  <c r="AA131" s="1"/>
  <c r="W149"/>
  <c r="X149" s="1"/>
  <c r="W499"/>
  <c r="Z499" s="1"/>
  <c r="AA499" s="1"/>
  <c r="W459"/>
  <c r="Z459" s="1"/>
  <c r="AA459" s="1"/>
  <c r="W328"/>
  <c r="X328" s="1"/>
  <c r="W277"/>
  <c r="X277" s="1"/>
  <c r="W338"/>
  <c r="Z338" s="1"/>
  <c r="AA338" s="1"/>
  <c r="W127"/>
  <c r="X127" s="1"/>
  <c r="W297"/>
  <c r="Z297" s="1"/>
  <c r="AA297" s="1"/>
  <c r="W278"/>
  <c r="Z278" s="1"/>
  <c r="AA278" s="1"/>
  <c r="W24"/>
  <c r="X24" s="1"/>
  <c r="W488"/>
  <c r="X488" s="1"/>
  <c r="W286"/>
  <c r="Z286" s="1"/>
  <c r="AA286" s="1"/>
  <c r="W33"/>
  <c r="Z33" s="1"/>
  <c r="AA33" s="1"/>
  <c r="W41"/>
  <c r="Z41" s="1"/>
  <c r="AA41" s="1"/>
  <c r="W137"/>
  <c r="X137" s="1"/>
  <c r="W287"/>
  <c r="Z287" s="1"/>
  <c r="AA287" s="1"/>
  <c r="W384"/>
  <c r="Z384" s="1"/>
  <c r="AA384" s="1"/>
  <c r="W30"/>
  <c r="X30" s="1"/>
  <c r="W244"/>
  <c r="Z244" s="1"/>
  <c r="AA244" s="1"/>
  <c r="W340"/>
  <c r="Z340" s="1"/>
  <c r="AA340" s="1"/>
  <c r="W73"/>
  <c r="Z73" s="1"/>
  <c r="AA73" s="1"/>
  <c r="W31"/>
  <c r="X31" s="1"/>
  <c r="W320"/>
  <c r="X320" s="1"/>
  <c r="W309"/>
  <c r="Z309" s="1"/>
  <c r="AA309" s="1"/>
  <c r="W382"/>
  <c r="X382" s="1"/>
  <c r="W84"/>
  <c r="X84" s="1"/>
  <c r="W63"/>
  <c r="X63" s="1"/>
  <c r="W298"/>
  <c r="Z298" s="1"/>
  <c r="AA298" s="1"/>
  <c r="W319"/>
  <c r="Z319" s="1"/>
  <c r="AA319" s="1"/>
  <c r="W53"/>
  <c r="Z53" s="1"/>
  <c r="AA53" s="1"/>
  <c r="W225"/>
  <c r="X225" s="1"/>
  <c r="W299"/>
  <c r="X299" s="1"/>
  <c r="W469"/>
  <c r="Z469" s="1"/>
  <c r="AA469" s="1"/>
  <c r="W42"/>
  <c r="X42" s="1"/>
  <c r="W203"/>
  <c r="X203" s="1"/>
  <c r="W352"/>
  <c r="Z352" s="1"/>
  <c r="AA352" s="1"/>
  <c r="W266"/>
  <c r="Z266" s="1"/>
  <c r="AA266" s="1"/>
  <c r="W43"/>
  <c r="Z43" s="1"/>
  <c r="AA43" s="1"/>
  <c r="W97"/>
  <c r="Z97" s="1"/>
  <c r="AA97" s="1"/>
  <c r="W321"/>
  <c r="X321" s="1"/>
  <c r="W475"/>
  <c r="Z475" s="1"/>
  <c r="AA475" s="1"/>
  <c r="W96"/>
  <c r="Z96" s="1"/>
  <c r="AA96" s="1"/>
  <c r="W448"/>
  <c r="X448" s="1"/>
  <c r="W310"/>
  <c r="Z310" s="1"/>
  <c r="AA310" s="1"/>
  <c r="W116"/>
  <c r="Z116" s="1"/>
  <c r="AA116" s="1"/>
  <c r="W65"/>
  <c r="X65" s="1"/>
  <c r="W331"/>
  <c r="Z331" s="1"/>
  <c r="AA331" s="1"/>
  <c r="W402"/>
  <c r="X402" s="1"/>
  <c r="W139"/>
  <c r="Z139" s="1"/>
  <c r="AA139" s="1"/>
  <c r="W54"/>
  <c r="Z54" s="1"/>
  <c r="AA54" s="1"/>
  <c r="W512"/>
  <c r="X512" s="1"/>
  <c r="W88"/>
  <c r="Z88" s="1"/>
  <c r="AA88" s="1"/>
  <c r="W330"/>
  <c r="X330" s="1"/>
  <c r="W429"/>
  <c r="Z429" s="1"/>
  <c r="AA429" s="1"/>
  <c r="W138"/>
  <c r="Z138" s="1"/>
  <c r="AA138" s="1"/>
  <c r="W89"/>
  <c r="X89" s="1"/>
  <c r="W161"/>
  <c r="Z161" s="1"/>
  <c r="AA161" s="1"/>
  <c r="W195"/>
  <c r="Z195" s="1"/>
  <c r="AA195" s="1"/>
  <c r="W150"/>
  <c r="Z150" s="1"/>
  <c r="AA150" s="1"/>
  <c r="W78"/>
  <c r="Z78" s="1"/>
  <c r="AA78" s="1"/>
  <c r="W470"/>
  <c r="X470" s="1"/>
  <c r="W376"/>
  <c r="Z376" s="1"/>
  <c r="AA376" s="1"/>
  <c r="W353"/>
  <c r="Z353" s="1"/>
  <c r="AA353" s="1"/>
  <c r="W79"/>
  <c r="Z79" s="1"/>
  <c r="AA79" s="1"/>
  <c r="W342"/>
  <c r="Z342" s="1"/>
  <c r="AA342" s="1"/>
  <c r="W345"/>
  <c r="Z345" s="1"/>
  <c r="AA345" s="1"/>
  <c r="W214"/>
  <c r="X214" s="1"/>
  <c r="W132"/>
  <c r="Z132" s="1"/>
  <c r="AA132" s="1"/>
  <c r="W22"/>
  <c r="Z22" s="1"/>
  <c r="AA22" s="1"/>
  <c r="W334"/>
  <c r="X334" s="1"/>
  <c r="W128"/>
  <c r="X128" s="1"/>
  <c r="W101"/>
  <c r="X101" s="1"/>
  <c r="W256"/>
  <c r="X256" s="1"/>
  <c r="W335"/>
  <c r="Z335" s="1"/>
  <c r="AA335" s="1"/>
  <c r="W395"/>
  <c r="X395" s="1"/>
  <c r="W90"/>
  <c r="X90" s="1"/>
  <c r="W75"/>
  <c r="X75" s="1"/>
  <c r="W388"/>
  <c r="Z388" s="1"/>
  <c r="AA388" s="1"/>
  <c r="W417"/>
  <c r="X417" s="1"/>
  <c r="W91"/>
  <c r="X91" s="1"/>
  <c r="W523"/>
  <c r="X523" s="1"/>
  <c r="W357"/>
  <c r="Z357" s="1"/>
  <c r="AA357" s="1"/>
  <c r="W192"/>
  <c r="Z192" s="1"/>
  <c r="AA192" s="1"/>
  <c r="W144"/>
  <c r="X144" s="1"/>
  <c r="W405"/>
  <c r="Z405" s="1"/>
  <c r="AA405" s="1"/>
  <c r="W346"/>
  <c r="Z346" s="1"/>
  <c r="AA346" s="1"/>
  <c r="W462"/>
  <c r="X462" s="1"/>
  <c r="W113"/>
  <c r="X113" s="1"/>
  <c r="W86"/>
  <c r="Z86" s="1"/>
  <c r="AA86" s="1"/>
  <c r="W347"/>
  <c r="X347" s="1"/>
  <c r="W436"/>
  <c r="Z436" s="1"/>
  <c r="AA436" s="1"/>
  <c r="W102"/>
  <c r="X102" s="1"/>
  <c r="W71"/>
  <c r="X71" s="1"/>
  <c r="W400"/>
  <c r="X400" s="1"/>
  <c r="W274"/>
  <c r="Z274" s="1"/>
  <c r="AA274" s="1"/>
  <c r="W18"/>
  <c r="X18" s="1"/>
  <c r="W391"/>
  <c r="Z391" s="1"/>
  <c r="AA391" s="1"/>
  <c r="W369"/>
  <c r="Z369" s="1"/>
  <c r="AA369" s="1"/>
  <c r="W263"/>
  <c r="Z263" s="1"/>
  <c r="AA263" s="1"/>
  <c r="W243"/>
  <c r="X243" s="1"/>
  <c r="W109"/>
  <c r="Z109" s="1"/>
  <c r="AA109" s="1"/>
  <c r="W358"/>
  <c r="Z358" s="1"/>
  <c r="AA358" s="1"/>
  <c r="W378"/>
  <c r="X378" s="1"/>
  <c r="W529"/>
  <c r="X529" s="1"/>
  <c r="W455"/>
  <c r="X455" s="1"/>
  <c r="W450"/>
  <c r="Z450" s="1"/>
  <c r="AA450" s="1"/>
  <c r="W103"/>
  <c r="X103" s="1"/>
  <c r="W238"/>
  <c r="Z238" s="1"/>
  <c r="AA238" s="1"/>
  <c r="W44"/>
  <c r="X44" s="1"/>
  <c r="W216"/>
  <c r="Z216" s="1"/>
  <c r="AA216" s="1"/>
  <c r="W445"/>
  <c r="X445" s="1"/>
  <c r="W100"/>
  <c r="X100" s="1"/>
  <c r="W200"/>
  <c r="Z200" s="1"/>
  <c r="AA200" s="1"/>
  <c r="W313"/>
  <c r="X313" s="1"/>
  <c r="W425"/>
  <c r="Z425" s="1"/>
  <c r="AA425" s="1"/>
  <c r="W58"/>
  <c r="X58" s="1"/>
  <c r="W151"/>
  <c r="X151" s="1"/>
  <c r="W111"/>
  <c r="X111" s="1"/>
  <c r="W189"/>
  <c r="X189" s="1"/>
  <c r="W39"/>
  <c r="X39" s="1"/>
  <c r="W220"/>
  <c r="X220" s="1"/>
  <c r="W69"/>
  <c r="X69" s="1"/>
  <c r="W524"/>
  <c r="X524" s="1"/>
  <c r="W215"/>
  <c r="X215" s="1"/>
  <c r="W403"/>
  <c r="Z403" s="1"/>
  <c r="AA403" s="1"/>
  <c r="W176"/>
  <c r="Z176" s="1"/>
  <c r="AA176" s="1"/>
  <c r="W449"/>
  <c r="Z449" s="1"/>
  <c r="AA449" s="1"/>
  <c r="W253"/>
  <c r="Z253" s="1"/>
  <c r="AA253" s="1"/>
  <c r="W272"/>
  <c r="X272" s="1"/>
  <c r="W327"/>
  <c r="X327" s="1"/>
  <c r="W178"/>
  <c r="X178" s="1"/>
  <c r="W284"/>
  <c r="X284" s="1"/>
  <c r="W307"/>
  <c r="Z307" s="1"/>
  <c r="AA307" s="1"/>
  <c r="W247"/>
  <c r="X247" s="1"/>
  <c r="W217"/>
  <c r="X217" s="1"/>
  <c r="W211"/>
  <c r="X211" s="1"/>
  <c r="W147"/>
  <c r="Z147" s="1"/>
  <c r="AA147" s="1"/>
  <c r="W479"/>
  <c r="X479" s="1"/>
  <c r="W210"/>
  <c r="Z210" s="1"/>
  <c r="AA210" s="1"/>
  <c r="W242"/>
  <c r="Z242" s="1"/>
  <c r="AA242" s="1"/>
  <c r="W427"/>
  <c r="X427" s="1"/>
  <c r="W483"/>
  <c r="Z483" s="1"/>
  <c r="AA483" s="1"/>
  <c r="W229"/>
  <c r="Z229" s="1"/>
  <c r="AA229" s="1"/>
  <c r="W108"/>
  <c r="Z108" s="1"/>
  <c r="AA108" s="1"/>
  <c r="W207"/>
  <c r="Z207" s="1"/>
  <c r="AA207" s="1"/>
  <c r="W509"/>
  <c r="Z509" s="1"/>
  <c r="AA509" s="1"/>
  <c r="W28"/>
  <c r="X28" s="1"/>
  <c r="W295"/>
  <c r="Z295" s="1"/>
  <c r="AA295" s="1"/>
  <c r="W364"/>
  <c r="Z364" s="1"/>
  <c r="AA364" s="1"/>
  <c r="W498"/>
  <c r="X498" s="1"/>
  <c r="W437"/>
  <c r="Z437" s="1"/>
  <c r="AA437" s="1"/>
  <c r="W359"/>
  <c r="X359" s="1"/>
  <c r="W172"/>
  <c r="Z172" s="1"/>
  <c r="AA172" s="1"/>
  <c r="W467"/>
  <c r="Z467" s="1"/>
  <c r="AA467" s="1"/>
  <c r="W119"/>
  <c r="Z119" s="1"/>
  <c r="AA119" s="1"/>
  <c r="W60"/>
  <c r="Z60" s="1"/>
  <c r="AA60" s="1"/>
  <c r="W476"/>
  <c r="X476" s="1"/>
  <c r="W252"/>
  <c r="X252" s="1"/>
  <c r="W434"/>
  <c r="X434" s="1"/>
  <c r="W93"/>
  <c r="X93" s="1"/>
  <c r="W35"/>
  <c r="Z35" s="1"/>
  <c r="AA35" s="1"/>
  <c r="W204"/>
  <c r="X204" s="1"/>
  <c r="W268"/>
  <c r="Z268" s="1"/>
  <c r="AA268" s="1"/>
  <c r="W301"/>
  <c r="X301" s="1"/>
  <c r="W269"/>
  <c r="Z269" s="1"/>
  <c r="AA269" s="1"/>
  <c r="W380"/>
  <c r="X380" s="1"/>
  <c r="W415"/>
  <c r="X415" s="1"/>
  <c r="W77"/>
  <c r="X77" s="1"/>
  <c r="W170"/>
  <c r="X170" s="1"/>
  <c r="W428"/>
  <c r="Z428" s="1"/>
  <c r="AA428" s="1"/>
  <c r="W184"/>
  <c r="X184" s="1"/>
  <c r="W66"/>
  <c r="Z66" s="1"/>
  <c r="AA66" s="1"/>
  <c r="W158"/>
  <c r="X158" s="1"/>
  <c r="W157"/>
  <c r="Z157" s="1"/>
  <c r="AA157" s="1"/>
  <c r="W212"/>
  <c r="X212" s="1"/>
  <c r="W264"/>
  <c r="Z264" s="1"/>
  <c r="AA264" s="1"/>
  <c r="W473"/>
  <c r="X473" s="1"/>
  <c r="W444"/>
  <c r="Z444" s="1"/>
  <c r="AA444" s="1"/>
  <c r="W224"/>
  <c r="Z224" s="1"/>
  <c r="AA224" s="1"/>
  <c r="W51"/>
  <c r="Z51" s="1"/>
  <c r="AA51" s="1"/>
  <c r="W182"/>
  <c r="Z182" s="1"/>
  <c r="AA182" s="1"/>
  <c r="W349"/>
  <c r="Z349" s="1"/>
  <c r="AA349" s="1"/>
  <c r="W371"/>
  <c r="X371" s="1"/>
  <c r="W222"/>
  <c r="X222" s="1"/>
  <c r="W366"/>
  <c r="X366" s="1"/>
  <c r="W258"/>
  <c r="X258" s="1"/>
  <c r="W463"/>
  <c r="X463" s="1"/>
  <c r="W233"/>
  <c r="X233" s="1"/>
  <c r="W485"/>
  <c r="X485" s="1"/>
  <c r="W387"/>
  <c r="Z387" s="1"/>
  <c r="AA387" s="1"/>
  <c r="W497"/>
  <c r="Z497" s="1"/>
  <c r="AA497" s="1"/>
  <c r="W276"/>
  <c r="X276" s="1"/>
  <c r="W169"/>
  <c r="X169" s="1"/>
  <c r="W520"/>
  <c r="X520" s="1"/>
  <c r="W221"/>
  <c r="Z221" s="1"/>
  <c r="AA221" s="1"/>
  <c r="W223"/>
  <c r="Z223" s="1"/>
  <c r="AA223" s="1"/>
  <c r="W493"/>
  <c r="Z493" s="1"/>
  <c r="AA493" s="1"/>
  <c r="W489"/>
  <c r="Z489" s="1"/>
  <c r="AA489" s="1"/>
  <c r="W514"/>
  <c r="Z514" s="1"/>
  <c r="AA514" s="1"/>
  <c r="W234"/>
  <c r="X234" s="1"/>
  <c r="W193"/>
  <c r="Z193" s="1"/>
  <c r="AA193" s="1"/>
  <c r="W478"/>
  <c r="X478" s="1"/>
  <c r="W159"/>
  <c r="X159" s="1"/>
  <c r="W245"/>
  <c r="X245" s="1"/>
  <c r="W181"/>
  <c r="X181" s="1"/>
  <c r="W20"/>
  <c r="X20" s="1"/>
  <c r="W171"/>
  <c r="Z171" s="1"/>
  <c r="AA171" s="1"/>
  <c r="W288"/>
  <c r="Z288" s="1"/>
  <c r="AA288" s="1"/>
  <c r="W516"/>
  <c r="X516" s="1"/>
  <c r="W525"/>
  <c r="X525" s="1"/>
  <c r="W226"/>
  <c r="Z226" s="1"/>
  <c r="AA226" s="1"/>
  <c r="W235"/>
  <c r="X235" s="1"/>
  <c r="W504"/>
  <c r="X504" s="1"/>
  <c r="W501"/>
  <c r="Z501" s="1"/>
  <c r="AA501" s="1"/>
  <c r="W246"/>
  <c r="Z246" s="1"/>
  <c r="AA246" s="1"/>
  <c r="W477"/>
  <c r="X477" s="1"/>
  <c r="W490"/>
  <c r="Z490" s="1"/>
  <c r="AA490" s="1"/>
  <c r="W474"/>
  <c r="Z474" s="1"/>
  <c r="AA474" s="1"/>
  <c r="W257"/>
  <c r="Z257" s="1"/>
  <c r="AA257" s="1"/>
  <c r="W344"/>
  <c r="Z344" s="1"/>
  <c r="AA344" s="1"/>
  <c r="W32"/>
  <c r="Z32" s="1"/>
  <c r="AA32" s="1"/>
  <c r="W124"/>
  <c r="Z124" s="1"/>
  <c r="AA124" s="1"/>
  <c r="W451"/>
  <c r="X451" s="1"/>
  <c r="W468"/>
  <c r="Z468" s="1"/>
  <c r="AA468" s="1"/>
  <c r="W487"/>
  <c r="Z487" s="1"/>
  <c r="AA487" s="1"/>
  <c r="W130"/>
  <c r="X130" s="1"/>
  <c r="W322"/>
  <c r="Z322" s="1"/>
  <c r="AA322" s="1"/>
  <c r="W456"/>
  <c r="Z456" s="1"/>
  <c r="AA456" s="1"/>
  <c r="W513"/>
  <c r="Z513" s="1"/>
  <c r="AA513" s="1"/>
  <c r="W414"/>
  <c r="X414" s="1"/>
  <c r="W527"/>
  <c r="X527" s="1"/>
  <c r="W248"/>
  <c r="X248" s="1"/>
  <c r="W502"/>
  <c r="X502" s="1"/>
  <c r="W426"/>
  <c r="X426" s="1"/>
  <c r="W25"/>
  <c r="X25" s="1"/>
  <c r="W480"/>
  <c r="X480" s="1"/>
  <c r="W115"/>
  <c r="X115" s="1"/>
  <c r="W438"/>
  <c r="X438" s="1"/>
  <c r="W68"/>
  <c r="X68" s="1"/>
  <c r="W486"/>
  <c r="X486" s="1"/>
  <c r="W312"/>
  <c r="Z312" s="1"/>
  <c r="AA312" s="1"/>
  <c r="W206"/>
  <c r="Z206" s="1"/>
  <c r="AA206" s="1"/>
  <c r="W526"/>
  <c r="X526" s="1"/>
  <c r="W260"/>
  <c r="Z260" s="1"/>
  <c r="AA260" s="1"/>
  <c r="W281"/>
  <c r="Z281" s="1"/>
  <c r="AA281" s="1"/>
  <c r="W218"/>
  <c r="X218" s="1"/>
  <c r="W26"/>
  <c r="X26" s="1"/>
  <c r="W230"/>
  <c r="Z230" s="1"/>
  <c r="AA230" s="1"/>
  <c r="W270"/>
  <c r="Z270" s="1"/>
  <c r="AA270" s="1"/>
  <c r="W528"/>
  <c r="Z528" s="1"/>
  <c r="AA528" s="1"/>
  <c r="W37"/>
  <c r="X37" s="1"/>
  <c r="W419"/>
  <c r="Z419" s="1"/>
  <c r="AA419" s="1"/>
  <c r="W271"/>
  <c r="X271" s="1"/>
  <c r="W503"/>
  <c r="Z503" s="1"/>
  <c r="AA503" s="1"/>
  <c r="W80"/>
  <c r="Z80" s="1"/>
  <c r="AA80" s="1"/>
  <c r="W505"/>
  <c r="Z505" s="1"/>
  <c r="AA505" s="1"/>
  <c r="W324"/>
  <c r="Z324" s="1"/>
  <c r="AA324" s="1"/>
  <c r="W367"/>
  <c r="Z367" s="1"/>
  <c r="AA367" s="1"/>
  <c r="W27"/>
  <c r="X27" s="1"/>
  <c r="W251"/>
  <c r="X251" s="1"/>
  <c r="W293"/>
  <c r="Z293" s="1"/>
  <c r="AA293" s="1"/>
  <c r="W67"/>
  <c r="X67" s="1"/>
  <c r="W38"/>
  <c r="Z38" s="1"/>
  <c r="AA38" s="1"/>
  <c r="W185"/>
  <c r="X185" s="1"/>
  <c r="W282"/>
  <c r="Z282" s="1"/>
  <c r="AA282" s="1"/>
  <c r="W261"/>
  <c r="X261" s="1"/>
  <c r="W49"/>
  <c r="X49" s="1"/>
  <c r="W219"/>
  <c r="Z219" s="1"/>
  <c r="AA219" s="1"/>
  <c r="W283"/>
  <c r="X283" s="1"/>
  <c r="W241"/>
  <c r="X241" s="1"/>
  <c r="W163"/>
  <c r="Z163" s="1"/>
  <c r="AA163" s="1"/>
  <c r="W87"/>
  <c r="X87" s="1"/>
  <c r="W336"/>
  <c r="X336" s="1"/>
  <c r="W356"/>
  <c r="Z356" s="1"/>
  <c r="AA356" s="1"/>
  <c r="W173"/>
  <c r="X173" s="1"/>
  <c r="W439"/>
  <c r="X439" s="1"/>
  <c r="W305"/>
  <c r="X305" s="1"/>
  <c r="W199"/>
  <c r="Z199" s="1"/>
  <c r="AA199" s="1"/>
  <c r="W46"/>
  <c r="X46" s="1"/>
  <c r="W156"/>
  <c r="Z156" s="1"/>
  <c r="AA156" s="1"/>
  <c r="W294"/>
  <c r="X294" s="1"/>
  <c r="W343"/>
  <c r="Z343" s="1"/>
  <c r="AA343" s="1"/>
  <c r="W472"/>
  <c r="Z472" s="1"/>
  <c r="AA472" s="1"/>
  <c r="W125"/>
  <c r="Z125" s="1"/>
  <c r="AA125" s="1"/>
  <c r="W354"/>
  <c r="Z354" s="1"/>
  <c r="AA354" s="1"/>
  <c r="W231"/>
  <c r="Z231" s="1"/>
  <c r="AA231" s="1"/>
  <c r="W389"/>
  <c r="X389" s="1"/>
  <c r="W114"/>
  <c r="X114" s="1"/>
  <c r="W40"/>
  <c r="X40" s="1"/>
  <c r="W412"/>
  <c r="Z412" s="1"/>
  <c r="AA412" s="1"/>
  <c r="W36"/>
  <c r="X36" s="1"/>
  <c r="W83"/>
  <c r="X83" s="1"/>
  <c r="W249"/>
  <c r="Z249" s="1"/>
  <c r="AA249" s="1"/>
  <c r="W381"/>
  <c r="Z381" s="1"/>
  <c r="AA381" s="1"/>
  <c r="W123"/>
  <c r="Z123" s="1"/>
  <c r="AA123" s="1"/>
  <c r="W136"/>
  <c r="Z136" s="1"/>
  <c r="AA136" s="1"/>
  <c r="W47"/>
  <c r="X47" s="1"/>
  <c r="W370"/>
  <c r="Z370" s="1"/>
  <c r="AA370" s="1"/>
  <c r="W59"/>
  <c r="X59" s="1"/>
  <c r="W311"/>
  <c r="Z311" s="1"/>
  <c r="AA311" s="1"/>
  <c r="W420"/>
  <c r="Z420" s="1"/>
  <c r="AA420" s="1"/>
  <c r="W339"/>
  <c r="X339" s="1"/>
  <c r="W377"/>
  <c r="X377" s="1"/>
  <c r="W396"/>
  <c r="Z396" s="1"/>
  <c r="AA396" s="1"/>
  <c r="W517"/>
  <c r="Z517" s="1"/>
  <c r="AA517" s="1"/>
  <c r="W76"/>
  <c r="Z76" s="1"/>
  <c r="AA76" s="1"/>
  <c r="W408"/>
  <c r="Z408" s="1"/>
  <c r="AA408" s="1"/>
  <c r="W29"/>
  <c r="Z29" s="1"/>
  <c r="AA29" s="1"/>
  <c r="W250"/>
  <c r="X250" s="1"/>
  <c r="W140"/>
  <c r="Z140" s="1"/>
  <c r="AA140" s="1"/>
  <c r="W164"/>
  <c r="Z164" s="1"/>
  <c r="AA164" s="1"/>
  <c r="W141"/>
  <c r="X141" s="1"/>
  <c r="W120"/>
  <c r="X120" s="1"/>
  <c r="W236"/>
  <c r="Z236" s="1"/>
  <c r="AA236" s="1"/>
  <c r="W494"/>
  <c r="Z494" s="1"/>
  <c r="AA494" s="1"/>
  <c r="W205"/>
  <c r="X205" s="1"/>
  <c r="W121"/>
  <c r="X121" s="1"/>
  <c r="W460"/>
  <c r="Z460" s="1"/>
  <c r="AA460" s="1"/>
  <c r="W506"/>
  <c r="Z506" s="1"/>
  <c r="AA506" s="1"/>
  <c r="W365"/>
  <c r="X365" s="1"/>
  <c r="W110"/>
  <c r="X110" s="1"/>
  <c r="W300"/>
  <c r="Z300" s="1"/>
  <c r="AA300" s="1"/>
  <c r="W325"/>
  <c r="Z325" s="1"/>
  <c r="AA325" s="1"/>
  <c r="W98"/>
  <c r="X98" s="1"/>
  <c r="W303"/>
  <c r="X303" s="1"/>
  <c r="W397"/>
  <c r="Z397" s="1"/>
  <c r="AA397" s="1"/>
  <c r="W81"/>
  <c r="X81" s="1"/>
  <c r="W418"/>
  <c r="X418" s="1"/>
  <c r="W495"/>
  <c r="X495" s="1"/>
  <c r="W508"/>
  <c r="X508" s="1"/>
  <c r="W368"/>
  <c r="X368" s="1"/>
  <c r="W104"/>
  <c r="Z104" s="1"/>
  <c r="AA104" s="1"/>
  <c r="W122"/>
  <c r="X122" s="1"/>
  <c r="W461"/>
  <c r="Z461" s="1"/>
  <c r="AA461" s="1"/>
  <c r="W70"/>
  <c r="X70" s="1"/>
  <c r="W105"/>
  <c r="X105" s="1"/>
  <c r="W315"/>
  <c r="X315" s="1"/>
  <c r="W227"/>
  <c r="X227" s="1"/>
  <c r="W432"/>
  <c r="Z432" s="1"/>
  <c r="AA432" s="1"/>
  <c r="W94"/>
  <c r="X94" s="1"/>
  <c r="W112"/>
  <c r="Z112" s="1"/>
  <c r="AA112" s="1"/>
  <c r="W392"/>
  <c r="X392" s="1"/>
  <c r="W134"/>
  <c r="X134" s="1"/>
  <c r="W95"/>
  <c r="Z95" s="1"/>
  <c r="AA95" s="1"/>
  <c r="W48"/>
  <c r="X48" s="1"/>
  <c r="W361"/>
  <c r="X361" s="1"/>
  <c r="W304"/>
  <c r="X304" s="1"/>
  <c r="W148"/>
  <c r="Z148" s="1"/>
  <c r="AA148" s="1"/>
  <c r="W326"/>
  <c r="Z326" s="1"/>
  <c r="AA326" s="1"/>
  <c r="W350"/>
  <c r="X350" s="1"/>
  <c r="W99"/>
  <c r="X99" s="1"/>
  <c r="W117"/>
  <c r="Z117" s="1"/>
  <c r="AA117" s="1"/>
  <c r="W379"/>
  <c r="X379" s="1"/>
  <c r="W351"/>
  <c r="X351" s="1"/>
  <c r="W56"/>
  <c r="X56" s="1"/>
  <c r="W106"/>
  <c r="X106" s="1"/>
  <c r="W145"/>
  <c r="Z145" s="1"/>
  <c r="AA145" s="1"/>
  <c r="W404"/>
  <c r="Z404" s="1"/>
  <c r="AA404" s="1"/>
  <c r="W232"/>
  <c r="Z232" s="1"/>
  <c r="AA232" s="1"/>
  <c r="W107"/>
  <c r="Z107" s="1"/>
  <c r="AA107" s="1"/>
  <c r="W401"/>
  <c r="Z401" s="1"/>
  <c r="AA401" s="1"/>
  <c r="W373"/>
  <c r="X373" s="1"/>
  <c r="W126"/>
  <c r="X126" s="1"/>
  <c r="W160"/>
  <c r="Z160" s="1"/>
  <c r="AA160" s="1"/>
  <c r="W337"/>
  <c r="Z337" s="1"/>
  <c r="AA337" s="1"/>
  <c r="W362"/>
  <c r="Z362" s="1"/>
  <c r="AA362" s="1"/>
  <c r="W254"/>
  <c r="X254" s="1"/>
  <c r="W129"/>
  <c r="X129" s="1"/>
  <c r="W510"/>
  <c r="X510" s="1"/>
  <c r="W363"/>
  <c r="Z363" s="1"/>
  <c r="AA363" s="1"/>
  <c r="W290"/>
  <c r="Z290" s="1"/>
  <c r="AA290" s="1"/>
  <c r="W118"/>
  <c r="X118" s="1"/>
  <c r="W466"/>
  <c r="X466" s="1"/>
  <c r="W416"/>
  <c r="Z416" s="1"/>
  <c r="AA416" s="1"/>
  <c r="W507"/>
  <c r="X507" s="1"/>
  <c r="W82"/>
  <c r="X82" s="1"/>
  <c r="W296"/>
  <c r="X296" s="1"/>
  <c r="W385"/>
  <c r="Z385" s="1"/>
  <c r="AA385" s="1"/>
  <c r="W390"/>
  <c r="X390" s="1"/>
  <c r="W291"/>
  <c r="Z291" s="1"/>
  <c r="AA291" s="1"/>
  <c r="W194"/>
  <c r="Z194" s="1"/>
  <c r="AA194" s="1"/>
  <c r="W374"/>
  <c r="X374" s="1"/>
  <c r="W431"/>
  <c r="Z431" s="1"/>
  <c r="AA431" s="1"/>
  <c r="W440"/>
  <c r="X440" s="1"/>
  <c r="W152"/>
  <c r="Z152" s="1"/>
  <c r="AA152" s="1"/>
  <c r="W482"/>
  <c r="Z482" s="1"/>
  <c r="AA482" s="1"/>
  <c r="W430"/>
  <c r="X430" s="1"/>
  <c r="W409"/>
  <c r="Z409" s="1"/>
  <c r="AA409" s="1"/>
  <c r="W355"/>
  <c r="X355" s="1"/>
  <c r="W168"/>
  <c r="Z168" s="1"/>
  <c r="AA168" s="1"/>
  <c r="W453"/>
  <c r="Z453" s="1"/>
  <c r="AA453" s="1"/>
  <c r="W398"/>
  <c r="Z398" s="1"/>
  <c r="AA398" s="1"/>
  <c r="W174"/>
  <c r="Z174" s="1"/>
  <c r="AA174" s="1"/>
  <c r="W153"/>
  <c r="Z153" s="1"/>
  <c r="AA153" s="1"/>
  <c r="W484"/>
  <c r="X484" s="1"/>
  <c r="W399"/>
  <c r="Z399" s="1"/>
  <c r="AA399" s="1"/>
  <c r="W175"/>
  <c r="Z175" s="1"/>
  <c r="AA175" s="1"/>
  <c r="W142"/>
  <c r="X142" s="1"/>
  <c r="W443"/>
  <c r="X443" s="1"/>
  <c r="W452"/>
  <c r="Z452" s="1"/>
  <c r="AA452" s="1"/>
  <c r="W228"/>
  <c r="Z228" s="1"/>
  <c r="AA228" s="1"/>
  <c r="W143"/>
  <c r="Z143" s="1"/>
  <c r="AA143" s="1"/>
  <c r="W442"/>
  <c r="X442" s="1"/>
  <c r="W421"/>
  <c r="X421" s="1"/>
  <c r="W197"/>
  <c r="Z197" s="1"/>
  <c r="AA197" s="1"/>
  <c r="W196"/>
  <c r="X196" s="1"/>
  <c r="W465"/>
  <c r="X465" s="1"/>
  <c r="W410"/>
  <c r="Z410" s="1"/>
  <c r="AA410" s="1"/>
  <c r="W186"/>
  <c r="Z186" s="1"/>
  <c r="AA186" s="1"/>
  <c r="W165"/>
  <c r="X165" s="1"/>
  <c r="W496"/>
  <c r="Z496" s="1"/>
  <c r="AA496" s="1"/>
  <c r="W411"/>
  <c r="X411" s="1"/>
  <c r="W187"/>
  <c r="X187" s="1"/>
  <c r="W154"/>
  <c r="X154" s="1"/>
  <c r="W34"/>
  <c r="Z34" s="1"/>
  <c r="AA34" s="1"/>
  <c r="W464"/>
  <c r="Z464" s="1"/>
  <c r="AA464" s="1"/>
  <c r="W240"/>
  <c r="X240" s="1"/>
  <c r="W155"/>
  <c r="X155" s="1"/>
  <c r="W454"/>
  <c r="Z454" s="1"/>
  <c r="AA454" s="1"/>
  <c r="W433"/>
  <c r="Z433" s="1"/>
  <c r="AA433" s="1"/>
  <c r="W209"/>
  <c r="X209" s="1"/>
  <c r="W208"/>
  <c r="X208" s="1"/>
  <c r="W259"/>
  <c r="X259" s="1"/>
  <c r="W422"/>
  <c r="X422" s="1"/>
  <c r="W198"/>
  <c r="X198" s="1"/>
  <c r="W177"/>
  <c r="X177" s="1"/>
  <c r="W265"/>
  <c r="X265" s="1"/>
  <c r="W471"/>
  <c r="Z471" s="1"/>
  <c r="AA471" s="1"/>
  <c r="W435"/>
  <c r="Z435" s="1"/>
  <c r="AA435" s="1"/>
  <c r="W166"/>
  <c r="Z166" s="1"/>
  <c r="AA166" s="1"/>
  <c r="W62"/>
  <c r="Z62" s="1"/>
  <c r="AA62" s="1"/>
  <c r="W280"/>
  <c r="Z280" s="1"/>
  <c r="AA280" s="1"/>
  <c r="W360"/>
  <c r="X360" s="1"/>
  <c r="W162"/>
  <c r="Z162" s="1"/>
  <c r="AA162" s="1"/>
  <c r="W289"/>
  <c r="X289" s="1"/>
  <c r="W441"/>
  <c r="X441" s="1"/>
  <c r="W255"/>
  <c r="X255" s="1"/>
  <c r="W323"/>
  <c r="X323" s="1"/>
  <c r="W262"/>
  <c r="X262" s="1"/>
  <c r="W239"/>
  <c r="Z239" s="1"/>
  <c r="AA239" s="1"/>
  <c r="W191"/>
  <c r="X191" s="1"/>
  <c r="W57"/>
  <c r="Z57" s="1"/>
  <c r="AA57" s="1"/>
  <c r="W273"/>
  <c r="Z273" s="1"/>
  <c r="AA273" s="1"/>
  <c r="W133"/>
  <c r="Z133" s="1"/>
  <c r="AA133" s="1"/>
  <c r="W447"/>
  <c r="X447" s="1"/>
  <c r="W302"/>
  <c r="X302" s="1"/>
  <c r="W386"/>
  <c r="Z386" s="1"/>
  <c r="AA386" s="1"/>
  <c r="W406"/>
  <c r="Z406" s="1"/>
  <c r="AA406" s="1"/>
  <c r="W515"/>
  <c r="Z515" s="1"/>
  <c r="AA515" s="1"/>
  <c r="W292"/>
  <c r="X292" s="1"/>
  <c r="W333"/>
  <c r="Z333" s="1"/>
  <c r="AA333" s="1"/>
  <c r="W135"/>
  <c r="X135" s="1"/>
  <c r="W519"/>
  <c r="Z519" s="1"/>
  <c r="AA519" s="1"/>
  <c r="W314"/>
  <c r="Z314" s="1"/>
  <c r="AA314" s="1"/>
  <c r="W308"/>
  <c r="X308" s="1"/>
  <c r="W279"/>
  <c r="Z279" s="1"/>
  <c r="AA279" s="1"/>
  <c r="W518"/>
  <c r="X518" s="1"/>
  <c r="W394"/>
  <c r="X394" s="1"/>
  <c r="W179"/>
  <c r="X179" s="1"/>
  <c r="W167"/>
  <c r="Z167" s="1"/>
  <c r="AA167" s="1"/>
  <c r="W491"/>
  <c r="X491" s="1"/>
  <c r="W23"/>
  <c r="X23" s="1"/>
  <c r="W202"/>
  <c r="Z202" s="1"/>
  <c r="AA202" s="1"/>
  <c r="W348"/>
  <c r="Z348" s="1"/>
  <c r="AA348" s="1"/>
  <c r="W521"/>
  <c r="Z521" s="1"/>
  <c r="AA521" s="1"/>
  <c r="W375"/>
  <c r="Z375" s="1"/>
  <c r="AA375" s="1"/>
  <c r="W213"/>
  <c r="Z213" s="1"/>
  <c r="AA213" s="1"/>
  <c r="W317"/>
  <c r="Z317" s="1"/>
  <c r="AA317" s="1"/>
  <c r="W393"/>
  <c r="X393" s="1"/>
  <c r="W92"/>
  <c r="Z92" s="1"/>
  <c r="AA92" s="1"/>
  <c r="Z462"/>
  <c r="AA462" s="1"/>
  <c r="Z110"/>
  <c r="AA110" s="1"/>
  <c r="X322"/>
  <c r="X192"/>
  <c r="X341"/>
  <c r="Z418" l="1"/>
  <c r="AA418" s="1"/>
  <c r="X424"/>
  <c r="Z214"/>
  <c r="AA214" s="1"/>
  <c r="X171"/>
  <c r="Z512"/>
  <c r="AA512" s="1"/>
  <c r="X497"/>
  <c r="Z21"/>
  <c r="AA21" s="1"/>
  <c r="X229"/>
  <c r="Z526"/>
  <c r="AA526" s="1"/>
  <c r="Z126"/>
  <c r="AA126" s="1"/>
  <c r="X78"/>
  <c r="Z299"/>
  <c r="AA299" s="1"/>
  <c r="Z243"/>
  <c r="AA243" s="1"/>
  <c r="X264"/>
  <c r="Z480"/>
  <c r="AA480" s="1"/>
  <c r="Z254"/>
  <c r="AA254" s="1"/>
  <c r="Z304"/>
  <c r="AA304" s="1"/>
  <c r="Z71"/>
  <c r="AA71" s="1"/>
  <c r="Z220"/>
  <c r="AA220" s="1"/>
  <c r="Z455"/>
  <c r="AA455" s="1"/>
  <c r="Z476"/>
  <c r="AA476" s="1"/>
  <c r="X109"/>
  <c r="X200"/>
  <c r="Z427"/>
  <c r="AA427" s="1"/>
  <c r="Z485"/>
  <c r="AA485" s="1"/>
  <c r="X86"/>
  <c r="Z151"/>
  <c r="AA151" s="1"/>
  <c r="X391"/>
  <c r="Z44"/>
  <c r="AA44" s="1"/>
  <c r="X147"/>
  <c r="Z355"/>
  <c r="AA355" s="1"/>
  <c r="Z423"/>
  <c r="AA423" s="1"/>
  <c r="Z146"/>
  <c r="AA146" s="1"/>
  <c r="X309"/>
  <c r="Z301"/>
  <c r="AA301" s="1"/>
  <c r="Z234"/>
  <c r="AA234" s="1"/>
  <c r="X306"/>
  <c r="X287"/>
  <c r="X310"/>
  <c r="Z101"/>
  <c r="AA101" s="1"/>
  <c r="Z529"/>
  <c r="AA529" s="1"/>
  <c r="Z284"/>
  <c r="AA284" s="1"/>
  <c r="X468"/>
  <c r="X230"/>
  <c r="X332"/>
  <c r="X297"/>
  <c r="Z321"/>
  <c r="AA321" s="1"/>
  <c r="Z102"/>
  <c r="AA102" s="1"/>
  <c r="Z100"/>
  <c r="AA100" s="1"/>
  <c r="Z215"/>
  <c r="AA215" s="1"/>
  <c r="Z477"/>
  <c r="AA477" s="1"/>
  <c r="X72"/>
  <c r="Z296"/>
  <c r="AA296" s="1"/>
  <c r="X32"/>
  <c r="X96"/>
  <c r="X95"/>
  <c r="X471"/>
  <c r="X172"/>
  <c r="X337"/>
  <c r="Z187"/>
  <c r="AA187" s="1"/>
  <c r="X403"/>
  <c r="Z170"/>
  <c r="AA170" s="1"/>
  <c r="X281"/>
  <c r="Z106"/>
  <c r="AA106" s="1"/>
  <c r="X167"/>
  <c r="Z421"/>
  <c r="AA421" s="1"/>
  <c r="X133"/>
  <c r="Z440"/>
  <c r="AA440" s="1"/>
  <c r="X464"/>
  <c r="X409"/>
  <c r="Z135"/>
  <c r="AA135" s="1"/>
  <c r="Z93"/>
  <c r="AA93" s="1"/>
  <c r="X452"/>
  <c r="X433"/>
  <c r="Z275"/>
  <c r="AA275" s="1"/>
  <c r="Z328"/>
  <c r="AA328" s="1"/>
  <c r="X340"/>
  <c r="Z89"/>
  <c r="AA89" s="1"/>
  <c r="Z91"/>
  <c r="AA91" s="1"/>
  <c r="Z58"/>
  <c r="AA58" s="1"/>
  <c r="Z359"/>
  <c r="AA359" s="1"/>
  <c r="Z222"/>
  <c r="AA222" s="1"/>
  <c r="Z235"/>
  <c r="AA235" s="1"/>
  <c r="X117"/>
  <c r="Z82"/>
  <c r="AA82" s="1"/>
  <c r="X152"/>
  <c r="X399"/>
  <c r="X186"/>
  <c r="Z441"/>
  <c r="AA441" s="1"/>
  <c r="X317"/>
  <c r="X285"/>
  <c r="X286"/>
  <c r="X298"/>
  <c r="X352"/>
  <c r="X79"/>
  <c r="Z90"/>
  <c r="AA90" s="1"/>
  <c r="Z113"/>
  <c r="AA113" s="1"/>
  <c r="Z18"/>
  <c r="AA18" s="1"/>
  <c r="X238"/>
  <c r="Z39"/>
  <c r="AA39" s="1"/>
  <c r="X253"/>
  <c r="Z77"/>
  <c r="AA77" s="1"/>
  <c r="X223"/>
  <c r="X344"/>
  <c r="Z248"/>
  <c r="AA248" s="1"/>
  <c r="X136"/>
  <c r="X183"/>
  <c r="X107"/>
  <c r="Z118"/>
  <c r="AA118" s="1"/>
  <c r="X410"/>
  <c r="Z240"/>
  <c r="AA240" s="1"/>
  <c r="Z413"/>
  <c r="AA413" s="1"/>
  <c r="Z402"/>
  <c r="AA402" s="1"/>
  <c r="Z211"/>
  <c r="AA211" s="1"/>
  <c r="X295"/>
  <c r="X60"/>
  <c r="Z245"/>
  <c r="AA245" s="1"/>
  <c r="Z486"/>
  <c r="AA486" s="1"/>
  <c r="X505"/>
  <c r="Z128"/>
  <c r="AA128" s="1"/>
  <c r="X436"/>
  <c r="Z103"/>
  <c r="AA103" s="1"/>
  <c r="Z527"/>
  <c r="AA527" s="1"/>
  <c r="X290"/>
  <c r="X138"/>
  <c r="X274"/>
  <c r="Z445"/>
  <c r="AA445" s="1"/>
  <c r="Z524"/>
  <c r="AA524" s="1"/>
  <c r="X119"/>
  <c r="X221"/>
  <c r="X226"/>
  <c r="Z46"/>
  <c r="AA46" s="1"/>
  <c r="X148"/>
  <c r="Z56"/>
  <c r="AA56" s="1"/>
  <c r="X160"/>
  <c r="Z129"/>
  <c r="AA129" s="1"/>
  <c r="X291"/>
  <c r="X398"/>
  <c r="Z411"/>
  <c r="AA411" s="1"/>
  <c r="Z422"/>
  <c r="AA422" s="1"/>
  <c r="X280"/>
  <c r="X239"/>
  <c r="X406"/>
  <c r="X279"/>
  <c r="X348"/>
  <c r="Z190"/>
  <c r="AA190" s="1"/>
  <c r="Z329"/>
  <c r="AA329" s="1"/>
  <c r="X407"/>
  <c r="Z188"/>
  <c r="AA188" s="1"/>
  <c r="X64"/>
  <c r="X131"/>
  <c r="Z127"/>
  <c r="AA127" s="1"/>
  <c r="Z488"/>
  <c r="AA488" s="1"/>
  <c r="Z137"/>
  <c r="AA137" s="1"/>
  <c r="X244"/>
  <c r="Z320"/>
  <c r="AA320" s="1"/>
  <c r="Z63"/>
  <c r="AA63" s="1"/>
  <c r="Z225"/>
  <c r="AA225" s="1"/>
  <c r="Z203"/>
  <c r="AA203" s="1"/>
  <c r="X97"/>
  <c r="Z448"/>
  <c r="AA448" s="1"/>
  <c r="X88"/>
  <c r="X150"/>
  <c r="X132"/>
  <c r="Z395"/>
  <c r="AA395" s="1"/>
  <c r="Z144"/>
  <c r="AA144" s="1"/>
  <c r="Z378"/>
  <c r="AA378" s="1"/>
  <c r="Z189"/>
  <c r="AA189" s="1"/>
  <c r="Z178"/>
  <c r="AA178" s="1"/>
  <c r="X242"/>
  <c r="X108"/>
  <c r="X437"/>
  <c r="X268"/>
  <c r="X66"/>
  <c r="X51"/>
  <c r="Z233"/>
  <c r="AA233" s="1"/>
  <c r="Z276"/>
  <c r="AA276" s="1"/>
  <c r="X514"/>
  <c r="X288"/>
  <c r="X246"/>
  <c r="X456"/>
  <c r="Z25"/>
  <c r="AA25" s="1"/>
  <c r="X260"/>
  <c r="X419"/>
  <c r="Z49"/>
  <c r="AA49" s="1"/>
  <c r="Z99"/>
  <c r="AA99" s="1"/>
  <c r="X383"/>
  <c r="X459"/>
  <c r="X449"/>
  <c r="Z28"/>
  <c r="AA28" s="1"/>
  <c r="Z434"/>
  <c r="AA434" s="1"/>
  <c r="X80"/>
  <c r="Z134"/>
  <c r="AA134" s="1"/>
  <c r="X232"/>
  <c r="Z443"/>
  <c r="AA443" s="1"/>
  <c r="X74"/>
  <c r="Z372"/>
  <c r="AA372" s="1"/>
  <c r="X331"/>
  <c r="X353"/>
  <c r="Z417"/>
  <c r="AA417" s="1"/>
  <c r="Z217"/>
  <c r="AA217" s="1"/>
  <c r="Z415"/>
  <c r="AA415" s="1"/>
  <c r="Z159"/>
  <c r="AA159" s="1"/>
  <c r="X257"/>
  <c r="Z451"/>
  <c r="AA451" s="1"/>
  <c r="Z68"/>
  <c r="AA68" s="1"/>
  <c r="Z27"/>
  <c r="AA27" s="1"/>
  <c r="Z377"/>
  <c r="AA377" s="1"/>
  <c r="Z24"/>
  <c r="AA24" s="1"/>
  <c r="AA1064"/>
  <c r="R3" s="1"/>
  <c r="E240" i="29" s="1"/>
  <c r="C47" i="30" s="1"/>
  <c r="AB45" i="12" s="1"/>
  <c r="X50" i="49"/>
  <c r="X316"/>
  <c r="Z484"/>
  <c r="AA484" s="1"/>
  <c r="Z26"/>
  <c r="AA26" s="1"/>
  <c r="Z37"/>
  <c r="AA37" s="1"/>
  <c r="X38"/>
  <c r="X163"/>
  <c r="Z389"/>
  <c r="AA389" s="1"/>
  <c r="X164"/>
  <c r="Z390"/>
  <c r="AA390" s="1"/>
  <c r="X318"/>
  <c r="Z267"/>
  <c r="AA267" s="1"/>
  <c r="X263"/>
  <c r="X425"/>
  <c r="X210"/>
  <c r="Z184"/>
  <c r="AA184" s="1"/>
  <c r="Z212"/>
  <c r="AA212" s="1"/>
  <c r="X224"/>
  <c r="Z371"/>
  <c r="AA371" s="1"/>
  <c r="Z463"/>
  <c r="AA463" s="1"/>
  <c r="Z173"/>
  <c r="AA173" s="1"/>
  <c r="X431"/>
  <c r="Z430"/>
  <c r="AA430" s="1"/>
  <c r="X453"/>
  <c r="X123"/>
  <c r="Z479"/>
  <c r="AA479" s="1"/>
  <c r="Z218"/>
  <c r="AA218" s="1"/>
  <c r="X335"/>
  <c r="X472"/>
  <c r="Z36"/>
  <c r="AA36" s="1"/>
  <c r="Z59"/>
  <c r="AA59" s="1"/>
  <c r="X408"/>
  <c r="Z42"/>
  <c r="AA42" s="1"/>
  <c r="X345"/>
  <c r="X369"/>
  <c r="Z111"/>
  <c r="AA111" s="1"/>
  <c r="X428"/>
  <c r="X367"/>
  <c r="Z61"/>
  <c r="AA61" s="1"/>
  <c r="Z19"/>
  <c r="AA19" s="1"/>
  <c r="X55"/>
  <c r="X499"/>
  <c r="X45"/>
  <c r="Z84"/>
  <c r="AA84" s="1"/>
  <c r="X195"/>
  <c r="X176"/>
  <c r="Z498"/>
  <c r="AA498" s="1"/>
  <c r="X492"/>
  <c r="Z30"/>
  <c r="AA30" s="1"/>
  <c r="X54"/>
  <c r="X357"/>
  <c r="X358"/>
  <c r="Z313"/>
  <c r="AA313" s="1"/>
  <c r="Z252"/>
  <c r="AA252" s="1"/>
  <c r="X489"/>
  <c r="Z347"/>
  <c r="AA347" s="1"/>
  <c r="X450"/>
  <c r="X509"/>
  <c r="X474"/>
  <c r="Z67"/>
  <c r="AA67" s="1"/>
  <c r="X385"/>
  <c r="X168"/>
  <c r="Z165"/>
  <c r="AA165" s="1"/>
  <c r="Z154"/>
  <c r="AA154" s="1"/>
  <c r="Z177"/>
  <c r="AA177" s="1"/>
  <c r="Z302"/>
  <c r="AA302" s="1"/>
  <c r="X511"/>
  <c r="X237"/>
  <c r="X338"/>
  <c r="X41"/>
  <c r="Z31"/>
  <c r="AA31" s="1"/>
  <c r="X53"/>
  <c r="X43"/>
  <c r="Z65"/>
  <c r="AA65" s="1"/>
  <c r="X429"/>
  <c r="X376"/>
  <c r="Z334"/>
  <c r="AA334" s="1"/>
  <c r="X388"/>
  <c r="X346"/>
  <c r="Z400"/>
  <c r="AA400" s="1"/>
  <c r="X216"/>
  <c r="Z69"/>
  <c r="AA69" s="1"/>
  <c r="Z247"/>
  <c r="AA247" s="1"/>
  <c r="X483"/>
  <c r="X467"/>
  <c r="Z380"/>
  <c r="AA380" s="1"/>
  <c r="Z258"/>
  <c r="AA258" s="1"/>
  <c r="X501"/>
  <c r="Z426"/>
  <c r="AA426" s="1"/>
  <c r="X356"/>
  <c r="Z142"/>
  <c r="AA142" s="1"/>
  <c r="X166"/>
  <c r="Z327"/>
  <c r="AA327" s="1"/>
  <c r="Z204"/>
  <c r="AA204" s="1"/>
  <c r="X349"/>
  <c r="Z478"/>
  <c r="AA478" s="1"/>
  <c r="Z414"/>
  <c r="AA414" s="1"/>
  <c r="X528"/>
  <c r="X199"/>
  <c r="Z394"/>
  <c r="AA394" s="1"/>
  <c r="Z23"/>
  <c r="AA23" s="1"/>
  <c r="X57"/>
  <c r="Z191"/>
  <c r="AA191" s="1"/>
  <c r="X515"/>
  <c r="X193"/>
  <c r="X354"/>
  <c r="X517"/>
  <c r="X145"/>
  <c r="Z447"/>
  <c r="AA447" s="1"/>
  <c r="X326"/>
  <c r="X182"/>
  <c r="Z502"/>
  <c r="AA502" s="1"/>
  <c r="Z466"/>
  <c r="AA466" s="1"/>
  <c r="Z504"/>
  <c r="AA504" s="1"/>
  <c r="Z70"/>
  <c r="AA70" s="1"/>
  <c r="Z368"/>
  <c r="AA368" s="1"/>
  <c r="X432"/>
  <c r="X1064"/>
  <c r="Z48"/>
  <c r="AA48" s="1"/>
  <c r="Z379"/>
  <c r="AA379" s="1"/>
  <c r="X401"/>
  <c r="Z510"/>
  <c r="AA510" s="1"/>
  <c r="X194"/>
  <c r="Z209"/>
  <c r="AA209" s="1"/>
  <c r="X519"/>
  <c r="Z85"/>
  <c r="AA85" s="1"/>
  <c r="X500"/>
  <c r="X458"/>
  <c r="Z201"/>
  <c r="AA201" s="1"/>
  <c r="Z52"/>
  <c r="AA52" s="1"/>
  <c r="X180"/>
  <c r="Z522"/>
  <c r="AA522" s="1"/>
  <c r="X481"/>
  <c r="X457"/>
  <c r="X446"/>
  <c r="Z149"/>
  <c r="AA149" s="1"/>
  <c r="Z277"/>
  <c r="AA277" s="1"/>
  <c r="X278"/>
  <c r="X33"/>
  <c r="X384"/>
  <c r="X73"/>
  <c r="Z382"/>
  <c r="AA382" s="1"/>
  <c r="X319"/>
  <c r="X469"/>
  <c r="X266"/>
  <c r="X475"/>
  <c r="X116"/>
  <c r="X139"/>
  <c r="Z330"/>
  <c r="AA330" s="1"/>
  <c r="X161"/>
  <c r="Z470"/>
  <c r="AA470" s="1"/>
  <c r="X342"/>
  <c r="X22"/>
  <c r="Z256"/>
  <c r="AA256" s="1"/>
  <c r="Z75"/>
  <c r="AA75" s="1"/>
  <c r="Z523"/>
  <c r="AA523" s="1"/>
  <c r="X405"/>
  <c r="Z272"/>
  <c r="AA272" s="1"/>
  <c r="X207"/>
  <c r="X35"/>
  <c r="Z473"/>
  <c r="AA473" s="1"/>
  <c r="Z516"/>
  <c r="AA516" s="1"/>
  <c r="X312"/>
  <c r="Z271"/>
  <c r="AA271" s="1"/>
  <c r="X324"/>
  <c r="X293"/>
  <c r="X282"/>
  <c r="Z40"/>
  <c r="AA40" s="1"/>
  <c r="Z250"/>
  <c r="AA250" s="1"/>
  <c r="Z121"/>
  <c r="AA121" s="1"/>
  <c r="Z495"/>
  <c r="AA495" s="1"/>
  <c r="Z315"/>
  <c r="AA315" s="1"/>
  <c r="X228"/>
  <c r="Z198"/>
  <c r="AA198" s="1"/>
  <c r="X435"/>
  <c r="Z360"/>
  <c r="AA360" s="1"/>
  <c r="Z518"/>
  <c r="AA518" s="1"/>
  <c r="Z491"/>
  <c r="AA491" s="1"/>
  <c r="X521"/>
  <c r="X307"/>
  <c r="X364"/>
  <c r="X269"/>
  <c r="Z158"/>
  <c r="AA158" s="1"/>
  <c r="Z366"/>
  <c r="AA366" s="1"/>
  <c r="X493"/>
  <c r="Z181"/>
  <c r="AA181" s="1"/>
  <c r="X490"/>
  <c r="X513"/>
  <c r="Z115"/>
  <c r="AA115" s="1"/>
  <c r="X270"/>
  <c r="Z283"/>
  <c r="AA283" s="1"/>
  <c r="X249"/>
  <c r="Z47"/>
  <c r="AA47" s="1"/>
  <c r="Z120"/>
  <c r="AA120" s="1"/>
  <c r="X174"/>
  <c r="X175"/>
  <c r="X197"/>
  <c r="Z255"/>
  <c r="AA255" s="1"/>
  <c r="Z393"/>
  <c r="AA393" s="1"/>
  <c r="Z169"/>
  <c r="AA169" s="1"/>
  <c r="X487"/>
  <c r="Z336"/>
  <c r="AA336" s="1"/>
  <c r="Z305"/>
  <c r="AA305" s="1"/>
  <c r="Z294"/>
  <c r="AA294" s="1"/>
  <c r="X420"/>
  <c r="Z303"/>
  <c r="AA303" s="1"/>
  <c r="Z122"/>
  <c r="AA122" s="1"/>
  <c r="X112"/>
  <c r="Z374"/>
  <c r="AA374" s="1"/>
  <c r="Z196"/>
  <c r="AA196" s="1"/>
  <c r="Z208"/>
  <c r="AA208" s="1"/>
  <c r="Z323"/>
  <c r="AA323" s="1"/>
  <c r="X314"/>
  <c r="X92"/>
  <c r="X157"/>
  <c r="X387"/>
  <c r="Z20"/>
  <c r="AA20" s="1"/>
  <c r="X124"/>
  <c r="Z438"/>
  <c r="AA438" s="1"/>
  <c r="Z241"/>
  <c r="AA241" s="1"/>
  <c r="Z361"/>
  <c r="AA361" s="1"/>
  <c r="Z350"/>
  <c r="AA350" s="1"/>
  <c r="Z351"/>
  <c r="AA351" s="1"/>
  <c r="X404"/>
  <c r="Z373"/>
  <c r="AA373" s="1"/>
  <c r="X362"/>
  <c r="X363"/>
  <c r="X416"/>
  <c r="X482"/>
  <c r="X153"/>
  <c r="X143"/>
  <c r="Z155"/>
  <c r="AA155" s="1"/>
  <c r="X162"/>
  <c r="Z292"/>
  <c r="AA292" s="1"/>
  <c r="X375"/>
  <c r="X444"/>
  <c r="Z520"/>
  <c r="AA520" s="1"/>
  <c r="Z525"/>
  <c r="AA525" s="1"/>
  <c r="Z130"/>
  <c r="AA130" s="1"/>
  <c r="X206"/>
  <c r="X503"/>
  <c r="Z261"/>
  <c r="AA261" s="1"/>
  <c r="X343"/>
  <c r="X496"/>
  <c r="X34"/>
  <c r="X454"/>
  <c r="Z259"/>
  <c r="AA259" s="1"/>
  <c r="Z265"/>
  <c r="AA265" s="1"/>
  <c r="X62"/>
  <c r="Z289"/>
  <c r="AA289" s="1"/>
  <c r="Z262"/>
  <c r="AA262" s="1"/>
  <c r="Z308"/>
  <c r="AA308" s="1"/>
  <c r="X213"/>
  <c r="Z507"/>
  <c r="AA507" s="1"/>
  <c r="Z442"/>
  <c r="AA442" s="1"/>
  <c r="Z465"/>
  <c r="AA465" s="1"/>
  <c r="X273"/>
  <c r="X386"/>
  <c r="X333"/>
  <c r="Z179"/>
  <c r="AA179" s="1"/>
  <c r="X202"/>
  <c r="Z114"/>
  <c r="AA114" s="1"/>
  <c r="Z365"/>
  <c r="AA365" s="1"/>
  <c r="Z105"/>
  <c r="AA105" s="1"/>
  <c r="Z141"/>
  <c r="AA141" s="1"/>
  <c r="X396"/>
  <c r="X325"/>
  <c r="Z81"/>
  <c r="AA81" s="1"/>
  <c r="X494"/>
  <c r="X506"/>
  <c r="Z251"/>
  <c r="AA251" s="1"/>
  <c r="Z185"/>
  <c r="AA185" s="1"/>
  <c r="X219"/>
  <c r="Z87"/>
  <c r="AA87" s="1"/>
  <c r="Z439"/>
  <c r="AA439" s="1"/>
  <c r="X156"/>
  <c r="X125"/>
  <c r="Z83"/>
  <c r="AA83" s="1"/>
  <c r="X311"/>
  <c r="X29"/>
  <c r="Z205"/>
  <c r="AA205" s="1"/>
  <c r="Z98"/>
  <c r="AA98" s="1"/>
  <c r="X104"/>
  <c r="Z94"/>
  <c r="AA94" s="1"/>
  <c r="X231"/>
  <c r="X412"/>
  <c r="X381"/>
  <c r="X370"/>
  <c r="Z339"/>
  <c r="AA339" s="1"/>
  <c r="X76"/>
  <c r="X140"/>
  <c r="X236"/>
  <c r="X460"/>
  <c r="X300"/>
  <c r="X397"/>
  <c r="Z508"/>
  <c r="AA508" s="1"/>
  <c r="X461"/>
  <c r="Z227"/>
  <c r="AA227" s="1"/>
  <c r="Z392"/>
  <c r="AA392" s="1"/>
  <c r="E243" i="29" l="1"/>
  <c r="E244" s="1"/>
  <c r="C52" i="30" s="1"/>
  <c r="AB22" i="12" s="1"/>
  <c r="X531" i="49"/>
  <c r="AA531"/>
  <c r="Q3" s="1"/>
  <c r="D240" i="29" s="1"/>
  <c r="B47" i="30" s="1"/>
  <c r="B45" i="12" s="1"/>
  <c r="B49" s="1"/>
  <c r="C49" i="30" l="1"/>
  <c r="D243" i="29"/>
  <c r="B49" i="30" s="1"/>
  <c r="AB49" i="12"/>
  <c r="D244" i="29" l="1"/>
  <c r="B52" i="30" s="1"/>
  <c r="B22" i="12" s="1"/>
</calcChain>
</file>

<file path=xl/sharedStrings.xml><?xml version="1.0" encoding="utf-8"?>
<sst xmlns="http://schemas.openxmlformats.org/spreadsheetml/2006/main" count="3183" uniqueCount="948">
  <si>
    <t>Race</t>
  </si>
  <si>
    <t>Hume</t>
  </si>
  <si>
    <t>Job</t>
  </si>
  <si>
    <t>Str</t>
  </si>
  <si>
    <t>Dex</t>
  </si>
  <si>
    <t>Vit</t>
  </si>
  <si>
    <t>Merits</t>
  </si>
  <si>
    <t>Total</t>
  </si>
  <si>
    <t>Slot</t>
  </si>
  <si>
    <t>Att</t>
  </si>
  <si>
    <t>Acc</t>
  </si>
  <si>
    <t>Haste</t>
  </si>
  <si>
    <t>DA</t>
  </si>
  <si>
    <t>Store TP</t>
  </si>
  <si>
    <t>Gear</t>
  </si>
  <si>
    <t>Ammo</t>
  </si>
  <si>
    <t>Head</t>
  </si>
  <si>
    <t>Neck</t>
  </si>
  <si>
    <t>Body</t>
  </si>
  <si>
    <t>Hands</t>
  </si>
  <si>
    <t>Back</t>
  </si>
  <si>
    <t>Waist</t>
  </si>
  <si>
    <t>Legs</t>
  </si>
  <si>
    <t>Feet</t>
  </si>
  <si>
    <t>Set Bonus</t>
  </si>
  <si>
    <t>Brutal</t>
  </si>
  <si>
    <t>Rajas</t>
  </si>
  <si>
    <t>Gorget</t>
  </si>
  <si>
    <t>Stat</t>
  </si>
  <si>
    <t>WS</t>
  </si>
  <si>
    <t>Skill</t>
  </si>
  <si>
    <t>Target</t>
  </si>
  <si>
    <t>Level</t>
  </si>
  <si>
    <t>Defense</t>
  </si>
  <si>
    <t>Evasion</t>
  </si>
  <si>
    <t>Defbuffed:</t>
  </si>
  <si>
    <t>Level Corr:</t>
  </si>
  <si>
    <t>cRatio</t>
  </si>
  <si>
    <t>Hit Rate</t>
  </si>
  <si>
    <t>Raw Hit Rate</t>
  </si>
  <si>
    <t>WS Dmg</t>
  </si>
  <si>
    <t>Total Haste</t>
  </si>
  <si>
    <t>Agi</t>
  </si>
  <si>
    <t>Hits</t>
  </si>
  <si>
    <t>DA:</t>
  </si>
  <si>
    <t>Swings</t>
  </si>
  <si>
    <t>Probability</t>
  </si>
  <si>
    <t>Hits remaining</t>
  </si>
  <si>
    <t>Melee TP/Hit:</t>
  </si>
  <si>
    <t>WS TP/Hit:</t>
  </si>
  <si>
    <t>Melee Hit rate:</t>
  </si>
  <si>
    <t>WS Hit rate:</t>
  </si>
  <si>
    <t>Avg rounds</t>
  </si>
  <si>
    <t>None</t>
  </si>
  <si>
    <t>Aesir</t>
  </si>
  <si>
    <t>Food Att</t>
  </si>
  <si>
    <t>Food Acc</t>
  </si>
  <si>
    <t>Add</t>
  </si>
  <si>
    <t>Cap</t>
  </si>
  <si>
    <t>Base Att</t>
  </si>
  <si>
    <t>Base Acc</t>
  </si>
  <si>
    <t>Dmg</t>
  </si>
  <si>
    <t>Dly</t>
  </si>
  <si>
    <t>Earrings</t>
  </si>
  <si>
    <t>Rings</t>
  </si>
  <si>
    <t>Flame</t>
  </si>
  <si>
    <t>Gear Haste</t>
  </si>
  <si>
    <t>Dex Crit</t>
  </si>
  <si>
    <t>Over-TP Rnds:</t>
  </si>
  <si>
    <t>Sam Roll</t>
  </si>
  <si>
    <t>PCC</t>
  </si>
  <si>
    <t>Earring</t>
  </si>
  <si>
    <t>Ring</t>
  </si>
  <si>
    <t>Excelsis</t>
  </si>
  <si>
    <t>Ziel</t>
  </si>
  <si>
    <t>Hollow</t>
  </si>
  <si>
    <t>White Tathlum</t>
  </si>
  <si>
    <t>Anguinus</t>
  </si>
  <si>
    <t>Black Tathlum</t>
  </si>
  <si>
    <t>Spiral</t>
  </si>
  <si>
    <t>Food</t>
  </si>
  <si>
    <t>Att Mult</t>
  </si>
  <si>
    <t>Att Mult Cap</t>
  </si>
  <si>
    <t>Att Add</t>
  </si>
  <si>
    <t>Acc Mult</t>
  </si>
  <si>
    <t>Acc Mult Cap</t>
  </si>
  <si>
    <t>Acc Add</t>
  </si>
  <si>
    <t>Mithkabob</t>
  </si>
  <si>
    <t>Chiefkabob</t>
  </si>
  <si>
    <t>Coeurl Sub +1</t>
  </si>
  <si>
    <t>Coeurl Sub</t>
  </si>
  <si>
    <t>Bison Steak</t>
  </si>
  <si>
    <t>Sole Sushi</t>
  </si>
  <si>
    <t>Bream Sushi</t>
  </si>
  <si>
    <t>Crab Sushi</t>
  </si>
  <si>
    <t>Yellow Curry</t>
  </si>
  <si>
    <t>Pizza</t>
  </si>
  <si>
    <t>Pizza +1</t>
  </si>
  <si>
    <t>Squid Sushi</t>
  </si>
  <si>
    <t>Minuet</t>
  </si>
  <si>
    <t>Bibiki Seashell</t>
  </si>
  <si>
    <t>Tiphia Sting</t>
  </si>
  <si>
    <t>Damage</t>
  </si>
  <si>
    <t>WSC:</t>
  </si>
  <si>
    <t>fTP:</t>
  </si>
  <si>
    <t>Crit%:</t>
  </si>
  <si>
    <t>Avg Dmg:</t>
  </si>
  <si>
    <t>WS Dmg:</t>
  </si>
  <si>
    <t>Set DPS:</t>
  </si>
  <si>
    <t>Red C Bun</t>
  </si>
  <si>
    <t>Yellow C Bun</t>
  </si>
  <si>
    <t>Yellow C Bun +1</t>
  </si>
  <si>
    <t>Crit Rate</t>
  </si>
  <si>
    <t>Atmas</t>
  </si>
  <si>
    <t>Crit Dmg</t>
  </si>
  <si>
    <t>Stout Arm</t>
  </si>
  <si>
    <t>Harvester</t>
  </si>
  <si>
    <t>V. Violet</t>
  </si>
  <si>
    <t>Gnarled Horn</t>
  </si>
  <si>
    <t>Razed Ruin</t>
  </si>
  <si>
    <t>S. Scythe</t>
  </si>
  <si>
    <t>Demonic Lash</t>
  </si>
  <si>
    <t>Regain</t>
  </si>
  <si>
    <t>Regain:</t>
  </si>
  <si>
    <t>C.Dmg</t>
  </si>
  <si>
    <t>C.Rate</t>
  </si>
  <si>
    <t>Berserk</t>
  </si>
  <si>
    <t>Chaos</t>
  </si>
  <si>
    <t>Hoard</t>
  </si>
  <si>
    <t>Magnus Stone</t>
  </si>
  <si>
    <t>Aggressor</t>
  </si>
  <si>
    <t>Baying Moon</t>
  </si>
  <si>
    <t>Magic Haste</t>
  </si>
  <si>
    <t>JA Haste</t>
  </si>
  <si>
    <t>Hasso</t>
  </si>
  <si>
    <t>Perle</t>
  </si>
  <si>
    <t>Goading</t>
  </si>
  <si>
    <t>Grip</t>
  </si>
  <si>
    <t>Rose Grip</t>
  </si>
  <si>
    <t>Pole Grip</t>
  </si>
  <si>
    <t>Askar</t>
  </si>
  <si>
    <t>Vulcan</t>
  </si>
  <si>
    <t>Stalwart's (att)</t>
  </si>
  <si>
    <t>Stalwart's (acc)</t>
  </si>
  <si>
    <t>Sword Strap</t>
  </si>
  <si>
    <t>Claymore Grip</t>
  </si>
  <si>
    <t>Carbonara</t>
  </si>
  <si>
    <t>March 1</t>
  </si>
  <si>
    <t>March 2</t>
  </si>
  <si>
    <t>Next TP</t>
  </si>
  <si>
    <t>TA</t>
  </si>
  <si>
    <t>Alpha &amp; Omega</t>
  </si>
  <si>
    <t>Apocolypse</t>
  </si>
  <si>
    <t>Set 1</t>
  </si>
  <si>
    <t>TA:</t>
  </si>
  <si>
    <t>Sum:</t>
  </si>
  <si>
    <t>Avg:</t>
  </si>
  <si>
    <t>Set 2</t>
  </si>
  <si>
    <t>Ele.Belt</t>
  </si>
  <si>
    <t>Avg TP:</t>
  </si>
  <si>
    <t>Toggle</t>
  </si>
  <si>
    <t>Beir</t>
  </si>
  <si>
    <t>Beir +1</t>
  </si>
  <si>
    <t>Twilight</t>
  </si>
  <si>
    <t>WSDmg</t>
  </si>
  <si>
    <t>Scorpion Queen</t>
  </si>
  <si>
    <t>Atheling</t>
  </si>
  <si>
    <t>Weapon Types</t>
  </si>
  <si>
    <t>Scythe</t>
  </si>
  <si>
    <t>Great Sword</t>
  </si>
  <si>
    <t>Axe</t>
  </si>
  <si>
    <t>Great Axe</t>
  </si>
  <si>
    <t>Weapon Type</t>
  </si>
  <si>
    <t>Guillotine</t>
  </si>
  <si>
    <t>Insurgency</t>
  </si>
  <si>
    <t>Scythe Weaponskills</t>
  </si>
  <si>
    <t>Great Sword Weaponskills</t>
  </si>
  <si>
    <t>Spinning Slash</t>
  </si>
  <si>
    <t>Ground Strike</t>
  </si>
  <si>
    <t>Axe Weaponskills</t>
  </si>
  <si>
    <t>Rampage</t>
  </si>
  <si>
    <t>Great Axe Weaponskills</t>
  </si>
  <si>
    <t>Int</t>
  </si>
  <si>
    <t>Mnd</t>
  </si>
  <si>
    <t>TP Bonus</t>
  </si>
  <si>
    <t>Smiting Blow</t>
  </si>
  <si>
    <t>Main</t>
  </si>
  <si>
    <t>Offhand</t>
  </si>
  <si>
    <t>Combined</t>
  </si>
  <si>
    <t>Swings:</t>
  </si>
  <si>
    <t>Prob:</t>
  </si>
  <si>
    <t>Bale</t>
  </si>
  <si>
    <t>Torcleaver</t>
  </si>
  <si>
    <t>Endark</t>
  </si>
  <si>
    <t>Endark Att</t>
  </si>
  <si>
    <t>Starting Damage:</t>
  </si>
  <si>
    <t>Base Damage:</t>
  </si>
  <si>
    <t>Total damage remaining</t>
  </si>
  <si>
    <t>Resets min</t>
  </si>
  <si>
    <t>Damage gained for N hits on reset</t>
  </si>
  <si>
    <t>Difference</t>
  </si>
  <si>
    <t>Damage already done by hit N</t>
  </si>
  <si>
    <t>Total damage per X hits</t>
  </si>
  <si>
    <t>Avg per hit</t>
  </si>
  <si>
    <t>Avg per round 1</t>
  </si>
  <si>
    <t>Avg per round 2</t>
  </si>
  <si>
    <t>Fire Bomblet</t>
  </si>
  <si>
    <t>Flame Sachet</t>
  </si>
  <si>
    <t>Bomb Core</t>
  </si>
  <si>
    <t>Ares</t>
  </si>
  <si>
    <t>Ire +1</t>
  </si>
  <si>
    <t>Centaurus</t>
  </si>
  <si>
    <t>Moonshade TP</t>
  </si>
  <si>
    <t>Catastrophe</t>
  </si>
  <si>
    <t>Quietus</t>
  </si>
  <si>
    <t>Rnds</t>
  </si>
  <si>
    <t>Drk</t>
  </si>
  <si>
    <t>SE Dmg</t>
  </si>
  <si>
    <t>HP</t>
  </si>
  <si>
    <t>HPP</t>
  </si>
  <si>
    <t>Results</t>
  </si>
  <si>
    <t>General</t>
  </si>
  <si>
    <t>Subjob</t>
  </si>
  <si>
    <t>Nin</t>
  </si>
  <si>
    <t>Final Def</t>
  </si>
  <si>
    <t>Melee damage per round</t>
  </si>
  <si>
    <t>Crit</t>
  </si>
  <si>
    <t>Abyssea</t>
  </si>
  <si>
    <t>In Abyssea?</t>
  </si>
  <si>
    <t>Cruor Buff Value</t>
  </si>
  <si>
    <t>Atma1</t>
  </si>
  <si>
    <t>Atma2</t>
  </si>
  <si>
    <t>Atma3</t>
  </si>
  <si>
    <t>Chaos Roll</t>
  </si>
  <si>
    <t>Stalwart's</t>
  </si>
  <si>
    <t>GS Skill</t>
  </si>
  <si>
    <t>Scythe skill</t>
  </si>
  <si>
    <t>Last Resort Recast</t>
  </si>
  <si>
    <t>Desperate Blows</t>
  </si>
  <si>
    <t>Last Resort Effect</t>
  </si>
  <si>
    <t>Races</t>
  </si>
  <si>
    <t>Mithra</t>
  </si>
  <si>
    <t>Galka</t>
  </si>
  <si>
    <t>Elvaan</t>
  </si>
  <si>
    <t>Tarutaru</t>
  </si>
  <si>
    <t>Chr</t>
  </si>
  <si>
    <t>War</t>
  </si>
  <si>
    <t>Sam</t>
  </si>
  <si>
    <t>Subjobs</t>
  </si>
  <si>
    <t>Melee / Weaponskill</t>
  </si>
  <si>
    <t>Last Resort</t>
  </si>
  <si>
    <t>Base+M</t>
  </si>
  <si>
    <t>Atma 1</t>
  </si>
  <si>
    <t>Total 1</t>
  </si>
  <si>
    <t>Atma 2</t>
  </si>
  <si>
    <t>Total 2</t>
  </si>
  <si>
    <t>Mult.</t>
  </si>
  <si>
    <t>Atmas (1)</t>
  </si>
  <si>
    <t>Atmas (2)</t>
  </si>
  <si>
    <t>DW Trait:</t>
  </si>
  <si>
    <t>Food STP</t>
  </si>
  <si>
    <t>TP Set 1</t>
  </si>
  <si>
    <t>TP Set 2</t>
  </si>
  <si>
    <t>WS Set 1</t>
  </si>
  <si>
    <t>WS Set 2</t>
  </si>
  <si>
    <t>Emp Set Bonus</t>
  </si>
  <si>
    <t>DW</t>
  </si>
  <si>
    <t>Delay per Weap</t>
  </si>
  <si>
    <t>Base TP/Hit</t>
  </si>
  <si>
    <t>TP/Hit</t>
  </si>
  <si>
    <t>fStr1</t>
  </si>
  <si>
    <t>W1 Dmg</t>
  </si>
  <si>
    <t>Hits/Rnd W1</t>
  </si>
  <si>
    <t>Hits/Rnd W2</t>
  </si>
  <si>
    <t>Avg W1</t>
  </si>
  <si>
    <t>AE W1</t>
  </si>
  <si>
    <t>Avg W2</t>
  </si>
  <si>
    <t>AE W2</t>
  </si>
  <si>
    <t>Avg Rnd</t>
  </si>
  <si>
    <t>Nom. Delay</t>
  </si>
  <si>
    <t>Min Delay</t>
  </si>
  <si>
    <t>Delay/Round</t>
  </si>
  <si>
    <t>Category DPS</t>
  </si>
  <si>
    <t>Weaponskill</t>
  </si>
  <si>
    <t>Regain Amt</t>
  </si>
  <si>
    <t>Base TP Rnds</t>
  </si>
  <si>
    <t>Base TP Time</t>
  </si>
  <si>
    <t>Att Bonus</t>
  </si>
  <si>
    <t>TPSet1</t>
  </si>
  <si>
    <t>TPSet2</t>
  </si>
  <si>
    <t>WSSet1</t>
  </si>
  <si>
    <t>WSSet2</t>
  </si>
  <si>
    <t>AE Dmg</t>
  </si>
  <si>
    <t>Melee (Set 1)</t>
  </si>
  <si>
    <t>Melee (Set 2)</t>
  </si>
  <si>
    <t>WS (Set 1)</t>
  </si>
  <si>
    <t>WS (Set 2)</t>
  </si>
  <si>
    <t>Zanshin</t>
  </si>
  <si>
    <t>Endark Recast @ dmg rem.</t>
  </si>
  <si>
    <t>Endark Recast #</t>
  </si>
  <si>
    <t>Total DPS</t>
  </si>
  <si>
    <t>Total:</t>
  </si>
  <si>
    <t>Total Cycle Damage</t>
  </si>
  <si>
    <t>Total Damage</t>
  </si>
  <si>
    <t>Set Ratios</t>
  </si>
  <si>
    <t>Sample Last Resort split</t>
  </si>
  <si>
    <t>Total HP</t>
  </si>
  <si>
    <t>Souleater</t>
  </si>
  <si>
    <t>Souleater %</t>
  </si>
  <si>
    <t>Mobs</t>
  </si>
  <si>
    <t>Rosenbogen</t>
  </si>
  <si>
    <t>Rosenbogen +1</t>
  </si>
  <si>
    <t>Oneiros</t>
  </si>
  <si>
    <t>Bloodgem</t>
  </si>
  <si>
    <t>Ethereal</t>
  </si>
  <si>
    <t>Meridian</t>
  </si>
  <si>
    <t>SE Dmg/Hit</t>
  </si>
  <si>
    <t>HP %</t>
  </si>
  <si>
    <t>Rounds/WS</t>
  </si>
  <si>
    <t>WS Only</t>
  </si>
  <si>
    <t>On</t>
  </si>
  <si>
    <t>Enhance SE</t>
  </si>
  <si>
    <t>Used HP</t>
  </si>
  <si>
    <t>Remain HP</t>
  </si>
  <si>
    <t>Sum Dmg</t>
  </si>
  <si>
    <t>% Dmg</t>
  </si>
  <si>
    <t>Ttl Dmg</t>
  </si>
  <si>
    <t>Total Cycle Time</t>
  </si>
  <si>
    <t>Melee DPS</t>
  </si>
  <si>
    <t>Anger Bomblet</t>
  </si>
  <si>
    <t>Verthandi's Gem</t>
  </si>
  <si>
    <t>Apathy</t>
  </si>
  <si>
    <t>Ganesha's Mala</t>
  </si>
  <si>
    <t>Avg HP % (melee)</t>
  </si>
  <si>
    <t>Starting HP % (ws)</t>
  </si>
  <si>
    <t>Final Stats</t>
  </si>
  <si>
    <t>Calculations</t>
  </si>
  <si>
    <t>Grades</t>
  </si>
  <si>
    <t>D</t>
  </si>
  <si>
    <t>C</t>
  </si>
  <si>
    <t>B</t>
  </si>
  <si>
    <t>E</t>
  </si>
  <si>
    <t>F</t>
  </si>
  <si>
    <t>G</t>
  </si>
  <si>
    <t>A</t>
  </si>
  <si>
    <t>BRD</t>
  </si>
  <si>
    <t>BST</t>
  </si>
  <si>
    <t>BLM</t>
  </si>
  <si>
    <t>BLU</t>
  </si>
  <si>
    <t>COR</t>
  </si>
  <si>
    <t>DNC</t>
  </si>
  <si>
    <t>DRK</t>
  </si>
  <si>
    <t>DRG</t>
  </si>
  <si>
    <t>MNK</t>
  </si>
  <si>
    <t>NIN</t>
  </si>
  <si>
    <t>PLD</t>
  </si>
  <si>
    <t>PUP</t>
  </si>
  <si>
    <t>RNG</t>
  </si>
  <si>
    <t>RDM</t>
  </si>
  <si>
    <t>SAM</t>
  </si>
  <si>
    <t>SCH</t>
  </si>
  <si>
    <t>SMN</t>
  </si>
  <si>
    <t>THF</t>
  </si>
  <si>
    <t>WAR</t>
  </si>
  <si>
    <t>WHM</t>
  </si>
  <si>
    <t>Grade Rates</t>
  </si>
  <si>
    <t>HPBase</t>
  </si>
  <si>
    <t>HP60</t>
  </si>
  <si>
    <t>HP30+</t>
  </si>
  <si>
    <t>HP75</t>
  </si>
  <si>
    <t>HP99</t>
  </si>
  <si>
    <t>StatBase</t>
  </si>
  <si>
    <t>Stat60</t>
  </si>
  <si>
    <t>Stat75</t>
  </si>
  <si>
    <t>Stat99</t>
  </si>
  <si>
    <t>Bonus</t>
  </si>
  <si>
    <t>Resolution</t>
  </si>
  <si>
    <t>WS 1</t>
  </si>
  <si>
    <t>WS 2</t>
  </si>
  <si>
    <t>QA:</t>
  </si>
  <si>
    <t>WS TP/add. Hit:</t>
  </si>
  <si>
    <t>+fTP:</t>
  </si>
  <si>
    <t>Avg fTP:</t>
  </si>
  <si>
    <t>Extra hits:</t>
  </si>
  <si>
    <t>WS Crit%:</t>
  </si>
  <si>
    <t>Over-TP:</t>
  </si>
  <si>
    <t>Offhand:</t>
  </si>
  <si>
    <t>First</t>
  </si>
  <si>
    <t>AddMain</t>
  </si>
  <si>
    <t>Off</t>
  </si>
  <si>
    <t>Real Ex1</t>
  </si>
  <si>
    <t>+Swings</t>
  </si>
  <si>
    <t>Main hit</t>
  </si>
  <si>
    <t>Off hit</t>
  </si>
  <si>
    <t>Add hit</t>
  </si>
  <si>
    <t>P(hits)</t>
  </si>
  <si>
    <t>P(ws)</t>
  </si>
  <si>
    <t>TP</t>
  </si>
  <si>
    <t>Rounds</t>
  </si>
  <si>
    <t>CTP1</t>
  </si>
  <si>
    <t>CTP2</t>
  </si>
  <si>
    <t>CTP Rnd</t>
  </si>
  <si>
    <t>A.Rnds</t>
  </si>
  <si>
    <t>P(rnds)</t>
  </si>
  <si>
    <t>P(tp)</t>
  </si>
  <si>
    <t>P(dmg)</t>
  </si>
  <si>
    <t>Sum P:</t>
  </si>
  <si>
    <t>Avg Rnd:</t>
  </si>
  <si>
    <t>Entropy</t>
  </si>
  <si>
    <t>WS Att Bonus</t>
  </si>
  <si>
    <t>Weaponskills</t>
  </si>
  <si>
    <t>Upheaval</t>
  </si>
  <si>
    <t>TP Adjustments</t>
  </si>
  <si>
    <t>Save TP:</t>
  </si>
  <si>
    <t>GA Skill</t>
  </si>
  <si>
    <t>Axe Skill</t>
  </si>
  <si>
    <t>QA</t>
  </si>
  <si>
    <t>CTP</t>
  </si>
  <si>
    <t>Wpn 1 Dmg</t>
  </si>
  <si>
    <t>Wpn 1 Dly</t>
  </si>
  <si>
    <t>Wpn 2 Dmg</t>
  </si>
  <si>
    <t>Wpn 2 Dly</t>
  </si>
  <si>
    <t>ODD</t>
  </si>
  <si>
    <t>Base Delay</t>
  </si>
  <si>
    <t>Delay Reduction</t>
  </si>
  <si>
    <t>Conserve TP:</t>
  </si>
  <si>
    <t>P(SE Dmg)</t>
  </si>
  <si>
    <t>Avg SE:</t>
  </si>
  <si>
    <t>Def Ignored:</t>
  </si>
  <si>
    <t>Tyrant</t>
  </si>
  <si>
    <t>Pyrosoul</t>
  </si>
  <si>
    <t>Icesoul</t>
  </si>
  <si>
    <t>Griffon's Claw</t>
  </si>
  <si>
    <t>Relic Bonus</t>
  </si>
  <si>
    <t>Windbuffet</t>
  </si>
  <si>
    <t>Qilin</t>
  </si>
  <si>
    <t>Phorcys</t>
  </si>
  <si>
    <t>Att%</t>
  </si>
  <si>
    <t>OAx</t>
  </si>
  <si>
    <t>OA2</t>
  </si>
  <si>
    <t>OA3</t>
  </si>
  <si>
    <t>OA4</t>
  </si>
  <si>
    <t>OA5</t>
  </si>
  <si>
    <t>OA6</t>
  </si>
  <si>
    <t>OA7</t>
  </si>
  <si>
    <t>OA8</t>
  </si>
  <si>
    <t>Hagneia</t>
  </si>
  <si>
    <t>Houyi</t>
  </si>
  <si>
    <t>WRank 1</t>
  </si>
  <si>
    <t>KA:</t>
  </si>
  <si>
    <t>OAx (1)</t>
  </si>
  <si>
    <t>OAx (2)</t>
  </si>
  <si>
    <t>Zanshin Rate</t>
  </si>
  <si>
    <t>Zanshin Hit Rate</t>
  </si>
  <si>
    <t>Zan</t>
  </si>
  <si>
    <t>STP</t>
  </si>
  <si>
    <t>Min TP:</t>
  </si>
  <si>
    <t>Minimum WS TP</t>
  </si>
  <si>
    <t>Other TP Gain/Loss</t>
  </si>
  <si>
    <t>TP&gt;Ready</t>
  </si>
  <si>
    <t>Hits&gt;Ready</t>
  </si>
  <si>
    <t>Embrava</t>
  </si>
  <si>
    <t>Voidwatch</t>
  </si>
  <si>
    <t>N/A</t>
  </si>
  <si>
    <t>Tactician's Roll</t>
  </si>
  <si>
    <t>Adloquium</t>
  </si>
  <si>
    <t>Extra Hits</t>
  </si>
  <si>
    <t>WSC1 Name</t>
  </si>
  <si>
    <t>WSC1 Value</t>
  </si>
  <si>
    <t>WSC2 Name</t>
  </si>
  <si>
    <t>WSC2 Value</t>
  </si>
  <si>
    <t>FTP1</t>
  </si>
  <si>
    <t>FTP2</t>
  </si>
  <si>
    <t>FTP3</t>
  </si>
  <si>
    <t>FTPCarry</t>
  </si>
  <si>
    <t>Att1</t>
  </si>
  <si>
    <t>Att2</t>
  </si>
  <si>
    <t>Crit0</t>
  </si>
  <si>
    <t>Crit1</t>
  </si>
  <si>
    <t>Crit2</t>
  </si>
  <si>
    <t>Set1</t>
  </si>
  <si>
    <t>WS Store TP:</t>
  </si>
  <si>
    <t>Extra 1</t>
  </si>
  <si>
    <t>Extra 2</t>
  </si>
  <si>
    <t>P(extra)</t>
  </si>
  <si>
    <t>Set2</t>
  </si>
  <si>
    <t>Def0</t>
  </si>
  <si>
    <t>Def1</t>
  </si>
  <si>
    <t>Def2</t>
  </si>
  <si>
    <t>GSkill</t>
  </si>
  <si>
    <t>GASkill</t>
  </si>
  <si>
    <t>ASkill</t>
  </si>
  <si>
    <t>SSkill</t>
  </si>
  <si>
    <t>Uther's Grip</t>
  </si>
  <si>
    <t>Duplus Grip</t>
  </si>
  <si>
    <t>WSDmg:</t>
  </si>
  <si>
    <t>CritDef</t>
  </si>
  <si>
    <t>CritRate</t>
  </si>
  <si>
    <t>Bluffalo EM</t>
  </si>
  <si>
    <t>Ig-Alima</t>
  </si>
  <si>
    <t>Crit Def Bonus</t>
  </si>
  <si>
    <t>Crit Rate Mod</t>
  </si>
  <si>
    <t>Job Buffs</t>
  </si>
  <si>
    <t>Other Player Buffs</t>
  </si>
  <si>
    <t>Main Job</t>
  </si>
  <si>
    <t>Mage</t>
  </si>
  <si>
    <t>Meditate</t>
  </si>
  <si>
    <t>Whm</t>
  </si>
  <si>
    <t>Enhancing Skill</t>
  </si>
  <si>
    <t>Med. Over-time</t>
  </si>
  <si>
    <t>Boost-Str</t>
  </si>
  <si>
    <t>Boost-Dex</t>
  </si>
  <si>
    <t>Support Job</t>
  </si>
  <si>
    <t>Brd</t>
  </si>
  <si>
    <t>Soul Voice</t>
  </si>
  <si>
    <t>Haste Samba (5%)</t>
  </si>
  <si>
    <t>Area Buffs</t>
  </si>
  <si>
    <t>Minuet 5</t>
  </si>
  <si>
    <t>Minuet 4</t>
  </si>
  <si>
    <t>Madrigal 2</t>
  </si>
  <si>
    <t>Madrigal 1</t>
  </si>
  <si>
    <t>Smn</t>
  </si>
  <si>
    <t>Atmacite 1</t>
  </si>
  <si>
    <t>Summoning Skill</t>
  </si>
  <si>
    <t>Atmacite 2</t>
  </si>
  <si>
    <t>Ifrit Enfire</t>
  </si>
  <si>
    <t>Atmacite 3</t>
  </si>
  <si>
    <t>Sch</t>
  </si>
  <si>
    <t>Enspell</t>
  </si>
  <si>
    <t>Dnc</t>
  </si>
  <si>
    <t>Haste Samba (10%)</t>
  </si>
  <si>
    <t>Cor</t>
  </si>
  <si>
    <t>Fighter's Roll</t>
  </si>
  <si>
    <t>Rogue's Roll</t>
  </si>
  <si>
    <t>Miser's Roll</t>
  </si>
  <si>
    <t>Att %</t>
  </si>
  <si>
    <t>DA %</t>
  </si>
  <si>
    <t>Crit %</t>
  </si>
  <si>
    <t>Save TP</t>
  </si>
  <si>
    <t>Cruor 2</t>
  </si>
  <si>
    <t>Cruor 1</t>
  </si>
  <si>
    <t>Acc Bonus</t>
  </si>
  <si>
    <t>&gt;&gt;</t>
  </si>
  <si>
    <t>Def Down %</t>
  </si>
  <si>
    <t>Mythic AM2</t>
  </si>
  <si>
    <t>AM2 TP</t>
  </si>
  <si>
    <t>Mythic AM3</t>
  </si>
  <si>
    <t>AM3</t>
  </si>
  <si>
    <t>AM3-2</t>
  </si>
  <si>
    <t>AM3-3</t>
  </si>
  <si>
    <t>Madrigal</t>
  </si>
  <si>
    <t>Mythic Level</t>
  </si>
  <si>
    <t>AM2</t>
  </si>
  <si>
    <t>dDex</t>
  </si>
  <si>
    <t>Endark Dmg</t>
  </si>
  <si>
    <t>Ifrit Enspell Dmg</t>
  </si>
  <si>
    <t>Sch Enspell Dmg</t>
  </si>
  <si>
    <t>Enspell Dmg</t>
  </si>
  <si>
    <t>Boost Potency</t>
  </si>
  <si>
    <t>Brd AF3 Potency</t>
  </si>
  <si>
    <t>Vulcan Pearl</t>
  </si>
  <si>
    <t>Diabolic Eye</t>
  </si>
  <si>
    <t>Souleater Acc</t>
  </si>
  <si>
    <t>Day for fTP Bonus</t>
  </si>
  <si>
    <t>fTP</t>
  </si>
  <si>
    <t>DfTP</t>
  </si>
  <si>
    <t>Sljor</t>
  </si>
  <si>
    <t>Kokou</t>
  </si>
  <si>
    <t>Scale:</t>
  </si>
  <si>
    <t>HP Mult</t>
  </si>
  <si>
    <t>HP Cap</t>
  </si>
  <si>
    <t>Arrabbiata</t>
  </si>
  <si>
    <t>Subtotal HP</t>
  </si>
  <si>
    <t>Food HPP</t>
  </si>
  <si>
    <t>Food HPP Cap</t>
  </si>
  <si>
    <t>Food HP</t>
  </si>
  <si>
    <t>Rioter</t>
  </si>
  <si>
    <t>Caudata</t>
  </si>
  <si>
    <t>Ares +1</t>
  </si>
  <si>
    <t>Pieces</t>
  </si>
  <si>
    <t>Gear sets</t>
  </si>
  <si>
    <t>Mod</t>
  </si>
  <si>
    <t>TPSet1Gear</t>
  </si>
  <si>
    <t>TPSet2Gear</t>
  </si>
  <si>
    <t>WSSet1Gear</t>
  </si>
  <si>
    <t>WSSet2Gear</t>
  </si>
  <si>
    <t>Custom</t>
  </si>
  <si>
    <t>Level Correct</t>
  </si>
  <si>
    <t>Yes</t>
  </si>
  <si>
    <t>Chapuli (102)</t>
  </si>
  <si>
    <t>No</t>
  </si>
  <si>
    <t>Yaoyotl</t>
  </si>
  <si>
    <t>Gear2</t>
  </si>
  <si>
    <t>Lava's</t>
  </si>
  <si>
    <t>Kusha's</t>
  </si>
  <si>
    <t>Chapuli (100)</t>
  </si>
  <si>
    <t>KA</t>
  </si>
  <si>
    <t>Asperity</t>
  </si>
  <si>
    <t>Whirlpool</t>
  </si>
  <si>
    <t>K'ayres</t>
  </si>
  <si>
    <t>Tati</t>
  </si>
  <si>
    <t>Tati +1</t>
  </si>
  <si>
    <t>Dudgeon</t>
  </si>
  <si>
    <t>Heartseeker</t>
  </si>
  <si>
    <t>Bladeborn</t>
  </si>
  <si>
    <t>Steelflash</t>
  </si>
  <si>
    <t>Letalis</t>
  </si>
  <si>
    <t>Delve Fodder</t>
  </si>
  <si>
    <t>Hunter's Roll</t>
  </si>
  <si>
    <t>dStr</t>
  </si>
  <si>
    <t>Lambda</t>
  </si>
  <si>
    <t>Axes</t>
  </si>
  <si>
    <t>Great Swords</t>
  </si>
  <si>
    <t>Great Axes</t>
  </si>
  <si>
    <t>Scythes</t>
  </si>
  <si>
    <t>Main Weapons</t>
  </si>
  <si>
    <t>GreatSword</t>
  </si>
  <si>
    <t>GreatAxe</t>
  </si>
  <si>
    <t>Sub2HWeapons</t>
  </si>
  <si>
    <t>Sub1HWeapons</t>
  </si>
  <si>
    <t>2H</t>
  </si>
  <si>
    <t>1H</t>
  </si>
  <si>
    <t>Skills</t>
  </si>
  <si>
    <t>Main Type</t>
  </si>
  <si>
    <t>Sub Type</t>
  </si>
  <si>
    <t>Hand 1</t>
  </si>
  <si>
    <t>Str Att</t>
  </si>
  <si>
    <t>Dex Acc</t>
  </si>
  <si>
    <t>D Rating</t>
  </si>
  <si>
    <t>Weapon1 AE</t>
  </si>
  <si>
    <t>Weapon2 AE</t>
  </si>
  <si>
    <t>Hand 2</t>
  </si>
  <si>
    <t>WRank</t>
  </si>
  <si>
    <t>fStr</t>
  </si>
  <si>
    <t>Other modifiers</t>
  </si>
  <si>
    <t>Offhand hit rate</t>
  </si>
  <si>
    <t>CombatSkill</t>
  </si>
  <si>
    <t>Buremte</t>
  </si>
  <si>
    <t>Ocachi</t>
  </si>
  <si>
    <t>Xbalanque</t>
  </si>
  <si>
    <t>Tojil</t>
  </si>
  <si>
    <t>Rounds/WS:</t>
  </si>
  <si>
    <t>Cetl</t>
  </si>
  <si>
    <t>Buquwik</t>
  </si>
  <si>
    <t>Kayapa</t>
  </si>
  <si>
    <t>Ignominy</t>
  </si>
  <si>
    <t>Jukukik Feather</t>
  </si>
  <si>
    <t>Ionis</t>
  </si>
  <si>
    <t>Adoulin</t>
  </si>
  <si>
    <t>Caladbolg 119</t>
  </si>
  <si>
    <t>Ragnarok 119</t>
  </si>
  <si>
    <t>Kaquljaan</t>
  </si>
  <si>
    <t>Redemption 119</t>
  </si>
  <si>
    <t>Liberator 119</t>
  </si>
  <si>
    <t>Apocalypse 119</t>
  </si>
  <si>
    <t>Ionis Att</t>
  </si>
  <si>
    <t>Ionis Acc</t>
  </si>
  <si>
    <t>Ionis Crit</t>
  </si>
  <si>
    <t>Aqreaqa</t>
  </si>
  <si>
    <t>Relic Level</t>
  </si>
  <si>
    <t>Relic Dmg/Rnd</t>
  </si>
  <si>
    <t>DA Hits 1</t>
  </si>
  <si>
    <t>DA Hits 2</t>
  </si>
  <si>
    <t>DA Dmg/Rnd</t>
  </si>
  <si>
    <t>pDif (non-crit)</t>
  </si>
  <si>
    <t>wRatio</t>
  </si>
  <si>
    <t>Min 1</t>
  </si>
  <si>
    <t>Min Limit</t>
  </si>
  <si>
    <t>Min</t>
  </si>
  <si>
    <t>Cap Min</t>
  </si>
  <si>
    <t>Max 1</t>
  </si>
  <si>
    <t>Max Limit</t>
  </si>
  <si>
    <t>Max</t>
  </si>
  <si>
    <t>Cap Max</t>
  </si>
  <si>
    <t>Full Range</t>
  </si>
  <si>
    <t>Cap Range</t>
  </si>
  <si>
    <t>Low Cap %</t>
  </si>
  <si>
    <t>High Cap %</t>
  </si>
  <si>
    <t>Spike %</t>
  </si>
  <si>
    <t>Avg non-crit pDif</t>
  </si>
  <si>
    <t>pDif (crit)</t>
  </si>
  <si>
    <t>Avg crit pDif</t>
  </si>
  <si>
    <t>Avg pDif 1:</t>
  </si>
  <si>
    <t>Avg pDif 2:</t>
  </si>
  <si>
    <t>Set 1 WS</t>
  </si>
  <si>
    <t>Set 2 WS</t>
  </si>
  <si>
    <t>Eminent</t>
  </si>
  <si>
    <t>Eminent (latent)</t>
  </si>
  <si>
    <t>Anahera</t>
  </si>
  <si>
    <t>Bloodrain</t>
  </si>
  <si>
    <t>Lentus Grip</t>
  </si>
  <si>
    <t>2HDly</t>
  </si>
  <si>
    <t>Ignominy +1</t>
  </si>
  <si>
    <t>Agitator</t>
  </si>
  <si>
    <t>Patricius</t>
  </si>
  <si>
    <t>Tripudio</t>
  </si>
  <si>
    <t>Trux</t>
  </si>
  <si>
    <t>Ombre Tathlum</t>
  </si>
  <si>
    <t>Cronus</t>
  </si>
  <si>
    <t>Ginsen</t>
  </si>
  <si>
    <t>Trivial</t>
  </si>
  <si>
    <t>DC Dynamis</t>
  </si>
  <si>
    <t>Serac Rabbit</t>
  </si>
  <si>
    <t>Metalsinger</t>
  </si>
  <si>
    <t>Gevaudan (latent)</t>
  </si>
  <si>
    <t>Umuthi</t>
  </si>
  <si>
    <t>Iqabi</t>
  </si>
  <si>
    <t>Yetshila</t>
  </si>
  <si>
    <t>Yetshila +1</t>
  </si>
  <si>
    <t>Fallen</t>
  </si>
  <si>
    <t>Fallen +1</t>
  </si>
  <si>
    <t>Vunetshelo</t>
  </si>
  <si>
    <t>Emxgha</t>
  </si>
  <si>
    <t>Magma Steak</t>
  </si>
  <si>
    <t>S. Salis. Steak</t>
  </si>
  <si>
    <t>C. Salis. Steak</t>
  </si>
  <si>
    <t>Gorney +1</t>
  </si>
  <si>
    <t>Enlivened</t>
  </si>
  <si>
    <t>Vehemence</t>
  </si>
  <si>
    <t>Tengu-no-Hane (Day)</t>
  </si>
  <si>
    <t>Minuet 3</t>
  </si>
  <si>
    <t>AF3+2</t>
  </si>
  <si>
    <t>March</t>
  </si>
  <si>
    <t>Minuet Merit</t>
  </si>
  <si>
    <t>Madrigal Merit</t>
  </si>
  <si>
    <t>Ruinator</t>
  </si>
  <si>
    <t>Cross Reaper</t>
  </si>
  <si>
    <t>Spiral Hell</t>
  </si>
  <si>
    <t>Kamihr Raaz</t>
  </si>
  <si>
    <t>Scourge</t>
  </si>
  <si>
    <t>Mars</t>
  </si>
  <si>
    <t>Hastes</t>
  </si>
  <si>
    <t>Haste II</t>
  </si>
  <si>
    <t>Boosts</t>
  </si>
  <si>
    <t>Trepidity (latent)</t>
  </si>
  <si>
    <t>Ifrit</t>
  </si>
  <si>
    <t>Ifrit +1</t>
  </si>
  <si>
    <t>Ramuh</t>
  </si>
  <si>
    <t>Ramuh +1</t>
  </si>
  <si>
    <t>Titan</t>
  </si>
  <si>
    <t>Titan +1</t>
  </si>
  <si>
    <t>Shiva</t>
  </si>
  <si>
    <t>Shiva +1</t>
  </si>
  <si>
    <t>Fenrir</t>
  </si>
  <si>
    <t>Fenrir +1</t>
  </si>
  <si>
    <t>Mes'yosi</t>
  </si>
  <si>
    <t>Ygnas +1 (reive)</t>
  </si>
  <si>
    <t>Ygnas (reive)</t>
  </si>
  <si>
    <t>Quartz Tathlum +1</t>
  </si>
  <si>
    <t>Ombre Tathlum +1</t>
  </si>
  <si>
    <t>Hasty Pinion +1</t>
  </si>
  <si>
    <t>Dilettante's</t>
  </si>
  <si>
    <t>Dilettante's +1</t>
  </si>
  <si>
    <t>Pixie +1</t>
  </si>
  <si>
    <t>Gallian +1</t>
  </si>
  <si>
    <t>Gavialis</t>
  </si>
  <si>
    <t>Items</t>
  </si>
  <si>
    <t>R.Acc</t>
  </si>
  <si>
    <t>R.Att</t>
  </si>
  <si>
    <t>M.Acc</t>
  </si>
  <si>
    <t>MAB</t>
  </si>
  <si>
    <t>MDmg</t>
  </si>
  <si>
    <t>Shifting +1</t>
  </si>
  <si>
    <t>Lacono +1</t>
  </si>
  <si>
    <t>Nefarious +1</t>
  </si>
  <si>
    <t>Windbuffet +1</t>
  </si>
  <si>
    <t>Zennaroi</t>
  </si>
  <si>
    <t>Tzacab grip</t>
  </si>
  <si>
    <t>Heathen</t>
  </si>
  <si>
    <t>Heathen +1</t>
  </si>
  <si>
    <t>Otomi STR</t>
  </si>
  <si>
    <t>Floestone</t>
  </si>
  <si>
    <t>Bleating</t>
  </si>
  <si>
    <t>Blurred</t>
  </si>
  <si>
    <t>Malfeasance</t>
  </si>
  <si>
    <t>Acro max aug</t>
  </si>
  <si>
    <t>Lupine</t>
  </si>
  <si>
    <t>Macbain max</t>
  </si>
  <si>
    <t>Capitoline</t>
  </si>
  <si>
    <t>Pernicious</t>
  </si>
  <si>
    <t>Immolation</t>
  </si>
  <si>
    <t>Grunfeld</t>
  </si>
  <si>
    <t>Ishvara</t>
  </si>
  <si>
    <t>Niht max</t>
  </si>
  <si>
    <t>Yoruim</t>
  </si>
  <si>
    <t>Inanna max</t>
  </si>
  <si>
    <t>Savage Blade</t>
  </si>
  <si>
    <t>Blurred Sword + shield</t>
  </si>
  <si>
    <t>Acro curr</t>
  </si>
  <si>
    <t>ilvl122</t>
  </si>
  <si>
    <t>ilvl135</t>
  </si>
  <si>
    <t>Lugra</t>
  </si>
  <si>
    <t>Lugra +1</t>
  </si>
  <si>
    <t>Acro max stp</t>
  </si>
  <si>
    <t>Acro max wsd</t>
  </si>
  <si>
    <t>Kentarch Belt +1</t>
  </si>
  <si>
    <t>ilvl130</t>
  </si>
  <si>
    <t>Jumalik</t>
  </si>
  <si>
    <t>Founders</t>
  </si>
  <si>
    <t>Sangarius +1 + shield</t>
  </si>
  <si>
    <t>Founders max</t>
  </si>
  <si>
    <t>Loyalist max</t>
  </si>
  <si>
    <t>Loyalist</t>
  </si>
  <si>
    <t>Amm max</t>
  </si>
  <si>
    <t>Leyline max</t>
  </si>
  <si>
    <t>Acro curr da</t>
  </si>
  <si>
    <t>Acro curr stp</t>
  </si>
  <si>
    <t>Gifts</t>
  </si>
  <si>
    <t>WSD</t>
  </si>
  <si>
    <t>Argosy A</t>
  </si>
  <si>
    <t>Argosy D</t>
  </si>
  <si>
    <t>Lissome</t>
  </si>
  <si>
    <t>Combatant torque</t>
  </si>
  <si>
    <t>Deathbane</t>
  </si>
  <si>
    <t>Deathbane D</t>
  </si>
  <si>
    <t>Valorous</t>
  </si>
  <si>
    <t>Odyssean</t>
  </si>
  <si>
    <t>Sublime Sushi</t>
  </si>
  <si>
    <t>Petrov</t>
  </si>
  <si>
    <t>Subtlety</t>
  </si>
  <si>
    <t>Zwazo</t>
  </si>
  <si>
    <t>Odyssean n</t>
  </si>
  <si>
    <t>Humility</t>
  </si>
  <si>
    <t>Apocalypse 119 I</t>
  </si>
  <si>
    <t>Argosy +1 A</t>
  </si>
  <si>
    <t>Lustratio A</t>
  </si>
  <si>
    <t>Valorous TH</t>
  </si>
  <si>
    <t>Carmine</t>
  </si>
  <si>
    <t>Caro</t>
  </si>
  <si>
    <t>Defiant</t>
  </si>
  <si>
    <t>Dominance</t>
  </si>
  <si>
    <t>Acro max da</t>
  </si>
  <si>
    <t>Grounded</t>
  </si>
  <si>
    <t>Odyssean high acc</t>
  </si>
  <si>
    <t>Odyssean quad</t>
  </si>
  <si>
    <t>Geo</t>
  </si>
  <si>
    <t>Bolster</t>
  </si>
  <si>
    <t>Blaze of Glory</t>
  </si>
  <si>
    <t>Ecliptic Attrition</t>
  </si>
  <si>
    <t>Idris</t>
  </si>
  <si>
    <t>Torpor</t>
  </si>
  <si>
    <t>Eva Down</t>
  </si>
  <si>
    <t>Frailty</t>
  </si>
  <si>
    <t>Def Down</t>
  </si>
  <si>
    <t>Precision</t>
  </si>
  <si>
    <t>Acc Up</t>
  </si>
  <si>
    <t>Fury</t>
  </si>
  <si>
    <t>Att Up</t>
  </si>
  <si>
    <t>Geo-Precision</t>
  </si>
  <si>
    <t>Geo-Fury</t>
  </si>
  <si>
    <t>Relic AM Apoc</t>
  </si>
  <si>
    <t>Emicho B</t>
  </si>
  <si>
    <t>Flanged</t>
  </si>
  <si>
    <t>Seeth</t>
  </si>
  <si>
    <t>Cessance</t>
  </si>
  <si>
    <t>Digni</t>
  </si>
  <si>
    <t>Focal</t>
  </si>
  <si>
    <t>Sarissapho</t>
  </si>
  <si>
    <t>Dacnomania</t>
  </si>
  <si>
    <t>Odyssean stp</t>
  </si>
  <si>
    <t>ilvl128</t>
  </si>
  <si>
    <t>no</t>
  </si>
  <si>
    <t>Sulevia +1</t>
  </si>
  <si>
    <t>Tempus</t>
  </si>
  <si>
    <t>Sailfi</t>
  </si>
  <si>
    <t>Valorous wsd</t>
  </si>
  <si>
    <t>Odyssean wsd</t>
  </si>
  <si>
    <t>Valorous DEX</t>
  </si>
  <si>
    <t>Valorous DA</t>
  </si>
  <si>
    <t>Ragnarok 119 nq</t>
  </si>
  <si>
    <t>Ankou da</t>
  </si>
  <si>
    <t>Valorous da</t>
  </si>
  <si>
    <t>Uac</t>
  </si>
  <si>
    <t>Lustratio +1 A</t>
  </si>
  <si>
    <t>Argosy +1 D</t>
  </si>
  <si>
    <t>Nepenthe</t>
  </si>
  <si>
    <t>Nepenthe +1</t>
  </si>
  <si>
    <t>Valorous (Acc/DA)</t>
  </si>
  <si>
    <t>Valorous (Acc/STP)</t>
  </si>
  <si>
    <t>Valorous (Acc/WSD)</t>
  </si>
  <si>
    <t>Odyssean (Acc/DA)</t>
  </si>
  <si>
    <t>Odyssean (Acc/STP)</t>
  </si>
  <si>
    <t>Odyssean (Acc/WSD)</t>
  </si>
  <si>
    <t>Neritic</t>
  </si>
  <si>
    <t>Ankou STR/stp</t>
  </si>
  <si>
    <t>Ankou DEX/stp</t>
  </si>
  <si>
    <t>Odyssean QA</t>
  </si>
  <si>
    <t>Apate</t>
  </si>
  <si>
    <t>Cacoethic +1</t>
  </si>
  <si>
    <t>Valorous STP</t>
  </si>
  <si>
    <t>GS STP Haste Cap</t>
  </si>
  <si>
    <t>Valorous reso</t>
  </si>
  <si>
    <t>SET DPS</t>
  </si>
  <si>
    <t>Odyssean Torcl</t>
  </si>
  <si>
    <t>Unmoving</t>
  </si>
  <si>
    <t>Shukuyu</t>
  </si>
  <si>
    <t>Hetairoi</t>
  </si>
  <si>
    <t>Dedition</t>
  </si>
  <si>
    <t>Odyssean STP</t>
  </si>
  <si>
    <t>Apoc STP</t>
  </si>
  <si>
    <t>Apoc Suicide</t>
  </si>
  <si>
    <t>Entropy/Insurgency</t>
  </si>
  <si>
    <t>ml</t>
  </si>
  <si>
    <t>ltpnight</t>
  </si>
  <si>
    <t>htpnight</t>
  </si>
  <si>
    <t>li</t>
  </si>
  <si>
    <t>lb</t>
  </si>
  <si>
    <t>ltpday</t>
  </si>
  <si>
    <t>mb</t>
  </si>
  <si>
    <t>bi</t>
  </si>
  <si>
    <t>htpday</t>
  </si>
  <si>
    <t>bl</t>
  </si>
  <si>
    <t>cqs</t>
  </si>
  <si>
    <t>torcross</t>
  </si>
  <si>
    <t>resotropyins</t>
  </si>
  <si>
    <t>Ankou VIT/WSD</t>
  </si>
  <si>
    <t>Ankou STR/DA</t>
  </si>
  <si>
    <t>Ankou STR/WSD</t>
  </si>
  <si>
    <t>Ainia</t>
  </si>
  <si>
    <t>Flamma</t>
  </si>
  <si>
    <t>Telos</t>
  </si>
  <si>
    <t>Ioskeha</t>
  </si>
  <si>
    <t>Argosy D +1</t>
  </si>
  <si>
    <t>Argosy A +1</t>
  </si>
  <si>
    <t>Odyssean da</t>
  </si>
  <si>
    <t>Rag Suicide</t>
  </si>
  <si>
    <t>Chirich</t>
  </si>
  <si>
    <t>Chirich +1</t>
  </si>
  <si>
    <t>Calamity</t>
  </si>
  <si>
    <t>Dagon</t>
  </si>
  <si>
    <t>Ignominy +2</t>
  </si>
  <si>
    <t>Ignominy +3</t>
  </si>
  <si>
    <t>Niqmaddu</t>
  </si>
  <si>
    <t>Knobkierrie</t>
  </si>
  <si>
    <t>Utu</t>
  </si>
  <si>
    <t>Odyssean WSD</t>
  </si>
  <si>
    <t>Karieyh</t>
  </si>
  <si>
    <t>GS SAM Roll</t>
  </si>
  <si>
    <t>Torc WS</t>
  </si>
  <si>
    <t>Valorous qa max</t>
  </si>
  <si>
    <t>Odyssean qa max</t>
  </si>
  <si>
    <t>Ankou DEX/DA</t>
  </si>
  <si>
    <t>OTD Dmg/Rnd</t>
  </si>
  <si>
    <t>OTD (main weapon)</t>
  </si>
  <si>
    <t>Montante +1</t>
  </si>
  <si>
    <t>Zulfigar</t>
  </si>
  <si>
    <t>Ankou DEX/Crit</t>
  </si>
  <si>
    <t>Sulevia +2</t>
  </si>
</sst>
</file>

<file path=xl/styles.xml><?xml version="1.0" encoding="utf-8"?>
<styleSheet xmlns="http://schemas.openxmlformats.org/spreadsheetml/2006/main">
  <numFmts count="6">
    <numFmt numFmtId="43" formatCode="_(* #,##0.00_);_(* \(#,##0.00\);_(* &quot;-&quot;??_);_(@_)"/>
    <numFmt numFmtId="164" formatCode="0.0000"/>
    <numFmt numFmtId="165" formatCode="0.0%"/>
    <numFmt numFmtId="166" formatCode="0.000"/>
    <numFmt numFmtId="167" formatCode="0.0"/>
    <numFmt numFmtId="168" formatCode="_(* #,##0_);_(* \(#,##0\);_(* &quot;-&quot;??_);_(@_)"/>
  </numFmts>
  <fonts count="1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rgb="FFFF0000"/>
      <name val="Arial"/>
      <family val="2"/>
    </font>
    <font>
      <sz val="10"/>
      <color theme="0" tint="-0.34998626667073579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/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5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ill="0" applyBorder="0" applyAlignment="0" applyProtection="0"/>
    <xf numFmtId="9" fontId="1" fillId="0" borderId="0" applyFont="0" applyFill="0" applyBorder="0" applyAlignment="0" applyProtection="0"/>
  </cellStyleXfs>
  <cellXfs count="190">
    <xf numFmtId="0" fontId="0" fillId="0" borderId="0" xfId="0"/>
    <xf numFmtId="10" fontId="0" fillId="0" borderId="0" xfId="0" applyNumberFormat="1"/>
    <xf numFmtId="9" fontId="0" fillId="0" borderId="0" xfId="0" applyNumberFormat="1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166" fontId="0" fillId="0" borderId="0" xfId="0" applyNumberFormat="1"/>
    <xf numFmtId="1" fontId="0" fillId="0" borderId="0" xfId="0" applyNumberFormat="1"/>
    <xf numFmtId="166" fontId="3" fillId="0" borderId="0" xfId="0" applyNumberFormat="1" applyFont="1"/>
    <xf numFmtId="0" fontId="3" fillId="0" borderId="0" xfId="0" applyFont="1"/>
    <xf numFmtId="0" fontId="4" fillId="0" borderId="0" xfId="0" applyFont="1"/>
    <xf numFmtId="9" fontId="4" fillId="0" borderId="0" xfId="0" applyNumberFormat="1" applyFont="1"/>
    <xf numFmtId="9" fontId="1" fillId="0" borderId="0" xfId="0" applyNumberFormat="1" applyFont="1"/>
    <xf numFmtId="167" fontId="0" fillId="0" borderId="0" xfId="0" applyNumberFormat="1"/>
    <xf numFmtId="0" fontId="0" fillId="0" borderId="1" xfId="0" applyBorder="1"/>
    <xf numFmtId="9" fontId="0" fillId="0" borderId="2" xfId="0" applyNumberFormat="1" applyBorder="1"/>
    <xf numFmtId="164" fontId="0" fillId="0" borderId="0" xfId="0" applyNumberFormat="1" applyFill="1" applyBorder="1"/>
    <xf numFmtId="0" fontId="0" fillId="0" borderId="1" xfId="0" quotePrefix="1" applyBorder="1"/>
    <xf numFmtId="0" fontId="5" fillId="0" borderId="0" xfId="0" applyFont="1"/>
    <xf numFmtId="0" fontId="0" fillId="0" borderId="0" xfId="0" quotePrefix="1" applyBorder="1"/>
    <xf numFmtId="0" fontId="0" fillId="0" borderId="0" xfId="0" applyFill="1" applyBorder="1"/>
    <xf numFmtId="0" fontId="0" fillId="0" borderId="1" xfId="0" applyFill="1" applyBorder="1"/>
    <xf numFmtId="0" fontId="1" fillId="0" borderId="1" xfId="0" applyFont="1" applyBorder="1"/>
    <xf numFmtId="0" fontId="3" fillId="0" borderId="1" xfId="0" applyFont="1" applyBorder="1"/>
    <xf numFmtId="165" fontId="0" fillId="0" borderId="1" xfId="0" applyNumberFormat="1" applyBorder="1"/>
    <xf numFmtId="0" fontId="1" fillId="0" borderId="0" xfId="0" applyFont="1" applyBorder="1"/>
    <xf numFmtId="0" fontId="0" fillId="0" borderId="0" xfId="0" applyBorder="1"/>
    <xf numFmtId="10" fontId="0" fillId="0" borderId="0" xfId="0" applyNumberFormat="1" applyBorder="1"/>
    <xf numFmtId="0" fontId="0" fillId="0" borderId="0" xfId="0" quotePrefix="1"/>
    <xf numFmtId="0" fontId="1" fillId="0" borderId="0" xfId="0" applyFont="1"/>
    <xf numFmtId="0" fontId="0" fillId="2" borderId="0" xfId="0" applyFill="1" applyProtection="1">
      <protection locked="0"/>
    </xf>
    <xf numFmtId="9" fontId="0" fillId="2" borderId="0" xfId="0" applyNumberFormat="1" applyFill="1" applyProtection="1">
      <protection locked="0"/>
    </xf>
    <xf numFmtId="0" fontId="0" fillId="0" borderId="0" xfId="0" applyNumberFormat="1"/>
    <xf numFmtId="0" fontId="0" fillId="2" borderId="0" xfId="0" applyNumberFormat="1" applyFill="1" applyProtection="1">
      <protection locked="0"/>
    </xf>
    <xf numFmtId="0" fontId="4" fillId="0" borderId="0" xfId="0" applyNumberFormat="1" applyFont="1"/>
    <xf numFmtId="1" fontId="0" fillId="0" borderId="0" xfId="0" quotePrefix="1" applyNumberFormat="1" applyBorder="1"/>
    <xf numFmtId="1" fontId="0" fillId="0" borderId="1" xfId="0" quotePrefix="1" applyNumberFormat="1" applyBorder="1"/>
    <xf numFmtId="1" fontId="1" fillId="0" borderId="0" xfId="0" applyNumberFormat="1" applyFont="1"/>
    <xf numFmtId="0" fontId="0" fillId="0" borderId="0" xfId="0" applyFill="1" applyProtection="1"/>
    <xf numFmtId="16" fontId="0" fillId="0" borderId="0" xfId="0" quotePrefix="1" applyNumberFormat="1"/>
    <xf numFmtId="9" fontId="0" fillId="0" borderId="0" xfId="0" applyNumberFormat="1" applyBorder="1"/>
    <xf numFmtId="165" fontId="0" fillId="0" borderId="0" xfId="0" applyNumberFormat="1" applyBorder="1"/>
    <xf numFmtId="0" fontId="1" fillId="0" borderId="0" xfId="0" applyNumberFormat="1" applyFont="1"/>
    <xf numFmtId="1" fontId="5" fillId="0" borderId="0" xfId="0" applyNumberFormat="1" applyFont="1"/>
    <xf numFmtId="2" fontId="0" fillId="0" borderId="0" xfId="0" applyNumberFormat="1" applyFill="1" applyBorder="1"/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3" fillId="0" borderId="3" xfId="0" applyFont="1" applyBorder="1"/>
    <xf numFmtId="0" fontId="0" fillId="0" borderId="4" xfId="0" applyBorder="1"/>
    <xf numFmtId="1" fontId="0" fillId="0" borderId="0" xfId="0" applyNumberFormat="1" applyBorder="1"/>
    <xf numFmtId="1" fontId="0" fillId="0" borderId="1" xfId="0" applyNumberFormat="1" applyBorder="1"/>
    <xf numFmtId="0" fontId="0" fillId="0" borderId="3" xfId="0" applyBorder="1"/>
    <xf numFmtId="9" fontId="0" fillId="0" borderId="1" xfId="0" applyNumberFormat="1" applyBorder="1"/>
    <xf numFmtId="0" fontId="0" fillId="0" borderId="0" xfId="0" applyNumberFormat="1" applyBorder="1"/>
    <xf numFmtId="0" fontId="0" fillId="0" borderId="1" xfId="0" applyNumberFormat="1" applyBorder="1"/>
    <xf numFmtId="166" fontId="0" fillId="0" borderId="1" xfId="0" applyNumberFormat="1" applyBorder="1"/>
    <xf numFmtId="167" fontId="0" fillId="0" borderId="1" xfId="0" applyNumberFormat="1" applyBorder="1"/>
    <xf numFmtId="0" fontId="5" fillId="0" borderId="5" xfId="0" applyFont="1" applyBorder="1"/>
    <xf numFmtId="166" fontId="0" fillId="0" borderId="5" xfId="0" applyNumberFormat="1" applyBorder="1"/>
    <xf numFmtId="0" fontId="0" fillId="0" borderId="6" xfId="0" applyBorder="1"/>
    <xf numFmtId="0" fontId="0" fillId="0" borderId="5" xfId="0" applyBorder="1"/>
    <xf numFmtId="2" fontId="5" fillId="0" borderId="0" xfId="0" applyNumberFormat="1" applyFont="1"/>
    <xf numFmtId="0" fontId="0" fillId="0" borderId="2" xfId="0" quotePrefix="1" applyBorder="1"/>
    <xf numFmtId="0" fontId="0" fillId="0" borderId="7" xfId="0" quotePrefix="1" applyBorder="1"/>
    <xf numFmtId="1" fontId="0" fillId="0" borderId="2" xfId="0" applyNumberFormat="1" applyBorder="1"/>
    <xf numFmtId="1" fontId="0" fillId="0" borderId="8" xfId="0" quotePrefix="1" applyNumberFormat="1" applyBorder="1"/>
    <xf numFmtId="1" fontId="0" fillId="0" borderId="8" xfId="0" applyNumberFormat="1" applyBorder="1"/>
    <xf numFmtId="1" fontId="0" fillId="0" borderId="0" xfId="0" applyNumberFormat="1" applyFill="1" applyBorder="1"/>
    <xf numFmtId="0" fontId="1" fillId="0" borderId="2" xfId="0" applyFont="1" applyBorder="1"/>
    <xf numFmtId="0" fontId="1" fillId="0" borderId="8" xfId="0" applyFont="1" applyBorder="1"/>
    <xf numFmtId="9" fontId="0" fillId="0" borderId="8" xfId="0" applyNumberFormat="1" applyBorder="1"/>
    <xf numFmtId="0" fontId="0" fillId="0" borderId="2" xfId="0" applyNumberFormat="1" applyBorder="1"/>
    <xf numFmtId="0" fontId="5" fillId="0" borderId="0" xfId="0" applyFont="1" applyBorder="1"/>
    <xf numFmtId="0" fontId="0" fillId="0" borderId="2" xfId="0" applyBorder="1"/>
    <xf numFmtId="0" fontId="5" fillId="0" borderId="0" xfId="0" applyNumberFormat="1" applyFont="1"/>
    <xf numFmtId="0" fontId="1" fillId="0" borderId="0" xfId="0" quotePrefix="1" applyFont="1"/>
    <xf numFmtId="1" fontId="0" fillId="0" borderId="7" xfId="0" applyNumberFormat="1" applyBorder="1"/>
    <xf numFmtId="0" fontId="0" fillId="0" borderId="7" xfId="0" applyBorder="1"/>
    <xf numFmtId="0" fontId="0" fillId="0" borderId="8" xfId="0" applyBorder="1"/>
    <xf numFmtId="9" fontId="0" fillId="0" borderId="0" xfId="5" applyFont="1"/>
    <xf numFmtId="9" fontId="0" fillId="0" borderId="2" xfId="5" applyFont="1" applyBorder="1"/>
    <xf numFmtId="1" fontId="4" fillId="0" borderId="0" xfId="0" applyNumberFormat="1" applyFont="1"/>
    <xf numFmtId="168" fontId="0" fillId="0" borderId="0" xfId="1" applyNumberFormat="1" applyFont="1" applyBorder="1"/>
    <xf numFmtId="0" fontId="0" fillId="0" borderId="0" xfId="1" applyNumberFormat="1" applyFont="1" applyBorder="1"/>
    <xf numFmtId="168" fontId="0" fillId="0" borderId="2" xfId="1" applyNumberFormat="1" applyFont="1" applyBorder="1"/>
    <xf numFmtId="0" fontId="0" fillId="0" borderId="2" xfId="1" applyNumberFormat="1" applyFont="1" applyBorder="1"/>
    <xf numFmtId="164" fontId="5" fillId="0" borderId="0" xfId="3" applyNumberFormat="1"/>
    <xf numFmtId="1" fontId="3" fillId="0" borderId="1" xfId="0" applyNumberFormat="1" applyFont="1" applyBorder="1"/>
    <xf numFmtId="0" fontId="1" fillId="0" borderId="0" xfId="4"/>
    <xf numFmtId="165" fontId="1" fillId="0" borderId="0" xfId="4" applyNumberFormat="1"/>
    <xf numFmtId="0" fontId="1" fillId="0" borderId="0" xfId="4" applyBorder="1"/>
    <xf numFmtId="9" fontId="1" fillId="0" borderId="0" xfId="4" applyNumberFormat="1"/>
    <xf numFmtId="0" fontId="1" fillId="0" borderId="1" xfId="4" applyBorder="1"/>
    <xf numFmtId="0" fontId="1" fillId="0" borderId="1" xfId="4" applyFill="1" applyBorder="1"/>
    <xf numFmtId="2" fontId="1" fillId="0" borderId="0" xfId="4" applyNumberFormat="1"/>
    <xf numFmtId="9" fontId="1" fillId="0" borderId="2" xfId="4" applyNumberFormat="1" applyBorder="1"/>
    <xf numFmtId="10" fontId="1" fillId="0" borderId="0" xfId="4" applyNumberFormat="1" applyBorder="1"/>
    <xf numFmtId="0" fontId="1" fillId="0" borderId="0" xfId="4" applyNumberFormat="1"/>
    <xf numFmtId="10" fontId="1" fillId="0" borderId="2" xfId="4" applyNumberFormat="1" applyBorder="1"/>
    <xf numFmtId="10" fontId="1" fillId="0" borderId="2" xfId="7" applyNumberFormat="1" applyBorder="1"/>
    <xf numFmtId="0" fontId="1" fillId="0" borderId="0" xfId="4" applyFill="1" applyBorder="1"/>
    <xf numFmtId="10" fontId="1" fillId="0" borderId="3" xfId="4" applyNumberFormat="1" applyBorder="1"/>
    <xf numFmtId="10" fontId="1" fillId="0" borderId="1" xfId="4" applyNumberFormat="1" applyBorder="1"/>
    <xf numFmtId="164" fontId="1" fillId="0" borderId="0" xfId="4" applyNumberFormat="1"/>
    <xf numFmtId="10" fontId="1" fillId="0" borderId="0" xfId="4" applyNumberFormat="1" applyFill="1" applyBorder="1"/>
    <xf numFmtId="164" fontId="1" fillId="0" borderId="0" xfId="4" applyNumberFormat="1" applyFill="1" applyBorder="1"/>
    <xf numFmtId="0" fontId="1" fillId="0" borderId="0" xfId="4" applyFont="1"/>
    <xf numFmtId="9" fontId="1" fillId="0" borderId="0" xfId="6"/>
    <xf numFmtId="0" fontId="1" fillId="0" borderId="0" xfId="4" applyFill="1"/>
    <xf numFmtId="0" fontId="1" fillId="0" borderId="0" xfId="2" applyNumberFormat="1" applyBorder="1"/>
    <xf numFmtId="10" fontId="1" fillId="0" borderId="0" xfId="4" applyNumberFormat="1"/>
    <xf numFmtId="0" fontId="1" fillId="0" borderId="0" xfId="4" applyNumberFormat="1" applyFill="1" applyBorder="1"/>
    <xf numFmtId="164" fontId="1" fillId="0" borderId="0" xfId="4" applyNumberFormat="1" applyBorder="1"/>
    <xf numFmtId="165" fontId="0" fillId="0" borderId="1" xfId="5" applyNumberFormat="1" applyFont="1" applyBorder="1"/>
    <xf numFmtId="165" fontId="0" fillId="0" borderId="8" xfId="5" applyNumberFormat="1" applyFont="1" applyBorder="1"/>
    <xf numFmtId="0" fontId="6" fillId="0" borderId="0" xfId="0" applyFont="1"/>
    <xf numFmtId="0" fontId="0" fillId="0" borderId="0" xfId="0" applyNumberFormat="1" applyFill="1" applyBorder="1"/>
    <xf numFmtId="164" fontId="0" fillId="0" borderId="0" xfId="0" applyNumberFormat="1" applyBorder="1"/>
    <xf numFmtId="9" fontId="1" fillId="0" borderId="0" xfId="5"/>
    <xf numFmtId="166" fontId="0" fillId="0" borderId="0" xfId="0" applyNumberFormat="1" applyBorder="1"/>
    <xf numFmtId="2" fontId="0" fillId="0" borderId="0" xfId="0" applyNumberFormat="1" applyBorder="1"/>
    <xf numFmtId="9" fontId="1" fillId="0" borderId="0" xfId="5" applyFont="1"/>
    <xf numFmtId="0" fontId="3" fillId="0" borderId="0" xfId="0" applyFont="1" applyFill="1"/>
    <xf numFmtId="0" fontId="1" fillId="0" borderId="0" xfId="0" applyFont="1" applyFill="1"/>
    <xf numFmtId="0" fontId="1" fillId="3" borderId="0" xfId="0" applyFont="1" applyFill="1"/>
    <xf numFmtId="0" fontId="0" fillId="0" borderId="0" xfId="0" applyFont="1"/>
    <xf numFmtId="0" fontId="0" fillId="3" borderId="0" xfId="0" applyFill="1"/>
    <xf numFmtId="9" fontId="1" fillId="3" borderId="0" xfId="0" applyNumberFormat="1" applyFont="1" applyFill="1"/>
    <xf numFmtId="9" fontId="1" fillId="3" borderId="0" xfId="5" applyFont="1" applyFill="1"/>
    <xf numFmtId="9" fontId="0" fillId="0" borderId="0" xfId="5" quotePrefix="1" applyFont="1"/>
    <xf numFmtId="1" fontId="0" fillId="0" borderId="2" xfId="0" quotePrefix="1" applyNumberFormat="1" applyBorder="1"/>
    <xf numFmtId="0" fontId="0" fillId="0" borderId="0" xfId="0" applyFill="1"/>
    <xf numFmtId="0" fontId="0" fillId="0" borderId="0" xfId="0" applyNumberFormat="1" applyFill="1"/>
    <xf numFmtId="9" fontId="1" fillId="0" borderId="2" xfId="0" applyNumberFormat="1" applyFont="1" applyBorder="1"/>
    <xf numFmtId="10" fontId="0" fillId="0" borderId="2" xfId="0" applyNumberFormat="1" applyBorder="1"/>
    <xf numFmtId="10" fontId="1" fillId="0" borderId="2" xfId="5" applyNumberFormat="1" applyBorder="1"/>
    <xf numFmtId="0" fontId="3" fillId="0" borderId="0" xfId="0" applyFont="1" applyBorder="1"/>
    <xf numFmtId="0" fontId="3" fillId="0" borderId="4" xfId="0" applyFont="1" applyBorder="1"/>
    <xf numFmtId="0" fontId="5" fillId="0" borderId="1" xfId="0" applyFont="1" applyBorder="1"/>
    <xf numFmtId="0" fontId="0" fillId="0" borderId="0" xfId="5" applyNumberFormat="1" applyFont="1"/>
    <xf numFmtId="0" fontId="0" fillId="0" borderId="2" xfId="5" applyNumberFormat="1" applyFont="1" applyBorder="1"/>
    <xf numFmtId="9" fontId="5" fillId="0" borderId="0" xfId="0" applyNumberFormat="1" applyFont="1"/>
    <xf numFmtId="0" fontId="0" fillId="0" borderId="0" xfId="0" applyFill="1" applyProtection="1">
      <protection locked="0"/>
    </xf>
    <xf numFmtId="166" fontId="5" fillId="0" borderId="0" xfId="0" applyNumberFormat="1" applyFont="1"/>
    <xf numFmtId="0" fontId="0" fillId="0" borderId="0" xfId="0" applyFont="1" applyFill="1" applyBorder="1"/>
    <xf numFmtId="9" fontId="0" fillId="0" borderId="0" xfId="5" quotePrefix="1" applyFont="1" applyBorder="1"/>
    <xf numFmtId="9" fontId="0" fillId="0" borderId="7" xfId="5" quotePrefix="1" applyFont="1" applyBorder="1"/>
    <xf numFmtId="0" fontId="0" fillId="0" borderId="1" xfId="0" applyFont="1" applyFill="1" applyBorder="1"/>
    <xf numFmtId="9" fontId="0" fillId="0" borderId="1" xfId="5" quotePrefix="1" applyFont="1" applyBorder="1"/>
    <xf numFmtId="9" fontId="0" fillId="0" borderId="8" xfId="5" quotePrefix="1" applyFont="1" applyBorder="1"/>
    <xf numFmtId="1" fontId="1" fillId="0" borderId="2" xfId="0" applyNumberFormat="1" applyFont="1" applyBorder="1"/>
    <xf numFmtId="1" fontId="1" fillId="0" borderId="1" xfId="0" applyNumberFormat="1" applyFont="1" applyBorder="1"/>
    <xf numFmtId="1" fontId="1" fillId="0" borderId="8" xfId="0" applyNumberFormat="1" applyFont="1" applyBorder="1"/>
    <xf numFmtId="165" fontId="0" fillId="0" borderId="2" xfId="0" applyNumberFormat="1" applyBorder="1"/>
    <xf numFmtId="0" fontId="1" fillId="0" borderId="0" xfId="0" applyFont="1" applyFill="1" applyBorder="1"/>
    <xf numFmtId="0" fontId="1" fillId="0" borderId="4" xfId="0" applyFont="1" applyBorder="1"/>
    <xf numFmtId="164" fontId="0" fillId="0" borderId="5" xfId="0" applyNumberFormat="1" applyBorder="1"/>
    <xf numFmtId="164" fontId="0" fillId="0" borderId="9" xfId="0" applyNumberFormat="1" applyBorder="1"/>
    <xf numFmtId="9" fontId="0" fillId="0" borderId="2" xfId="5" quotePrefix="1" applyFont="1" applyBorder="1"/>
    <xf numFmtId="165" fontId="1" fillId="0" borderId="0" xfId="5" applyNumberFormat="1"/>
    <xf numFmtId="1" fontId="3" fillId="0" borderId="0" xfId="0" applyNumberFormat="1" applyFont="1"/>
    <xf numFmtId="1" fontId="0" fillId="0" borderId="7" xfId="0" quotePrefix="1" applyNumberFormat="1" applyBorder="1"/>
    <xf numFmtId="164" fontId="1" fillId="0" borderId="0" xfId="0" applyNumberFormat="1" applyFont="1"/>
    <xf numFmtId="164" fontId="1" fillId="0" borderId="10" xfId="0" applyNumberFormat="1" applyFont="1" applyBorder="1"/>
    <xf numFmtId="164" fontId="1" fillId="0" borderId="2" xfId="0" applyNumberFormat="1" applyFont="1" applyBorder="1"/>
    <xf numFmtId="10" fontId="1" fillId="0" borderId="0" xfId="5" applyNumberFormat="1" applyFont="1"/>
    <xf numFmtId="10" fontId="1" fillId="0" borderId="2" xfId="5" applyNumberFormat="1" applyFont="1" applyBorder="1"/>
    <xf numFmtId="10" fontId="1" fillId="0" borderId="0" xfId="0" applyNumberFormat="1" applyFont="1"/>
    <xf numFmtId="10" fontId="1" fillId="0" borderId="2" xfId="0" applyNumberFormat="1" applyFont="1" applyBorder="1"/>
    <xf numFmtId="164" fontId="1" fillId="0" borderId="1" xfId="0" applyNumberFormat="1" applyFont="1" applyBorder="1"/>
    <xf numFmtId="164" fontId="1" fillId="0" borderId="8" xfId="0" applyNumberFormat="1" applyFont="1" applyBorder="1"/>
    <xf numFmtId="0" fontId="0" fillId="0" borderId="8" xfId="0" applyNumberFormat="1" applyBorder="1"/>
    <xf numFmtId="0" fontId="7" fillId="0" borderId="0" xfId="0" applyFont="1"/>
    <xf numFmtId="0" fontId="0" fillId="0" borderId="0" xfId="0" applyNumberFormat="1" applyFont="1"/>
    <xf numFmtId="1" fontId="1" fillId="0" borderId="0" xfId="3" applyNumberFormat="1" applyFont="1" applyFill="1"/>
    <xf numFmtId="9" fontId="7" fillId="0" borderId="0" xfId="5" applyFont="1"/>
    <xf numFmtId="0" fontId="0" fillId="4" borderId="0" xfId="0" applyFill="1" applyBorder="1"/>
    <xf numFmtId="0" fontId="1" fillId="4" borderId="1" xfId="0" applyFont="1" applyFill="1" applyBorder="1"/>
    <xf numFmtId="9" fontId="0" fillId="0" borderId="0" xfId="5" applyNumberFormat="1" applyFont="1"/>
    <xf numFmtId="165" fontId="1" fillId="3" borderId="0" xfId="0" applyNumberFormat="1" applyFont="1" applyFill="1"/>
    <xf numFmtId="165" fontId="1" fillId="3" borderId="0" xfId="5" applyNumberFormat="1" applyFont="1" applyFill="1"/>
    <xf numFmtId="0" fontId="8" fillId="0" borderId="0" xfId="0" applyFont="1"/>
    <xf numFmtId="0" fontId="8" fillId="0" borderId="1" xfId="0" applyFont="1" applyBorder="1"/>
    <xf numFmtId="0" fontId="9" fillId="0" borderId="0" xfId="0" applyFont="1"/>
    <xf numFmtId="9" fontId="9" fillId="0" borderId="0" xfId="0" applyNumberFormat="1" applyFont="1"/>
    <xf numFmtId="0" fontId="0" fillId="0" borderId="0" xfId="0" applyFont="1" applyAlignment="1"/>
    <xf numFmtId="0" fontId="10" fillId="0" borderId="0" xfId="0" applyFont="1"/>
    <xf numFmtId="9" fontId="10" fillId="0" borderId="0" xfId="0" applyNumberFormat="1" applyFont="1"/>
    <xf numFmtId="0" fontId="10" fillId="0" borderId="0" xfId="0" applyFont="1" applyAlignment="1"/>
    <xf numFmtId="0" fontId="0" fillId="0" borderId="0" xfId="0" applyAlignment="1">
      <alignment horizontal="center"/>
    </xf>
  </cellXfs>
  <cellStyles count="8">
    <cellStyle name="Comma" xfId="1" builtinId="3"/>
    <cellStyle name="Comma_DPS Calculator - Mnk" xfId="2"/>
    <cellStyle name="Normal" xfId="0" builtinId="0"/>
    <cellStyle name="Normal_DPS Calculator - Drg" xfId="3"/>
    <cellStyle name="Normal_DPS Calculator - Mnk" xfId="4"/>
    <cellStyle name="Percent" xfId="5" builtinId="5"/>
    <cellStyle name="Percent_DPS Calculator - Drg" xfId="6"/>
    <cellStyle name="Percent_DPS Calculator - Mnk" xfId="7"/>
  </cellStyles>
  <dxfs count="13">
    <dxf>
      <fill>
        <patternFill>
          <bgColor indexed="47"/>
        </patternFill>
      </fill>
    </dxf>
    <dxf>
      <fill>
        <patternFill>
          <bgColor indexed="42"/>
        </patternFill>
      </fill>
    </dxf>
    <dxf>
      <fill>
        <patternFill>
          <bgColor indexed="19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>
          <bgColor indexed="47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>
          <bgColor indexed="47"/>
        </patternFill>
      </fill>
    </dxf>
    <dxf>
      <fill>
        <patternFill>
          <bgColor indexed="19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 enableFormatConditionsCalculation="0">
    <tabColor indexed="42"/>
  </sheetPr>
  <dimension ref="A1:R56"/>
  <sheetViews>
    <sheetView topLeftCell="A4" workbookViewId="0">
      <selection activeCell="B38" sqref="B38"/>
    </sheetView>
  </sheetViews>
  <sheetFormatPr defaultRowHeight="12.75"/>
  <cols>
    <col min="1" max="1" width="25.7109375" customWidth="1"/>
    <col min="2" max="3" width="15.7109375" customWidth="1"/>
    <col min="4" max="4" width="8.7109375" customWidth="1"/>
    <col min="5" max="5" width="19.7109375" customWidth="1"/>
    <col min="6" max="7" width="12.7109375" customWidth="1"/>
    <col min="8" max="8" width="5.7109375" customWidth="1"/>
    <col min="9" max="9" width="21.7109375" customWidth="1"/>
    <col min="10" max="11" width="12.7109375" customWidth="1"/>
    <col min="12" max="12" width="13.7109375" customWidth="1"/>
    <col min="13" max="14" width="16.7109375" customWidth="1"/>
    <col min="16" max="16" width="19.140625" customWidth="1"/>
    <col min="17" max="17" width="14.28515625" customWidth="1"/>
    <col min="18" max="18" width="13.28515625" customWidth="1"/>
  </cols>
  <sheetData>
    <row r="1" spans="1:18">
      <c r="A1" s="9"/>
      <c r="B1" s="9" t="s">
        <v>153</v>
      </c>
      <c r="C1" s="9" t="s">
        <v>157</v>
      </c>
      <c r="D1" s="9"/>
      <c r="E1" s="122" t="s">
        <v>502</v>
      </c>
      <c r="F1" s="9" t="s">
        <v>153</v>
      </c>
      <c r="G1" s="9" t="s">
        <v>157</v>
      </c>
      <c r="H1" s="9"/>
      <c r="I1" s="9" t="s">
        <v>503</v>
      </c>
      <c r="J1" s="9" t="s">
        <v>153</v>
      </c>
      <c r="K1" s="9" t="s">
        <v>157</v>
      </c>
      <c r="M1" s="9" t="s">
        <v>31</v>
      </c>
      <c r="N1" s="10" t="s">
        <v>796</v>
      </c>
    </row>
    <row r="2" spans="1:18">
      <c r="A2" s="9" t="s">
        <v>221</v>
      </c>
      <c r="E2" s="123"/>
      <c r="F2" s="123"/>
      <c r="G2" s="123"/>
      <c r="M2" t="s">
        <v>32</v>
      </c>
      <c r="N2" s="29">
        <f>Data!L2</f>
        <v>130</v>
      </c>
    </row>
    <row r="3" spans="1:18">
      <c r="A3" s="18" t="s">
        <v>0</v>
      </c>
      <c r="B3" s="10" t="s">
        <v>1</v>
      </c>
      <c r="C3" t="str">
        <f>B3</f>
        <v>Hume</v>
      </c>
      <c r="E3" s="122" t="s">
        <v>504</v>
      </c>
      <c r="F3" s="123"/>
      <c r="G3" s="123"/>
      <c r="I3" s="9" t="s">
        <v>505</v>
      </c>
      <c r="M3" t="s">
        <v>33</v>
      </c>
      <c r="N3" s="29">
        <f>Data!L3</f>
        <v>1239</v>
      </c>
    </row>
    <row r="4" spans="1:18">
      <c r="A4" s="18" t="s">
        <v>32</v>
      </c>
      <c r="B4" s="45">
        <v>99</v>
      </c>
      <c r="C4" s="46">
        <f>B4</f>
        <v>99</v>
      </c>
      <c r="D4" s="46"/>
      <c r="E4" t="s">
        <v>250</v>
      </c>
      <c r="F4" s="10">
        <v>1</v>
      </c>
      <c r="G4" s="10">
        <v>1</v>
      </c>
      <c r="I4" s="172" t="s">
        <v>732</v>
      </c>
      <c r="J4" s="10">
        <v>1</v>
      </c>
      <c r="K4" s="10">
        <v>1</v>
      </c>
      <c r="M4" t="s">
        <v>543</v>
      </c>
      <c r="N4" s="11">
        <v>0.8</v>
      </c>
    </row>
    <row r="5" spans="1:18">
      <c r="A5" t="s">
        <v>222</v>
      </c>
      <c r="B5" s="10" t="s">
        <v>247</v>
      </c>
      <c r="C5" s="29" t="str">
        <f>B5</f>
        <v>Sam</v>
      </c>
      <c r="D5" s="29"/>
      <c r="E5" t="s">
        <v>307</v>
      </c>
      <c r="F5" s="10" t="s">
        <v>53</v>
      </c>
      <c r="G5" s="10" t="s">
        <v>53</v>
      </c>
      <c r="H5" s="46"/>
      <c r="M5" t="s">
        <v>224</v>
      </c>
      <c r="N5" s="32">
        <f>N3-FLOOR(N3*N4, 1)</f>
        <v>248</v>
      </c>
    </row>
    <row r="6" spans="1:18">
      <c r="A6" t="s">
        <v>80</v>
      </c>
      <c r="B6" s="10" t="s">
        <v>817</v>
      </c>
      <c r="C6" s="29" t="str">
        <f>B6</f>
        <v>Sublime Sushi</v>
      </c>
      <c r="D6" s="29"/>
      <c r="E6" t="s">
        <v>334</v>
      </c>
      <c r="F6" s="128">
        <v>0.9</v>
      </c>
      <c r="G6" s="128">
        <v>0.9</v>
      </c>
      <c r="H6" s="29"/>
      <c r="I6" s="9" t="s">
        <v>507</v>
      </c>
      <c r="M6" t="s">
        <v>34</v>
      </c>
      <c r="N6" s="29">
        <f>Data!L5</f>
        <v>1119</v>
      </c>
    </row>
    <row r="7" spans="1:18">
      <c r="E7" t="s">
        <v>333</v>
      </c>
      <c r="F7" s="128">
        <v>0.85</v>
      </c>
      <c r="G7" s="128">
        <v>0.85</v>
      </c>
      <c r="H7" s="29"/>
      <c r="I7" s="125" t="s">
        <v>508</v>
      </c>
      <c r="J7" s="126">
        <v>475</v>
      </c>
      <c r="K7" s="124">
        <v>475</v>
      </c>
      <c r="M7" t="s">
        <v>5</v>
      </c>
      <c r="N7" s="29">
        <f>Data!L8</f>
        <v>271</v>
      </c>
    </row>
    <row r="8" spans="1:18">
      <c r="A8" s="9" t="s">
        <v>6</v>
      </c>
      <c r="E8" t="s">
        <v>193</v>
      </c>
      <c r="F8" s="10">
        <v>1</v>
      </c>
      <c r="G8" s="10">
        <v>1</v>
      </c>
      <c r="I8" s="172" t="s">
        <v>510</v>
      </c>
      <c r="J8" s="10">
        <v>0</v>
      </c>
      <c r="K8" s="10">
        <v>0</v>
      </c>
      <c r="M8" t="s">
        <v>42</v>
      </c>
      <c r="N8" s="29">
        <f>Data!L7</f>
        <v>272</v>
      </c>
    </row>
    <row r="9" spans="1:18">
      <c r="A9" t="s">
        <v>3</v>
      </c>
      <c r="B9" s="10">
        <v>15</v>
      </c>
      <c r="C9">
        <f t="shared" ref="C9:C23" si="0">B9</f>
        <v>15</v>
      </c>
      <c r="E9" t="s">
        <v>298</v>
      </c>
      <c r="F9" s="124">
        <v>16</v>
      </c>
      <c r="G9" s="124">
        <v>16</v>
      </c>
      <c r="M9" t="s">
        <v>500</v>
      </c>
      <c r="N9" s="121">
        <f>Data!L9</f>
        <v>0</v>
      </c>
    </row>
    <row r="10" spans="1:18">
      <c r="A10" t="s">
        <v>4</v>
      </c>
      <c r="B10" s="10">
        <v>15</v>
      </c>
      <c r="C10">
        <f t="shared" si="0"/>
        <v>15</v>
      </c>
      <c r="E10" t="s">
        <v>561</v>
      </c>
      <c r="F10" s="10">
        <v>0</v>
      </c>
      <c r="G10" s="10">
        <v>0</v>
      </c>
      <c r="I10" s="9" t="s">
        <v>521</v>
      </c>
      <c r="M10" t="s">
        <v>501</v>
      </c>
      <c r="N10" s="121">
        <f>Data!L10</f>
        <v>0</v>
      </c>
    </row>
    <row r="11" spans="1:18">
      <c r="A11" s="29" t="s">
        <v>5</v>
      </c>
      <c r="B11" s="10">
        <v>15</v>
      </c>
      <c r="C11">
        <v>15</v>
      </c>
      <c r="E11" s="29" t="s">
        <v>850</v>
      </c>
      <c r="F11" s="10">
        <v>1</v>
      </c>
      <c r="G11" s="10">
        <v>1</v>
      </c>
      <c r="I11" t="s">
        <v>523</v>
      </c>
      <c r="J11" s="126">
        <v>450</v>
      </c>
      <c r="K11" s="124">
        <v>450</v>
      </c>
    </row>
    <row r="12" spans="1:18">
      <c r="A12" s="29" t="s">
        <v>182</v>
      </c>
      <c r="B12" s="10">
        <v>15</v>
      </c>
      <c r="C12">
        <v>15</v>
      </c>
      <c r="I12" s="29" t="s">
        <v>525</v>
      </c>
      <c r="J12" s="10">
        <v>0</v>
      </c>
      <c r="K12" s="10">
        <v>0</v>
      </c>
    </row>
    <row r="13" spans="1:18">
      <c r="A13" s="29" t="s">
        <v>183</v>
      </c>
      <c r="B13" s="10">
        <v>0</v>
      </c>
      <c r="C13">
        <f>B13</f>
        <v>0</v>
      </c>
      <c r="E13" s="122" t="s">
        <v>512</v>
      </c>
      <c r="F13" s="123"/>
      <c r="G13" s="123"/>
      <c r="H13" s="2"/>
    </row>
    <row r="14" spans="1:18">
      <c r="A14" t="s">
        <v>218</v>
      </c>
      <c r="B14" s="10">
        <v>150</v>
      </c>
      <c r="C14">
        <f>B14</f>
        <v>150</v>
      </c>
      <c r="E14" t="s">
        <v>126</v>
      </c>
      <c r="F14" s="10">
        <v>0</v>
      </c>
      <c r="G14" s="10">
        <v>0</v>
      </c>
      <c r="I14" s="9" t="s">
        <v>527</v>
      </c>
    </row>
    <row r="15" spans="1:18">
      <c r="A15" t="s">
        <v>226</v>
      </c>
      <c r="B15" s="11">
        <v>0.05</v>
      </c>
      <c r="C15" s="2">
        <f t="shared" si="0"/>
        <v>0.05</v>
      </c>
      <c r="D15" s="2"/>
      <c r="E15" t="s">
        <v>130</v>
      </c>
      <c r="F15" s="10">
        <v>0</v>
      </c>
      <c r="G15" s="10">
        <v>0</v>
      </c>
      <c r="I15" s="29" t="s">
        <v>508</v>
      </c>
      <c r="J15" s="126">
        <v>475</v>
      </c>
      <c r="K15" s="124">
        <v>475</v>
      </c>
    </row>
    <row r="16" spans="1:18">
      <c r="A16" t="s">
        <v>237</v>
      </c>
      <c r="B16" s="34">
        <v>5</v>
      </c>
      <c r="C16" s="32">
        <f t="shared" si="0"/>
        <v>5</v>
      </c>
      <c r="D16" s="32"/>
      <c r="E16" t="s">
        <v>134</v>
      </c>
      <c r="F16" s="10">
        <v>1</v>
      </c>
      <c r="G16" s="10">
        <v>1</v>
      </c>
      <c r="I16" t="s">
        <v>461</v>
      </c>
      <c r="J16" s="10">
        <v>0</v>
      </c>
      <c r="K16" s="10">
        <v>0</v>
      </c>
      <c r="Q16" s="6"/>
      <c r="R16" s="6"/>
    </row>
    <row r="17" spans="1:18">
      <c r="A17" t="s">
        <v>239</v>
      </c>
      <c r="B17" s="34">
        <v>5</v>
      </c>
      <c r="C17" s="32">
        <f t="shared" si="0"/>
        <v>5</v>
      </c>
      <c r="D17" s="32"/>
      <c r="E17" t="s">
        <v>506</v>
      </c>
      <c r="F17" s="10">
        <v>0</v>
      </c>
      <c r="G17" s="10">
        <v>0</v>
      </c>
      <c r="I17" t="s">
        <v>528</v>
      </c>
      <c r="J17" s="10">
        <v>0</v>
      </c>
      <c r="K17" s="10">
        <v>0</v>
      </c>
      <c r="Q17" s="6"/>
      <c r="R17" s="6"/>
    </row>
    <row r="18" spans="1:18">
      <c r="A18" t="s">
        <v>238</v>
      </c>
      <c r="B18" s="34">
        <v>5</v>
      </c>
      <c r="C18" s="32">
        <f t="shared" si="0"/>
        <v>5</v>
      </c>
      <c r="D18" s="32"/>
      <c r="E18" t="s">
        <v>509</v>
      </c>
      <c r="F18" s="124">
        <v>30</v>
      </c>
      <c r="G18" s="124">
        <v>30</v>
      </c>
      <c r="I18" t="s">
        <v>465</v>
      </c>
      <c r="J18" s="10">
        <v>0</v>
      </c>
      <c r="K18" s="10">
        <v>0</v>
      </c>
      <c r="P18" s="32"/>
      <c r="Q18" s="32"/>
      <c r="R18" s="32"/>
    </row>
    <row r="19" spans="1:18">
      <c r="A19" t="s">
        <v>561</v>
      </c>
      <c r="B19" s="34">
        <v>5</v>
      </c>
      <c r="C19" s="32">
        <f t="shared" si="0"/>
        <v>5</v>
      </c>
      <c r="D19" s="32"/>
      <c r="E19" t="s">
        <v>515</v>
      </c>
      <c r="F19" s="10">
        <v>0</v>
      </c>
      <c r="G19" s="10">
        <v>0</v>
      </c>
      <c r="P19" s="32"/>
      <c r="Q19" s="32"/>
      <c r="R19" s="32"/>
    </row>
    <row r="20" spans="1:18">
      <c r="A20" t="s">
        <v>236</v>
      </c>
      <c r="B20" s="10">
        <v>16</v>
      </c>
      <c r="C20">
        <f t="shared" si="0"/>
        <v>16</v>
      </c>
      <c r="I20" s="9" t="s">
        <v>529</v>
      </c>
      <c r="P20" s="32"/>
      <c r="Q20" s="32"/>
      <c r="R20" s="32"/>
    </row>
    <row r="21" spans="1:18">
      <c r="A21" t="s">
        <v>235</v>
      </c>
      <c r="B21" s="10">
        <v>16</v>
      </c>
      <c r="C21">
        <f t="shared" si="0"/>
        <v>16</v>
      </c>
      <c r="H21" s="10"/>
      <c r="I21" t="s">
        <v>530</v>
      </c>
      <c r="J21" s="10">
        <v>0</v>
      </c>
      <c r="K21" s="10">
        <v>0</v>
      </c>
      <c r="P21" s="32"/>
      <c r="Q21" s="32"/>
      <c r="R21" s="32"/>
    </row>
    <row r="22" spans="1:18">
      <c r="A22" t="s">
        <v>414</v>
      </c>
      <c r="B22" s="10">
        <v>16</v>
      </c>
      <c r="C22">
        <f t="shared" si="0"/>
        <v>16</v>
      </c>
      <c r="E22" s="122" t="s">
        <v>516</v>
      </c>
      <c r="F22" s="9" t="s">
        <v>153</v>
      </c>
      <c r="G22" s="9" t="s">
        <v>157</v>
      </c>
      <c r="H22" s="10"/>
      <c r="P22" s="32"/>
      <c r="Q22" s="32"/>
      <c r="R22" s="32"/>
    </row>
    <row r="23" spans="1:18">
      <c r="A23" t="s">
        <v>415</v>
      </c>
      <c r="B23" s="10">
        <v>16</v>
      </c>
      <c r="C23">
        <f t="shared" si="0"/>
        <v>16</v>
      </c>
      <c r="E23" s="123"/>
      <c r="F23" s="123"/>
      <c r="G23" s="123"/>
      <c r="H23" s="10"/>
      <c r="I23" s="9" t="s">
        <v>513</v>
      </c>
      <c r="P23" s="32"/>
      <c r="Q23" s="32"/>
      <c r="R23" s="32"/>
    </row>
    <row r="24" spans="1:18">
      <c r="A24" t="s">
        <v>376</v>
      </c>
      <c r="B24" s="10">
        <v>5</v>
      </c>
      <c r="C24">
        <f>B24</f>
        <v>5</v>
      </c>
      <c r="E24" s="9" t="s">
        <v>227</v>
      </c>
      <c r="H24" s="10"/>
      <c r="I24" s="125" t="s">
        <v>514</v>
      </c>
      <c r="J24" s="10">
        <v>0</v>
      </c>
      <c r="K24" s="10">
        <v>0</v>
      </c>
      <c r="L24" s="29" t="s">
        <v>721</v>
      </c>
      <c r="M24" s="124">
        <v>5</v>
      </c>
      <c r="N24" s="124">
        <v>5</v>
      </c>
      <c r="P24" s="74"/>
      <c r="Q24" s="74"/>
      <c r="R24" s="74"/>
    </row>
    <row r="25" spans="1:18">
      <c r="A25" t="s">
        <v>408</v>
      </c>
      <c r="B25" s="10">
        <v>5</v>
      </c>
      <c r="C25">
        <f>B25</f>
        <v>5</v>
      </c>
      <c r="E25" t="s">
        <v>228</v>
      </c>
      <c r="F25" s="10">
        <v>0</v>
      </c>
      <c r="G25" s="10">
        <v>0</v>
      </c>
      <c r="H25" s="10"/>
      <c r="I25" s="28" t="s">
        <v>148</v>
      </c>
      <c r="J25" s="10">
        <v>1</v>
      </c>
      <c r="K25" s="10">
        <v>1</v>
      </c>
      <c r="L25" s="29" t="s">
        <v>722</v>
      </c>
      <c r="M25" s="124">
        <v>4</v>
      </c>
      <c r="N25" s="124">
        <v>4</v>
      </c>
      <c r="P25" s="32"/>
      <c r="Q25" s="32"/>
      <c r="R25" s="32"/>
    </row>
    <row r="26" spans="1:18">
      <c r="A26" t="s">
        <v>411</v>
      </c>
      <c r="B26" s="10">
        <v>5</v>
      </c>
      <c r="C26">
        <f>B26</f>
        <v>5</v>
      </c>
      <c r="E26" t="s">
        <v>229</v>
      </c>
      <c r="F26" s="124">
        <v>70</v>
      </c>
      <c r="G26" s="124">
        <f>F26</f>
        <v>70</v>
      </c>
      <c r="I26" s="39" t="s">
        <v>147</v>
      </c>
      <c r="J26" s="10">
        <v>1</v>
      </c>
      <c r="K26" s="10">
        <v>1</v>
      </c>
      <c r="P26" s="32"/>
      <c r="Q26" s="32"/>
      <c r="R26" s="32"/>
    </row>
    <row r="27" spans="1:18">
      <c r="A27" s="29" t="s">
        <v>725</v>
      </c>
      <c r="B27" s="10">
        <v>5</v>
      </c>
      <c r="C27">
        <f>B27</f>
        <v>5</v>
      </c>
      <c r="E27" t="s">
        <v>230</v>
      </c>
      <c r="F27" s="10" t="s">
        <v>152</v>
      </c>
      <c r="G27" s="10" t="s">
        <v>119</v>
      </c>
      <c r="I27" t="s">
        <v>517</v>
      </c>
      <c r="J27" s="10">
        <v>0</v>
      </c>
      <c r="K27" s="10">
        <v>0</v>
      </c>
      <c r="L27" s="29" t="s">
        <v>99</v>
      </c>
      <c r="M27" s="124">
        <v>4</v>
      </c>
      <c r="N27" s="124">
        <v>4</v>
      </c>
      <c r="P27" s="32"/>
      <c r="Q27" s="32"/>
      <c r="R27" s="32"/>
    </row>
    <row r="28" spans="1:18">
      <c r="E28" t="s">
        <v>231</v>
      </c>
      <c r="F28" s="10" t="s">
        <v>117</v>
      </c>
      <c r="G28" s="10" t="s">
        <v>117</v>
      </c>
      <c r="I28" t="s">
        <v>518</v>
      </c>
      <c r="J28" s="10">
        <v>0</v>
      </c>
      <c r="K28" s="10">
        <v>0</v>
      </c>
      <c r="L28" s="29" t="s">
        <v>723</v>
      </c>
      <c r="M28" s="124">
        <v>5</v>
      </c>
      <c r="N28" s="124">
        <v>5</v>
      </c>
      <c r="P28" s="32"/>
      <c r="Q28" s="32"/>
      <c r="R28" s="32"/>
    </row>
    <row r="29" spans="1:18">
      <c r="A29" s="9" t="s">
        <v>807</v>
      </c>
      <c r="E29" t="s">
        <v>232</v>
      </c>
      <c r="F29" s="10" t="s">
        <v>432</v>
      </c>
      <c r="G29" s="10" t="s">
        <v>152</v>
      </c>
      <c r="I29" s="29" t="s">
        <v>720</v>
      </c>
      <c r="J29" s="10">
        <v>0</v>
      </c>
      <c r="K29" s="10">
        <v>0</v>
      </c>
      <c r="P29" s="32"/>
      <c r="Q29" s="32"/>
      <c r="R29" s="32"/>
    </row>
    <row r="30" spans="1:18">
      <c r="A30" s="29" t="s">
        <v>10</v>
      </c>
      <c r="B30" s="172">
        <f>3+5+6+8</f>
        <v>22</v>
      </c>
      <c r="C30">
        <f>B30</f>
        <v>22</v>
      </c>
      <c r="I30" t="s">
        <v>519</v>
      </c>
      <c r="J30" s="10">
        <v>0</v>
      </c>
      <c r="K30" s="10">
        <v>0</v>
      </c>
      <c r="L30" s="29" t="s">
        <v>550</v>
      </c>
      <c r="M30" s="124">
        <v>4</v>
      </c>
      <c r="N30" s="124">
        <v>4</v>
      </c>
      <c r="Q30" s="6"/>
      <c r="R30" s="6"/>
    </row>
    <row r="31" spans="1:18">
      <c r="A31" s="29" t="s">
        <v>9</v>
      </c>
      <c r="B31" s="172">
        <f>15+23+30+38</f>
        <v>106</v>
      </c>
      <c r="C31">
        <f>B31</f>
        <v>106</v>
      </c>
      <c r="E31" s="9" t="s">
        <v>462</v>
      </c>
      <c r="F31" s="10">
        <v>0</v>
      </c>
      <c r="G31">
        <f>F31</f>
        <v>0</v>
      </c>
      <c r="I31" t="s">
        <v>520</v>
      </c>
      <c r="J31" s="10">
        <v>0</v>
      </c>
      <c r="K31" s="10">
        <v>0</v>
      </c>
      <c r="L31" s="29" t="s">
        <v>724</v>
      </c>
      <c r="M31" s="124">
        <v>5</v>
      </c>
      <c r="N31" s="124">
        <v>5</v>
      </c>
    </row>
    <row r="32" spans="1:18">
      <c r="A32" t="s">
        <v>808</v>
      </c>
      <c r="B32" s="175">
        <f>2%+2%+2%+2%</f>
        <v>0.08</v>
      </c>
      <c r="C32" s="79">
        <f>B32</f>
        <v>0.08</v>
      </c>
      <c r="E32" t="s">
        <v>522</v>
      </c>
      <c r="F32" s="115" t="s">
        <v>463</v>
      </c>
      <c r="G32" s="115" t="s">
        <v>463</v>
      </c>
      <c r="M32" s="75"/>
      <c r="N32" s="29"/>
      <c r="Q32" s="6"/>
      <c r="R32" s="6"/>
    </row>
    <row r="33" spans="1:18">
      <c r="E33" t="s">
        <v>524</v>
      </c>
      <c r="F33" s="115" t="s">
        <v>463</v>
      </c>
      <c r="G33" s="115" t="s">
        <v>463</v>
      </c>
      <c r="I33" s="9" t="s">
        <v>531</v>
      </c>
      <c r="M33" s="9" t="s">
        <v>153</v>
      </c>
      <c r="N33" s="9" t="s">
        <v>157</v>
      </c>
    </row>
    <row r="34" spans="1:18">
      <c r="A34" s="9" t="s">
        <v>249</v>
      </c>
      <c r="D34" s="10"/>
      <c r="E34" t="s">
        <v>526</v>
      </c>
      <c r="F34" s="115" t="s">
        <v>463</v>
      </c>
      <c r="G34" s="115" t="s">
        <v>463</v>
      </c>
      <c r="I34" t="s">
        <v>233</v>
      </c>
      <c r="J34" s="10">
        <v>0</v>
      </c>
      <c r="K34" s="10">
        <v>0</v>
      </c>
      <c r="L34" t="s">
        <v>535</v>
      </c>
      <c r="M34" s="127">
        <v>0.55000000000000004</v>
      </c>
      <c r="N34" s="128">
        <v>0.55000000000000004</v>
      </c>
    </row>
    <row r="35" spans="1:18">
      <c r="A35" s="18" t="s">
        <v>172</v>
      </c>
      <c r="B35" t="str">
        <f>Data!G17</f>
        <v>GreatSword</v>
      </c>
      <c r="C35" t="str">
        <f>Data!H17</f>
        <v>GreatSword</v>
      </c>
      <c r="D35" s="10"/>
      <c r="I35" t="s">
        <v>608</v>
      </c>
      <c r="J35" s="10">
        <v>0</v>
      </c>
      <c r="K35" s="10">
        <v>0</v>
      </c>
      <c r="L35" t="s">
        <v>10</v>
      </c>
      <c r="M35" s="124">
        <v>75</v>
      </c>
      <c r="N35" s="124">
        <v>75</v>
      </c>
    </row>
    <row r="36" spans="1:18">
      <c r="A36" t="s">
        <v>283</v>
      </c>
      <c r="B36" s="10" t="s">
        <v>192</v>
      </c>
      <c r="C36" s="10" t="s">
        <v>376</v>
      </c>
      <c r="D36" s="10"/>
      <c r="E36" t="s">
        <v>234</v>
      </c>
      <c r="F36" s="10">
        <v>0</v>
      </c>
      <c r="G36" s="10">
        <v>0</v>
      </c>
      <c r="I36" t="s">
        <v>532</v>
      </c>
      <c r="J36" s="10">
        <v>0</v>
      </c>
      <c r="K36" s="10">
        <v>0</v>
      </c>
      <c r="L36" t="s">
        <v>536</v>
      </c>
      <c r="M36" s="127">
        <v>0.2</v>
      </c>
      <c r="N36" s="128">
        <v>0.2</v>
      </c>
      <c r="Q36" s="6"/>
      <c r="R36" s="6"/>
    </row>
    <row r="37" spans="1:18">
      <c r="A37" t="s">
        <v>943</v>
      </c>
      <c r="B37" s="11">
        <v>0.6</v>
      </c>
      <c r="C37" s="11">
        <v>0</v>
      </c>
      <c r="I37" t="s">
        <v>533</v>
      </c>
      <c r="J37" s="10">
        <v>1</v>
      </c>
      <c r="K37" s="10">
        <v>1</v>
      </c>
      <c r="L37" t="s">
        <v>537</v>
      </c>
      <c r="M37" s="127">
        <v>0.2</v>
      </c>
      <c r="N37" s="128">
        <v>0.2</v>
      </c>
    </row>
    <row r="38" spans="1:18">
      <c r="A38" t="s">
        <v>544</v>
      </c>
      <c r="B38" s="10">
        <v>0</v>
      </c>
      <c r="C38" s="10">
        <v>0</v>
      </c>
      <c r="E38" s="9" t="s">
        <v>648</v>
      </c>
      <c r="I38" t="s">
        <v>69</v>
      </c>
      <c r="J38" s="10">
        <v>1</v>
      </c>
      <c r="K38" s="10">
        <v>1</v>
      </c>
      <c r="L38" t="s">
        <v>13</v>
      </c>
      <c r="M38" s="124">
        <v>70</v>
      </c>
      <c r="N38" s="124">
        <v>70</v>
      </c>
    </row>
    <row r="39" spans="1:18">
      <c r="A39" t="s">
        <v>545</v>
      </c>
      <c r="B39" s="124">
        <v>210</v>
      </c>
      <c r="C39" s="124">
        <v>210</v>
      </c>
      <c r="E39" s="29" t="s">
        <v>647</v>
      </c>
      <c r="F39" s="10">
        <v>0</v>
      </c>
      <c r="G39" s="10">
        <v>0</v>
      </c>
      <c r="I39" t="s">
        <v>464</v>
      </c>
      <c r="J39" s="10">
        <v>0</v>
      </c>
      <c r="K39" s="10">
        <v>0</v>
      </c>
      <c r="L39" t="s">
        <v>122</v>
      </c>
      <c r="M39" s="124">
        <v>50</v>
      </c>
      <c r="N39" s="124">
        <v>50</v>
      </c>
    </row>
    <row r="40" spans="1:18">
      <c r="A40" t="s">
        <v>546</v>
      </c>
      <c r="B40" s="10">
        <v>0</v>
      </c>
      <c r="C40" s="10">
        <v>0</v>
      </c>
      <c r="I40" t="s">
        <v>534</v>
      </c>
      <c r="J40" s="10">
        <v>0</v>
      </c>
      <c r="K40" s="10">
        <v>0</v>
      </c>
      <c r="L40" t="s">
        <v>538</v>
      </c>
      <c r="M40" s="124">
        <v>325</v>
      </c>
      <c r="N40" s="124">
        <v>325</v>
      </c>
    </row>
    <row r="42" spans="1:18">
      <c r="A42" s="9" t="s">
        <v>220</v>
      </c>
      <c r="B42" s="9" t="s">
        <v>153</v>
      </c>
      <c r="C42" s="9" t="s">
        <v>157</v>
      </c>
      <c r="E42" t="s">
        <v>563</v>
      </c>
      <c r="F42" s="10">
        <v>0</v>
      </c>
      <c r="G42" s="10">
        <v>0</v>
      </c>
      <c r="I42" s="9" t="s">
        <v>835</v>
      </c>
    </row>
    <row r="43" spans="1:18">
      <c r="A43" t="s">
        <v>225</v>
      </c>
      <c r="B43" s="7">
        <f ca="1">Data!B224</f>
        <v>4729.4450743940961</v>
      </c>
      <c r="C43" s="7">
        <f ca="1">Data!C224</f>
        <v>2926.3884339886599</v>
      </c>
      <c r="I43" s="29" t="s">
        <v>836</v>
      </c>
      <c r="J43" s="29">
        <v>0</v>
      </c>
      <c r="K43" s="29">
        <v>0</v>
      </c>
    </row>
    <row r="44" spans="1:18">
      <c r="A44" t="s">
        <v>328</v>
      </c>
      <c r="B44" s="6">
        <f ca="1">Data!B232</f>
        <v>3299.6128426005321</v>
      </c>
      <c r="C44" s="6">
        <f ca="1">Data!C232</f>
        <v>2036.9293044004592</v>
      </c>
      <c r="E44" s="9" t="s">
        <v>412</v>
      </c>
      <c r="F44" s="10"/>
      <c r="G44" s="10"/>
      <c r="I44" s="29" t="s">
        <v>837</v>
      </c>
      <c r="J44" s="29">
        <v>0</v>
      </c>
      <c r="K44" s="29">
        <v>0</v>
      </c>
    </row>
    <row r="45" spans="1:18">
      <c r="E45" t="s">
        <v>68</v>
      </c>
      <c r="F45" s="10">
        <v>0.5</v>
      </c>
      <c r="G45" s="10">
        <v>0.5</v>
      </c>
      <c r="I45" s="25" t="s">
        <v>838</v>
      </c>
      <c r="J45" s="29">
        <v>0</v>
      </c>
      <c r="K45" s="29">
        <v>0</v>
      </c>
    </row>
    <row r="46" spans="1:18">
      <c r="A46" t="s">
        <v>318</v>
      </c>
      <c r="B46" s="4">
        <f ca="1">Data!D241</f>
        <v>2.7751379264006397</v>
      </c>
      <c r="C46" s="4">
        <f ca="1">Data!E241</f>
        <v>2.795490078632016</v>
      </c>
      <c r="E46" t="s">
        <v>413</v>
      </c>
      <c r="F46" s="10"/>
      <c r="G46" s="10"/>
      <c r="I46" s="182" t="s">
        <v>839</v>
      </c>
      <c r="J46" s="181">
        <v>0</v>
      </c>
      <c r="K46" s="181">
        <v>0</v>
      </c>
    </row>
    <row r="47" spans="1:18">
      <c r="A47" s="18" t="s">
        <v>40</v>
      </c>
      <c r="B47" s="7">
        <f ca="1">Data!D240</f>
        <v>23624.313075000002</v>
      </c>
      <c r="C47" s="7">
        <f ca="1">Data!E240</f>
        <v>22549.51971855179</v>
      </c>
      <c r="E47" t="s">
        <v>457</v>
      </c>
      <c r="F47" s="10">
        <v>1000</v>
      </c>
      <c r="G47" s="10">
        <v>1000</v>
      </c>
      <c r="I47" s="29" t="s">
        <v>840</v>
      </c>
      <c r="J47" s="29">
        <v>0</v>
      </c>
      <c r="K47" s="29">
        <v>0</v>
      </c>
      <c r="L47" t="s">
        <v>841</v>
      </c>
      <c r="M47" s="124">
        <v>75</v>
      </c>
      <c r="N47" s="124">
        <v>75</v>
      </c>
    </row>
    <row r="48" spans="1:18">
      <c r="E48" t="s">
        <v>458</v>
      </c>
      <c r="F48" s="10">
        <v>0</v>
      </c>
      <c r="G48" s="10">
        <v>0</v>
      </c>
      <c r="I48" s="29" t="s">
        <v>842</v>
      </c>
      <c r="J48" s="29">
        <v>0</v>
      </c>
      <c r="K48" s="29">
        <v>0</v>
      </c>
      <c r="L48" t="s">
        <v>843</v>
      </c>
      <c r="M48" s="179">
        <v>0.28299999999999997</v>
      </c>
      <c r="N48" s="180">
        <v>0.28299999999999997</v>
      </c>
    </row>
    <row r="49" spans="1:14">
      <c r="A49" t="s">
        <v>302</v>
      </c>
      <c r="B49" s="7">
        <f ca="1">Data!D243</f>
        <v>36749.175471779752</v>
      </c>
      <c r="C49" s="7">
        <f ca="1">Data!E243</f>
        <v>30730.209551990571</v>
      </c>
      <c r="I49" t="s">
        <v>844</v>
      </c>
      <c r="J49" s="10">
        <v>0</v>
      </c>
      <c r="K49" s="10">
        <v>0</v>
      </c>
      <c r="L49" t="s">
        <v>845</v>
      </c>
      <c r="M49" s="124">
        <v>75</v>
      </c>
      <c r="N49" s="124">
        <v>75</v>
      </c>
    </row>
    <row r="50" spans="1:14">
      <c r="A50" t="s">
        <v>327</v>
      </c>
      <c r="B50" s="7">
        <f ca="1">Data!D242</f>
        <v>358.66186167045498</v>
      </c>
      <c r="C50" s="7">
        <f ca="1">Data!E242</f>
        <v>360.97124477807978</v>
      </c>
      <c r="I50" t="s">
        <v>846</v>
      </c>
      <c r="J50" s="10">
        <v>0</v>
      </c>
      <c r="K50" s="10">
        <v>0</v>
      </c>
      <c r="L50" t="s">
        <v>847</v>
      </c>
      <c r="M50" s="179">
        <v>0.48199999999999998</v>
      </c>
      <c r="N50" s="180">
        <v>0.48199999999999998</v>
      </c>
    </row>
    <row r="52" spans="1:14">
      <c r="A52" s="9" t="s">
        <v>300</v>
      </c>
      <c r="B52" s="8">
        <f ca="1">Data!D244</f>
        <v>6147.7139443745309</v>
      </c>
      <c r="C52" s="8">
        <f ca="1">Data!E244</f>
        <v>5107.9209211054613</v>
      </c>
    </row>
    <row r="53" spans="1:14">
      <c r="A53" s="18"/>
      <c r="B53" s="7"/>
      <c r="C53" s="7"/>
    </row>
    <row r="54" spans="1:14">
      <c r="A54" s="9" t="s">
        <v>220</v>
      </c>
      <c r="B54" s="9" t="s">
        <v>153</v>
      </c>
      <c r="C54" s="9" t="s">
        <v>157</v>
      </c>
    </row>
    <row r="55" spans="1:14">
      <c r="A55" t="s">
        <v>305</v>
      </c>
      <c r="D55" t="s">
        <v>301</v>
      </c>
    </row>
    <row r="56" spans="1:14">
      <c r="A56" t="s">
        <v>304</v>
      </c>
      <c r="B56" s="34">
        <v>100</v>
      </c>
      <c r="C56" s="34">
        <v>100</v>
      </c>
      <c r="D56">
        <f>B56+C56</f>
        <v>200</v>
      </c>
    </row>
  </sheetData>
  <phoneticPr fontId="2" type="noConversion"/>
  <conditionalFormatting sqref="G26 G18 C39 N34:N40 N30:N31 N27:N28 N24:N25 K15 K11 K7 G6:G7 G9">
    <cfRule type="cellIs" dxfId="12" priority="9" stopIfTrue="1" operator="notEqual">
      <formula>INDIRECT(ADDRESS(ROW(), COLUMN()-1))</formula>
    </cfRule>
  </conditionalFormatting>
  <conditionalFormatting sqref="G45:G48 G25 G14:G17 G36 G19 G42 G39 K34:K40 K24:K31 K21 K12 K16:K18 K4 G4:G5 G8 K8 G10:G11">
    <cfRule type="cellIs" dxfId="11" priority="10" stopIfTrue="1" operator="notEqual">
      <formula>INDIRECT(ADDRESS(ROW(), COLUMN()-1))</formula>
    </cfRule>
  </conditionalFormatting>
  <conditionalFormatting sqref="G11">
    <cfRule type="expression" dxfId="10" priority="11" stopIfTrue="1">
      <formula>AND(#REF!=1, $G$11=1)</formula>
    </cfRule>
    <cfRule type="cellIs" dxfId="9" priority="12" stopIfTrue="1" operator="notEqual">
      <formula>F11</formula>
    </cfRule>
  </conditionalFormatting>
  <conditionalFormatting sqref="F11">
    <cfRule type="expression" dxfId="8" priority="20" stopIfTrue="1">
      <formula>AND(#REF!=1, $F$11=1)</formula>
    </cfRule>
  </conditionalFormatting>
  <conditionalFormatting sqref="B38 B40">
    <cfRule type="expression" dxfId="7" priority="21" stopIfTrue="1">
      <formula>AND($B$38=1, $B$40=1)</formula>
    </cfRule>
  </conditionalFormatting>
  <conditionalFormatting sqref="J8">
    <cfRule type="expression" dxfId="6" priority="43" stopIfTrue="1">
      <formula>AND($J$8=1,#REF!= 1)</formula>
    </cfRule>
  </conditionalFormatting>
  <conditionalFormatting sqref="C38 C40">
    <cfRule type="expression" dxfId="5" priority="138" stopIfTrue="1">
      <formula>AND($C$38=1, $C$40=1)</formula>
    </cfRule>
    <cfRule type="cellIs" dxfId="4" priority="139" stopIfTrue="1" operator="notEqual">
      <formula>B38</formula>
    </cfRule>
  </conditionalFormatting>
  <conditionalFormatting sqref="K43:K50">
    <cfRule type="cellIs" dxfId="3" priority="2" stopIfTrue="1" operator="notEqual">
      <formula>INDIRECT(ADDRESS(ROW(), COLUMN()-1))</formula>
    </cfRule>
  </conditionalFormatting>
  <conditionalFormatting sqref="N47:N50">
    <cfRule type="cellIs" dxfId="2" priority="1" stopIfTrue="1" operator="notEqual">
      <formula>INDIRECT(ADDRESS(ROW(), COLUMN()-1))</formula>
    </cfRule>
  </conditionalFormatting>
  <dataValidations count="22">
    <dataValidation type="list" allowBlank="1" showInputMessage="1" showErrorMessage="1" sqref="F39:G39 F19:G19 F36:G36 F14:G17 F25:G25 F31 F42:G42 J34:K40 F10:G11 F8:G8 J4:K4 F4:G4 J8:K8 J24:K31 J21:K21 J12:K12 J16:K18 B40:C40 B38:C38 J43:K50">
      <formula1>Toggle</formula1>
    </dataValidation>
    <dataValidation type="whole" allowBlank="1" showInputMessage="1" showErrorMessage="1" sqref="F47:G47">
      <formula1>1000</formula1>
      <formula2>3000</formula2>
    </dataValidation>
    <dataValidation type="list" allowBlank="1" showInputMessage="1" showErrorMessage="1" sqref="F27:G29">
      <formula1>Atmas</formula1>
    </dataValidation>
    <dataValidation type="list" allowBlank="1" showInputMessage="1" showErrorMessage="1" sqref="C36">
      <formula1>INDIRECT($C$35&amp;"WS")</formula1>
    </dataValidation>
    <dataValidation type="whole" allowBlank="1" showInputMessage="1" showErrorMessage="1" sqref="B39:C39">
      <formula1>200</formula1>
      <formula2>299</formula2>
    </dataValidation>
    <dataValidation type="list" allowBlank="1" showInputMessage="1" showErrorMessage="1" sqref="B36">
      <formula1>INDIRECT($B$35&amp;"WS")</formula1>
    </dataValidation>
    <dataValidation type="whole" allowBlank="1" showInputMessage="1" showErrorMessage="1" sqref="M30:N31 M24:N25 M27:N28 B16:B19">
      <formula1>0</formula1>
      <formula2>5</formula2>
    </dataValidation>
    <dataValidation type="whole" allowBlank="1" showInputMessage="1" showErrorMessage="1" sqref="J11:K11 J7:K7 J15:K15">
      <formula1>0</formula1>
      <formula2>500</formula2>
    </dataValidation>
    <dataValidation type="decimal" allowBlank="1" showInputMessage="1" showErrorMessage="1" sqref="N4">
      <formula1>0</formula1>
      <formula2>0.99</formula2>
    </dataValidation>
    <dataValidation type="list" allowBlank="1" showInputMessage="1" showErrorMessage="1" sqref="B3">
      <formula1>Races</formula1>
    </dataValidation>
    <dataValidation type="list" allowBlank="1" showInputMessage="1" showErrorMessage="1" sqref="B6">
      <formula1>FoodList</formula1>
    </dataValidation>
    <dataValidation type="list" allowBlank="1" showInputMessage="1" showErrorMessage="1" sqref="B5">
      <formula1>Subjobs</formula1>
    </dataValidation>
    <dataValidation type="whole" allowBlank="1" showInputMessage="1" showErrorMessage="1" sqref="B20:B21 B24:B27">
      <formula1>0</formula1>
      <formula2>16</formula2>
    </dataValidation>
    <dataValidation type="whole" allowBlank="1" showInputMessage="1" showErrorMessage="1" sqref="B14">
      <formula1>0</formula1>
      <formula2>150</formula2>
    </dataValidation>
    <dataValidation type="whole" allowBlank="1" showInputMessage="1" showErrorMessage="1" sqref="B9:B13">
      <formula1>0</formula1>
      <formula2>15</formula2>
    </dataValidation>
    <dataValidation type="whole" allowBlank="1" showInputMessage="1" showErrorMessage="1" sqref="B4">
      <formula1>75</formula1>
      <formula2>99</formula2>
    </dataValidation>
    <dataValidation type="list" allowBlank="1" showInputMessage="1" showErrorMessage="1" sqref="N1">
      <formula1>MobList</formula1>
    </dataValidation>
    <dataValidation type="list" allowBlank="1" showInputMessage="1" showErrorMessage="1" sqref="F5:G5">
      <formula1>SouleaterOptions</formula1>
    </dataValidation>
    <dataValidation type="whole" allowBlank="1" showInputMessage="1" showErrorMessage="1" sqref="F9:G9">
      <formula1>0</formula1>
      <formula2>100</formula2>
    </dataValidation>
    <dataValidation type="decimal" allowBlank="1" showInputMessage="1" showErrorMessage="1" sqref="B15">
      <formula1>0</formula1>
      <formula2>0.05</formula2>
    </dataValidation>
    <dataValidation type="list" allowBlank="1" showInputMessage="1" showErrorMessage="1" sqref="I4">
      <formula1>Hastes</formula1>
    </dataValidation>
    <dataValidation type="list" allowBlank="1" showInputMessage="1" showErrorMessage="1" sqref="I8">
      <formula1>Boosts</formula1>
    </dataValidation>
  </dataValidations>
  <pageMargins left="0.75" right="0.75" top="1" bottom="1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>
  <dimension ref="A1:T56"/>
  <sheetViews>
    <sheetView workbookViewId="0">
      <selection activeCell="E28" sqref="E28:E40"/>
    </sheetView>
  </sheetViews>
  <sheetFormatPr defaultRowHeight="12.75"/>
  <cols>
    <col min="2" max="2" width="17.7109375" bestFit="1" customWidth="1"/>
    <col min="5" max="5" width="17.7109375" bestFit="1" customWidth="1"/>
    <col min="8" max="8" width="15.140625" bestFit="1" customWidth="1"/>
    <col min="11" max="11" width="15.140625" bestFit="1" customWidth="1"/>
    <col min="14" max="14" width="14.140625" bestFit="1" customWidth="1"/>
    <col min="17" max="17" width="14.140625" bestFit="1" customWidth="1"/>
  </cols>
  <sheetData>
    <row r="1" spans="1:20">
      <c r="A1" s="189" t="s">
        <v>890</v>
      </c>
      <c r="B1" s="189"/>
      <c r="D1" s="189" t="s">
        <v>925</v>
      </c>
      <c r="E1" s="189"/>
      <c r="G1" s="189" t="s">
        <v>899</v>
      </c>
      <c r="H1" s="189"/>
      <c r="J1" s="189" t="s">
        <v>900</v>
      </c>
      <c r="K1" s="189"/>
      <c r="M1" s="189"/>
      <c r="N1" s="189"/>
      <c r="S1" s="189" t="s">
        <v>937</v>
      </c>
      <c r="T1" s="189"/>
    </row>
    <row r="2" spans="1:20">
      <c r="A2" t="s">
        <v>8</v>
      </c>
      <c r="B2" t="s">
        <v>14</v>
      </c>
      <c r="D2" t="s">
        <v>8</v>
      </c>
      <c r="E2" t="s">
        <v>14</v>
      </c>
      <c r="G2" t="s">
        <v>8</v>
      </c>
      <c r="H2" t="s">
        <v>14</v>
      </c>
      <c r="J2" t="s">
        <v>8</v>
      </c>
      <c r="K2" t="s">
        <v>14</v>
      </c>
      <c r="M2" t="s">
        <v>8</v>
      </c>
      <c r="N2" t="s">
        <v>14</v>
      </c>
      <c r="S2" s="189" t="s">
        <v>938</v>
      </c>
      <c r="T2" s="189"/>
    </row>
    <row r="3" spans="1:20">
      <c r="A3" s="33" t="s">
        <v>616</v>
      </c>
      <c r="B3" s="33" t="s">
        <v>650</v>
      </c>
      <c r="D3" s="33" t="s">
        <v>616</v>
      </c>
      <c r="E3" s="33" t="s">
        <v>650</v>
      </c>
      <c r="G3" s="33" t="s">
        <v>168</v>
      </c>
      <c r="H3" s="33" t="s">
        <v>654</v>
      </c>
      <c r="J3" s="33" t="s">
        <v>168</v>
      </c>
      <c r="K3" s="33" t="s">
        <v>654</v>
      </c>
      <c r="M3" s="33" t="s">
        <v>616</v>
      </c>
      <c r="N3" s="33" t="s">
        <v>650</v>
      </c>
      <c r="S3" s="33" t="s">
        <v>616</v>
      </c>
      <c r="T3" s="33" t="s">
        <v>650</v>
      </c>
    </row>
    <row r="4" spans="1:20">
      <c r="A4" s="33" t="s">
        <v>137</v>
      </c>
      <c r="B4" s="30" t="s">
        <v>875</v>
      </c>
      <c r="D4" s="33" t="s">
        <v>137</v>
      </c>
      <c r="E4" s="30" t="s">
        <v>875</v>
      </c>
      <c r="G4" s="33" t="s">
        <v>137</v>
      </c>
      <c r="H4" s="30" t="s">
        <v>875</v>
      </c>
      <c r="J4" s="33" t="s">
        <v>137</v>
      </c>
      <c r="K4" s="30" t="s">
        <v>875</v>
      </c>
      <c r="M4" s="33" t="s">
        <v>137</v>
      </c>
      <c r="N4" s="30" t="s">
        <v>875</v>
      </c>
      <c r="S4" s="33" t="s">
        <v>137</v>
      </c>
      <c r="T4" s="30" t="s">
        <v>875</v>
      </c>
    </row>
    <row r="5" spans="1:20">
      <c r="A5" t="s">
        <v>15</v>
      </c>
      <c r="B5" s="30" t="s">
        <v>699</v>
      </c>
      <c r="D5" t="s">
        <v>15</v>
      </c>
      <c r="E5" s="30" t="s">
        <v>699</v>
      </c>
      <c r="G5" t="s">
        <v>15</v>
      </c>
      <c r="H5" s="30" t="s">
        <v>699</v>
      </c>
      <c r="J5" t="s">
        <v>15</v>
      </c>
      <c r="K5" s="30" t="s">
        <v>699</v>
      </c>
      <c r="M5" t="s">
        <v>15</v>
      </c>
      <c r="N5" s="30" t="s">
        <v>699</v>
      </c>
      <c r="S5" t="s">
        <v>15</v>
      </c>
      <c r="T5" s="30" t="s">
        <v>699</v>
      </c>
    </row>
    <row r="6" spans="1:20">
      <c r="A6" t="s">
        <v>16</v>
      </c>
      <c r="B6" s="30" t="s">
        <v>919</v>
      </c>
      <c r="D6" t="s">
        <v>16</v>
      </c>
      <c r="E6" s="30" t="s">
        <v>919</v>
      </c>
      <c r="G6" t="s">
        <v>16</v>
      </c>
      <c r="H6" s="30" t="s">
        <v>886</v>
      </c>
      <c r="J6" t="s">
        <v>16</v>
      </c>
      <c r="K6" s="30" t="s">
        <v>824</v>
      </c>
      <c r="M6" t="s">
        <v>16</v>
      </c>
      <c r="N6" s="30" t="s">
        <v>919</v>
      </c>
      <c r="S6" t="s">
        <v>16</v>
      </c>
      <c r="T6" s="30" t="s">
        <v>919</v>
      </c>
    </row>
    <row r="7" spans="1:20">
      <c r="A7" t="s">
        <v>17</v>
      </c>
      <c r="B7" s="30" t="s">
        <v>918</v>
      </c>
      <c r="D7" t="s">
        <v>17</v>
      </c>
      <c r="E7" s="30" t="s">
        <v>918</v>
      </c>
      <c r="G7" t="s">
        <v>17</v>
      </c>
      <c r="H7" s="30" t="s">
        <v>811</v>
      </c>
      <c r="J7" t="s">
        <v>17</v>
      </c>
      <c r="K7" s="30" t="s">
        <v>597</v>
      </c>
      <c r="M7" t="s">
        <v>17</v>
      </c>
      <c r="N7" s="30" t="s">
        <v>811</v>
      </c>
      <c r="S7" t="s">
        <v>17</v>
      </c>
      <c r="T7" s="30" t="s">
        <v>597</v>
      </c>
    </row>
    <row r="8" spans="1:20">
      <c r="A8" t="s">
        <v>71</v>
      </c>
      <c r="B8" s="30" t="s">
        <v>25</v>
      </c>
      <c r="D8" t="s">
        <v>71</v>
      </c>
      <c r="E8" s="30" t="s">
        <v>25</v>
      </c>
      <c r="G8" t="s">
        <v>71</v>
      </c>
      <c r="H8" s="30" t="s">
        <v>25</v>
      </c>
      <c r="J8" t="s">
        <v>71</v>
      </c>
      <c r="K8" s="30" t="s">
        <v>25</v>
      </c>
      <c r="M8" t="s">
        <v>71</v>
      </c>
      <c r="N8" s="30" t="s">
        <v>25</v>
      </c>
      <c r="S8" t="s">
        <v>71</v>
      </c>
      <c r="T8" s="30" t="s">
        <v>25</v>
      </c>
    </row>
    <row r="9" spans="1:20">
      <c r="A9" t="s">
        <v>71</v>
      </c>
      <c r="B9" s="30" t="s">
        <v>920</v>
      </c>
      <c r="D9" t="s">
        <v>71</v>
      </c>
      <c r="E9" s="30" t="s">
        <v>920</v>
      </c>
      <c r="G9" t="s">
        <v>71</v>
      </c>
      <c r="H9" s="30" t="s">
        <v>792</v>
      </c>
      <c r="J9" t="s">
        <v>71</v>
      </c>
      <c r="K9" s="30" t="s">
        <v>897</v>
      </c>
      <c r="M9" t="s">
        <v>71</v>
      </c>
      <c r="N9" s="30" t="s">
        <v>920</v>
      </c>
      <c r="S9" t="s">
        <v>71</v>
      </c>
      <c r="T9" s="30" t="s">
        <v>920</v>
      </c>
    </row>
    <row r="10" spans="1:20">
      <c r="A10" t="s">
        <v>18</v>
      </c>
      <c r="B10" s="30" t="s">
        <v>898</v>
      </c>
      <c r="D10" t="s">
        <v>18</v>
      </c>
      <c r="E10" s="30" t="s">
        <v>898</v>
      </c>
      <c r="G10" t="s">
        <v>18</v>
      </c>
      <c r="H10" s="30" t="s">
        <v>898</v>
      </c>
      <c r="J10" t="s">
        <v>18</v>
      </c>
      <c r="K10" s="30" t="s">
        <v>874</v>
      </c>
      <c r="M10" t="s">
        <v>18</v>
      </c>
      <c r="N10" s="30" t="s">
        <v>919</v>
      </c>
      <c r="S10" t="s">
        <v>18</v>
      </c>
      <c r="T10" s="30" t="s">
        <v>877</v>
      </c>
    </row>
    <row r="11" spans="1:20">
      <c r="A11" t="s">
        <v>19</v>
      </c>
      <c r="B11" s="30" t="s">
        <v>874</v>
      </c>
      <c r="D11" t="s">
        <v>19</v>
      </c>
      <c r="E11" s="30" t="s">
        <v>874</v>
      </c>
      <c r="G11" t="s">
        <v>19</v>
      </c>
      <c r="H11" s="30" t="s">
        <v>874</v>
      </c>
      <c r="J11" t="s">
        <v>19</v>
      </c>
      <c r="K11" s="30" t="s">
        <v>874</v>
      </c>
      <c r="M11" t="s">
        <v>19</v>
      </c>
      <c r="N11" s="30" t="s">
        <v>851</v>
      </c>
      <c r="S11" t="s">
        <v>19</v>
      </c>
      <c r="T11" s="30" t="s">
        <v>874</v>
      </c>
    </row>
    <row r="12" spans="1:20">
      <c r="A12" t="s">
        <v>72</v>
      </c>
      <c r="B12" s="30" t="s">
        <v>896</v>
      </c>
      <c r="D12" t="s">
        <v>72</v>
      </c>
      <c r="E12" s="30" t="s">
        <v>896</v>
      </c>
      <c r="G12" t="s">
        <v>72</v>
      </c>
      <c r="H12" s="30" t="s">
        <v>26</v>
      </c>
      <c r="J12" t="s">
        <v>72</v>
      </c>
      <c r="K12" s="30" t="s">
        <v>26</v>
      </c>
      <c r="M12" t="s">
        <v>72</v>
      </c>
      <c r="N12" s="30" t="s">
        <v>26</v>
      </c>
      <c r="S12" t="s">
        <v>72</v>
      </c>
      <c r="T12" s="30" t="s">
        <v>896</v>
      </c>
    </row>
    <row r="13" spans="1:20">
      <c r="A13" t="s">
        <v>72</v>
      </c>
      <c r="B13" s="30" t="s">
        <v>818</v>
      </c>
      <c r="D13" t="s">
        <v>72</v>
      </c>
      <c r="E13" s="30" t="s">
        <v>818</v>
      </c>
      <c r="G13" t="s">
        <v>72</v>
      </c>
      <c r="H13" s="30" t="s">
        <v>818</v>
      </c>
      <c r="J13" t="s">
        <v>72</v>
      </c>
      <c r="K13" s="30" t="s">
        <v>818</v>
      </c>
      <c r="M13" t="s">
        <v>72</v>
      </c>
      <c r="N13" s="30" t="s">
        <v>818</v>
      </c>
      <c r="S13" t="s">
        <v>72</v>
      </c>
      <c r="T13" s="30" t="s">
        <v>818</v>
      </c>
    </row>
    <row r="14" spans="1:20">
      <c r="A14" t="s">
        <v>20</v>
      </c>
      <c r="B14" s="30" t="s">
        <v>916</v>
      </c>
      <c r="D14" t="s">
        <v>20</v>
      </c>
      <c r="E14" s="30" t="s">
        <v>916</v>
      </c>
      <c r="G14" t="s">
        <v>20</v>
      </c>
      <c r="H14" s="30" t="s">
        <v>870</v>
      </c>
      <c r="J14" t="s">
        <v>20</v>
      </c>
      <c r="K14" s="30" t="s">
        <v>870</v>
      </c>
      <c r="M14" t="s">
        <v>20</v>
      </c>
      <c r="N14" s="30" t="s">
        <v>916</v>
      </c>
      <c r="S14" t="s">
        <v>20</v>
      </c>
      <c r="T14" s="30" t="s">
        <v>916</v>
      </c>
    </row>
    <row r="15" spans="1:20">
      <c r="A15" t="s">
        <v>21</v>
      </c>
      <c r="B15" s="30" t="s">
        <v>921</v>
      </c>
      <c r="D15" t="s">
        <v>21</v>
      </c>
      <c r="E15" s="30" t="s">
        <v>921</v>
      </c>
      <c r="G15" t="s">
        <v>21</v>
      </c>
      <c r="H15" s="30" t="s">
        <v>795</v>
      </c>
      <c r="J15" t="s">
        <v>21</v>
      </c>
      <c r="K15" s="30" t="s">
        <v>795</v>
      </c>
      <c r="M15" t="s">
        <v>21</v>
      </c>
      <c r="N15" s="30" t="s">
        <v>921</v>
      </c>
      <c r="S15" t="s">
        <v>21</v>
      </c>
      <c r="T15" s="30" t="s">
        <v>921</v>
      </c>
    </row>
    <row r="16" spans="1:20">
      <c r="A16" t="s">
        <v>22</v>
      </c>
      <c r="B16" s="30" t="s">
        <v>859</v>
      </c>
      <c r="D16" t="s">
        <v>22</v>
      </c>
      <c r="E16" s="30" t="s">
        <v>859</v>
      </c>
      <c r="G16" t="s">
        <v>22</v>
      </c>
      <c r="H16" s="30" t="s">
        <v>859</v>
      </c>
      <c r="J16" t="s">
        <v>22</v>
      </c>
      <c r="K16" s="30" t="s">
        <v>874</v>
      </c>
      <c r="M16" t="s">
        <v>22</v>
      </c>
      <c r="N16" s="30" t="s">
        <v>859</v>
      </c>
      <c r="S16" t="s">
        <v>22</v>
      </c>
      <c r="T16" s="30" t="s">
        <v>874</v>
      </c>
    </row>
    <row r="17" spans="1:20">
      <c r="A17" t="s">
        <v>23</v>
      </c>
      <c r="B17" s="30" t="s">
        <v>889</v>
      </c>
      <c r="D17" t="s">
        <v>23</v>
      </c>
      <c r="E17" s="30" t="s">
        <v>874</v>
      </c>
      <c r="G17" t="s">
        <v>23</v>
      </c>
      <c r="H17" s="30" t="s">
        <v>889</v>
      </c>
      <c r="J17" t="s">
        <v>23</v>
      </c>
      <c r="K17" s="30" t="s">
        <v>874</v>
      </c>
      <c r="M17" t="s">
        <v>23</v>
      </c>
      <c r="N17" s="30" t="s">
        <v>889</v>
      </c>
      <c r="S17" t="s">
        <v>23</v>
      </c>
      <c r="T17" s="30" t="s">
        <v>919</v>
      </c>
    </row>
    <row r="18" spans="1:20">
      <c r="A18" t="s">
        <v>892</v>
      </c>
      <c r="B18" s="7">
        <v>4783</v>
      </c>
      <c r="D18" t="s">
        <v>892</v>
      </c>
      <c r="E18" s="7">
        <v>4925</v>
      </c>
      <c r="G18" t="s">
        <v>892</v>
      </c>
      <c r="H18">
        <v>2949</v>
      </c>
      <c r="J18" t="s">
        <v>892</v>
      </c>
      <c r="K18">
        <v>3161</v>
      </c>
      <c r="M18" t="s">
        <v>892</v>
      </c>
      <c r="N18">
        <v>4554</v>
      </c>
      <c r="S18" t="s">
        <v>892</v>
      </c>
      <c r="T18">
        <v>5169</v>
      </c>
    </row>
    <row r="22" spans="1:20">
      <c r="P22" s="9"/>
      <c r="Q22" s="8"/>
    </row>
    <row r="24" spans="1:20">
      <c r="A24" s="189" t="s">
        <v>376</v>
      </c>
      <c r="B24" s="189"/>
      <c r="D24" s="189" t="s">
        <v>192</v>
      </c>
      <c r="E24" s="189"/>
      <c r="G24" s="189" t="s">
        <v>214</v>
      </c>
      <c r="H24" s="189"/>
      <c r="J24" s="189" t="s">
        <v>726</v>
      </c>
      <c r="K24" s="189"/>
      <c r="M24" s="189" t="s">
        <v>901</v>
      </c>
      <c r="N24" s="189"/>
      <c r="P24" s="189" t="s">
        <v>213</v>
      </c>
      <c r="Q24" s="189"/>
    </row>
    <row r="25" spans="1:20">
      <c r="A25" t="s">
        <v>8</v>
      </c>
      <c r="B25" t="s">
        <v>14</v>
      </c>
      <c r="D25" t="s">
        <v>8</v>
      </c>
      <c r="E25" t="s">
        <v>14</v>
      </c>
      <c r="G25" t="s">
        <v>8</v>
      </c>
      <c r="H25" t="s">
        <v>14</v>
      </c>
      <c r="J25" t="s">
        <v>8</v>
      </c>
      <c r="K25" t="s">
        <v>14</v>
      </c>
      <c r="P25" t="s">
        <v>8</v>
      </c>
      <c r="Q25" t="s">
        <v>14</v>
      </c>
    </row>
    <row r="26" spans="1:20">
      <c r="A26" t="str">
        <f>A3</f>
        <v>GreatSword</v>
      </c>
      <c r="B26" t="str">
        <f>B3</f>
        <v>Ragnarok 119</v>
      </c>
      <c r="D26" t="str">
        <f>D3</f>
        <v>GreatSword</v>
      </c>
      <c r="E26" t="str">
        <f>E3</f>
        <v>Ragnarok 119</v>
      </c>
      <c r="G26" t="str">
        <f>G3</f>
        <v>Scythe</v>
      </c>
      <c r="H26" t="str">
        <f>H3</f>
        <v>Apocalypse 119</v>
      </c>
      <c r="J26" t="str">
        <f>J3</f>
        <v>Scythe</v>
      </c>
      <c r="K26" t="str">
        <f>K3</f>
        <v>Apocalypse 119</v>
      </c>
      <c r="M26" t="str">
        <f>D4</f>
        <v>Grip</v>
      </c>
      <c r="N26" t="str">
        <f>E4</f>
        <v>Nepenthe</v>
      </c>
      <c r="P26" t="str">
        <f>S3</f>
        <v>GreatSword</v>
      </c>
      <c r="Q26" t="str">
        <f>T3</f>
        <v>Ragnarok 119</v>
      </c>
    </row>
    <row r="27" spans="1:20">
      <c r="A27" t="str">
        <f>A4</f>
        <v>Grip</v>
      </c>
      <c r="B27" s="38" t="str">
        <f>B4</f>
        <v>Nepenthe</v>
      </c>
      <c r="D27" t="str">
        <f>D4</f>
        <v>Grip</v>
      </c>
      <c r="E27" s="38" t="str">
        <f>E4</f>
        <v>Nepenthe</v>
      </c>
      <c r="G27" t="str">
        <f>G4</f>
        <v>Grip</v>
      </c>
      <c r="H27" s="38" t="str">
        <f>H4</f>
        <v>Nepenthe</v>
      </c>
      <c r="J27" t="str">
        <f>J4</f>
        <v>Grip</v>
      </c>
      <c r="K27" s="38" t="str">
        <f>K4</f>
        <v>Nepenthe</v>
      </c>
      <c r="M27" t="str">
        <f>D5</f>
        <v>Ammo</v>
      </c>
      <c r="N27" s="38" t="str">
        <f>E5</f>
        <v>Ginsen</v>
      </c>
      <c r="P27" t="str">
        <f>S4</f>
        <v>Grip</v>
      </c>
      <c r="Q27" s="38" t="str">
        <f>T4</f>
        <v>Nepenthe</v>
      </c>
    </row>
    <row r="28" spans="1:20">
      <c r="A28" t="s">
        <v>15</v>
      </c>
      <c r="B28" s="30" t="s">
        <v>853</v>
      </c>
      <c r="D28" t="s">
        <v>15</v>
      </c>
      <c r="E28" s="30" t="s">
        <v>933</v>
      </c>
      <c r="G28" t="s">
        <v>15</v>
      </c>
      <c r="H28" s="30" t="s">
        <v>699</v>
      </c>
      <c r="J28" t="s">
        <v>15</v>
      </c>
      <c r="K28" s="30" t="s">
        <v>853</v>
      </c>
      <c r="M28" t="s">
        <v>15</v>
      </c>
      <c r="N28" s="30" t="s">
        <v>853</v>
      </c>
      <c r="P28" t="s">
        <v>15</v>
      </c>
      <c r="Q28" s="30" t="s">
        <v>699</v>
      </c>
    </row>
    <row r="29" spans="1:20">
      <c r="A29" t="s">
        <v>16</v>
      </c>
      <c r="B29" s="30" t="s">
        <v>923</v>
      </c>
      <c r="D29" t="s">
        <v>16</v>
      </c>
      <c r="E29" s="30" t="s">
        <v>935</v>
      </c>
      <c r="G29" t="s">
        <v>16</v>
      </c>
      <c r="H29" s="30" t="s">
        <v>865</v>
      </c>
      <c r="J29" t="s">
        <v>16</v>
      </c>
      <c r="K29" s="30" t="s">
        <v>865</v>
      </c>
      <c r="M29" t="s">
        <v>16</v>
      </c>
      <c r="N29" s="30" t="s">
        <v>886</v>
      </c>
      <c r="P29" t="s">
        <v>16</v>
      </c>
      <c r="Q29" s="30" t="s">
        <v>865</v>
      </c>
    </row>
    <row r="30" spans="1:20">
      <c r="A30" t="s">
        <v>17</v>
      </c>
      <c r="B30" s="30" t="s">
        <v>27</v>
      </c>
      <c r="D30" t="s">
        <v>17</v>
      </c>
      <c r="E30" s="30" t="s">
        <v>27</v>
      </c>
      <c r="G30" t="s">
        <v>17</v>
      </c>
      <c r="H30" s="30" t="s">
        <v>27</v>
      </c>
      <c r="J30" t="s">
        <v>17</v>
      </c>
      <c r="K30" s="30" t="s">
        <v>27</v>
      </c>
      <c r="M30" t="s">
        <v>17</v>
      </c>
      <c r="N30" s="30" t="s">
        <v>27</v>
      </c>
      <c r="P30" t="s">
        <v>17</v>
      </c>
      <c r="Q30" s="30" t="s">
        <v>27</v>
      </c>
    </row>
    <row r="31" spans="1:20">
      <c r="A31" t="s">
        <v>71</v>
      </c>
      <c r="B31" s="30" t="s">
        <v>792</v>
      </c>
      <c r="D31" t="s">
        <v>71</v>
      </c>
      <c r="E31" s="30" t="s">
        <v>792</v>
      </c>
      <c r="G31" t="s">
        <v>71</v>
      </c>
      <c r="H31" s="30" t="s">
        <v>792</v>
      </c>
      <c r="J31" t="s">
        <v>71</v>
      </c>
      <c r="K31" s="30" t="s">
        <v>792</v>
      </c>
      <c r="M31" t="s">
        <v>71</v>
      </c>
      <c r="N31" s="30" t="s">
        <v>792</v>
      </c>
      <c r="P31" t="s">
        <v>71</v>
      </c>
      <c r="Q31" s="30" t="s">
        <v>792</v>
      </c>
    </row>
    <row r="32" spans="1:20">
      <c r="A32" t="s">
        <v>71</v>
      </c>
      <c r="B32" s="30" t="s">
        <v>212</v>
      </c>
      <c r="D32" t="s">
        <v>71</v>
      </c>
      <c r="E32" s="30" t="s">
        <v>212</v>
      </c>
      <c r="G32" t="s">
        <v>71</v>
      </c>
      <c r="H32" s="30" t="s">
        <v>782</v>
      </c>
      <c r="J32" t="s">
        <v>71</v>
      </c>
      <c r="K32" s="30" t="s">
        <v>212</v>
      </c>
      <c r="M32" t="s">
        <v>71</v>
      </c>
      <c r="N32" s="30" t="s">
        <v>212</v>
      </c>
      <c r="P32" t="s">
        <v>71</v>
      </c>
      <c r="Q32" s="30" t="s">
        <v>782</v>
      </c>
    </row>
    <row r="33" spans="1:17">
      <c r="A33" t="s">
        <v>18</v>
      </c>
      <c r="B33" s="30" t="s">
        <v>874</v>
      </c>
      <c r="D33" t="s">
        <v>18</v>
      </c>
      <c r="E33" s="30" t="s">
        <v>930</v>
      </c>
      <c r="G33" t="s">
        <v>18</v>
      </c>
      <c r="H33" s="30" t="s">
        <v>893</v>
      </c>
      <c r="J33" t="s">
        <v>18</v>
      </c>
      <c r="K33" s="30" t="s">
        <v>893</v>
      </c>
      <c r="M33" t="s">
        <v>18</v>
      </c>
      <c r="N33" s="30" t="s">
        <v>893</v>
      </c>
      <c r="P33" t="s">
        <v>18</v>
      </c>
      <c r="Q33" s="30" t="s">
        <v>893</v>
      </c>
    </row>
    <row r="34" spans="1:17">
      <c r="A34" t="s">
        <v>19</v>
      </c>
      <c r="B34" s="30" t="s">
        <v>874</v>
      </c>
      <c r="D34" t="s">
        <v>19</v>
      </c>
      <c r="E34" s="30" t="s">
        <v>866</v>
      </c>
      <c r="G34" t="s">
        <v>19</v>
      </c>
      <c r="H34" s="30" t="s">
        <v>866</v>
      </c>
      <c r="J34" t="s">
        <v>19</v>
      </c>
      <c r="K34" s="30" t="s">
        <v>874</v>
      </c>
      <c r="M34" t="s">
        <v>19</v>
      </c>
      <c r="N34" s="30" t="s">
        <v>874</v>
      </c>
      <c r="P34" t="s">
        <v>19</v>
      </c>
      <c r="Q34" s="30" t="s">
        <v>866</v>
      </c>
    </row>
    <row r="35" spans="1:17">
      <c r="A35" t="s">
        <v>72</v>
      </c>
      <c r="B35" s="30" t="s">
        <v>895</v>
      </c>
      <c r="D35" t="s">
        <v>72</v>
      </c>
      <c r="E35" s="30" t="s">
        <v>26</v>
      </c>
      <c r="G35" t="s">
        <v>72</v>
      </c>
      <c r="H35" s="30" t="s">
        <v>26</v>
      </c>
      <c r="J35" t="s">
        <v>72</v>
      </c>
      <c r="K35" s="30" t="s">
        <v>26</v>
      </c>
      <c r="M35" t="s">
        <v>72</v>
      </c>
      <c r="N35" s="30" t="s">
        <v>818</v>
      </c>
      <c r="P35" t="s">
        <v>72</v>
      </c>
      <c r="Q35" s="30" t="s">
        <v>26</v>
      </c>
    </row>
    <row r="36" spans="1:17">
      <c r="A36" t="s">
        <v>72</v>
      </c>
      <c r="B36" s="30" t="s">
        <v>896</v>
      </c>
      <c r="D36" t="s">
        <v>72</v>
      </c>
      <c r="E36" s="30" t="s">
        <v>887</v>
      </c>
      <c r="G36" t="s">
        <v>72</v>
      </c>
      <c r="H36" s="30" t="s">
        <v>887</v>
      </c>
      <c r="J36" t="s">
        <v>72</v>
      </c>
      <c r="K36" s="30" t="s">
        <v>887</v>
      </c>
      <c r="M36" t="s">
        <v>72</v>
      </c>
      <c r="N36" s="30" t="s">
        <v>896</v>
      </c>
      <c r="P36" t="s">
        <v>72</v>
      </c>
      <c r="Q36" s="30" t="s">
        <v>887</v>
      </c>
    </row>
    <row r="37" spans="1:17">
      <c r="A37" t="s">
        <v>20</v>
      </c>
      <c r="B37" s="30" t="s">
        <v>916</v>
      </c>
      <c r="D37" t="s">
        <v>20</v>
      </c>
      <c r="E37" s="30" t="s">
        <v>917</v>
      </c>
      <c r="G37" t="s">
        <v>20</v>
      </c>
      <c r="H37" s="30" t="s">
        <v>917</v>
      </c>
      <c r="J37" t="s">
        <v>20</v>
      </c>
      <c r="K37" s="30" t="s">
        <v>917</v>
      </c>
      <c r="M37" t="s">
        <v>20</v>
      </c>
      <c r="N37" s="30" t="s">
        <v>916</v>
      </c>
      <c r="P37" t="s">
        <v>20</v>
      </c>
      <c r="Q37" s="30" t="s">
        <v>917</v>
      </c>
    </row>
    <row r="38" spans="1:17">
      <c r="A38" t="s">
        <v>21</v>
      </c>
      <c r="B38" s="30" t="s">
        <v>158</v>
      </c>
      <c r="D38" t="s">
        <v>21</v>
      </c>
      <c r="E38" s="30" t="s">
        <v>158</v>
      </c>
      <c r="G38" t="s">
        <v>21</v>
      </c>
      <c r="H38" s="30" t="s">
        <v>158</v>
      </c>
      <c r="J38" t="s">
        <v>21</v>
      </c>
      <c r="K38" s="30" t="s">
        <v>158</v>
      </c>
      <c r="M38" t="s">
        <v>21</v>
      </c>
      <c r="N38" s="30" t="s">
        <v>158</v>
      </c>
      <c r="P38" t="s">
        <v>21</v>
      </c>
      <c r="Q38" s="30" t="s">
        <v>158</v>
      </c>
    </row>
    <row r="39" spans="1:17">
      <c r="A39" t="s">
        <v>22</v>
      </c>
      <c r="B39" s="30" t="s">
        <v>824</v>
      </c>
      <c r="D39" t="s">
        <v>22</v>
      </c>
      <c r="E39" s="30" t="s">
        <v>893</v>
      </c>
      <c r="G39" t="s">
        <v>22</v>
      </c>
      <c r="H39" s="30" t="s">
        <v>893</v>
      </c>
      <c r="J39" t="s">
        <v>22</v>
      </c>
      <c r="K39" s="30" t="s">
        <v>893</v>
      </c>
      <c r="M39" t="s">
        <v>22</v>
      </c>
      <c r="N39" s="30" t="s">
        <v>824</v>
      </c>
      <c r="P39" t="s">
        <v>22</v>
      </c>
      <c r="Q39" s="30" t="s">
        <v>893</v>
      </c>
    </row>
    <row r="40" spans="1:17">
      <c r="A40" t="s">
        <v>23</v>
      </c>
      <c r="B40" s="30" t="s">
        <v>824</v>
      </c>
      <c r="D40" t="s">
        <v>23</v>
      </c>
      <c r="E40" s="30" t="s">
        <v>862</v>
      </c>
      <c r="G40" t="s">
        <v>23</v>
      </c>
      <c r="H40" s="30" t="s">
        <v>889</v>
      </c>
      <c r="J40" t="s">
        <v>23</v>
      </c>
      <c r="K40" s="30" t="s">
        <v>862</v>
      </c>
      <c r="M40" t="s">
        <v>23</v>
      </c>
      <c r="N40" s="30" t="s">
        <v>874</v>
      </c>
      <c r="P40" t="s">
        <v>23</v>
      </c>
      <c r="Q40" s="30" t="s">
        <v>889</v>
      </c>
    </row>
    <row r="41" spans="1:17">
      <c r="A41" t="s">
        <v>808</v>
      </c>
      <c r="B41" s="7">
        <v>45159.48917999999</v>
      </c>
      <c r="D41" t="s">
        <v>808</v>
      </c>
      <c r="E41">
        <v>37184</v>
      </c>
      <c r="G41" t="s">
        <v>808</v>
      </c>
      <c r="H41">
        <v>13348</v>
      </c>
      <c r="J41" t="s">
        <v>808</v>
      </c>
      <c r="K41">
        <v>34412</v>
      </c>
      <c r="M41" t="s">
        <v>808</v>
      </c>
      <c r="N41">
        <v>25457</v>
      </c>
      <c r="P41" t="s">
        <v>808</v>
      </c>
      <c r="Q41">
        <v>15071</v>
      </c>
    </row>
    <row r="52" spans="1:9">
      <c r="B52" t="s">
        <v>903</v>
      </c>
      <c r="D52" t="s">
        <v>904</v>
      </c>
      <c r="F52" t="s">
        <v>907</v>
      </c>
      <c r="H52" t="s">
        <v>910</v>
      </c>
    </row>
    <row r="53" spans="1:9">
      <c r="B53" t="s">
        <v>902</v>
      </c>
      <c r="C53" t="s">
        <v>905</v>
      </c>
      <c r="D53" t="s">
        <v>906</v>
      </c>
      <c r="E53" t="s">
        <v>905</v>
      </c>
      <c r="F53" t="s">
        <v>908</v>
      </c>
      <c r="G53" t="s">
        <v>909</v>
      </c>
      <c r="H53" t="s">
        <v>911</v>
      </c>
      <c r="I53" t="s">
        <v>909</v>
      </c>
    </row>
    <row r="54" spans="1:9">
      <c r="A54" t="s">
        <v>914</v>
      </c>
      <c r="B54">
        <v>1</v>
      </c>
      <c r="C54">
        <v>0</v>
      </c>
      <c r="D54">
        <v>1</v>
      </c>
      <c r="E54">
        <v>0</v>
      </c>
      <c r="F54">
        <v>1</v>
      </c>
      <c r="G54">
        <v>0</v>
      </c>
      <c r="H54">
        <v>1</v>
      </c>
      <c r="I54">
        <v>0</v>
      </c>
    </row>
    <row r="55" spans="1:9">
      <c r="A55" t="s">
        <v>913</v>
      </c>
      <c r="B55">
        <v>1</v>
      </c>
      <c r="C55">
        <v>0</v>
      </c>
      <c r="D55">
        <v>0</v>
      </c>
      <c r="E55">
        <v>1</v>
      </c>
      <c r="F55">
        <v>1</v>
      </c>
      <c r="G55">
        <v>0</v>
      </c>
      <c r="H55">
        <v>0</v>
      </c>
      <c r="I55">
        <v>1</v>
      </c>
    </row>
    <row r="56" spans="1:9">
      <c r="A56" t="s">
        <v>912</v>
      </c>
      <c r="B56">
        <v>0</v>
      </c>
      <c r="C56">
        <v>1</v>
      </c>
      <c r="D56">
        <v>0</v>
      </c>
      <c r="E56">
        <v>1</v>
      </c>
      <c r="F56">
        <v>0</v>
      </c>
      <c r="G56">
        <v>1</v>
      </c>
      <c r="H56">
        <v>0</v>
      </c>
      <c r="I56">
        <v>1</v>
      </c>
    </row>
  </sheetData>
  <mergeCells count="13">
    <mergeCell ref="S1:T1"/>
    <mergeCell ref="S2:T2"/>
    <mergeCell ref="J1:K1"/>
    <mergeCell ref="J24:K24"/>
    <mergeCell ref="M24:N24"/>
    <mergeCell ref="P24:Q24"/>
    <mergeCell ref="M1:N1"/>
    <mergeCell ref="A1:B1"/>
    <mergeCell ref="A24:B24"/>
    <mergeCell ref="D24:E24"/>
    <mergeCell ref="D1:E1"/>
    <mergeCell ref="G1:H1"/>
    <mergeCell ref="G24:H24"/>
  </mergeCells>
  <dataValidations count="19">
    <dataValidation type="list" allowBlank="1" showInputMessage="1" showErrorMessage="1" sqref="T17 N17 B17 E40 B40 Q40 H40 K17 K40 N40 H17 E17">
      <formula1>FeetList</formula1>
    </dataValidation>
    <dataValidation type="list" allowBlank="1" showInputMessage="1" showErrorMessage="1" sqref="T16 N16 B16 E39 B39 Q39 H39 K16 K39 N39 H16 E16">
      <formula1>LegsList</formula1>
    </dataValidation>
    <dataValidation type="list" allowBlank="1" showInputMessage="1" showErrorMessage="1" sqref="T15 N15 B15 E38 B38 Q38 H38 K15 K38 N38 H15 E15">
      <formula1>WaistList</formula1>
    </dataValidation>
    <dataValidation type="list" allowBlank="1" showInputMessage="1" showErrorMessage="1" sqref="T14 Q37 B14 E37 B37 K37 N14 K14 H37 N37 H14 E14">
      <formula1>BackList</formula1>
    </dataValidation>
    <dataValidation type="list" allowBlank="1" showInputMessage="1" showErrorMessage="1" sqref="T12:T13 N12:N13 B12:B13 E35:E36 B35:B36 Q35:Q36 H35:H36 K12:K13 K35:K36 N35:N36 H12:H13 E12:E13">
      <formula1>RingList</formula1>
    </dataValidation>
    <dataValidation type="list" allowBlank="1" showInputMessage="1" showErrorMessage="1" sqref="T11 N11 B11 E34 B34 Q34 H34 K11 K34 N34 H11 E11">
      <formula1>HandsList</formula1>
    </dataValidation>
    <dataValidation type="list" allowBlank="1" showInputMessage="1" showErrorMessage="1" sqref="T10 N10 B10 E33 B33 Q33 H33 K10 K33 N33 H10 E10">
      <formula1>BodyList</formula1>
    </dataValidation>
    <dataValidation type="list" allowBlank="1" showInputMessage="1" showErrorMessage="1" sqref="T8:T9 N8:N9 B8:B9 E31:E32 B31:B32 Q31:Q32 H31:H32 K8:K9 K31:K32 N31:N32 H8:H9 E8:E9">
      <formula1>EarringList</formula1>
    </dataValidation>
    <dataValidation type="list" allowBlank="1" showInputMessage="1" showErrorMessage="1" sqref="T7 N7 B7 E30 B30 Q30 H30 K7 K30 N30 H7 E7">
      <formula1>NeckList</formula1>
    </dataValidation>
    <dataValidation type="list" allowBlank="1" showInputMessage="1" showErrorMessage="1" sqref="T6 N6 B6 E29 B29 Q29 H29 K6 K29 N29 H6 E6">
      <formula1>HeadList</formula1>
    </dataValidation>
    <dataValidation type="list" allowBlank="1" showInputMessage="1" showErrorMessage="1" sqref="T5 N5 H5 E28 B28 Q28 H28 K5 K28 N28 B5 E5">
      <formula1>AmmoList</formula1>
    </dataValidation>
    <dataValidation type="list" allowBlank="1" showInputMessage="1" showErrorMessage="1" sqref="T3 N3 H3 E3">
      <formula1>INDIRECT($AA$3&amp;"List")</formula1>
    </dataValidation>
    <dataValidation type="list" allowBlank="1" showInputMessage="1" showErrorMessage="1" sqref="T4 N4 H4 K4 B4 E4">
      <formula1>INDIRECT($AA$4&amp;"List")</formula1>
    </dataValidation>
    <dataValidation type="list" allowBlank="1" showInputMessage="1" showErrorMessage="1" sqref="S3 M3 A3 G3 J3 D3">
      <formula1>MainWeapons</formula1>
    </dataValidation>
    <dataValidation type="list" allowBlank="1" showInputMessage="1" showErrorMessage="1" sqref="S4 M4 G4 D4">
      <formula1>INDIRECT("Sub"&amp;VLOOKUP($AA$3, MainWeaponsGroup, 2, 0)&amp;"Weapons")</formula1>
    </dataValidation>
    <dataValidation type="list" allowBlank="1" showInputMessage="1" showErrorMessage="1" sqref="B3">
      <formula1>INDIRECT($A$4&amp;"List")</formula1>
    </dataValidation>
    <dataValidation type="list" allowBlank="1" showInputMessage="1" showErrorMessage="1" sqref="A4">
      <formula1>INDIRECT("Sub"&amp;VLOOKUP($A$4, MainWeaponsGroup, 2, 0)&amp;"Weapons")</formula1>
    </dataValidation>
    <dataValidation type="list" allowBlank="1" showInputMessage="1" showErrorMessage="1" sqref="K3">
      <formula1>INDIRECT($A$3&amp;"List")</formula1>
    </dataValidation>
    <dataValidation type="list" allowBlank="1" showInputMessage="1" showErrorMessage="1" sqref="J4">
      <formula1>INDIRECT("Sub"&amp;VLOOKUP($A$3, MainWeaponsGroup, 2, 0)&amp;"Weapons")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 enableFormatConditionsCalculation="0">
    <tabColor indexed="42"/>
  </sheetPr>
  <dimension ref="A1:AX49"/>
  <sheetViews>
    <sheetView workbookViewId="0">
      <selection activeCell="B8" sqref="B8"/>
    </sheetView>
  </sheetViews>
  <sheetFormatPr defaultRowHeight="12.75"/>
  <cols>
    <col min="1" max="1" width="15.28515625" customWidth="1"/>
    <col min="2" max="2" width="14" customWidth="1"/>
    <col min="3" max="3" width="5" customWidth="1"/>
    <col min="4" max="10" width="4.28515625" customWidth="1"/>
    <col min="11" max="18" width="4.7109375" customWidth="1"/>
    <col min="19" max="20" width="6.7109375" customWidth="1"/>
    <col min="21" max="23" width="5.5703125" customWidth="1"/>
    <col min="24" max="24" width="4.85546875" customWidth="1"/>
    <col min="25" max="25" width="3.28515625" customWidth="1"/>
    <col min="26" max="26" width="4.5703125" customWidth="1"/>
    <col min="27" max="27" width="13.28515625" customWidth="1"/>
    <col min="28" max="28" width="14" customWidth="1"/>
    <col min="29" max="29" width="4.85546875" customWidth="1"/>
    <col min="30" max="36" width="4.28515625" customWidth="1"/>
    <col min="37" max="44" width="4.7109375" customWidth="1"/>
    <col min="45" max="46" width="6.7109375" customWidth="1"/>
    <col min="47" max="49" width="5.5703125" customWidth="1"/>
    <col min="50" max="50" width="4.42578125" customWidth="1"/>
  </cols>
  <sheetData>
    <row r="1" spans="1:50">
      <c r="A1" t="s">
        <v>293</v>
      </c>
      <c r="AA1" t="s">
        <v>294</v>
      </c>
    </row>
    <row r="2" spans="1:50">
      <c r="A2" t="s">
        <v>8</v>
      </c>
      <c r="B2" t="s">
        <v>14</v>
      </c>
      <c r="C2" t="str">
        <f>VLOOKUP(A3, Skills, 2, 0)</f>
        <v>GSkill</v>
      </c>
      <c r="D2" t="s">
        <v>3</v>
      </c>
      <c r="E2" t="s">
        <v>4</v>
      </c>
      <c r="F2" t="s">
        <v>42</v>
      </c>
      <c r="G2" t="s">
        <v>5</v>
      </c>
      <c r="H2" t="s">
        <v>182</v>
      </c>
      <c r="I2" t="s">
        <v>183</v>
      </c>
      <c r="J2" t="s">
        <v>218</v>
      </c>
      <c r="K2" t="s">
        <v>219</v>
      </c>
      <c r="L2" t="s">
        <v>9</v>
      </c>
      <c r="M2" t="s">
        <v>10</v>
      </c>
      <c r="N2" t="s">
        <v>437</v>
      </c>
      <c r="O2" t="s">
        <v>12</v>
      </c>
      <c r="P2" t="s">
        <v>150</v>
      </c>
      <c r="Q2" t="s">
        <v>416</v>
      </c>
      <c r="R2" t="s">
        <v>454</v>
      </c>
      <c r="S2" t="s">
        <v>125</v>
      </c>
      <c r="T2" t="s">
        <v>124</v>
      </c>
      <c r="U2" t="s">
        <v>11</v>
      </c>
      <c r="V2" t="s">
        <v>122</v>
      </c>
      <c r="W2" t="s">
        <v>266</v>
      </c>
      <c r="X2" t="s">
        <v>455</v>
      </c>
      <c r="AA2" t="s">
        <v>8</v>
      </c>
      <c r="AB2" t="s">
        <v>14</v>
      </c>
      <c r="AC2" t="str">
        <f>VLOOKUP(AA3, Skills, 2, 0)</f>
        <v>GSkill</v>
      </c>
      <c r="AD2" t="s">
        <v>3</v>
      </c>
      <c r="AE2" t="s">
        <v>4</v>
      </c>
      <c r="AF2" t="s">
        <v>42</v>
      </c>
      <c r="AG2" t="s">
        <v>5</v>
      </c>
      <c r="AH2" t="s">
        <v>182</v>
      </c>
      <c r="AI2" t="s">
        <v>183</v>
      </c>
      <c r="AJ2" t="s">
        <v>218</v>
      </c>
      <c r="AK2" t="s">
        <v>219</v>
      </c>
      <c r="AL2" t="s">
        <v>9</v>
      </c>
      <c r="AM2" t="s">
        <v>10</v>
      </c>
      <c r="AN2" t="s">
        <v>437</v>
      </c>
      <c r="AO2" t="s">
        <v>12</v>
      </c>
      <c r="AP2" t="s">
        <v>150</v>
      </c>
      <c r="AQ2" t="s">
        <v>416</v>
      </c>
      <c r="AR2" t="s">
        <v>454</v>
      </c>
      <c r="AS2" t="s">
        <v>125</v>
      </c>
      <c r="AT2" t="s">
        <v>124</v>
      </c>
      <c r="AU2" t="s">
        <v>11</v>
      </c>
      <c r="AV2" t="s">
        <v>122</v>
      </c>
      <c r="AW2" t="s">
        <v>266</v>
      </c>
      <c r="AX2" t="s">
        <v>455</v>
      </c>
    </row>
    <row r="3" spans="1:50">
      <c r="A3" s="33" t="s">
        <v>616</v>
      </c>
      <c r="B3" s="33" t="s">
        <v>649</v>
      </c>
      <c r="C3">
        <f t="shared" ref="C3:X4" ca="1" si="0">IF(ISBLANK($B3), 0, VLOOKUP($B3, INDIRECT($A3), MATCH(C$2, StatHeader, 0), 0))</f>
        <v>0</v>
      </c>
      <c r="D3">
        <f t="shared" ca="1" si="0"/>
        <v>0</v>
      </c>
      <c r="E3">
        <f t="shared" ca="1" si="0"/>
        <v>0</v>
      </c>
      <c r="F3">
        <f t="shared" ca="1" si="0"/>
        <v>0</v>
      </c>
      <c r="G3">
        <f t="shared" ca="1" si="0"/>
        <v>50</v>
      </c>
      <c r="H3">
        <f t="shared" ca="1" si="0"/>
        <v>0</v>
      </c>
      <c r="I3">
        <f t="shared" ca="1" si="0"/>
        <v>0</v>
      </c>
      <c r="J3">
        <f t="shared" ca="1" si="0"/>
        <v>0</v>
      </c>
      <c r="K3" s="2">
        <f t="shared" ca="1" si="0"/>
        <v>0</v>
      </c>
      <c r="L3">
        <f t="shared" ca="1" si="0"/>
        <v>0</v>
      </c>
      <c r="M3">
        <f t="shared" ca="1" si="0"/>
        <v>0</v>
      </c>
      <c r="N3" s="2">
        <f t="shared" ca="1" si="0"/>
        <v>0</v>
      </c>
      <c r="O3" s="2">
        <f t="shared" ca="1" si="0"/>
        <v>0</v>
      </c>
      <c r="P3" s="2">
        <f t="shared" ca="1" si="0"/>
        <v>0</v>
      </c>
      <c r="Q3" s="2">
        <f t="shared" ca="1" si="0"/>
        <v>0</v>
      </c>
      <c r="R3" s="2">
        <f t="shared" ca="1" si="0"/>
        <v>0</v>
      </c>
      <c r="S3" s="2">
        <f t="shared" ca="1" si="0"/>
        <v>0</v>
      </c>
      <c r="T3" s="2">
        <f t="shared" ca="1" si="0"/>
        <v>0</v>
      </c>
      <c r="U3" s="32">
        <f t="shared" ca="1" si="0"/>
        <v>0</v>
      </c>
      <c r="V3">
        <f t="shared" ca="1" si="0"/>
        <v>0</v>
      </c>
      <c r="W3" s="2">
        <f t="shared" ca="1" si="0"/>
        <v>0</v>
      </c>
      <c r="X3">
        <f t="shared" ca="1" si="0"/>
        <v>0</v>
      </c>
      <c r="Z3" t="str">
        <f>IF(B3=AB3, "=", "-")</f>
        <v>-</v>
      </c>
      <c r="AA3" s="33" t="s">
        <v>616</v>
      </c>
      <c r="AB3" s="33" t="s">
        <v>650</v>
      </c>
      <c r="AC3">
        <f t="shared" ref="AC3:AX4" ca="1" si="1">IF(ISBLANK($AB3), 0, VLOOKUP($AB3, INDIRECT($AA3), MATCH(AC$2, StatHeader, 0), 0))</f>
        <v>0</v>
      </c>
      <c r="AD3">
        <f t="shared" ca="1" si="1"/>
        <v>0</v>
      </c>
      <c r="AE3">
        <f t="shared" ca="1" si="1"/>
        <v>0</v>
      </c>
      <c r="AF3">
        <f t="shared" ca="1" si="1"/>
        <v>0</v>
      </c>
      <c r="AG3">
        <f t="shared" ca="1" si="1"/>
        <v>0</v>
      </c>
      <c r="AH3">
        <f t="shared" ca="1" si="1"/>
        <v>0</v>
      </c>
      <c r="AI3">
        <f t="shared" ca="1" si="1"/>
        <v>0</v>
      </c>
      <c r="AJ3">
        <f t="shared" ca="1" si="1"/>
        <v>0</v>
      </c>
      <c r="AK3" s="2">
        <f t="shared" ca="1" si="1"/>
        <v>0</v>
      </c>
      <c r="AL3">
        <f t="shared" ca="1" si="1"/>
        <v>0</v>
      </c>
      <c r="AM3">
        <f t="shared" ca="1" si="1"/>
        <v>60</v>
      </c>
      <c r="AN3" s="2">
        <f t="shared" ca="1" si="1"/>
        <v>0</v>
      </c>
      <c r="AO3" s="2">
        <f t="shared" ca="1" si="1"/>
        <v>0</v>
      </c>
      <c r="AP3" s="2">
        <f t="shared" ca="1" si="1"/>
        <v>0</v>
      </c>
      <c r="AQ3" s="2">
        <f t="shared" ca="1" si="1"/>
        <v>0</v>
      </c>
      <c r="AR3" s="2">
        <f t="shared" ca="1" si="1"/>
        <v>0</v>
      </c>
      <c r="AS3" s="2">
        <f t="shared" ca="1" si="1"/>
        <v>0.14000000000000001</v>
      </c>
      <c r="AT3" s="2">
        <f t="shared" ca="1" si="1"/>
        <v>0</v>
      </c>
      <c r="AU3" s="32">
        <f t="shared" ca="1" si="1"/>
        <v>0</v>
      </c>
      <c r="AV3">
        <f t="shared" ca="1" si="1"/>
        <v>0</v>
      </c>
      <c r="AW3" s="2">
        <f t="shared" ca="1" si="1"/>
        <v>0</v>
      </c>
      <c r="AX3">
        <f t="shared" ca="1" si="1"/>
        <v>0</v>
      </c>
    </row>
    <row r="4" spans="1:50">
      <c r="A4" s="33" t="s">
        <v>137</v>
      </c>
      <c r="B4" s="30" t="s">
        <v>934</v>
      </c>
      <c r="C4">
        <f t="shared" ca="1" si="0"/>
        <v>0</v>
      </c>
      <c r="D4">
        <f t="shared" ca="1" si="0"/>
        <v>0</v>
      </c>
      <c r="E4">
        <f t="shared" ca="1" si="0"/>
        <v>0</v>
      </c>
      <c r="F4">
        <f t="shared" ca="1" si="0"/>
        <v>0</v>
      </c>
      <c r="G4">
        <f t="shared" ca="1" si="0"/>
        <v>0</v>
      </c>
      <c r="H4">
        <f t="shared" ca="1" si="0"/>
        <v>0</v>
      </c>
      <c r="I4">
        <f t="shared" ca="1" si="0"/>
        <v>0</v>
      </c>
      <c r="J4">
        <f t="shared" ca="1" si="0"/>
        <v>0</v>
      </c>
      <c r="K4" s="2">
        <f t="shared" ca="1" si="0"/>
        <v>0</v>
      </c>
      <c r="L4">
        <f t="shared" ca="1" si="0"/>
        <v>30</v>
      </c>
      <c r="M4">
        <f t="shared" ca="1" si="0"/>
        <v>30</v>
      </c>
      <c r="N4" s="2">
        <f t="shared" ca="1" si="0"/>
        <v>0</v>
      </c>
      <c r="O4" s="2">
        <f t="shared" ca="1" si="0"/>
        <v>0</v>
      </c>
      <c r="P4" s="2">
        <f t="shared" ca="1" si="0"/>
        <v>0</v>
      </c>
      <c r="Q4" s="2">
        <f t="shared" ca="1" si="0"/>
        <v>0</v>
      </c>
      <c r="R4" s="2">
        <f t="shared" ca="1" si="0"/>
        <v>0</v>
      </c>
      <c r="S4" s="2">
        <f t="shared" ca="1" si="0"/>
        <v>0</v>
      </c>
      <c r="T4" s="2">
        <f t="shared" ca="1" si="0"/>
        <v>0</v>
      </c>
      <c r="U4" s="32">
        <f t="shared" ca="1" si="0"/>
        <v>0</v>
      </c>
      <c r="V4">
        <f t="shared" ca="1" si="0"/>
        <v>0</v>
      </c>
      <c r="W4" s="2">
        <f t="shared" ca="1" si="0"/>
        <v>0</v>
      </c>
      <c r="X4">
        <f t="shared" ca="1" si="0"/>
        <v>0</v>
      </c>
      <c r="Z4" t="str">
        <f>IF(B4=AB4, "=", "-")</f>
        <v>=</v>
      </c>
      <c r="AA4" s="33" t="s">
        <v>137</v>
      </c>
      <c r="AB4" s="30" t="s">
        <v>934</v>
      </c>
      <c r="AC4">
        <f t="shared" ca="1" si="1"/>
        <v>0</v>
      </c>
      <c r="AD4">
        <f t="shared" ca="1" si="1"/>
        <v>0</v>
      </c>
      <c r="AE4">
        <f t="shared" ca="1" si="1"/>
        <v>0</v>
      </c>
      <c r="AF4">
        <f t="shared" ca="1" si="1"/>
        <v>0</v>
      </c>
      <c r="AG4">
        <f t="shared" ca="1" si="1"/>
        <v>0</v>
      </c>
      <c r="AH4">
        <f t="shared" ca="1" si="1"/>
        <v>0</v>
      </c>
      <c r="AI4">
        <f t="shared" ca="1" si="1"/>
        <v>0</v>
      </c>
      <c r="AJ4">
        <f t="shared" ca="1" si="1"/>
        <v>0</v>
      </c>
      <c r="AK4" s="2">
        <f t="shared" ca="1" si="1"/>
        <v>0</v>
      </c>
      <c r="AL4">
        <f t="shared" ca="1" si="1"/>
        <v>30</v>
      </c>
      <c r="AM4">
        <f t="shared" ca="1" si="1"/>
        <v>30</v>
      </c>
      <c r="AN4" s="2">
        <f t="shared" ca="1" si="1"/>
        <v>0</v>
      </c>
      <c r="AO4" s="2">
        <f t="shared" ca="1" si="1"/>
        <v>0</v>
      </c>
      <c r="AP4" s="2">
        <f t="shared" ca="1" si="1"/>
        <v>0</v>
      </c>
      <c r="AQ4" s="2">
        <f t="shared" ca="1" si="1"/>
        <v>0</v>
      </c>
      <c r="AR4" s="2">
        <f t="shared" ca="1" si="1"/>
        <v>0</v>
      </c>
      <c r="AS4" s="2">
        <f t="shared" ca="1" si="1"/>
        <v>0</v>
      </c>
      <c r="AT4" s="2">
        <f t="shared" ca="1" si="1"/>
        <v>0</v>
      </c>
      <c r="AU4" s="32">
        <f t="shared" ca="1" si="1"/>
        <v>0</v>
      </c>
      <c r="AV4">
        <f t="shared" ca="1" si="1"/>
        <v>0</v>
      </c>
      <c r="AW4" s="2">
        <f t="shared" ca="1" si="1"/>
        <v>0</v>
      </c>
      <c r="AX4">
        <f t="shared" ca="1" si="1"/>
        <v>0</v>
      </c>
    </row>
    <row r="5" spans="1:50">
      <c r="A5" t="s">
        <v>15</v>
      </c>
      <c r="B5" s="30" t="s">
        <v>699</v>
      </c>
      <c r="C5">
        <f t="shared" ref="C5:X17" ca="1" si="2">IF(ISBLANK($B5), 0, VLOOKUP($B5, INDIRECT($A5), MATCH(C$2, StatHeader, 0), 0))</f>
        <v>0</v>
      </c>
      <c r="D5">
        <f t="shared" ca="1" si="2"/>
        <v>0</v>
      </c>
      <c r="E5">
        <f t="shared" ca="1" si="2"/>
        <v>0</v>
      </c>
      <c r="F5">
        <f t="shared" ref="F5:G17" ca="1" si="3">IF(ISBLANK($B5), 0, VLOOKUP($B5, INDIRECT($A5), MATCH(F$2, StatHeader, 0), 0))</f>
        <v>0</v>
      </c>
      <c r="G5">
        <f t="shared" ca="1" si="3"/>
        <v>0</v>
      </c>
      <c r="H5">
        <f t="shared" ca="1" si="2"/>
        <v>0</v>
      </c>
      <c r="I5">
        <f t="shared" ref="I5:I17" ca="1" si="4">IF(ISBLANK($B5), 0, VLOOKUP($B5, INDIRECT($A5), MATCH(I$2, StatHeader, 0), 0))</f>
        <v>0</v>
      </c>
      <c r="J5">
        <f t="shared" ref="J5:K17" ca="1" si="5">IF(ISBLANK($B5), 0, VLOOKUP($B5, INDIRECT($A5), MATCH(J$2, StatHeader, 0), 0))</f>
        <v>0</v>
      </c>
      <c r="K5" s="2">
        <f t="shared" ca="1" si="5"/>
        <v>0</v>
      </c>
      <c r="L5">
        <f t="shared" ca="1" si="2"/>
        <v>10</v>
      </c>
      <c r="M5">
        <f t="shared" ca="1" si="2"/>
        <v>5</v>
      </c>
      <c r="N5" s="2">
        <f t="shared" ref="N5:N17" ca="1" si="6">IF(ISBLANK($B5), 0, VLOOKUP($B5, INDIRECT($A5), MATCH(N$2, StatHeader, 0), 0))</f>
        <v>0</v>
      </c>
      <c r="O5" s="2">
        <f t="shared" ca="1" si="2"/>
        <v>0</v>
      </c>
      <c r="P5" s="2">
        <f t="shared" ca="1" si="2"/>
        <v>0</v>
      </c>
      <c r="Q5" s="2">
        <f t="shared" ref="Q5:Q17" ca="1" si="7">IF(ISBLANK($B5), 0, VLOOKUP($B5, INDIRECT($A5), MATCH(Q$2, StatHeader, 0), 0))</f>
        <v>0</v>
      </c>
      <c r="R5" s="2">
        <f t="shared" ref="R5:R17" ca="1" si="8">IF(ISBLANK($B5), 0, VLOOKUP($B5, INDIRECT($A5), MATCH(R$2, StatHeader, 0), 0))</f>
        <v>0</v>
      </c>
      <c r="S5" s="2">
        <f t="shared" ca="1" si="2"/>
        <v>0</v>
      </c>
      <c r="T5" s="2">
        <f t="shared" ref="T5:T17" ca="1" si="9">IF(ISBLANK($B5), 0, VLOOKUP($B5, INDIRECT($A5), MATCH(T$2, StatHeader, 0), 0))</f>
        <v>0</v>
      </c>
      <c r="U5" s="32">
        <f t="shared" ca="1" si="2"/>
        <v>0</v>
      </c>
      <c r="V5">
        <f t="shared" ref="V5:W17" ca="1" si="10">IF(ISBLANK($B5), 0, VLOOKUP($B5, INDIRECT($A5), MATCH(V$2, StatHeader, 0), 0))</f>
        <v>0</v>
      </c>
      <c r="W5" s="2">
        <f t="shared" ca="1" si="10"/>
        <v>0</v>
      </c>
      <c r="X5">
        <f t="shared" ca="1" si="2"/>
        <v>3</v>
      </c>
      <c r="Z5" t="str">
        <f>IF(B5=AB5, "=", "-")</f>
        <v>=</v>
      </c>
      <c r="AA5" t="s">
        <v>15</v>
      </c>
      <c r="AB5" s="30" t="s">
        <v>699</v>
      </c>
      <c r="AC5">
        <f t="shared" ref="AC5:AX17" ca="1" si="11">IF(ISBLANK($AB5), 0, VLOOKUP($AB5, INDIRECT($AA5), MATCH(AC$2, StatHeader, 0), 0))</f>
        <v>0</v>
      </c>
      <c r="AD5">
        <f t="shared" ca="1" si="11"/>
        <v>0</v>
      </c>
      <c r="AE5">
        <f t="shared" ca="1" si="11"/>
        <v>0</v>
      </c>
      <c r="AF5">
        <f t="shared" ref="AF5:AG17" ca="1" si="12">IF(ISBLANK($AB5), 0, VLOOKUP($AB5, INDIRECT($AA5), MATCH(AF$2, StatHeader, 0), 0))</f>
        <v>0</v>
      </c>
      <c r="AG5">
        <f t="shared" ca="1" si="12"/>
        <v>0</v>
      </c>
      <c r="AH5">
        <f t="shared" ca="1" si="11"/>
        <v>0</v>
      </c>
      <c r="AI5">
        <f t="shared" ref="AI5:AI17" ca="1" si="13">IF(ISBLANK($AB5), 0, VLOOKUP($AB5, INDIRECT($AA5), MATCH(AI$2, StatHeader, 0), 0))</f>
        <v>0</v>
      </c>
      <c r="AJ5">
        <f t="shared" ref="AJ5:AK17" ca="1" si="14">IF(ISBLANK($AB5), 0, VLOOKUP($AB5, INDIRECT($AA5), MATCH(AJ$2, StatHeader, 0), 0))</f>
        <v>0</v>
      </c>
      <c r="AK5" s="2">
        <f t="shared" ca="1" si="14"/>
        <v>0</v>
      </c>
      <c r="AL5">
        <f t="shared" ca="1" si="11"/>
        <v>10</v>
      </c>
      <c r="AM5">
        <f t="shared" ca="1" si="11"/>
        <v>5</v>
      </c>
      <c r="AN5" s="2">
        <f t="shared" ref="AN5:AN17" ca="1" si="15">IF(ISBLANK($AB5), 0, VLOOKUP($AB5, INDIRECT($AA5), MATCH(AN$2, StatHeader, 0), 0))</f>
        <v>0</v>
      </c>
      <c r="AO5" s="2">
        <f t="shared" ca="1" si="11"/>
        <v>0</v>
      </c>
      <c r="AP5" s="2">
        <f t="shared" ca="1" si="11"/>
        <v>0</v>
      </c>
      <c r="AQ5" s="2">
        <f t="shared" ref="AQ5:AQ17" ca="1" si="16">IF(ISBLANK($AB5), 0, VLOOKUP($AB5, INDIRECT($AA5), MATCH(AQ$2, StatHeader, 0), 0))</f>
        <v>0</v>
      </c>
      <c r="AR5" s="2">
        <f t="shared" ref="AR5:AR17" ca="1" si="17">IF(ISBLANK($AB5), 0, VLOOKUP($AB5, INDIRECT($AA5), MATCH(AR$2, StatHeader, 0), 0))</f>
        <v>0</v>
      </c>
      <c r="AS5" s="2">
        <f t="shared" ca="1" si="11"/>
        <v>0</v>
      </c>
      <c r="AT5" s="2">
        <f t="shared" ref="AT5:AT17" ca="1" si="18">IF(ISBLANK($AB5), 0, VLOOKUP($AB5, INDIRECT($AA5), MATCH(AT$2, StatHeader, 0), 0))</f>
        <v>0</v>
      </c>
      <c r="AU5" s="32">
        <f t="shared" ca="1" si="11"/>
        <v>0</v>
      </c>
      <c r="AV5">
        <f t="shared" ref="AV5:AW17" ca="1" si="19">IF(ISBLANK($AB5), 0, VLOOKUP($AB5, INDIRECT($AA5), MATCH(AV$2, StatHeader, 0), 0))</f>
        <v>0</v>
      </c>
      <c r="AW5" s="2">
        <f t="shared" ca="1" si="19"/>
        <v>0</v>
      </c>
      <c r="AX5">
        <f t="shared" ca="1" si="11"/>
        <v>3</v>
      </c>
    </row>
    <row r="6" spans="1:50">
      <c r="A6" t="s">
        <v>16</v>
      </c>
      <c r="B6" s="30" t="s">
        <v>919</v>
      </c>
      <c r="C6">
        <f t="shared" ca="1" si="2"/>
        <v>0</v>
      </c>
      <c r="D6">
        <f t="shared" ca="1" si="2"/>
        <v>32</v>
      </c>
      <c r="E6">
        <f t="shared" ca="1" si="2"/>
        <v>28</v>
      </c>
      <c r="F6">
        <f t="shared" ca="1" si="3"/>
        <v>16</v>
      </c>
      <c r="G6">
        <f t="shared" ca="1" si="3"/>
        <v>24</v>
      </c>
      <c r="H6">
        <f t="shared" ca="1" si="2"/>
        <v>12</v>
      </c>
      <c r="I6">
        <f t="shared" ca="1" si="4"/>
        <v>12</v>
      </c>
      <c r="J6">
        <f t="shared" ca="1" si="5"/>
        <v>0</v>
      </c>
      <c r="K6" s="2">
        <f t="shared" ca="1" si="5"/>
        <v>0</v>
      </c>
      <c r="L6">
        <f t="shared" ca="1" si="2"/>
        <v>0</v>
      </c>
      <c r="M6">
        <f t="shared" ca="1" si="2"/>
        <v>38</v>
      </c>
      <c r="N6" s="2">
        <f t="shared" ca="1" si="6"/>
        <v>0</v>
      </c>
      <c r="O6" s="2">
        <f t="shared" ca="1" si="2"/>
        <v>0</v>
      </c>
      <c r="P6" s="2">
        <f t="shared" ca="1" si="2"/>
        <v>0.04</v>
      </c>
      <c r="Q6" s="2">
        <f t="shared" ca="1" si="7"/>
        <v>0</v>
      </c>
      <c r="R6" s="2">
        <f t="shared" ca="1" si="8"/>
        <v>0</v>
      </c>
      <c r="S6" s="2">
        <f t="shared" ca="1" si="2"/>
        <v>0</v>
      </c>
      <c r="T6" s="2">
        <f t="shared" ca="1" si="9"/>
        <v>0</v>
      </c>
      <c r="U6" s="32">
        <f t="shared" ca="1" si="2"/>
        <v>41</v>
      </c>
      <c r="V6">
        <f t="shared" ca="1" si="10"/>
        <v>0</v>
      </c>
      <c r="W6" s="2">
        <f t="shared" ca="1" si="10"/>
        <v>0</v>
      </c>
      <c r="X6">
        <f t="shared" ca="1" si="2"/>
        <v>5</v>
      </c>
      <c r="Z6" t="str">
        <f t="shared" ref="Z6:Z17" si="20">IF(B6=AB6, "=", "-")</f>
        <v>=</v>
      </c>
      <c r="AA6" t="s">
        <v>16</v>
      </c>
      <c r="AB6" s="30" t="s">
        <v>919</v>
      </c>
      <c r="AC6">
        <f t="shared" ca="1" si="11"/>
        <v>0</v>
      </c>
      <c r="AD6">
        <f t="shared" ca="1" si="11"/>
        <v>32</v>
      </c>
      <c r="AE6">
        <f t="shared" ca="1" si="11"/>
        <v>28</v>
      </c>
      <c r="AF6">
        <f t="shared" ca="1" si="12"/>
        <v>16</v>
      </c>
      <c r="AG6">
        <f t="shared" ca="1" si="12"/>
        <v>24</v>
      </c>
      <c r="AH6">
        <f t="shared" ca="1" si="11"/>
        <v>12</v>
      </c>
      <c r="AI6">
        <f t="shared" ca="1" si="13"/>
        <v>12</v>
      </c>
      <c r="AJ6">
        <f t="shared" ca="1" si="14"/>
        <v>0</v>
      </c>
      <c r="AK6" s="2">
        <f t="shared" ca="1" si="14"/>
        <v>0</v>
      </c>
      <c r="AL6">
        <f t="shared" ca="1" si="11"/>
        <v>0</v>
      </c>
      <c r="AM6">
        <f t="shared" ca="1" si="11"/>
        <v>38</v>
      </c>
      <c r="AN6" s="2">
        <f t="shared" ca="1" si="15"/>
        <v>0</v>
      </c>
      <c r="AO6" s="2">
        <f t="shared" ca="1" si="11"/>
        <v>0</v>
      </c>
      <c r="AP6" s="2">
        <f t="shared" ca="1" si="11"/>
        <v>0.04</v>
      </c>
      <c r="AQ6" s="2">
        <f t="shared" ca="1" si="16"/>
        <v>0</v>
      </c>
      <c r="AR6" s="2">
        <f t="shared" ca="1" si="17"/>
        <v>0</v>
      </c>
      <c r="AS6" s="2">
        <f t="shared" ca="1" si="11"/>
        <v>0</v>
      </c>
      <c r="AT6" s="2">
        <f t="shared" ca="1" si="18"/>
        <v>0</v>
      </c>
      <c r="AU6" s="32">
        <f t="shared" ca="1" si="11"/>
        <v>41</v>
      </c>
      <c r="AV6">
        <f t="shared" ca="1" si="19"/>
        <v>0</v>
      </c>
      <c r="AW6" s="2">
        <f t="shared" ca="1" si="19"/>
        <v>0</v>
      </c>
      <c r="AX6">
        <f t="shared" ca="1" si="11"/>
        <v>5</v>
      </c>
    </row>
    <row r="7" spans="1:50">
      <c r="A7" t="s">
        <v>17</v>
      </c>
      <c r="B7" s="30" t="s">
        <v>332</v>
      </c>
      <c r="C7">
        <f t="shared" ca="1" si="2"/>
        <v>0</v>
      </c>
      <c r="D7">
        <f t="shared" ca="1" si="2"/>
        <v>0</v>
      </c>
      <c r="E7">
        <f t="shared" ca="1" si="2"/>
        <v>0</v>
      </c>
      <c r="F7">
        <f t="shared" ca="1" si="3"/>
        <v>0</v>
      </c>
      <c r="G7">
        <f t="shared" ca="1" si="3"/>
        <v>4</v>
      </c>
      <c r="H7">
        <f t="shared" ca="1" si="2"/>
        <v>0</v>
      </c>
      <c r="I7">
        <f t="shared" ca="1" si="4"/>
        <v>0</v>
      </c>
      <c r="J7">
        <f t="shared" ca="1" si="5"/>
        <v>0</v>
      </c>
      <c r="K7" s="2">
        <f t="shared" ca="1" si="5"/>
        <v>0</v>
      </c>
      <c r="L7">
        <f t="shared" ca="1" si="2"/>
        <v>0</v>
      </c>
      <c r="M7">
        <f t="shared" ca="1" si="2"/>
        <v>0</v>
      </c>
      <c r="N7" s="2">
        <f t="shared" ca="1" si="6"/>
        <v>0</v>
      </c>
      <c r="O7" s="2">
        <f t="shared" ca="1" si="2"/>
        <v>0</v>
      </c>
      <c r="P7" s="2">
        <f t="shared" ca="1" si="2"/>
        <v>0</v>
      </c>
      <c r="Q7" s="2">
        <f t="shared" ca="1" si="7"/>
        <v>0.02</v>
      </c>
      <c r="R7" s="2">
        <f t="shared" ca="1" si="8"/>
        <v>0</v>
      </c>
      <c r="S7" s="2">
        <f t="shared" ca="1" si="2"/>
        <v>0</v>
      </c>
      <c r="T7" s="2">
        <f t="shared" ca="1" si="9"/>
        <v>0</v>
      </c>
      <c r="U7" s="32">
        <f t="shared" ca="1" si="2"/>
        <v>0</v>
      </c>
      <c r="V7">
        <f t="shared" ca="1" si="10"/>
        <v>0</v>
      </c>
      <c r="W7" s="2">
        <f t="shared" ca="1" si="10"/>
        <v>0</v>
      </c>
      <c r="X7">
        <f t="shared" ca="1" si="2"/>
        <v>0</v>
      </c>
      <c r="Z7" t="str">
        <f t="shared" si="20"/>
        <v>=</v>
      </c>
      <c r="AA7" t="s">
        <v>17</v>
      </c>
      <c r="AB7" s="30" t="s">
        <v>332</v>
      </c>
      <c r="AC7">
        <f t="shared" ca="1" si="11"/>
        <v>0</v>
      </c>
      <c r="AD7">
        <f t="shared" ca="1" si="11"/>
        <v>0</v>
      </c>
      <c r="AE7">
        <f t="shared" ca="1" si="11"/>
        <v>0</v>
      </c>
      <c r="AF7">
        <f t="shared" ca="1" si="12"/>
        <v>0</v>
      </c>
      <c r="AG7">
        <f t="shared" ca="1" si="12"/>
        <v>4</v>
      </c>
      <c r="AH7">
        <f t="shared" ca="1" si="11"/>
        <v>0</v>
      </c>
      <c r="AI7">
        <f t="shared" ca="1" si="13"/>
        <v>0</v>
      </c>
      <c r="AJ7">
        <f t="shared" ca="1" si="14"/>
        <v>0</v>
      </c>
      <c r="AK7" s="2">
        <f t="shared" ca="1" si="14"/>
        <v>0</v>
      </c>
      <c r="AL7">
        <f t="shared" ca="1" si="11"/>
        <v>0</v>
      </c>
      <c r="AM7">
        <f t="shared" ca="1" si="11"/>
        <v>0</v>
      </c>
      <c r="AN7" s="2">
        <f t="shared" ca="1" si="15"/>
        <v>0</v>
      </c>
      <c r="AO7" s="2">
        <f t="shared" ca="1" si="11"/>
        <v>0</v>
      </c>
      <c r="AP7" s="2">
        <f t="shared" ca="1" si="11"/>
        <v>0</v>
      </c>
      <c r="AQ7" s="2">
        <f t="shared" ca="1" si="16"/>
        <v>0.02</v>
      </c>
      <c r="AR7" s="2">
        <f t="shared" ca="1" si="17"/>
        <v>0</v>
      </c>
      <c r="AS7" s="2">
        <f t="shared" ca="1" si="11"/>
        <v>0</v>
      </c>
      <c r="AT7" s="2">
        <f t="shared" ca="1" si="18"/>
        <v>0</v>
      </c>
      <c r="AU7" s="32">
        <f t="shared" ca="1" si="11"/>
        <v>0</v>
      </c>
      <c r="AV7">
        <f t="shared" ca="1" si="19"/>
        <v>0</v>
      </c>
      <c r="AW7" s="2">
        <f t="shared" ca="1" si="19"/>
        <v>0</v>
      </c>
      <c r="AX7">
        <f t="shared" ca="1" si="11"/>
        <v>0</v>
      </c>
    </row>
    <row r="8" spans="1:50">
      <c r="A8" t="s">
        <v>71</v>
      </c>
      <c r="B8" s="30" t="s">
        <v>25</v>
      </c>
      <c r="C8">
        <f t="shared" ca="1" si="2"/>
        <v>0</v>
      </c>
      <c r="D8">
        <f t="shared" ca="1" si="2"/>
        <v>0</v>
      </c>
      <c r="E8">
        <f t="shared" ca="1" si="2"/>
        <v>0</v>
      </c>
      <c r="F8">
        <f t="shared" ca="1" si="3"/>
        <v>0</v>
      </c>
      <c r="G8">
        <f t="shared" ca="1" si="3"/>
        <v>0</v>
      </c>
      <c r="H8">
        <f t="shared" ca="1" si="2"/>
        <v>0</v>
      </c>
      <c r="I8">
        <f t="shared" ca="1" si="4"/>
        <v>0</v>
      </c>
      <c r="J8">
        <f t="shared" ca="1" si="5"/>
        <v>0</v>
      </c>
      <c r="K8" s="2">
        <f t="shared" ca="1" si="5"/>
        <v>0</v>
      </c>
      <c r="L8">
        <f t="shared" ca="1" si="2"/>
        <v>0</v>
      </c>
      <c r="M8">
        <f t="shared" ca="1" si="2"/>
        <v>0</v>
      </c>
      <c r="N8" s="2">
        <f t="shared" ca="1" si="6"/>
        <v>0</v>
      </c>
      <c r="O8" s="2">
        <f t="shared" ca="1" si="2"/>
        <v>0.05</v>
      </c>
      <c r="P8" s="2">
        <f t="shared" ca="1" si="2"/>
        <v>0</v>
      </c>
      <c r="Q8" s="2">
        <f t="shared" ca="1" si="7"/>
        <v>0</v>
      </c>
      <c r="R8" s="2">
        <f t="shared" ca="1" si="8"/>
        <v>0</v>
      </c>
      <c r="S8" s="2">
        <f t="shared" ca="1" si="2"/>
        <v>0</v>
      </c>
      <c r="T8" s="2">
        <f t="shared" ca="1" si="9"/>
        <v>0</v>
      </c>
      <c r="U8" s="32">
        <f t="shared" ca="1" si="2"/>
        <v>0</v>
      </c>
      <c r="V8">
        <f t="shared" ca="1" si="10"/>
        <v>0</v>
      </c>
      <c r="W8" s="2">
        <f t="shared" ca="1" si="10"/>
        <v>0</v>
      </c>
      <c r="X8">
        <f t="shared" ca="1" si="2"/>
        <v>1</v>
      </c>
      <c r="Z8" t="str">
        <f t="shared" si="20"/>
        <v>=</v>
      </c>
      <c r="AA8" t="s">
        <v>71</v>
      </c>
      <c r="AB8" s="30" t="s">
        <v>25</v>
      </c>
      <c r="AC8">
        <f t="shared" ca="1" si="11"/>
        <v>0</v>
      </c>
      <c r="AD8">
        <f t="shared" ca="1" si="11"/>
        <v>0</v>
      </c>
      <c r="AE8">
        <f t="shared" ca="1" si="11"/>
        <v>0</v>
      </c>
      <c r="AF8">
        <f t="shared" ca="1" si="12"/>
        <v>0</v>
      </c>
      <c r="AG8">
        <f t="shared" ca="1" si="12"/>
        <v>0</v>
      </c>
      <c r="AH8">
        <f t="shared" ca="1" si="11"/>
        <v>0</v>
      </c>
      <c r="AI8">
        <f t="shared" ca="1" si="13"/>
        <v>0</v>
      </c>
      <c r="AJ8">
        <f t="shared" ca="1" si="14"/>
        <v>0</v>
      </c>
      <c r="AK8" s="2">
        <f t="shared" ca="1" si="14"/>
        <v>0</v>
      </c>
      <c r="AL8">
        <f t="shared" ca="1" si="11"/>
        <v>0</v>
      </c>
      <c r="AM8">
        <f t="shared" ca="1" si="11"/>
        <v>0</v>
      </c>
      <c r="AN8" s="2">
        <f t="shared" ca="1" si="15"/>
        <v>0</v>
      </c>
      <c r="AO8" s="2">
        <f t="shared" ca="1" si="11"/>
        <v>0.05</v>
      </c>
      <c r="AP8" s="2">
        <f t="shared" ca="1" si="11"/>
        <v>0</v>
      </c>
      <c r="AQ8" s="2">
        <f t="shared" ca="1" si="16"/>
        <v>0</v>
      </c>
      <c r="AR8" s="2">
        <f t="shared" ca="1" si="17"/>
        <v>0</v>
      </c>
      <c r="AS8" s="2">
        <f t="shared" ca="1" si="11"/>
        <v>0</v>
      </c>
      <c r="AT8" s="2">
        <f t="shared" ca="1" si="18"/>
        <v>0</v>
      </c>
      <c r="AU8" s="32">
        <f t="shared" ca="1" si="11"/>
        <v>0</v>
      </c>
      <c r="AV8">
        <f t="shared" ca="1" si="19"/>
        <v>0</v>
      </c>
      <c r="AW8" s="2">
        <f t="shared" ca="1" si="19"/>
        <v>0</v>
      </c>
      <c r="AX8">
        <f t="shared" ca="1" si="11"/>
        <v>1</v>
      </c>
    </row>
    <row r="9" spans="1:50">
      <c r="A9" t="s">
        <v>71</v>
      </c>
      <c r="B9" s="30" t="s">
        <v>920</v>
      </c>
      <c r="C9">
        <f t="shared" ca="1" si="2"/>
        <v>0</v>
      </c>
      <c r="D9">
        <f t="shared" ca="1" si="2"/>
        <v>0</v>
      </c>
      <c r="E9">
        <f t="shared" ca="1" si="2"/>
        <v>0</v>
      </c>
      <c r="F9">
        <f t="shared" ca="1" si="3"/>
        <v>0</v>
      </c>
      <c r="G9">
        <f t="shared" ca="1" si="3"/>
        <v>0</v>
      </c>
      <c r="H9">
        <f t="shared" ca="1" si="2"/>
        <v>0</v>
      </c>
      <c r="I9">
        <f t="shared" ca="1" si="4"/>
        <v>0</v>
      </c>
      <c r="J9">
        <f t="shared" ca="1" si="5"/>
        <v>0</v>
      </c>
      <c r="K9" s="2">
        <f t="shared" ca="1" si="5"/>
        <v>0</v>
      </c>
      <c r="L9">
        <f t="shared" ca="1" si="2"/>
        <v>10</v>
      </c>
      <c r="M9">
        <f t="shared" ca="1" si="2"/>
        <v>10</v>
      </c>
      <c r="N9" s="2">
        <f t="shared" ca="1" si="6"/>
        <v>0</v>
      </c>
      <c r="O9" s="2">
        <f t="shared" ca="1" si="2"/>
        <v>0.01</v>
      </c>
      <c r="P9" s="2">
        <f t="shared" ca="1" si="2"/>
        <v>0</v>
      </c>
      <c r="Q9" s="2">
        <f t="shared" ca="1" si="7"/>
        <v>0</v>
      </c>
      <c r="R9" s="2">
        <f t="shared" ca="1" si="8"/>
        <v>0</v>
      </c>
      <c r="S9" s="2">
        <f t="shared" ca="1" si="2"/>
        <v>0</v>
      </c>
      <c r="T9" s="2">
        <f t="shared" ca="1" si="9"/>
        <v>0</v>
      </c>
      <c r="U9" s="32">
        <f t="shared" ca="1" si="2"/>
        <v>0</v>
      </c>
      <c r="V9">
        <f t="shared" ca="1" si="10"/>
        <v>0</v>
      </c>
      <c r="W9" s="2">
        <f t="shared" ca="1" si="10"/>
        <v>0</v>
      </c>
      <c r="X9">
        <f t="shared" ca="1" si="2"/>
        <v>5</v>
      </c>
      <c r="Z9" t="str">
        <f t="shared" si="20"/>
        <v>=</v>
      </c>
      <c r="AA9" t="s">
        <v>71</v>
      </c>
      <c r="AB9" s="30" t="s">
        <v>920</v>
      </c>
      <c r="AC9">
        <f t="shared" ca="1" si="11"/>
        <v>0</v>
      </c>
      <c r="AD9">
        <f t="shared" ca="1" si="11"/>
        <v>0</v>
      </c>
      <c r="AE9">
        <f t="shared" ca="1" si="11"/>
        <v>0</v>
      </c>
      <c r="AF9">
        <f t="shared" ca="1" si="12"/>
        <v>0</v>
      </c>
      <c r="AG9">
        <f t="shared" ca="1" si="12"/>
        <v>0</v>
      </c>
      <c r="AH9">
        <f t="shared" ca="1" si="11"/>
        <v>0</v>
      </c>
      <c r="AI9">
        <f t="shared" ca="1" si="13"/>
        <v>0</v>
      </c>
      <c r="AJ9">
        <f t="shared" ca="1" si="14"/>
        <v>0</v>
      </c>
      <c r="AK9" s="2">
        <f t="shared" ca="1" si="14"/>
        <v>0</v>
      </c>
      <c r="AL9">
        <f t="shared" ca="1" si="11"/>
        <v>10</v>
      </c>
      <c r="AM9">
        <f t="shared" ca="1" si="11"/>
        <v>10</v>
      </c>
      <c r="AN9" s="2">
        <f t="shared" ca="1" si="15"/>
        <v>0</v>
      </c>
      <c r="AO9" s="2">
        <f t="shared" ca="1" si="11"/>
        <v>0.01</v>
      </c>
      <c r="AP9" s="2">
        <f t="shared" ca="1" si="11"/>
        <v>0</v>
      </c>
      <c r="AQ9" s="2">
        <f t="shared" ca="1" si="16"/>
        <v>0</v>
      </c>
      <c r="AR9" s="2">
        <f t="shared" ca="1" si="17"/>
        <v>0</v>
      </c>
      <c r="AS9" s="2">
        <f t="shared" ca="1" si="11"/>
        <v>0</v>
      </c>
      <c r="AT9" s="2">
        <f t="shared" ca="1" si="18"/>
        <v>0</v>
      </c>
      <c r="AU9" s="32">
        <f t="shared" ca="1" si="11"/>
        <v>0</v>
      </c>
      <c r="AV9">
        <f t="shared" ca="1" si="19"/>
        <v>0</v>
      </c>
      <c r="AW9" s="2">
        <f t="shared" ca="1" si="19"/>
        <v>0</v>
      </c>
      <c r="AX9">
        <f t="shared" ca="1" si="11"/>
        <v>5</v>
      </c>
    </row>
    <row r="10" spans="1:50">
      <c r="A10" t="s">
        <v>18</v>
      </c>
      <c r="B10" s="30" t="s">
        <v>871</v>
      </c>
      <c r="C10">
        <f t="shared" ca="1" si="2"/>
        <v>0</v>
      </c>
      <c r="D10">
        <f t="shared" ca="1" si="2"/>
        <v>29</v>
      </c>
      <c r="E10">
        <f t="shared" ca="1" si="2"/>
        <v>32</v>
      </c>
      <c r="F10">
        <f t="shared" ca="1" si="3"/>
        <v>20</v>
      </c>
      <c r="G10">
        <f t="shared" ca="1" si="3"/>
        <v>29</v>
      </c>
      <c r="H10">
        <f t="shared" ca="1" si="2"/>
        <v>20</v>
      </c>
      <c r="I10">
        <f t="shared" ca="1" si="4"/>
        <v>20</v>
      </c>
      <c r="J10">
        <f t="shared" ca="1" si="5"/>
        <v>0</v>
      </c>
      <c r="K10" s="2">
        <f t="shared" ca="1" si="5"/>
        <v>0</v>
      </c>
      <c r="L10">
        <f t="shared" ca="1" si="2"/>
        <v>0</v>
      </c>
      <c r="M10">
        <f t="shared" ca="1" si="2"/>
        <v>38</v>
      </c>
      <c r="N10" s="2">
        <f t="shared" ca="1" si="6"/>
        <v>0</v>
      </c>
      <c r="O10" s="2">
        <f t="shared" ca="1" si="2"/>
        <v>7.0000000000000007E-2</v>
      </c>
      <c r="P10" s="2">
        <f t="shared" ca="1" si="2"/>
        <v>0</v>
      </c>
      <c r="Q10" s="2">
        <f t="shared" ca="1" si="7"/>
        <v>0</v>
      </c>
      <c r="R10" s="2">
        <f t="shared" ca="1" si="8"/>
        <v>0</v>
      </c>
      <c r="S10" s="2">
        <f t="shared" ca="1" si="2"/>
        <v>0</v>
      </c>
      <c r="T10" s="2">
        <f t="shared" ca="1" si="9"/>
        <v>0</v>
      </c>
      <c r="U10" s="32">
        <f t="shared" ca="1" si="2"/>
        <v>31</v>
      </c>
      <c r="V10">
        <f t="shared" ca="1" si="10"/>
        <v>0</v>
      </c>
      <c r="W10" s="2">
        <f t="shared" ca="1" si="10"/>
        <v>0</v>
      </c>
      <c r="X10">
        <f t="shared" ca="1" si="2"/>
        <v>3</v>
      </c>
      <c r="Z10" t="str">
        <f t="shared" si="20"/>
        <v>=</v>
      </c>
      <c r="AA10" t="s">
        <v>18</v>
      </c>
      <c r="AB10" s="30" t="s">
        <v>871</v>
      </c>
      <c r="AC10">
        <f t="shared" ca="1" si="11"/>
        <v>0</v>
      </c>
      <c r="AD10">
        <f t="shared" ca="1" si="11"/>
        <v>29</v>
      </c>
      <c r="AE10">
        <f t="shared" ca="1" si="11"/>
        <v>32</v>
      </c>
      <c r="AF10">
        <f t="shared" ca="1" si="12"/>
        <v>20</v>
      </c>
      <c r="AG10">
        <f t="shared" ca="1" si="12"/>
        <v>29</v>
      </c>
      <c r="AH10">
        <f t="shared" ca="1" si="11"/>
        <v>20</v>
      </c>
      <c r="AI10">
        <f t="shared" ca="1" si="13"/>
        <v>20</v>
      </c>
      <c r="AJ10">
        <f t="shared" ca="1" si="14"/>
        <v>0</v>
      </c>
      <c r="AK10" s="2">
        <f t="shared" ca="1" si="14"/>
        <v>0</v>
      </c>
      <c r="AL10">
        <f t="shared" ca="1" si="11"/>
        <v>0</v>
      </c>
      <c r="AM10">
        <f t="shared" ca="1" si="11"/>
        <v>38</v>
      </c>
      <c r="AN10" s="2">
        <f t="shared" ca="1" si="15"/>
        <v>0</v>
      </c>
      <c r="AO10" s="2">
        <f t="shared" ca="1" si="11"/>
        <v>7.0000000000000007E-2</v>
      </c>
      <c r="AP10" s="2">
        <f t="shared" ca="1" si="11"/>
        <v>0</v>
      </c>
      <c r="AQ10" s="2">
        <f t="shared" ca="1" si="16"/>
        <v>0</v>
      </c>
      <c r="AR10" s="2">
        <f t="shared" ca="1" si="17"/>
        <v>0</v>
      </c>
      <c r="AS10" s="2">
        <f t="shared" ca="1" si="11"/>
        <v>0</v>
      </c>
      <c r="AT10" s="2">
        <f t="shared" ca="1" si="18"/>
        <v>0</v>
      </c>
      <c r="AU10" s="32">
        <f t="shared" ca="1" si="11"/>
        <v>31</v>
      </c>
      <c r="AV10">
        <f t="shared" ca="1" si="19"/>
        <v>0</v>
      </c>
      <c r="AW10" s="2">
        <f t="shared" ca="1" si="19"/>
        <v>0</v>
      </c>
      <c r="AX10">
        <f t="shared" ca="1" si="11"/>
        <v>3</v>
      </c>
    </row>
    <row r="11" spans="1:50">
      <c r="A11" t="s">
        <v>19</v>
      </c>
      <c r="B11" s="30" t="s">
        <v>874</v>
      </c>
      <c r="C11">
        <f t="shared" ca="1" si="2"/>
        <v>0</v>
      </c>
      <c r="D11">
        <f t="shared" ca="1" si="2"/>
        <v>39</v>
      </c>
      <c r="E11">
        <f t="shared" ca="1" si="2"/>
        <v>35</v>
      </c>
      <c r="F11">
        <f t="shared" ca="1" si="3"/>
        <v>0</v>
      </c>
      <c r="G11">
        <f t="shared" ca="1" si="3"/>
        <v>0</v>
      </c>
      <c r="H11">
        <f t="shared" ca="1" si="2"/>
        <v>0</v>
      </c>
      <c r="I11">
        <f t="shared" ca="1" si="4"/>
        <v>0</v>
      </c>
      <c r="J11">
        <f t="shared" ca="1" si="5"/>
        <v>0</v>
      </c>
      <c r="K11" s="2">
        <f t="shared" ca="1" si="5"/>
        <v>0</v>
      </c>
      <c r="L11">
        <f t="shared" ca="1" si="2"/>
        <v>40</v>
      </c>
      <c r="M11">
        <f t="shared" ca="1" si="2"/>
        <v>25</v>
      </c>
      <c r="N11" s="2">
        <f t="shared" ca="1" si="6"/>
        <v>0</v>
      </c>
      <c r="O11" s="2">
        <f t="shared" ca="1" si="2"/>
        <v>0.03</v>
      </c>
      <c r="P11" s="2">
        <f t="shared" ca="1" si="2"/>
        <v>0</v>
      </c>
      <c r="Q11" s="2">
        <f t="shared" ca="1" si="7"/>
        <v>0</v>
      </c>
      <c r="R11" s="2">
        <f t="shared" ca="1" si="8"/>
        <v>0</v>
      </c>
      <c r="S11" s="2">
        <f t="shared" ca="1" si="2"/>
        <v>0</v>
      </c>
      <c r="T11" s="2">
        <f t="shared" ca="1" si="9"/>
        <v>0</v>
      </c>
      <c r="U11" s="32">
        <f t="shared" ca="1" si="2"/>
        <v>70</v>
      </c>
      <c r="V11">
        <f t="shared" ca="1" si="10"/>
        <v>0</v>
      </c>
      <c r="W11" s="2">
        <f t="shared" ca="1" si="10"/>
        <v>0</v>
      </c>
      <c r="X11">
        <f t="shared" ca="1" si="2"/>
        <v>6</v>
      </c>
      <c r="Z11" t="str">
        <f t="shared" si="20"/>
        <v>=</v>
      </c>
      <c r="AA11" t="s">
        <v>19</v>
      </c>
      <c r="AB11" s="30" t="s">
        <v>874</v>
      </c>
      <c r="AC11">
        <f t="shared" ca="1" si="11"/>
        <v>0</v>
      </c>
      <c r="AD11">
        <f t="shared" ca="1" si="11"/>
        <v>39</v>
      </c>
      <c r="AE11">
        <f t="shared" ca="1" si="11"/>
        <v>35</v>
      </c>
      <c r="AF11">
        <f t="shared" ca="1" si="12"/>
        <v>0</v>
      </c>
      <c r="AG11">
        <f t="shared" ca="1" si="12"/>
        <v>0</v>
      </c>
      <c r="AH11">
        <f t="shared" ca="1" si="11"/>
        <v>0</v>
      </c>
      <c r="AI11">
        <f t="shared" ca="1" si="13"/>
        <v>0</v>
      </c>
      <c r="AJ11">
        <f t="shared" ca="1" si="14"/>
        <v>0</v>
      </c>
      <c r="AK11" s="2">
        <f t="shared" ca="1" si="14"/>
        <v>0</v>
      </c>
      <c r="AL11">
        <f t="shared" ca="1" si="11"/>
        <v>40</v>
      </c>
      <c r="AM11">
        <f t="shared" ca="1" si="11"/>
        <v>25</v>
      </c>
      <c r="AN11" s="2">
        <f t="shared" ca="1" si="15"/>
        <v>0</v>
      </c>
      <c r="AO11" s="2">
        <f t="shared" ca="1" si="11"/>
        <v>0.03</v>
      </c>
      <c r="AP11" s="2">
        <f t="shared" ca="1" si="11"/>
        <v>0</v>
      </c>
      <c r="AQ11" s="2">
        <f t="shared" ca="1" si="16"/>
        <v>0</v>
      </c>
      <c r="AR11" s="2">
        <f t="shared" ca="1" si="17"/>
        <v>0</v>
      </c>
      <c r="AS11" s="2">
        <f t="shared" ca="1" si="11"/>
        <v>0</v>
      </c>
      <c r="AT11" s="2">
        <f t="shared" ca="1" si="18"/>
        <v>0</v>
      </c>
      <c r="AU11" s="32">
        <f t="shared" ca="1" si="11"/>
        <v>70</v>
      </c>
      <c r="AV11">
        <f t="shared" ca="1" si="19"/>
        <v>0</v>
      </c>
      <c r="AW11" s="2">
        <f t="shared" ca="1" si="19"/>
        <v>0</v>
      </c>
      <c r="AX11">
        <f t="shared" ca="1" si="11"/>
        <v>6</v>
      </c>
    </row>
    <row r="12" spans="1:50">
      <c r="A12" t="s">
        <v>72</v>
      </c>
      <c r="B12" s="30" t="s">
        <v>896</v>
      </c>
      <c r="C12">
        <f t="shared" ca="1" si="2"/>
        <v>0</v>
      </c>
      <c r="D12">
        <f t="shared" ca="1" si="2"/>
        <v>0</v>
      </c>
      <c r="E12">
        <f t="shared" ca="1" si="2"/>
        <v>0</v>
      </c>
      <c r="F12">
        <f t="shared" ca="1" si="3"/>
        <v>0</v>
      </c>
      <c r="G12">
        <f t="shared" ca="1" si="3"/>
        <v>0</v>
      </c>
      <c r="H12">
        <f t="shared" ca="1" si="2"/>
        <v>0</v>
      </c>
      <c r="I12">
        <f t="shared" ca="1" si="4"/>
        <v>0</v>
      </c>
      <c r="J12">
        <f t="shared" ca="1" si="5"/>
        <v>0</v>
      </c>
      <c r="K12" s="2">
        <f t="shared" ca="1" si="5"/>
        <v>0</v>
      </c>
      <c r="L12">
        <f t="shared" ca="1" si="2"/>
        <v>0</v>
      </c>
      <c r="M12">
        <f t="shared" ca="1" si="2"/>
        <v>0</v>
      </c>
      <c r="N12" s="2">
        <f t="shared" ca="1" si="6"/>
        <v>0</v>
      </c>
      <c r="O12" s="2">
        <f t="shared" ca="1" si="2"/>
        <v>0</v>
      </c>
      <c r="P12" s="2">
        <f t="shared" ca="1" si="2"/>
        <v>0.02</v>
      </c>
      <c r="Q12" s="2">
        <f t="shared" ca="1" si="7"/>
        <v>0</v>
      </c>
      <c r="R12" s="2">
        <f t="shared" ca="1" si="8"/>
        <v>0</v>
      </c>
      <c r="S12" s="2">
        <f t="shared" ca="1" si="2"/>
        <v>0.01</v>
      </c>
      <c r="T12" s="2">
        <f t="shared" ca="1" si="9"/>
        <v>0</v>
      </c>
      <c r="U12" s="32">
        <f t="shared" ca="1" si="2"/>
        <v>0</v>
      </c>
      <c r="V12">
        <f t="shared" ca="1" si="10"/>
        <v>0</v>
      </c>
      <c r="W12" s="2">
        <f t="shared" ca="1" si="10"/>
        <v>0</v>
      </c>
      <c r="X12">
        <f t="shared" ca="1" si="2"/>
        <v>0</v>
      </c>
      <c r="Z12" t="str">
        <f t="shared" si="20"/>
        <v>=</v>
      </c>
      <c r="AA12" t="s">
        <v>72</v>
      </c>
      <c r="AB12" s="30" t="s">
        <v>896</v>
      </c>
      <c r="AC12">
        <f t="shared" ca="1" si="11"/>
        <v>0</v>
      </c>
      <c r="AD12">
        <f t="shared" ca="1" si="11"/>
        <v>0</v>
      </c>
      <c r="AE12">
        <f t="shared" ca="1" si="11"/>
        <v>0</v>
      </c>
      <c r="AF12">
        <f t="shared" ca="1" si="12"/>
        <v>0</v>
      </c>
      <c r="AG12">
        <f t="shared" ca="1" si="12"/>
        <v>0</v>
      </c>
      <c r="AH12">
        <f t="shared" ca="1" si="11"/>
        <v>0</v>
      </c>
      <c r="AI12">
        <f t="shared" ca="1" si="13"/>
        <v>0</v>
      </c>
      <c r="AJ12">
        <f t="shared" ca="1" si="14"/>
        <v>0</v>
      </c>
      <c r="AK12" s="2">
        <f t="shared" ca="1" si="14"/>
        <v>0</v>
      </c>
      <c r="AL12">
        <f t="shared" ca="1" si="11"/>
        <v>0</v>
      </c>
      <c r="AM12">
        <f t="shared" ca="1" si="11"/>
        <v>0</v>
      </c>
      <c r="AN12" s="2">
        <f t="shared" ca="1" si="15"/>
        <v>0</v>
      </c>
      <c r="AO12" s="2">
        <f t="shared" ca="1" si="11"/>
        <v>0</v>
      </c>
      <c r="AP12" s="2">
        <f t="shared" ca="1" si="11"/>
        <v>0.02</v>
      </c>
      <c r="AQ12" s="2">
        <f t="shared" ca="1" si="16"/>
        <v>0</v>
      </c>
      <c r="AR12" s="2">
        <f t="shared" ca="1" si="17"/>
        <v>0</v>
      </c>
      <c r="AS12" s="2">
        <f t="shared" ca="1" si="11"/>
        <v>0.01</v>
      </c>
      <c r="AT12" s="2">
        <f t="shared" ca="1" si="18"/>
        <v>0</v>
      </c>
      <c r="AU12" s="32">
        <f t="shared" ca="1" si="11"/>
        <v>0</v>
      </c>
      <c r="AV12">
        <f t="shared" ca="1" si="19"/>
        <v>0</v>
      </c>
      <c r="AW12" s="2">
        <f t="shared" ca="1" si="19"/>
        <v>0</v>
      </c>
      <c r="AX12">
        <f t="shared" ca="1" si="11"/>
        <v>0</v>
      </c>
    </row>
    <row r="13" spans="1:50">
      <c r="A13" t="s">
        <v>72</v>
      </c>
      <c r="B13" s="30" t="s">
        <v>932</v>
      </c>
      <c r="C13">
        <f t="shared" ca="1" si="2"/>
        <v>0</v>
      </c>
      <c r="D13">
        <f t="shared" ca="1" si="2"/>
        <v>10</v>
      </c>
      <c r="E13">
        <f t="shared" ca="1" si="2"/>
        <v>10</v>
      </c>
      <c r="F13">
        <f t="shared" ca="1" si="3"/>
        <v>0</v>
      </c>
      <c r="G13">
        <f t="shared" ca="1" si="3"/>
        <v>10</v>
      </c>
      <c r="H13">
        <f t="shared" ca="1" si="2"/>
        <v>0</v>
      </c>
      <c r="I13">
        <f t="shared" ca="1" si="4"/>
        <v>0</v>
      </c>
      <c r="J13">
        <f t="shared" ca="1" si="5"/>
        <v>0</v>
      </c>
      <c r="K13" s="2">
        <f t="shared" ca="1" si="5"/>
        <v>0</v>
      </c>
      <c r="L13">
        <f t="shared" ca="1" si="2"/>
        <v>0</v>
      </c>
      <c r="M13">
        <f t="shared" ca="1" si="2"/>
        <v>0</v>
      </c>
      <c r="N13" s="2">
        <f t="shared" ca="1" si="6"/>
        <v>0</v>
      </c>
      <c r="O13" s="2">
        <f t="shared" ca="1" si="2"/>
        <v>0</v>
      </c>
      <c r="P13" s="2">
        <f t="shared" ca="1" si="2"/>
        <v>0</v>
      </c>
      <c r="Q13" s="2">
        <f t="shared" ca="1" si="7"/>
        <v>0.03</v>
      </c>
      <c r="R13" s="2">
        <f t="shared" ca="1" si="8"/>
        <v>0</v>
      </c>
      <c r="S13" s="2">
        <f t="shared" ca="1" si="2"/>
        <v>0</v>
      </c>
      <c r="T13" s="2">
        <f t="shared" ca="1" si="9"/>
        <v>0</v>
      </c>
      <c r="U13" s="32">
        <f t="shared" ca="1" si="2"/>
        <v>0</v>
      </c>
      <c r="V13">
        <f t="shared" ca="1" si="10"/>
        <v>0</v>
      </c>
      <c r="W13" s="2">
        <f t="shared" ca="1" si="10"/>
        <v>0</v>
      </c>
      <c r="X13">
        <f t="shared" ca="1" si="2"/>
        <v>0</v>
      </c>
      <c r="Z13" t="str">
        <f t="shared" si="20"/>
        <v>=</v>
      </c>
      <c r="AA13" t="s">
        <v>72</v>
      </c>
      <c r="AB13" s="30" t="s">
        <v>932</v>
      </c>
      <c r="AC13">
        <f t="shared" ca="1" si="11"/>
        <v>0</v>
      </c>
      <c r="AD13">
        <f t="shared" ca="1" si="11"/>
        <v>10</v>
      </c>
      <c r="AE13">
        <f t="shared" ca="1" si="11"/>
        <v>10</v>
      </c>
      <c r="AF13">
        <f t="shared" ca="1" si="12"/>
        <v>0</v>
      </c>
      <c r="AG13">
        <f t="shared" ca="1" si="12"/>
        <v>10</v>
      </c>
      <c r="AH13">
        <f t="shared" ca="1" si="11"/>
        <v>0</v>
      </c>
      <c r="AI13">
        <f t="shared" ca="1" si="13"/>
        <v>0</v>
      </c>
      <c r="AJ13">
        <f t="shared" ca="1" si="14"/>
        <v>0</v>
      </c>
      <c r="AK13" s="2">
        <f t="shared" ca="1" si="14"/>
        <v>0</v>
      </c>
      <c r="AL13">
        <f t="shared" ca="1" si="11"/>
        <v>0</v>
      </c>
      <c r="AM13">
        <f t="shared" ca="1" si="11"/>
        <v>0</v>
      </c>
      <c r="AN13" s="2">
        <f t="shared" ca="1" si="15"/>
        <v>0</v>
      </c>
      <c r="AO13" s="2">
        <f t="shared" ca="1" si="11"/>
        <v>0</v>
      </c>
      <c r="AP13" s="2">
        <f t="shared" ca="1" si="11"/>
        <v>0</v>
      </c>
      <c r="AQ13" s="2">
        <f t="shared" ca="1" si="16"/>
        <v>0.03</v>
      </c>
      <c r="AR13" s="2">
        <f t="shared" ca="1" si="17"/>
        <v>0</v>
      </c>
      <c r="AS13" s="2">
        <f t="shared" ca="1" si="11"/>
        <v>0</v>
      </c>
      <c r="AT13" s="2">
        <f t="shared" ca="1" si="18"/>
        <v>0</v>
      </c>
      <c r="AU13" s="32">
        <f t="shared" ca="1" si="11"/>
        <v>0</v>
      </c>
      <c r="AV13">
        <f t="shared" ca="1" si="19"/>
        <v>0</v>
      </c>
      <c r="AW13" s="2">
        <f t="shared" ca="1" si="19"/>
        <v>0</v>
      </c>
      <c r="AX13">
        <f t="shared" ca="1" si="11"/>
        <v>0</v>
      </c>
    </row>
    <row r="14" spans="1:50">
      <c r="A14" t="s">
        <v>20</v>
      </c>
      <c r="B14" s="30" t="s">
        <v>941</v>
      </c>
      <c r="C14">
        <f t="shared" ca="1" si="2"/>
        <v>0</v>
      </c>
      <c r="D14">
        <f t="shared" ca="1" si="2"/>
        <v>0</v>
      </c>
      <c r="E14">
        <f t="shared" ca="1" si="2"/>
        <v>30</v>
      </c>
      <c r="F14">
        <f t="shared" ca="1" si="3"/>
        <v>0</v>
      </c>
      <c r="G14">
        <f t="shared" ca="1" si="3"/>
        <v>0</v>
      </c>
      <c r="H14">
        <f t="shared" ca="1" si="2"/>
        <v>0</v>
      </c>
      <c r="I14">
        <f t="shared" ca="1" si="4"/>
        <v>0</v>
      </c>
      <c r="J14">
        <f t="shared" ca="1" si="5"/>
        <v>0</v>
      </c>
      <c r="K14" s="2">
        <f t="shared" ca="1" si="5"/>
        <v>0</v>
      </c>
      <c r="L14">
        <f t="shared" ca="1" si="2"/>
        <v>20</v>
      </c>
      <c r="M14">
        <f t="shared" ca="1" si="2"/>
        <v>20</v>
      </c>
      <c r="N14" s="2">
        <f t="shared" ca="1" si="6"/>
        <v>0</v>
      </c>
      <c r="O14" s="2">
        <f t="shared" ca="1" si="2"/>
        <v>0.1</v>
      </c>
      <c r="P14" s="2">
        <f t="shared" ca="1" si="2"/>
        <v>0</v>
      </c>
      <c r="Q14" s="2">
        <f t="shared" ca="1" si="7"/>
        <v>0</v>
      </c>
      <c r="R14" s="2">
        <f t="shared" ca="1" si="8"/>
        <v>0</v>
      </c>
      <c r="S14" s="2">
        <f t="shared" ca="1" si="2"/>
        <v>0</v>
      </c>
      <c r="T14" s="2">
        <f t="shared" ca="1" si="9"/>
        <v>0</v>
      </c>
      <c r="U14" s="32">
        <f t="shared" ca="1" si="2"/>
        <v>0</v>
      </c>
      <c r="V14">
        <f t="shared" ca="1" si="10"/>
        <v>0</v>
      </c>
      <c r="W14" s="2">
        <f t="shared" ca="1" si="10"/>
        <v>0</v>
      </c>
      <c r="X14">
        <f t="shared" ca="1" si="2"/>
        <v>0</v>
      </c>
      <c r="Z14" t="str">
        <f t="shared" si="20"/>
        <v>-</v>
      </c>
      <c r="AA14" t="s">
        <v>20</v>
      </c>
      <c r="AB14" s="30" t="s">
        <v>916</v>
      </c>
      <c r="AC14">
        <f t="shared" ca="1" si="11"/>
        <v>0</v>
      </c>
      <c r="AD14">
        <f t="shared" ca="1" si="11"/>
        <v>30</v>
      </c>
      <c r="AE14">
        <f t="shared" ca="1" si="11"/>
        <v>0</v>
      </c>
      <c r="AF14">
        <f t="shared" ca="1" si="12"/>
        <v>0</v>
      </c>
      <c r="AG14">
        <f t="shared" ca="1" si="12"/>
        <v>0</v>
      </c>
      <c r="AH14">
        <f t="shared" ca="1" si="11"/>
        <v>0</v>
      </c>
      <c r="AI14">
        <f t="shared" ca="1" si="13"/>
        <v>0</v>
      </c>
      <c r="AJ14">
        <f t="shared" ca="1" si="14"/>
        <v>0</v>
      </c>
      <c r="AK14" s="2">
        <f t="shared" ca="1" si="14"/>
        <v>0</v>
      </c>
      <c r="AL14">
        <f t="shared" ca="1" si="11"/>
        <v>20</v>
      </c>
      <c r="AM14">
        <f t="shared" ca="1" si="11"/>
        <v>20</v>
      </c>
      <c r="AN14" s="2">
        <f t="shared" ca="1" si="15"/>
        <v>0</v>
      </c>
      <c r="AO14" s="2">
        <f t="shared" ca="1" si="11"/>
        <v>0.1</v>
      </c>
      <c r="AP14" s="2">
        <f t="shared" ca="1" si="11"/>
        <v>0</v>
      </c>
      <c r="AQ14" s="2">
        <f t="shared" ca="1" si="16"/>
        <v>0</v>
      </c>
      <c r="AR14" s="2">
        <f t="shared" ca="1" si="17"/>
        <v>0</v>
      </c>
      <c r="AS14" s="2">
        <f t="shared" ca="1" si="11"/>
        <v>0</v>
      </c>
      <c r="AT14" s="2">
        <f t="shared" ca="1" si="18"/>
        <v>0</v>
      </c>
      <c r="AU14" s="32">
        <f t="shared" ca="1" si="11"/>
        <v>0</v>
      </c>
      <c r="AV14">
        <f t="shared" ca="1" si="19"/>
        <v>0</v>
      </c>
      <c r="AW14" s="2">
        <f t="shared" ca="1" si="19"/>
        <v>0</v>
      </c>
      <c r="AX14">
        <f t="shared" ca="1" si="11"/>
        <v>0</v>
      </c>
    </row>
    <row r="15" spans="1:50">
      <c r="A15" t="s">
        <v>21</v>
      </c>
      <c r="B15" s="30" t="s">
        <v>921</v>
      </c>
      <c r="C15">
        <f t="shared" ca="1" si="2"/>
        <v>0</v>
      </c>
      <c r="D15">
        <f t="shared" ca="1" si="2"/>
        <v>0</v>
      </c>
      <c r="E15">
        <f t="shared" ca="1" si="2"/>
        <v>0</v>
      </c>
      <c r="F15">
        <f t="shared" ca="1" si="3"/>
        <v>0</v>
      </c>
      <c r="G15">
        <f t="shared" ca="1" si="3"/>
        <v>0</v>
      </c>
      <c r="H15">
        <f t="shared" ca="1" si="2"/>
        <v>0</v>
      </c>
      <c r="I15">
        <f t="shared" ca="1" si="4"/>
        <v>0</v>
      </c>
      <c r="J15">
        <f t="shared" ca="1" si="5"/>
        <v>0</v>
      </c>
      <c r="K15" s="2">
        <f t="shared" ca="1" si="5"/>
        <v>0</v>
      </c>
      <c r="L15">
        <f t="shared" ca="1" si="2"/>
        <v>0</v>
      </c>
      <c r="M15">
        <f t="shared" ca="1" si="2"/>
        <v>12</v>
      </c>
      <c r="N15" s="2">
        <f t="shared" ca="1" si="6"/>
        <v>0</v>
      </c>
      <c r="O15" s="2">
        <f t="shared" ca="1" si="2"/>
        <v>0.08</v>
      </c>
      <c r="P15" s="2">
        <f t="shared" ca="1" si="2"/>
        <v>0</v>
      </c>
      <c r="Q15" s="2">
        <f t="shared" ca="1" si="7"/>
        <v>0</v>
      </c>
      <c r="R15" s="2">
        <f t="shared" ca="1" si="8"/>
        <v>0</v>
      </c>
      <c r="S15" s="2">
        <f t="shared" ca="1" si="2"/>
        <v>0</v>
      </c>
      <c r="T15" s="2">
        <f t="shared" ca="1" si="9"/>
        <v>0</v>
      </c>
      <c r="U15" s="32">
        <f t="shared" ca="1" si="2"/>
        <v>71</v>
      </c>
      <c r="V15">
        <f t="shared" ca="1" si="10"/>
        <v>0</v>
      </c>
      <c r="W15" s="2">
        <f t="shared" ca="1" si="10"/>
        <v>0</v>
      </c>
      <c r="X15">
        <f t="shared" ca="1" si="2"/>
        <v>0</v>
      </c>
      <c r="Z15" t="str">
        <f t="shared" si="20"/>
        <v>=</v>
      </c>
      <c r="AA15" t="s">
        <v>21</v>
      </c>
      <c r="AB15" s="30" t="s">
        <v>921</v>
      </c>
      <c r="AC15">
        <f t="shared" ca="1" si="11"/>
        <v>0</v>
      </c>
      <c r="AD15">
        <f t="shared" ca="1" si="11"/>
        <v>0</v>
      </c>
      <c r="AE15">
        <f t="shared" ca="1" si="11"/>
        <v>0</v>
      </c>
      <c r="AF15">
        <f t="shared" ca="1" si="12"/>
        <v>0</v>
      </c>
      <c r="AG15">
        <f t="shared" ca="1" si="12"/>
        <v>0</v>
      </c>
      <c r="AH15">
        <f t="shared" ca="1" si="11"/>
        <v>0</v>
      </c>
      <c r="AI15">
        <f t="shared" ca="1" si="13"/>
        <v>0</v>
      </c>
      <c r="AJ15">
        <f t="shared" ca="1" si="14"/>
        <v>0</v>
      </c>
      <c r="AK15" s="2">
        <f t="shared" ca="1" si="14"/>
        <v>0</v>
      </c>
      <c r="AL15">
        <f t="shared" ca="1" si="11"/>
        <v>0</v>
      </c>
      <c r="AM15">
        <f t="shared" ca="1" si="11"/>
        <v>12</v>
      </c>
      <c r="AN15" s="2">
        <f t="shared" ca="1" si="15"/>
        <v>0</v>
      </c>
      <c r="AO15" s="2">
        <f t="shared" ca="1" si="11"/>
        <v>0.08</v>
      </c>
      <c r="AP15" s="2">
        <f t="shared" ca="1" si="11"/>
        <v>0</v>
      </c>
      <c r="AQ15" s="2">
        <f t="shared" ca="1" si="16"/>
        <v>0</v>
      </c>
      <c r="AR15" s="2">
        <f t="shared" ca="1" si="17"/>
        <v>0</v>
      </c>
      <c r="AS15" s="2">
        <f t="shared" ca="1" si="11"/>
        <v>0</v>
      </c>
      <c r="AT15" s="2">
        <f t="shared" ca="1" si="18"/>
        <v>0</v>
      </c>
      <c r="AU15" s="32">
        <f t="shared" ca="1" si="11"/>
        <v>71</v>
      </c>
      <c r="AV15">
        <f t="shared" ca="1" si="19"/>
        <v>0</v>
      </c>
      <c r="AW15" s="2">
        <f t="shared" ca="1" si="19"/>
        <v>0</v>
      </c>
      <c r="AX15">
        <f t="shared" ca="1" si="11"/>
        <v>0</v>
      </c>
    </row>
    <row r="16" spans="1:50">
      <c r="A16" t="s">
        <v>22</v>
      </c>
      <c r="B16" s="30" t="s">
        <v>859</v>
      </c>
      <c r="C16">
        <f t="shared" ca="1" si="2"/>
        <v>0</v>
      </c>
      <c r="D16">
        <f t="shared" ca="1" si="2"/>
        <v>37</v>
      </c>
      <c r="E16">
        <f t="shared" ca="1" si="2"/>
        <v>0</v>
      </c>
      <c r="F16">
        <f t="shared" ca="1" si="3"/>
        <v>16</v>
      </c>
      <c r="G16">
        <f t="shared" ca="1" si="3"/>
        <v>23</v>
      </c>
      <c r="H16">
        <f t="shared" ca="1" si="2"/>
        <v>26</v>
      </c>
      <c r="I16">
        <f t="shared" ca="1" si="4"/>
        <v>12</v>
      </c>
      <c r="J16">
        <f t="shared" ca="1" si="5"/>
        <v>0</v>
      </c>
      <c r="K16" s="2">
        <f t="shared" ca="1" si="5"/>
        <v>0</v>
      </c>
      <c r="L16">
        <f t="shared" ca="1" si="2"/>
        <v>20</v>
      </c>
      <c r="M16">
        <f t="shared" ca="1" si="2"/>
        <v>29</v>
      </c>
      <c r="N16" s="2">
        <f t="shared" ca="1" si="6"/>
        <v>0</v>
      </c>
      <c r="O16" s="2">
        <f t="shared" ca="1" si="2"/>
        <v>0.02</v>
      </c>
      <c r="P16" s="2">
        <f t="shared" ca="1" si="2"/>
        <v>0</v>
      </c>
      <c r="Q16" s="2">
        <f t="shared" ca="1" si="7"/>
        <v>0</v>
      </c>
      <c r="R16" s="2">
        <f t="shared" ca="1" si="8"/>
        <v>0</v>
      </c>
      <c r="S16" s="2">
        <f t="shared" ca="1" si="2"/>
        <v>0</v>
      </c>
      <c r="T16" s="2">
        <f t="shared" ca="1" si="9"/>
        <v>0</v>
      </c>
      <c r="U16" s="32">
        <f t="shared" ca="1" si="2"/>
        <v>51</v>
      </c>
      <c r="V16">
        <f t="shared" ca="1" si="10"/>
        <v>0</v>
      </c>
      <c r="W16" s="2">
        <f t="shared" ca="1" si="10"/>
        <v>0</v>
      </c>
      <c r="X16">
        <f t="shared" ca="1" si="2"/>
        <v>15</v>
      </c>
      <c r="Z16" t="str">
        <f t="shared" si="20"/>
        <v>=</v>
      </c>
      <c r="AA16" t="s">
        <v>22</v>
      </c>
      <c r="AB16" s="30" t="s">
        <v>859</v>
      </c>
      <c r="AC16">
        <f t="shared" ca="1" si="11"/>
        <v>0</v>
      </c>
      <c r="AD16">
        <f t="shared" ca="1" si="11"/>
        <v>37</v>
      </c>
      <c r="AE16">
        <f t="shared" ca="1" si="11"/>
        <v>0</v>
      </c>
      <c r="AF16">
        <f t="shared" ca="1" si="12"/>
        <v>16</v>
      </c>
      <c r="AG16">
        <f t="shared" ca="1" si="12"/>
        <v>23</v>
      </c>
      <c r="AH16">
        <f t="shared" ca="1" si="11"/>
        <v>26</v>
      </c>
      <c r="AI16">
        <f t="shared" ca="1" si="13"/>
        <v>12</v>
      </c>
      <c r="AJ16">
        <f t="shared" ca="1" si="14"/>
        <v>0</v>
      </c>
      <c r="AK16" s="2">
        <f t="shared" ca="1" si="14"/>
        <v>0</v>
      </c>
      <c r="AL16">
        <f t="shared" ca="1" si="11"/>
        <v>20</v>
      </c>
      <c r="AM16">
        <f t="shared" ca="1" si="11"/>
        <v>29</v>
      </c>
      <c r="AN16" s="2">
        <f t="shared" ca="1" si="15"/>
        <v>0</v>
      </c>
      <c r="AO16" s="2">
        <f t="shared" ca="1" si="11"/>
        <v>0.02</v>
      </c>
      <c r="AP16" s="2">
        <f t="shared" ca="1" si="11"/>
        <v>0</v>
      </c>
      <c r="AQ16" s="2">
        <f t="shared" ca="1" si="16"/>
        <v>0</v>
      </c>
      <c r="AR16" s="2">
        <f t="shared" ca="1" si="17"/>
        <v>0</v>
      </c>
      <c r="AS16" s="2">
        <f t="shared" ca="1" si="11"/>
        <v>0</v>
      </c>
      <c r="AT16" s="2">
        <f t="shared" ca="1" si="18"/>
        <v>0</v>
      </c>
      <c r="AU16" s="32">
        <f t="shared" ca="1" si="11"/>
        <v>51</v>
      </c>
      <c r="AV16">
        <f t="shared" ca="1" si="19"/>
        <v>0</v>
      </c>
      <c r="AW16" s="2">
        <f t="shared" ca="1" si="19"/>
        <v>0</v>
      </c>
      <c r="AX16">
        <f t="shared" ca="1" si="11"/>
        <v>15</v>
      </c>
    </row>
    <row r="17" spans="1:50">
      <c r="A17" t="s">
        <v>23</v>
      </c>
      <c r="B17" s="30" t="s">
        <v>874</v>
      </c>
      <c r="C17">
        <f t="shared" ca="1" si="2"/>
        <v>0</v>
      </c>
      <c r="D17">
        <f t="shared" ca="1" si="2"/>
        <v>24</v>
      </c>
      <c r="E17">
        <f t="shared" ca="1" si="2"/>
        <v>20</v>
      </c>
      <c r="F17">
        <f t="shared" ca="1" si="3"/>
        <v>0</v>
      </c>
      <c r="G17">
        <f t="shared" ca="1" si="3"/>
        <v>0</v>
      </c>
      <c r="H17">
        <f t="shared" ca="1" si="2"/>
        <v>0</v>
      </c>
      <c r="I17">
        <f t="shared" ca="1" si="4"/>
        <v>0</v>
      </c>
      <c r="J17">
        <f t="shared" ca="1" si="5"/>
        <v>0</v>
      </c>
      <c r="K17" s="2">
        <f t="shared" ca="1" si="5"/>
        <v>0</v>
      </c>
      <c r="L17">
        <f t="shared" ca="1" si="2"/>
        <v>30</v>
      </c>
      <c r="M17">
        <f t="shared" ca="1" si="2"/>
        <v>35</v>
      </c>
      <c r="N17" s="2">
        <f t="shared" ca="1" si="6"/>
        <v>0</v>
      </c>
      <c r="O17" s="2">
        <f t="shared" ca="1" si="2"/>
        <v>0.03</v>
      </c>
      <c r="P17" s="2">
        <f t="shared" ca="1" si="2"/>
        <v>0</v>
      </c>
      <c r="Q17" s="2">
        <f t="shared" ca="1" si="7"/>
        <v>0</v>
      </c>
      <c r="R17" s="2">
        <f t="shared" ca="1" si="8"/>
        <v>0</v>
      </c>
      <c r="S17" s="2">
        <f t="shared" ca="1" si="2"/>
        <v>0</v>
      </c>
      <c r="T17" s="2">
        <f t="shared" ca="1" si="9"/>
        <v>0</v>
      </c>
      <c r="U17" s="32">
        <f t="shared" ca="1" si="2"/>
        <v>31</v>
      </c>
      <c r="V17">
        <f t="shared" ca="1" si="10"/>
        <v>0</v>
      </c>
      <c r="W17" s="2">
        <f t="shared" ca="1" si="10"/>
        <v>0</v>
      </c>
      <c r="X17">
        <f t="shared" ca="1" si="2"/>
        <v>10</v>
      </c>
      <c r="Z17" t="str">
        <f t="shared" si="20"/>
        <v>-</v>
      </c>
      <c r="AA17" t="s">
        <v>23</v>
      </c>
      <c r="AB17" s="30" t="s">
        <v>919</v>
      </c>
      <c r="AC17">
        <f t="shared" ca="1" si="11"/>
        <v>0</v>
      </c>
      <c r="AD17">
        <f t="shared" ca="1" si="11"/>
        <v>27</v>
      </c>
      <c r="AE17">
        <f t="shared" ca="1" si="11"/>
        <v>30</v>
      </c>
      <c r="AF17">
        <f t="shared" ca="1" si="12"/>
        <v>26</v>
      </c>
      <c r="AG17">
        <f t="shared" ca="1" si="12"/>
        <v>20</v>
      </c>
      <c r="AH17">
        <f t="shared" ca="1" si="11"/>
        <v>0</v>
      </c>
      <c r="AI17">
        <f t="shared" ca="1" si="13"/>
        <v>8</v>
      </c>
      <c r="AJ17">
        <f t="shared" ca="1" si="14"/>
        <v>0</v>
      </c>
      <c r="AK17" s="2">
        <f t="shared" ca="1" si="14"/>
        <v>0</v>
      </c>
      <c r="AL17">
        <f t="shared" ca="1" si="11"/>
        <v>0</v>
      </c>
      <c r="AM17">
        <f t="shared" ca="1" si="11"/>
        <v>36</v>
      </c>
      <c r="AN17" s="2">
        <f t="shared" ca="1" si="15"/>
        <v>0</v>
      </c>
      <c r="AO17" s="2">
        <f t="shared" ca="1" si="11"/>
        <v>0.05</v>
      </c>
      <c r="AP17" s="2">
        <f t="shared" ca="1" si="11"/>
        <v>0</v>
      </c>
      <c r="AQ17" s="2">
        <f t="shared" ca="1" si="16"/>
        <v>0</v>
      </c>
      <c r="AR17" s="2">
        <f t="shared" ca="1" si="17"/>
        <v>0</v>
      </c>
      <c r="AS17" s="2">
        <f t="shared" ca="1" si="11"/>
        <v>0</v>
      </c>
      <c r="AT17" s="2">
        <f t="shared" ca="1" si="18"/>
        <v>0</v>
      </c>
      <c r="AU17" s="32">
        <f t="shared" ca="1" si="11"/>
        <v>21</v>
      </c>
      <c r="AV17">
        <f t="shared" ca="1" si="19"/>
        <v>0</v>
      </c>
      <c r="AW17" s="2">
        <f t="shared" ca="1" si="19"/>
        <v>0</v>
      </c>
      <c r="AX17">
        <f t="shared" ca="1" si="11"/>
        <v>5</v>
      </c>
    </row>
    <row r="18" spans="1:50">
      <c r="A18" t="s">
        <v>24</v>
      </c>
      <c r="B18" s="142"/>
      <c r="C18">
        <f t="shared" ref="C18:X18" si="21">SUMIF(INDEX(SetBonusLookup, 0, 1), "="&amp;C2, INDEX(SetBonusLookup, 0, MATCH("TPSet1Gear", INDEX(SetBonusLookup, 1, 0), 0)))</f>
        <v>0</v>
      </c>
      <c r="D18">
        <f t="shared" ca="1" si="21"/>
        <v>0</v>
      </c>
      <c r="E18">
        <f t="shared" si="21"/>
        <v>0</v>
      </c>
      <c r="F18">
        <f t="shared" si="21"/>
        <v>0</v>
      </c>
      <c r="G18">
        <f t="shared" ca="1" si="21"/>
        <v>0</v>
      </c>
      <c r="H18">
        <f t="shared" ca="1" si="21"/>
        <v>0</v>
      </c>
      <c r="I18">
        <f t="shared" ca="1" si="21"/>
        <v>0</v>
      </c>
      <c r="J18">
        <f t="shared" si="21"/>
        <v>0</v>
      </c>
      <c r="K18">
        <f t="shared" ca="1" si="21"/>
        <v>0</v>
      </c>
      <c r="L18">
        <f t="shared" ca="1" si="21"/>
        <v>0</v>
      </c>
      <c r="M18">
        <f t="shared" ca="1" si="21"/>
        <v>0</v>
      </c>
      <c r="N18" s="79">
        <f t="shared" si="21"/>
        <v>0</v>
      </c>
      <c r="O18" s="79">
        <f t="shared" ca="1" si="21"/>
        <v>0</v>
      </c>
      <c r="P18" s="79">
        <f t="shared" si="21"/>
        <v>0</v>
      </c>
      <c r="Q18" s="79">
        <f t="shared" si="21"/>
        <v>0</v>
      </c>
      <c r="R18" s="79">
        <f t="shared" si="21"/>
        <v>0</v>
      </c>
      <c r="S18" s="79">
        <f t="shared" si="21"/>
        <v>0</v>
      </c>
      <c r="T18" s="79">
        <f t="shared" si="21"/>
        <v>0</v>
      </c>
      <c r="U18">
        <f t="shared" ca="1" si="21"/>
        <v>0</v>
      </c>
      <c r="V18">
        <f t="shared" si="21"/>
        <v>0</v>
      </c>
      <c r="W18" s="79">
        <f t="shared" ca="1" si="21"/>
        <v>0</v>
      </c>
      <c r="X18">
        <f t="shared" si="21"/>
        <v>0</v>
      </c>
      <c r="Z18" t="str">
        <f ca="1">IF(AND(C18=AC18, D18=AD18, E18=AE18, F18=AF18, G18=AG18, H18=AH18, I18=AI18, J18=AJ18, K18=AK18, L18=AL18, M18=AM18, N18=AN18, O18=AO18, P18=AP18, Q18=AQ18, S18=AS18, T18=AT18, U18=AU18, V18=AV18, W18=AW18, X18=AX18), "=", "-")</f>
        <v>=</v>
      </c>
      <c r="AA18" t="s">
        <v>24</v>
      </c>
      <c r="AB18" s="142"/>
      <c r="AC18">
        <f t="shared" ref="AC18:AX18" si="22">SUMIF(INDEX(SetBonusLookup, 0, 1), "="&amp;AC2, INDEX(SetBonusLookup, 0, MATCH("TPSet2Gear", INDEX(SetBonusLookup, 1, 0), 0)))</f>
        <v>0</v>
      </c>
      <c r="AD18">
        <f t="shared" ca="1" si="22"/>
        <v>0</v>
      </c>
      <c r="AE18">
        <f t="shared" si="22"/>
        <v>0</v>
      </c>
      <c r="AF18">
        <f t="shared" si="22"/>
        <v>0</v>
      </c>
      <c r="AG18">
        <f t="shared" ca="1" si="22"/>
        <v>0</v>
      </c>
      <c r="AH18">
        <f t="shared" ca="1" si="22"/>
        <v>0</v>
      </c>
      <c r="AI18">
        <f t="shared" ca="1" si="22"/>
        <v>0</v>
      </c>
      <c r="AJ18">
        <f t="shared" si="22"/>
        <v>0</v>
      </c>
      <c r="AK18">
        <f t="shared" ca="1" si="22"/>
        <v>0</v>
      </c>
      <c r="AL18">
        <f t="shared" ca="1" si="22"/>
        <v>0</v>
      </c>
      <c r="AM18">
        <f t="shared" ca="1" si="22"/>
        <v>0</v>
      </c>
      <c r="AN18" s="79">
        <f t="shared" si="22"/>
        <v>0</v>
      </c>
      <c r="AO18" s="79">
        <f t="shared" ca="1" si="22"/>
        <v>0</v>
      </c>
      <c r="AP18" s="79">
        <f t="shared" si="22"/>
        <v>0</v>
      </c>
      <c r="AQ18" s="79">
        <f t="shared" si="22"/>
        <v>0</v>
      </c>
      <c r="AR18" s="79">
        <f t="shared" si="22"/>
        <v>0</v>
      </c>
      <c r="AS18" s="79">
        <f t="shared" si="22"/>
        <v>0</v>
      </c>
      <c r="AT18" s="79">
        <f t="shared" si="22"/>
        <v>0</v>
      </c>
      <c r="AU18">
        <f t="shared" ca="1" si="22"/>
        <v>0</v>
      </c>
      <c r="AV18">
        <f t="shared" si="22"/>
        <v>0</v>
      </c>
      <c r="AW18" s="79">
        <f t="shared" ca="1" si="22"/>
        <v>0</v>
      </c>
      <c r="AX18">
        <f t="shared" si="22"/>
        <v>0</v>
      </c>
    </row>
    <row r="19" spans="1:50">
      <c r="A19" t="s">
        <v>586</v>
      </c>
      <c r="C19" s="30"/>
      <c r="D19" s="30"/>
      <c r="E19" s="30"/>
      <c r="F19" s="30"/>
      <c r="G19" s="30"/>
      <c r="H19" s="30"/>
      <c r="I19" s="30"/>
      <c r="J19" s="30"/>
      <c r="K19" s="31"/>
      <c r="L19" s="30"/>
      <c r="M19" s="30"/>
      <c r="N19" s="31"/>
      <c r="O19" s="31">
        <v>0.04</v>
      </c>
      <c r="P19" s="31"/>
      <c r="Q19" s="31"/>
      <c r="R19" s="31"/>
      <c r="S19" s="31"/>
      <c r="T19" s="31"/>
      <c r="U19" s="33"/>
      <c r="V19" s="33"/>
      <c r="W19" s="33"/>
      <c r="X19" s="30"/>
      <c r="Z19" t="str">
        <f>IF(AND(C19=AC19, D19=AD19, E19=AE19, F19=AF19, G19=AG19, H19=AH19, I19=AI19, J19=AJ19, K19=AK19, L19=AL19, M19=AM19, N19=AN19, O19=AO19, P19=AP19, Q19=AQ19, S19=AS19, T19=AT19, U19=AU19, V19=AV19, W19=AW19, X19=AX19), "=", "-")</f>
        <v>-</v>
      </c>
      <c r="AA19" t="s">
        <v>586</v>
      </c>
      <c r="AC19" s="30"/>
      <c r="AD19" s="30"/>
      <c r="AE19" s="30"/>
      <c r="AF19" s="30"/>
      <c r="AG19" s="30"/>
      <c r="AH19" s="30"/>
      <c r="AI19" s="30"/>
      <c r="AJ19" s="30"/>
      <c r="AK19" s="31"/>
      <c r="AL19" s="30"/>
      <c r="AM19" s="30"/>
      <c r="AN19" s="31"/>
      <c r="AO19" s="31"/>
      <c r="AP19" s="31"/>
      <c r="AQ19" s="31"/>
      <c r="AR19" s="31"/>
      <c r="AS19" s="31"/>
      <c r="AT19" s="31"/>
      <c r="AU19" s="33"/>
      <c r="AV19" s="33"/>
      <c r="AW19" s="33"/>
      <c r="AX19" s="30"/>
    </row>
    <row r="20" spans="1:50">
      <c r="K20" s="2"/>
      <c r="O20" s="2"/>
      <c r="P20" s="2"/>
      <c r="Q20" s="2"/>
      <c r="R20" s="2"/>
      <c r="S20" s="2"/>
      <c r="T20" s="2"/>
      <c r="U20" s="2"/>
      <c r="V20" s="2"/>
      <c r="W20" s="2"/>
      <c r="AK20" s="2"/>
      <c r="AO20" s="2"/>
      <c r="AP20" s="2"/>
      <c r="AQ20" s="2"/>
      <c r="AR20" s="2"/>
      <c r="AS20" s="2"/>
      <c r="AT20" s="2"/>
      <c r="AU20" s="2"/>
      <c r="AV20" s="2"/>
      <c r="AW20" s="2"/>
    </row>
    <row r="21" spans="1:50">
      <c r="A21" t="s">
        <v>7</v>
      </c>
      <c r="C21">
        <f t="shared" ref="C21:X21" ca="1" si="23">SUM(C3:C19)</f>
        <v>0</v>
      </c>
      <c r="D21">
        <f t="shared" ca="1" si="23"/>
        <v>171</v>
      </c>
      <c r="E21">
        <f t="shared" ca="1" si="23"/>
        <v>155</v>
      </c>
      <c r="F21">
        <f t="shared" ca="1" si="23"/>
        <v>52</v>
      </c>
      <c r="G21">
        <f t="shared" ca="1" si="23"/>
        <v>140</v>
      </c>
      <c r="H21">
        <f ca="1">SUM(H3:H19)</f>
        <v>58</v>
      </c>
      <c r="I21">
        <f ca="1">SUM(I3:I19)</f>
        <v>44</v>
      </c>
      <c r="J21">
        <f ca="1">SUM(J3:J19)</f>
        <v>0</v>
      </c>
      <c r="K21" s="2">
        <f ca="1">SUM(K3:K19)</f>
        <v>0</v>
      </c>
      <c r="L21">
        <f t="shared" ca="1" si="23"/>
        <v>160</v>
      </c>
      <c r="M21">
        <f t="shared" ca="1" si="23"/>
        <v>242</v>
      </c>
      <c r="N21" s="2">
        <f t="shared" ca="1" si="23"/>
        <v>0</v>
      </c>
      <c r="O21" s="2">
        <f t="shared" ca="1" si="23"/>
        <v>0.43</v>
      </c>
      <c r="P21" s="2">
        <f t="shared" ca="1" si="23"/>
        <v>0.06</v>
      </c>
      <c r="Q21" s="2">
        <f t="shared" ca="1" si="23"/>
        <v>0.05</v>
      </c>
      <c r="R21" s="2">
        <f t="shared" ca="1" si="23"/>
        <v>0</v>
      </c>
      <c r="S21" s="2">
        <f t="shared" ca="1" si="23"/>
        <v>0.01</v>
      </c>
      <c r="T21" s="2">
        <f t="shared" ca="1" si="23"/>
        <v>0</v>
      </c>
      <c r="U21" s="2">
        <f ca="1">SUM(U3:U19)/1024</f>
        <v>0.2880859375</v>
      </c>
      <c r="V21">
        <f t="shared" ca="1" si="23"/>
        <v>0</v>
      </c>
      <c r="W21" s="2">
        <f t="shared" ca="1" si="23"/>
        <v>0</v>
      </c>
      <c r="X21">
        <f t="shared" ca="1" si="23"/>
        <v>48</v>
      </c>
      <c r="Z21" t="str">
        <f ca="1">IF(AND(C21=AC21, D21=AD21, E21=AE21, F21=AF21, G21=AG21, H21=AH21, I21=AI21, J21=AJ21, K21=AK21, L21=AL21, M21=AM21, N21=AN21, O21=AO21, P21=AP21, Q21=AQ21, S21=AS21, T21=AT21, U21=AU21, V21=AV21, W21=AW21, X21=AX21), "=", "-")</f>
        <v>-</v>
      </c>
      <c r="AA21" t="s">
        <v>7</v>
      </c>
      <c r="AC21">
        <f t="shared" ref="AC21:AX21" ca="1" si="24">SUM(AC3:AC19)</f>
        <v>0</v>
      </c>
      <c r="AD21">
        <f t="shared" ca="1" si="24"/>
        <v>204</v>
      </c>
      <c r="AE21">
        <f t="shared" ca="1" si="24"/>
        <v>135</v>
      </c>
      <c r="AF21">
        <f t="shared" ca="1" si="24"/>
        <v>78</v>
      </c>
      <c r="AG21">
        <f t="shared" ca="1" si="24"/>
        <v>110</v>
      </c>
      <c r="AH21">
        <f ca="1">SUM(AH3:AH19)</f>
        <v>58</v>
      </c>
      <c r="AI21">
        <f ca="1">SUM(AI3:AI19)</f>
        <v>52</v>
      </c>
      <c r="AJ21">
        <f ca="1">SUM(AJ3:AJ19)</f>
        <v>0</v>
      </c>
      <c r="AK21" s="2">
        <f ca="1">SUM(AK3:AK19)</f>
        <v>0</v>
      </c>
      <c r="AL21">
        <f t="shared" ca="1" si="24"/>
        <v>130</v>
      </c>
      <c r="AM21">
        <f t="shared" ca="1" si="24"/>
        <v>303</v>
      </c>
      <c r="AN21" s="2">
        <f t="shared" ca="1" si="24"/>
        <v>0</v>
      </c>
      <c r="AO21" s="2">
        <f t="shared" ca="1" si="24"/>
        <v>0.41000000000000003</v>
      </c>
      <c r="AP21" s="2">
        <f t="shared" ca="1" si="24"/>
        <v>0.06</v>
      </c>
      <c r="AQ21" s="2">
        <f t="shared" ca="1" si="24"/>
        <v>0.05</v>
      </c>
      <c r="AR21" s="2">
        <f t="shared" ca="1" si="24"/>
        <v>0</v>
      </c>
      <c r="AS21" s="2">
        <f t="shared" ca="1" si="24"/>
        <v>0.15000000000000002</v>
      </c>
      <c r="AT21" s="2">
        <f t="shared" ca="1" si="24"/>
        <v>0</v>
      </c>
      <c r="AU21" s="2">
        <f ca="1">SUM(AU3:AU19)/1024</f>
        <v>0.2783203125</v>
      </c>
      <c r="AV21">
        <f t="shared" ca="1" si="24"/>
        <v>0</v>
      </c>
      <c r="AX21">
        <f t="shared" ca="1" si="24"/>
        <v>43</v>
      </c>
    </row>
    <row r="22" spans="1:50">
      <c r="A22" s="9" t="s">
        <v>108</v>
      </c>
      <c r="B22" s="8">
        <f ca="1">Setup!B52</f>
        <v>6147.7139443745309</v>
      </c>
      <c r="M22" s="178">
        <f ca="1">Data!B114</f>
        <v>0.95</v>
      </c>
      <c r="N22" s="79"/>
      <c r="AA22" s="9" t="s">
        <v>108</v>
      </c>
      <c r="AB22" s="8">
        <f ca="1">Setup!C52</f>
        <v>5107.9209211054613</v>
      </c>
      <c r="AM22" s="79">
        <f ca="1">Data!C114</f>
        <v>0.95</v>
      </c>
    </row>
    <row r="24" spans="1:50">
      <c r="A24" t="s">
        <v>295</v>
      </c>
      <c r="AA24" t="s">
        <v>296</v>
      </c>
    </row>
    <row r="25" spans="1:50">
      <c r="A25" t="s">
        <v>8</v>
      </c>
      <c r="B25" t="s">
        <v>14</v>
      </c>
      <c r="C25" t="str">
        <f>C2</f>
        <v>GSkill</v>
      </c>
      <c r="D25" t="s">
        <v>3</v>
      </c>
      <c r="E25" t="s">
        <v>4</v>
      </c>
      <c r="F25" t="s">
        <v>42</v>
      </c>
      <c r="G25" t="s">
        <v>5</v>
      </c>
      <c r="H25" t="s">
        <v>182</v>
      </c>
      <c r="I25" t="s">
        <v>183</v>
      </c>
      <c r="J25" t="s">
        <v>218</v>
      </c>
      <c r="K25" t="s">
        <v>219</v>
      </c>
      <c r="L25" t="s">
        <v>9</v>
      </c>
      <c r="M25" t="s">
        <v>10</v>
      </c>
      <c r="N25" t="s">
        <v>437</v>
      </c>
      <c r="O25" t="s">
        <v>12</v>
      </c>
      <c r="P25" t="s">
        <v>150</v>
      </c>
      <c r="Q25" t="s">
        <v>416</v>
      </c>
      <c r="R25" t="s">
        <v>125</v>
      </c>
      <c r="S25" t="s">
        <v>124</v>
      </c>
      <c r="T25" t="s">
        <v>184</v>
      </c>
      <c r="U25" t="s">
        <v>417</v>
      </c>
      <c r="V25" t="s">
        <v>164</v>
      </c>
      <c r="W25" t="s">
        <v>564</v>
      </c>
      <c r="X25" t="s">
        <v>455</v>
      </c>
      <c r="AA25" t="s">
        <v>8</v>
      </c>
      <c r="AB25" t="s">
        <v>14</v>
      </c>
      <c r="AC25" t="str">
        <f>AC2</f>
        <v>GSkill</v>
      </c>
      <c r="AD25" t="s">
        <v>3</v>
      </c>
      <c r="AE25" t="s">
        <v>4</v>
      </c>
      <c r="AF25" t="s">
        <v>42</v>
      </c>
      <c r="AG25" t="s">
        <v>5</v>
      </c>
      <c r="AH25" t="s">
        <v>182</v>
      </c>
      <c r="AI25" t="s">
        <v>183</v>
      </c>
      <c r="AJ25" t="s">
        <v>218</v>
      </c>
      <c r="AK25" t="s">
        <v>219</v>
      </c>
      <c r="AL25" t="s">
        <v>9</v>
      </c>
      <c r="AM25" t="s">
        <v>10</v>
      </c>
      <c r="AN25" t="s">
        <v>437</v>
      </c>
      <c r="AO25" t="s">
        <v>12</v>
      </c>
      <c r="AP25" t="s">
        <v>150</v>
      </c>
      <c r="AQ25" t="s">
        <v>416</v>
      </c>
      <c r="AR25" t="s">
        <v>125</v>
      </c>
      <c r="AS25" t="s">
        <v>124</v>
      </c>
      <c r="AT25" t="s">
        <v>184</v>
      </c>
      <c r="AU25" t="s">
        <v>417</v>
      </c>
      <c r="AV25" t="s">
        <v>164</v>
      </c>
      <c r="AW25" t="s">
        <v>564</v>
      </c>
      <c r="AX25" t="s">
        <v>455</v>
      </c>
    </row>
    <row r="26" spans="1:50">
      <c r="A26" t="str">
        <f>A3</f>
        <v>GreatSword</v>
      </c>
      <c r="B26" t="str">
        <f>B3</f>
        <v>Caladbolg 119</v>
      </c>
      <c r="C26">
        <f t="shared" ref="C26:X27" ca="1" si="25">IF(ISBLANK($B26), 0, VLOOKUP($B26, INDIRECT($A26), MATCH(C$25, StatHeader, 0), 0))</f>
        <v>0</v>
      </c>
      <c r="D26">
        <f t="shared" ca="1" si="25"/>
        <v>0</v>
      </c>
      <c r="E26">
        <f t="shared" ca="1" si="25"/>
        <v>0</v>
      </c>
      <c r="F26">
        <f t="shared" ca="1" si="25"/>
        <v>0</v>
      </c>
      <c r="G26">
        <f t="shared" ca="1" si="25"/>
        <v>50</v>
      </c>
      <c r="H26">
        <f t="shared" ca="1" si="25"/>
        <v>0</v>
      </c>
      <c r="I26">
        <f t="shared" ca="1" si="25"/>
        <v>0</v>
      </c>
      <c r="J26">
        <f t="shared" ca="1" si="25"/>
        <v>0</v>
      </c>
      <c r="K26" s="2">
        <f t="shared" ca="1" si="25"/>
        <v>0</v>
      </c>
      <c r="L26">
        <f t="shared" ca="1" si="25"/>
        <v>0</v>
      </c>
      <c r="M26">
        <f t="shared" ca="1" si="25"/>
        <v>0</v>
      </c>
      <c r="N26" s="2">
        <f t="shared" ca="1" si="25"/>
        <v>0</v>
      </c>
      <c r="O26" s="2">
        <f t="shared" ca="1" si="25"/>
        <v>0</v>
      </c>
      <c r="P26" s="2">
        <f t="shared" ca="1" si="25"/>
        <v>0</v>
      </c>
      <c r="Q26" s="2">
        <f t="shared" ca="1" si="25"/>
        <v>0</v>
      </c>
      <c r="R26" s="2">
        <f t="shared" ref="R26:V27" ca="1" si="26">IF(ISBLANK($B26), 0, VLOOKUP($B26, INDIRECT($A26), MATCH(R$25, StatHeader, 0), 0))</f>
        <v>0</v>
      </c>
      <c r="S26" s="2">
        <f t="shared" ca="1" si="26"/>
        <v>0</v>
      </c>
      <c r="T26" s="32">
        <f t="shared" ca="1" si="26"/>
        <v>0</v>
      </c>
      <c r="U26" s="2">
        <f t="shared" ca="1" si="26"/>
        <v>0</v>
      </c>
      <c r="V26" s="2">
        <f t="shared" ca="1" si="26"/>
        <v>0</v>
      </c>
      <c r="W26" s="32">
        <f ca="1">IF(ISBLANK($B26), 0, IF(ISNUMBER(VLOOKUP($B26, INDIRECT($A26), MATCH("D"&amp;W$25, StatHeader, 0), 0)), IF(Setup!$F$42=1, VLOOKUP($B26, INDIRECT($A26), MATCH("D"&amp;W$25, StatHeader, 0), 0), 0), VLOOKUP($B26, INDIRECT($A26), MATCH(W$25, StatHeader, 0), 0)))</f>
        <v>0</v>
      </c>
      <c r="X26">
        <f t="shared" ca="1" si="25"/>
        <v>0</v>
      </c>
      <c r="AA26" t="str">
        <f>AA3</f>
        <v>GreatSword</v>
      </c>
      <c r="AB26" t="str">
        <f>AB3</f>
        <v>Ragnarok 119</v>
      </c>
      <c r="AC26">
        <f t="shared" ref="AC26:AX27" ca="1" si="27">IF(ISBLANK($AB26), 0, VLOOKUP($AB26, INDIRECT($AA26), MATCH(AC$25, StatHeader, 0), 0))</f>
        <v>0</v>
      </c>
      <c r="AD26">
        <f t="shared" ca="1" si="27"/>
        <v>0</v>
      </c>
      <c r="AE26">
        <f t="shared" ca="1" si="27"/>
        <v>0</v>
      </c>
      <c r="AF26">
        <f t="shared" ca="1" si="27"/>
        <v>0</v>
      </c>
      <c r="AG26">
        <f t="shared" ca="1" si="27"/>
        <v>0</v>
      </c>
      <c r="AH26">
        <f t="shared" ca="1" si="27"/>
        <v>0</v>
      </c>
      <c r="AI26">
        <f t="shared" ca="1" si="27"/>
        <v>0</v>
      </c>
      <c r="AJ26">
        <f t="shared" ca="1" si="27"/>
        <v>0</v>
      </c>
      <c r="AK26" s="2">
        <f t="shared" ca="1" si="27"/>
        <v>0</v>
      </c>
      <c r="AL26">
        <f t="shared" ca="1" si="27"/>
        <v>0</v>
      </c>
      <c r="AM26">
        <f t="shared" ca="1" si="27"/>
        <v>60</v>
      </c>
      <c r="AN26" s="2">
        <f t="shared" ca="1" si="27"/>
        <v>0</v>
      </c>
      <c r="AO26" s="2">
        <f t="shared" ca="1" si="27"/>
        <v>0</v>
      </c>
      <c r="AP26" s="2">
        <f t="shared" ca="1" si="27"/>
        <v>0</v>
      </c>
      <c r="AQ26" s="2">
        <f t="shared" ca="1" si="27"/>
        <v>0</v>
      </c>
      <c r="AR26" s="2">
        <f t="shared" ref="AR26:AV27" ca="1" si="28">IF(ISBLANK($AB26), 0, VLOOKUP($AB26, INDIRECT($AA26), MATCH(AR$25, StatHeader, 0), 0))</f>
        <v>0.14000000000000001</v>
      </c>
      <c r="AS26" s="2">
        <f t="shared" ca="1" si="28"/>
        <v>0</v>
      </c>
      <c r="AT26" s="32">
        <f t="shared" ca="1" si="28"/>
        <v>0</v>
      </c>
      <c r="AU26" s="2">
        <f t="shared" ca="1" si="28"/>
        <v>0</v>
      </c>
      <c r="AV26" s="2">
        <f t="shared" ca="1" si="28"/>
        <v>0</v>
      </c>
      <c r="AW26" s="32">
        <f ca="1">IF(ISBLANK($AB26), 0, IF(ISNUMBER(VLOOKUP($AB26, INDIRECT($AA26), MATCH("D"&amp;AW$25, StatHeader, 0), 0)), IF(Setup!$G$42=1, VLOOKUP($AB26, INDIRECT($AA26), MATCH("D"&amp;AW$25, StatHeader, 0), 0), 0), VLOOKUP($AB26, INDIRECT($AA26), MATCH(AW$25, StatHeader, 0), 0)))</f>
        <v>0</v>
      </c>
      <c r="AX26">
        <f t="shared" ca="1" si="27"/>
        <v>0</v>
      </c>
    </row>
    <row r="27" spans="1:50">
      <c r="A27" t="str">
        <f>A4</f>
        <v>Grip</v>
      </c>
      <c r="B27" s="38" t="str">
        <f>B4</f>
        <v>Utu</v>
      </c>
      <c r="C27">
        <f t="shared" ca="1" si="25"/>
        <v>0</v>
      </c>
      <c r="D27">
        <f t="shared" ca="1" si="25"/>
        <v>0</v>
      </c>
      <c r="E27">
        <f t="shared" ca="1" si="25"/>
        <v>0</v>
      </c>
      <c r="F27">
        <f t="shared" ca="1" si="25"/>
        <v>0</v>
      </c>
      <c r="G27">
        <f t="shared" ca="1" si="25"/>
        <v>0</v>
      </c>
      <c r="H27">
        <f t="shared" ca="1" si="25"/>
        <v>0</v>
      </c>
      <c r="I27">
        <f t="shared" ca="1" si="25"/>
        <v>0</v>
      </c>
      <c r="J27">
        <f t="shared" ca="1" si="25"/>
        <v>0</v>
      </c>
      <c r="K27" s="2">
        <f t="shared" ca="1" si="25"/>
        <v>0</v>
      </c>
      <c r="L27">
        <f t="shared" ca="1" si="25"/>
        <v>30</v>
      </c>
      <c r="M27">
        <f t="shared" ca="1" si="25"/>
        <v>30</v>
      </c>
      <c r="N27" s="2">
        <f t="shared" ca="1" si="25"/>
        <v>0</v>
      </c>
      <c r="O27" s="2">
        <f t="shared" ca="1" si="25"/>
        <v>0</v>
      </c>
      <c r="P27" s="2">
        <f t="shared" ca="1" si="25"/>
        <v>0</v>
      </c>
      <c r="Q27" s="2">
        <f t="shared" ca="1" si="25"/>
        <v>0</v>
      </c>
      <c r="R27" s="2">
        <f t="shared" ca="1" si="26"/>
        <v>0</v>
      </c>
      <c r="S27" s="2">
        <f t="shared" ca="1" si="26"/>
        <v>0</v>
      </c>
      <c r="T27" s="32">
        <f t="shared" ca="1" si="26"/>
        <v>0</v>
      </c>
      <c r="U27" s="2">
        <f t="shared" ca="1" si="26"/>
        <v>0</v>
      </c>
      <c r="V27" s="2">
        <f t="shared" ca="1" si="26"/>
        <v>0</v>
      </c>
      <c r="W27" s="32">
        <f ca="1">IF(ISBLANK($B27), 0, IF(ISNUMBER(VLOOKUP($B27, INDIRECT($A27), MATCH("D"&amp;W$25, StatHeader, 0), 0)), IF(Setup!$F$42=1, VLOOKUP($B27, INDIRECT($A27), MATCH("D"&amp;W$25, StatHeader, 0), 0), 0), VLOOKUP($B27, INDIRECT($A27), MATCH(W$25, StatHeader, 0), 0)))</f>
        <v>0</v>
      </c>
      <c r="X27">
        <f t="shared" ca="1" si="25"/>
        <v>0</v>
      </c>
      <c r="AA27" t="str">
        <f>AA4</f>
        <v>Grip</v>
      </c>
      <c r="AB27" s="38" t="str">
        <f>AB4</f>
        <v>Utu</v>
      </c>
      <c r="AC27">
        <f t="shared" ca="1" si="27"/>
        <v>0</v>
      </c>
      <c r="AD27">
        <f t="shared" ca="1" si="27"/>
        <v>0</v>
      </c>
      <c r="AE27">
        <f t="shared" ca="1" si="27"/>
        <v>0</v>
      </c>
      <c r="AF27">
        <f t="shared" ca="1" si="27"/>
        <v>0</v>
      </c>
      <c r="AG27">
        <f t="shared" ca="1" si="27"/>
        <v>0</v>
      </c>
      <c r="AH27">
        <f t="shared" ca="1" si="27"/>
        <v>0</v>
      </c>
      <c r="AI27">
        <f t="shared" ca="1" si="27"/>
        <v>0</v>
      </c>
      <c r="AJ27">
        <f t="shared" ca="1" si="27"/>
        <v>0</v>
      </c>
      <c r="AK27" s="2">
        <f t="shared" ca="1" si="27"/>
        <v>0</v>
      </c>
      <c r="AL27">
        <f t="shared" ca="1" si="27"/>
        <v>30</v>
      </c>
      <c r="AM27">
        <f t="shared" ca="1" si="27"/>
        <v>30</v>
      </c>
      <c r="AN27" s="2">
        <f t="shared" ca="1" si="27"/>
        <v>0</v>
      </c>
      <c r="AO27" s="2">
        <f t="shared" ca="1" si="27"/>
        <v>0</v>
      </c>
      <c r="AP27" s="2">
        <f t="shared" ca="1" si="27"/>
        <v>0</v>
      </c>
      <c r="AQ27" s="2">
        <f t="shared" ca="1" si="27"/>
        <v>0</v>
      </c>
      <c r="AR27" s="2">
        <f t="shared" ca="1" si="28"/>
        <v>0</v>
      </c>
      <c r="AS27" s="2">
        <f t="shared" ca="1" si="28"/>
        <v>0</v>
      </c>
      <c r="AT27" s="32">
        <f t="shared" ca="1" si="28"/>
        <v>0</v>
      </c>
      <c r="AU27" s="2">
        <f t="shared" ca="1" si="28"/>
        <v>0</v>
      </c>
      <c r="AV27" s="2">
        <f t="shared" ca="1" si="28"/>
        <v>0</v>
      </c>
      <c r="AW27" s="32">
        <f ca="1">IF(ISBLANK($AB27), 0, IF(ISNUMBER(VLOOKUP($AB27, INDIRECT($AA27), MATCH("D"&amp;AW$25, StatHeader, 0), 0)), IF(Setup!$G$42=1, VLOOKUP($AB27, INDIRECT($AA27), MATCH("D"&amp;AW$25, StatHeader, 0), 0), 0), VLOOKUP($AB27, INDIRECT($AA27), MATCH(AW$25, StatHeader, 0), 0)))</f>
        <v>0</v>
      </c>
      <c r="AX27">
        <f t="shared" ca="1" si="27"/>
        <v>0</v>
      </c>
    </row>
    <row r="28" spans="1:50">
      <c r="A28" t="s">
        <v>15</v>
      </c>
      <c r="B28" s="30" t="s">
        <v>933</v>
      </c>
      <c r="C28">
        <f t="shared" ref="C28:L40" ca="1" si="29">IF(ISBLANK($B28), 0, VLOOKUP($B28, INDIRECT($A28), MATCH(C$25, StatHeader, 0), 0))</f>
        <v>0</v>
      </c>
      <c r="D28">
        <f t="shared" ca="1" si="29"/>
        <v>0</v>
      </c>
      <c r="E28">
        <f t="shared" ca="1" si="29"/>
        <v>0</v>
      </c>
      <c r="F28">
        <f t="shared" ca="1" si="29"/>
        <v>0</v>
      </c>
      <c r="G28">
        <f t="shared" ca="1" si="29"/>
        <v>0</v>
      </c>
      <c r="H28">
        <f t="shared" ca="1" si="29"/>
        <v>0</v>
      </c>
      <c r="I28">
        <f t="shared" ca="1" si="29"/>
        <v>0</v>
      </c>
      <c r="J28">
        <f t="shared" ca="1" si="29"/>
        <v>0</v>
      </c>
      <c r="K28" s="2">
        <f t="shared" ca="1" si="29"/>
        <v>0</v>
      </c>
      <c r="L28">
        <f t="shared" ca="1" si="29"/>
        <v>23</v>
      </c>
      <c r="M28">
        <f t="shared" ref="M28:M40" ca="1" si="30">IF(ISBLANK($B28), 0, VLOOKUP($B28, INDIRECT($A28), MATCH(M$25, StatHeader, 0), 0))</f>
        <v>0</v>
      </c>
      <c r="N28" s="2">
        <f t="shared" ref="N28:N40" ca="1" si="31">IF(ISBLANK($B28), 0, VLOOKUP($B28, INDIRECT($A28), MATCH(N$25, StatHeader, 0), 0))</f>
        <v>0</v>
      </c>
      <c r="O28" s="2">
        <f t="shared" ref="O28:V40" ca="1" si="32">IF(ISBLANK($B28), 0, VLOOKUP($B28, INDIRECT($A28), MATCH(O$25, StatHeader, 0), 0))</f>
        <v>0</v>
      </c>
      <c r="P28" s="2">
        <f t="shared" ca="1" si="32"/>
        <v>0</v>
      </c>
      <c r="Q28" s="2">
        <f t="shared" ca="1" si="32"/>
        <v>0</v>
      </c>
      <c r="R28" s="2">
        <f t="shared" ca="1" si="32"/>
        <v>0</v>
      </c>
      <c r="S28" s="2">
        <f t="shared" ca="1" si="32"/>
        <v>0</v>
      </c>
      <c r="T28" s="32">
        <f t="shared" ca="1" si="32"/>
        <v>0</v>
      </c>
      <c r="U28" s="2">
        <f t="shared" ca="1" si="32"/>
        <v>0</v>
      </c>
      <c r="V28" s="2">
        <f t="shared" ca="1" si="32"/>
        <v>0.06</v>
      </c>
      <c r="W28" s="32">
        <f ca="1">IF(ISBLANK($B28), 0, IF(ISNUMBER(VLOOKUP($B28, INDIRECT($A28), MATCH("D"&amp;W$25, StatHeader, 0), 0)), IF(Setup!$F$42=1, VLOOKUP($B28, INDIRECT($A28), MATCH("D"&amp;W$25, StatHeader, 0), 0), 0), VLOOKUP($B28, INDIRECT($A28), MATCH(W$25, StatHeader, 0), 0)))</f>
        <v>0</v>
      </c>
      <c r="X28">
        <f t="shared" ref="X28:X40" ca="1" si="33">IF(ISBLANK($B28), 0, VLOOKUP($B28, INDIRECT($A28), MATCH(X$25, StatHeader, 0), 0))</f>
        <v>0</v>
      </c>
      <c r="Z28" t="str">
        <f t="shared" ref="Z28:Z40" si="34">IF(B28=AB28, "=", "-")</f>
        <v>-</v>
      </c>
      <c r="AA28" t="s">
        <v>15</v>
      </c>
      <c r="AB28" s="30" t="s">
        <v>853</v>
      </c>
      <c r="AC28">
        <f t="shared" ref="AC28:AL40" ca="1" si="35">IF(ISBLANK($AB28), 0, VLOOKUP($AB28, INDIRECT($AA28), MATCH(AC$25, StatHeader, 0), 0))</f>
        <v>0</v>
      </c>
      <c r="AD28">
        <f t="shared" ca="1" si="35"/>
        <v>5</v>
      </c>
      <c r="AE28">
        <f t="shared" ca="1" si="35"/>
        <v>0</v>
      </c>
      <c r="AF28">
        <f t="shared" ca="1" si="35"/>
        <v>0</v>
      </c>
      <c r="AG28">
        <f t="shared" ca="1" si="35"/>
        <v>0</v>
      </c>
      <c r="AH28">
        <f t="shared" ca="1" si="35"/>
        <v>0</v>
      </c>
      <c r="AI28">
        <f t="shared" ca="1" si="35"/>
        <v>0</v>
      </c>
      <c r="AJ28">
        <f t="shared" ca="1" si="35"/>
        <v>0</v>
      </c>
      <c r="AK28" s="2">
        <f t="shared" ca="1" si="35"/>
        <v>0</v>
      </c>
      <c r="AL28">
        <f t="shared" ca="1" si="35"/>
        <v>13</v>
      </c>
      <c r="AM28">
        <f t="shared" ref="AM28:AM40" ca="1" si="36">IF(ISBLANK($AB28), 0, VLOOKUP($AB28, INDIRECT($AA28), MATCH(AM$25, StatHeader, 0), 0))</f>
        <v>13</v>
      </c>
      <c r="AN28" s="2">
        <f t="shared" ref="AN28:AN40" ca="1" si="37">IF(ISBLANK($AB28), 0, VLOOKUP($AB28, INDIRECT($AA28), MATCH(AN$25, StatHeader, 0), 0))</f>
        <v>0</v>
      </c>
      <c r="AO28" s="2">
        <f t="shared" ref="AO28:AV40" ca="1" si="38">IF(ISBLANK($AB28), 0, VLOOKUP($AB28, INDIRECT($AA28), MATCH(AO$25, StatHeader, 0), 0))</f>
        <v>0</v>
      </c>
      <c r="AP28" s="2">
        <f t="shared" ca="1" si="38"/>
        <v>0</v>
      </c>
      <c r="AQ28" s="2">
        <f t="shared" ca="1" si="38"/>
        <v>0</v>
      </c>
      <c r="AR28" s="2">
        <f t="shared" ca="1" si="38"/>
        <v>0</v>
      </c>
      <c r="AS28" s="2">
        <f t="shared" ca="1" si="38"/>
        <v>0</v>
      </c>
      <c r="AT28" s="32">
        <f t="shared" ca="1" si="38"/>
        <v>0</v>
      </c>
      <c r="AU28" s="2">
        <f t="shared" ca="1" si="38"/>
        <v>0</v>
      </c>
      <c r="AV28" s="2">
        <f t="shared" ca="1" si="38"/>
        <v>0</v>
      </c>
      <c r="AW28" s="32">
        <f ca="1">IF(ISBLANK($AB28), 0, IF(ISNUMBER(VLOOKUP($AB28, INDIRECT($AA28), MATCH("D"&amp;AW$25, StatHeader, 0), 0)), IF(Setup!$G$42=1, VLOOKUP($AB28, INDIRECT($AA28), MATCH("D"&amp;AW$25, StatHeader, 0), 0), 0), VLOOKUP($AB28, INDIRECT($AA28), MATCH(AW$25, StatHeader, 0), 0)))</f>
        <v>0</v>
      </c>
      <c r="AX28">
        <f t="shared" ref="AX28:AX40" ca="1" si="39">IF(ISBLANK($AB28), 0, VLOOKUP($AB28, INDIRECT($AA28), MATCH(AX$25, StatHeader, 0), 0))</f>
        <v>0</v>
      </c>
    </row>
    <row r="29" spans="1:50">
      <c r="A29" t="s">
        <v>16</v>
      </c>
      <c r="B29" s="30" t="s">
        <v>935</v>
      </c>
      <c r="C29">
        <f t="shared" ca="1" si="29"/>
        <v>0</v>
      </c>
      <c r="D29">
        <f t="shared" ca="1" si="29"/>
        <v>29</v>
      </c>
      <c r="E29">
        <f t="shared" ca="1" si="29"/>
        <v>15</v>
      </c>
      <c r="F29">
        <f t="shared" ca="1" si="29"/>
        <v>18</v>
      </c>
      <c r="G29">
        <f t="shared" ca="1" si="29"/>
        <v>46</v>
      </c>
      <c r="H29">
        <f t="shared" ca="1" si="29"/>
        <v>17</v>
      </c>
      <c r="I29">
        <f t="shared" ca="1" si="29"/>
        <v>17</v>
      </c>
      <c r="J29">
        <f t="shared" ca="1" si="29"/>
        <v>0</v>
      </c>
      <c r="K29" s="2">
        <f t="shared" ca="1" si="29"/>
        <v>0</v>
      </c>
      <c r="L29">
        <f t="shared" ca="1" si="29"/>
        <v>25</v>
      </c>
      <c r="M29">
        <f t="shared" ca="1" si="30"/>
        <v>25</v>
      </c>
      <c r="N29" s="2">
        <f t="shared" ca="1" si="31"/>
        <v>0</v>
      </c>
      <c r="O29" s="2">
        <f t="shared" ca="1" si="32"/>
        <v>0</v>
      </c>
      <c r="P29" s="2">
        <f t="shared" ca="1" si="32"/>
        <v>0</v>
      </c>
      <c r="Q29" s="2">
        <f t="shared" ca="1" si="32"/>
        <v>0</v>
      </c>
      <c r="R29" s="2">
        <f t="shared" ca="1" si="32"/>
        <v>0</v>
      </c>
      <c r="S29" s="2">
        <f t="shared" ca="1" si="32"/>
        <v>0</v>
      </c>
      <c r="T29" s="32">
        <f t="shared" ca="1" si="32"/>
        <v>0</v>
      </c>
      <c r="U29" s="2">
        <f t="shared" ca="1" si="32"/>
        <v>0</v>
      </c>
      <c r="V29" s="2">
        <f t="shared" ca="1" si="32"/>
        <v>0.03</v>
      </c>
      <c r="W29" s="32">
        <f ca="1">IF(ISBLANK($B29), 0, IF(ISNUMBER(VLOOKUP($B29, INDIRECT($A29), MATCH("D"&amp;W$25, StatHeader, 0), 0)), IF(Setup!$F$42=1, VLOOKUP($B29, INDIRECT($A29), MATCH("D"&amp;W$25, StatHeader, 0), 0), 0), VLOOKUP($B29, INDIRECT($A29), MATCH(W$25, StatHeader, 0), 0)))</f>
        <v>0</v>
      </c>
      <c r="X29">
        <f t="shared" ca="1" si="33"/>
        <v>0</v>
      </c>
      <c r="Z29" t="str">
        <f t="shared" si="34"/>
        <v>-</v>
      </c>
      <c r="AA29" t="s">
        <v>16</v>
      </c>
      <c r="AB29" s="30" t="s">
        <v>923</v>
      </c>
      <c r="AC29">
        <f t="shared" ca="1" si="35"/>
        <v>0</v>
      </c>
      <c r="AD29">
        <f t="shared" ca="1" si="35"/>
        <v>42</v>
      </c>
      <c r="AE29">
        <f t="shared" ca="1" si="35"/>
        <v>42</v>
      </c>
      <c r="AF29">
        <f t="shared" ca="1" si="35"/>
        <v>0</v>
      </c>
      <c r="AG29">
        <f t="shared" ca="1" si="35"/>
        <v>0</v>
      </c>
      <c r="AH29">
        <f t="shared" ca="1" si="35"/>
        <v>0</v>
      </c>
      <c r="AI29">
        <f t="shared" ca="1" si="35"/>
        <v>0</v>
      </c>
      <c r="AJ29">
        <f t="shared" ca="1" si="35"/>
        <v>50</v>
      </c>
      <c r="AK29" s="2">
        <f t="shared" ca="1" si="35"/>
        <v>0</v>
      </c>
      <c r="AL29">
        <f t="shared" ca="1" si="35"/>
        <v>55</v>
      </c>
      <c r="AM29">
        <f t="shared" ca="1" si="36"/>
        <v>30</v>
      </c>
      <c r="AN29" s="2">
        <f t="shared" ca="1" si="37"/>
        <v>0</v>
      </c>
      <c r="AO29" s="2">
        <f t="shared" ca="1" si="38"/>
        <v>0</v>
      </c>
      <c r="AP29" s="2">
        <f t="shared" ca="1" si="38"/>
        <v>0</v>
      </c>
      <c r="AQ29" s="2">
        <f t="shared" ca="1" si="38"/>
        <v>0</v>
      </c>
      <c r="AR29" s="2">
        <f t="shared" ca="1" si="38"/>
        <v>0</v>
      </c>
      <c r="AS29" s="2">
        <f t="shared" ca="1" si="38"/>
        <v>0</v>
      </c>
      <c r="AT29" s="32">
        <f t="shared" ca="1" si="38"/>
        <v>0</v>
      </c>
      <c r="AU29" s="2">
        <f t="shared" ca="1" si="38"/>
        <v>0</v>
      </c>
      <c r="AV29" s="2">
        <f t="shared" ca="1" si="38"/>
        <v>0</v>
      </c>
      <c r="AW29" s="32">
        <f ca="1">IF(ISBLANK($AB29), 0, IF(ISNUMBER(VLOOKUP($AB29, INDIRECT($AA29), MATCH("D"&amp;AW$25, StatHeader, 0), 0)), IF(Setup!$G$42=1, VLOOKUP($AB29, INDIRECT($AA29), MATCH("D"&amp;AW$25, StatHeader, 0), 0), 0), VLOOKUP($AB29, INDIRECT($AA29), MATCH(AW$25, StatHeader, 0), 0)))</f>
        <v>0</v>
      </c>
      <c r="AX29">
        <f t="shared" ca="1" si="39"/>
        <v>7</v>
      </c>
    </row>
    <row r="30" spans="1:50">
      <c r="A30" t="s">
        <v>17</v>
      </c>
      <c r="B30" s="30" t="s">
        <v>27</v>
      </c>
      <c r="C30">
        <f t="shared" ca="1" si="29"/>
        <v>0</v>
      </c>
      <c r="D30">
        <f t="shared" ca="1" si="29"/>
        <v>0</v>
      </c>
      <c r="E30">
        <f t="shared" ca="1" si="29"/>
        <v>0</v>
      </c>
      <c r="F30">
        <f t="shared" ca="1" si="29"/>
        <v>0</v>
      </c>
      <c r="G30">
        <f t="shared" ca="1" si="29"/>
        <v>0</v>
      </c>
      <c r="H30">
        <f t="shared" ca="1" si="29"/>
        <v>0</v>
      </c>
      <c r="I30">
        <f t="shared" ca="1" si="29"/>
        <v>0</v>
      </c>
      <c r="J30">
        <f t="shared" ca="1" si="29"/>
        <v>0</v>
      </c>
      <c r="K30" s="2">
        <f t="shared" ca="1" si="29"/>
        <v>0</v>
      </c>
      <c r="L30">
        <f t="shared" ca="1" si="29"/>
        <v>0</v>
      </c>
      <c r="M30">
        <f t="shared" ca="1" si="30"/>
        <v>10</v>
      </c>
      <c r="N30" s="2">
        <f t="shared" ca="1" si="31"/>
        <v>0</v>
      </c>
      <c r="O30" s="2">
        <f t="shared" ca="1" si="32"/>
        <v>0</v>
      </c>
      <c r="P30" s="2">
        <f t="shared" ca="1" si="32"/>
        <v>0</v>
      </c>
      <c r="Q30" s="2">
        <f t="shared" ca="1" si="32"/>
        <v>0</v>
      </c>
      <c r="R30" s="2">
        <f t="shared" ca="1" si="32"/>
        <v>0</v>
      </c>
      <c r="S30" s="2">
        <f t="shared" ca="1" si="32"/>
        <v>0</v>
      </c>
      <c r="T30" s="32">
        <f t="shared" ca="1" si="32"/>
        <v>0</v>
      </c>
      <c r="U30" s="2">
        <f t="shared" ca="1" si="32"/>
        <v>0</v>
      </c>
      <c r="V30" s="2">
        <f t="shared" ca="1" si="32"/>
        <v>0</v>
      </c>
      <c r="W30" s="32">
        <f ca="1">IF(ISBLANK($B30), 0, IF(ISNUMBER(VLOOKUP($B30, INDIRECT($A30), MATCH("D"&amp;W$25, StatHeader, 0), 0)), IF(Setup!$F$42=1, VLOOKUP($B30, INDIRECT($A30), MATCH("D"&amp;W$25, StatHeader, 0), 0), 0), VLOOKUP($B30, INDIRECT($A30), MATCH(W$25, StatHeader, 0), 0)))</f>
        <v>100</v>
      </c>
      <c r="X30">
        <f t="shared" ca="1" si="33"/>
        <v>0</v>
      </c>
      <c r="Z30" t="str">
        <f t="shared" si="34"/>
        <v>=</v>
      </c>
      <c r="AA30" t="s">
        <v>17</v>
      </c>
      <c r="AB30" s="30" t="s">
        <v>27</v>
      </c>
      <c r="AC30">
        <f t="shared" ca="1" si="35"/>
        <v>0</v>
      </c>
      <c r="AD30">
        <f t="shared" ca="1" si="35"/>
        <v>0</v>
      </c>
      <c r="AE30">
        <f t="shared" ca="1" si="35"/>
        <v>0</v>
      </c>
      <c r="AF30">
        <f t="shared" ca="1" si="35"/>
        <v>0</v>
      </c>
      <c r="AG30">
        <f t="shared" ca="1" si="35"/>
        <v>0</v>
      </c>
      <c r="AH30">
        <f t="shared" ca="1" si="35"/>
        <v>0</v>
      </c>
      <c r="AI30">
        <f t="shared" ca="1" si="35"/>
        <v>0</v>
      </c>
      <c r="AJ30">
        <f t="shared" ca="1" si="35"/>
        <v>0</v>
      </c>
      <c r="AK30" s="2">
        <f t="shared" ca="1" si="35"/>
        <v>0</v>
      </c>
      <c r="AL30">
        <f t="shared" ca="1" si="35"/>
        <v>0</v>
      </c>
      <c r="AM30">
        <f t="shared" ca="1" si="36"/>
        <v>10</v>
      </c>
      <c r="AN30" s="2">
        <f t="shared" ca="1" si="37"/>
        <v>0</v>
      </c>
      <c r="AO30" s="2">
        <f t="shared" ca="1" si="38"/>
        <v>0</v>
      </c>
      <c r="AP30" s="2">
        <f t="shared" ca="1" si="38"/>
        <v>0</v>
      </c>
      <c r="AQ30" s="2">
        <f t="shared" ca="1" si="38"/>
        <v>0</v>
      </c>
      <c r="AR30" s="2">
        <f t="shared" ca="1" si="38"/>
        <v>0</v>
      </c>
      <c r="AS30" s="2">
        <f t="shared" ca="1" si="38"/>
        <v>0</v>
      </c>
      <c r="AT30" s="32">
        <f t="shared" ca="1" si="38"/>
        <v>0</v>
      </c>
      <c r="AU30" s="2">
        <f t="shared" ca="1" si="38"/>
        <v>0</v>
      </c>
      <c r="AV30" s="2">
        <f t="shared" ca="1" si="38"/>
        <v>0</v>
      </c>
      <c r="AW30" s="32">
        <f ca="1">IF(ISBLANK($AB30), 0, IF(ISNUMBER(VLOOKUP($AB30, INDIRECT($AA30), MATCH("D"&amp;AW$25, StatHeader, 0), 0)), IF(Setup!$G$42=1, VLOOKUP($AB30, INDIRECT($AA30), MATCH("D"&amp;AW$25, StatHeader, 0), 0), 0), VLOOKUP($AB30, INDIRECT($AA30), MATCH(AW$25, StatHeader, 0), 0)))</f>
        <v>100</v>
      </c>
      <c r="AX30">
        <f t="shared" ca="1" si="39"/>
        <v>0</v>
      </c>
    </row>
    <row r="31" spans="1:50">
      <c r="A31" t="s">
        <v>71</v>
      </c>
      <c r="B31" s="30" t="s">
        <v>792</v>
      </c>
      <c r="C31">
        <f t="shared" ca="1" si="29"/>
        <v>0</v>
      </c>
      <c r="D31">
        <f t="shared" ca="1" si="29"/>
        <v>8</v>
      </c>
      <c r="E31">
        <f t="shared" ca="1" si="29"/>
        <v>8</v>
      </c>
      <c r="F31">
        <f t="shared" ca="1" si="29"/>
        <v>0</v>
      </c>
      <c r="G31">
        <f t="shared" ca="1" si="29"/>
        <v>8</v>
      </c>
      <c r="H31">
        <f t="shared" ca="1" si="29"/>
        <v>8</v>
      </c>
      <c r="I31">
        <f t="shared" ca="1" si="29"/>
        <v>0</v>
      </c>
      <c r="J31">
        <f t="shared" ca="1" si="29"/>
        <v>0</v>
      </c>
      <c r="K31" s="2">
        <f t="shared" ca="1" si="29"/>
        <v>0</v>
      </c>
      <c r="L31">
        <f t="shared" ca="1" si="29"/>
        <v>0</v>
      </c>
      <c r="M31">
        <f t="shared" ca="1" si="30"/>
        <v>0</v>
      </c>
      <c r="N31" s="2">
        <f t="shared" ca="1" si="31"/>
        <v>0</v>
      </c>
      <c r="O31" s="2">
        <f t="shared" ca="1" si="32"/>
        <v>0.03</v>
      </c>
      <c r="P31" s="2">
        <f t="shared" ca="1" si="32"/>
        <v>0</v>
      </c>
      <c r="Q31" s="2">
        <f t="shared" ca="1" si="32"/>
        <v>0</v>
      </c>
      <c r="R31" s="2">
        <f t="shared" ca="1" si="32"/>
        <v>0</v>
      </c>
      <c r="S31" s="2">
        <f t="shared" ca="1" si="32"/>
        <v>0</v>
      </c>
      <c r="T31" s="32">
        <f t="shared" ca="1" si="32"/>
        <v>0</v>
      </c>
      <c r="U31" s="2">
        <f t="shared" ca="1" si="32"/>
        <v>0</v>
      </c>
      <c r="V31" s="2">
        <f t="shared" ca="1" si="32"/>
        <v>0</v>
      </c>
      <c r="W31" s="32">
        <f ca="1">IF(ISBLANK($B31), 0, IF(ISNUMBER(VLOOKUP($B31, INDIRECT($A31), MATCH("D"&amp;W$25, StatHeader, 0), 0)), IF(Setup!$F$42=1, VLOOKUP($B31, INDIRECT($A31), MATCH("D"&amp;W$25, StatHeader, 0), 0), 0), VLOOKUP($B31, INDIRECT($A31), MATCH(W$25, StatHeader, 0), 0)))</f>
        <v>0</v>
      </c>
      <c r="X31">
        <f t="shared" ca="1" si="33"/>
        <v>0</v>
      </c>
      <c r="Z31" t="str">
        <f t="shared" si="34"/>
        <v>=</v>
      </c>
      <c r="AA31" t="s">
        <v>71</v>
      </c>
      <c r="AB31" s="30" t="s">
        <v>792</v>
      </c>
      <c r="AC31">
        <f t="shared" ca="1" si="35"/>
        <v>0</v>
      </c>
      <c r="AD31">
        <f t="shared" ca="1" si="35"/>
        <v>8</v>
      </c>
      <c r="AE31">
        <f t="shared" ca="1" si="35"/>
        <v>8</v>
      </c>
      <c r="AF31">
        <f t="shared" ca="1" si="35"/>
        <v>0</v>
      </c>
      <c r="AG31">
        <f t="shared" ca="1" si="35"/>
        <v>8</v>
      </c>
      <c r="AH31">
        <f t="shared" ca="1" si="35"/>
        <v>8</v>
      </c>
      <c r="AI31">
        <f t="shared" ca="1" si="35"/>
        <v>0</v>
      </c>
      <c r="AJ31">
        <f t="shared" ca="1" si="35"/>
        <v>0</v>
      </c>
      <c r="AK31" s="2">
        <f t="shared" ca="1" si="35"/>
        <v>0</v>
      </c>
      <c r="AL31">
        <f t="shared" ca="1" si="35"/>
        <v>0</v>
      </c>
      <c r="AM31">
        <f t="shared" ca="1" si="36"/>
        <v>0</v>
      </c>
      <c r="AN31" s="2">
        <f t="shared" ca="1" si="37"/>
        <v>0</v>
      </c>
      <c r="AO31" s="2">
        <f t="shared" ca="1" si="38"/>
        <v>0.03</v>
      </c>
      <c r="AP31" s="2">
        <f t="shared" ca="1" si="38"/>
        <v>0</v>
      </c>
      <c r="AQ31" s="2">
        <f t="shared" ca="1" si="38"/>
        <v>0</v>
      </c>
      <c r="AR31" s="2">
        <f t="shared" ca="1" si="38"/>
        <v>0</v>
      </c>
      <c r="AS31" s="2">
        <f t="shared" ca="1" si="38"/>
        <v>0</v>
      </c>
      <c r="AT31" s="32">
        <f t="shared" ca="1" si="38"/>
        <v>0</v>
      </c>
      <c r="AU31" s="2">
        <f t="shared" ca="1" si="38"/>
        <v>0</v>
      </c>
      <c r="AV31" s="2">
        <f t="shared" ca="1" si="38"/>
        <v>0</v>
      </c>
      <c r="AW31" s="32">
        <f ca="1">IF(ISBLANK($AB31), 0, IF(ISNUMBER(VLOOKUP($AB31, INDIRECT($AA31), MATCH("D"&amp;AW$25, StatHeader, 0), 0)), IF(Setup!$G$42=1, VLOOKUP($AB31, INDIRECT($AA31), MATCH("D"&amp;AW$25, StatHeader, 0), 0), 0), VLOOKUP($AB31, INDIRECT($AA31), MATCH(AW$25, StatHeader, 0), 0)))</f>
        <v>0</v>
      </c>
      <c r="AX31">
        <f t="shared" ca="1" si="39"/>
        <v>0</v>
      </c>
    </row>
    <row r="32" spans="1:50">
      <c r="A32" t="s">
        <v>71</v>
      </c>
      <c r="B32" s="30" t="s">
        <v>212</v>
      </c>
      <c r="C32">
        <f t="shared" ca="1" si="29"/>
        <v>0</v>
      </c>
      <c r="D32">
        <f t="shared" ca="1" si="29"/>
        <v>0</v>
      </c>
      <c r="E32">
        <f t="shared" ca="1" si="29"/>
        <v>0</v>
      </c>
      <c r="F32">
        <f t="shared" ca="1" si="29"/>
        <v>0</v>
      </c>
      <c r="G32">
        <f t="shared" ca="1" si="29"/>
        <v>0</v>
      </c>
      <c r="H32">
        <f t="shared" ca="1" si="29"/>
        <v>0</v>
      </c>
      <c r="I32">
        <f t="shared" ca="1" si="29"/>
        <v>0</v>
      </c>
      <c r="J32">
        <f t="shared" ca="1" si="29"/>
        <v>0</v>
      </c>
      <c r="K32" s="2">
        <f t="shared" ca="1" si="29"/>
        <v>0</v>
      </c>
      <c r="L32">
        <f t="shared" ca="1" si="29"/>
        <v>4</v>
      </c>
      <c r="M32">
        <f t="shared" ca="1" si="30"/>
        <v>0</v>
      </c>
      <c r="N32" s="2">
        <f t="shared" ca="1" si="31"/>
        <v>0</v>
      </c>
      <c r="O32" s="2">
        <f t="shared" ca="1" si="32"/>
        <v>0</v>
      </c>
      <c r="P32" s="2">
        <f t="shared" ca="1" si="32"/>
        <v>0</v>
      </c>
      <c r="Q32" s="2">
        <f t="shared" ca="1" si="32"/>
        <v>0</v>
      </c>
      <c r="R32" s="2">
        <f t="shared" ca="1" si="32"/>
        <v>0</v>
      </c>
      <c r="S32" s="2">
        <f t="shared" ca="1" si="32"/>
        <v>0</v>
      </c>
      <c r="T32" s="32">
        <f t="shared" ca="1" si="32"/>
        <v>250</v>
      </c>
      <c r="U32" s="2">
        <f t="shared" ca="1" si="32"/>
        <v>0</v>
      </c>
      <c r="V32" s="2">
        <f t="shared" ca="1" si="32"/>
        <v>0</v>
      </c>
      <c r="W32" s="32">
        <f ca="1">IF(ISBLANK($B32), 0, IF(ISNUMBER(VLOOKUP($B32, INDIRECT($A32), MATCH("D"&amp;W$25, StatHeader, 0), 0)), IF(Setup!$F$42=1, VLOOKUP($B32, INDIRECT($A32), MATCH("D"&amp;W$25, StatHeader, 0), 0), 0), VLOOKUP($B32, INDIRECT($A32), MATCH(W$25, StatHeader, 0), 0)))</f>
        <v>0</v>
      </c>
      <c r="X32">
        <f t="shared" ca="1" si="33"/>
        <v>0</v>
      </c>
      <c r="Z32" t="str">
        <f t="shared" si="34"/>
        <v>=</v>
      </c>
      <c r="AA32" t="s">
        <v>71</v>
      </c>
      <c r="AB32" s="30" t="s">
        <v>212</v>
      </c>
      <c r="AC32">
        <f t="shared" ca="1" si="35"/>
        <v>0</v>
      </c>
      <c r="AD32">
        <f t="shared" ca="1" si="35"/>
        <v>0</v>
      </c>
      <c r="AE32">
        <f t="shared" ca="1" si="35"/>
        <v>0</v>
      </c>
      <c r="AF32">
        <f t="shared" ca="1" si="35"/>
        <v>0</v>
      </c>
      <c r="AG32">
        <f t="shared" ca="1" si="35"/>
        <v>0</v>
      </c>
      <c r="AH32">
        <f t="shared" ca="1" si="35"/>
        <v>0</v>
      </c>
      <c r="AI32">
        <f t="shared" ca="1" si="35"/>
        <v>0</v>
      </c>
      <c r="AJ32">
        <f t="shared" ca="1" si="35"/>
        <v>0</v>
      </c>
      <c r="AK32" s="2">
        <f t="shared" ca="1" si="35"/>
        <v>0</v>
      </c>
      <c r="AL32">
        <f t="shared" ca="1" si="35"/>
        <v>4</v>
      </c>
      <c r="AM32">
        <f t="shared" ca="1" si="36"/>
        <v>0</v>
      </c>
      <c r="AN32" s="2">
        <f t="shared" ca="1" si="37"/>
        <v>0</v>
      </c>
      <c r="AO32" s="2">
        <f t="shared" ca="1" si="38"/>
        <v>0</v>
      </c>
      <c r="AP32" s="2">
        <f t="shared" ca="1" si="38"/>
        <v>0</v>
      </c>
      <c r="AQ32" s="2">
        <f t="shared" ca="1" si="38"/>
        <v>0</v>
      </c>
      <c r="AR32" s="2">
        <f t="shared" ca="1" si="38"/>
        <v>0</v>
      </c>
      <c r="AS32" s="2">
        <f t="shared" ca="1" si="38"/>
        <v>0</v>
      </c>
      <c r="AT32" s="32">
        <f t="shared" ca="1" si="38"/>
        <v>250</v>
      </c>
      <c r="AU32" s="2">
        <f t="shared" ca="1" si="38"/>
        <v>0</v>
      </c>
      <c r="AV32" s="2">
        <f t="shared" ca="1" si="38"/>
        <v>0</v>
      </c>
      <c r="AW32" s="32">
        <f ca="1">IF(ISBLANK($AB32), 0, IF(ISNUMBER(VLOOKUP($AB32, INDIRECT($AA32), MATCH("D"&amp;AW$25, StatHeader, 0), 0)), IF(Setup!$G$42=1, VLOOKUP($AB32, INDIRECT($AA32), MATCH("D"&amp;AW$25, StatHeader, 0), 0), 0), VLOOKUP($AB32, INDIRECT($AA32), MATCH(AW$25, StatHeader, 0), 0)))</f>
        <v>0</v>
      </c>
      <c r="AX32">
        <f t="shared" ca="1" si="39"/>
        <v>0</v>
      </c>
    </row>
    <row r="33" spans="1:50">
      <c r="A33" t="s">
        <v>18</v>
      </c>
      <c r="B33" s="30" t="s">
        <v>931</v>
      </c>
      <c r="C33">
        <f t="shared" ca="1" si="29"/>
        <v>0</v>
      </c>
      <c r="D33">
        <f t="shared" ca="1" si="29"/>
        <v>46</v>
      </c>
      <c r="E33">
        <f t="shared" ca="1" si="29"/>
        <v>29</v>
      </c>
      <c r="F33">
        <f t="shared" ca="1" si="29"/>
        <v>29</v>
      </c>
      <c r="G33">
        <f t="shared" ca="1" si="29"/>
        <v>39</v>
      </c>
      <c r="H33">
        <f t="shared" ca="1" si="29"/>
        <v>29</v>
      </c>
      <c r="I33">
        <f t="shared" ca="1" si="29"/>
        <v>29</v>
      </c>
      <c r="J33">
        <f t="shared" ca="1" si="29"/>
        <v>164</v>
      </c>
      <c r="K33" s="2">
        <f t="shared" ca="1" si="29"/>
        <v>0</v>
      </c>
      <c r="L33">
        <f t="shared" ca="1" si="29"/>
        <v>48</v>
      </c>
      <c r="M33">
        <f t="shared" ca="1" si="30"/>
        <v>50</v>
      </c>
      <c r="N33" s="2">
        <f t="shared" ca="1" si="31"/>
        <v>0</v>
      </c>
      <c r="O33" s="2">
        <f t="shared" ca="1" si="32"/>
        <v>0</v>
      </c>
      <c r="P33" s="2">
        <f t="shared" ca="1" si="32"/>
        <v>0</v>
      </c>
      <c r="Q33" s="2">
        <f t="shared" ca="1" si="32"/>
        <v>0</v>
      </c>
      <c r="R33" s="2">
        <f t="shared" ca="1" si="32"/>
        <v>0</v>
      </c>
      <c r="S33" s="2">
        <f t="shared" ca="1" si="32"/>
        <v>0</v>
      </c>
      <c r="T33" s="32">
        <f t="shared" ca="1" si="32"/>
        <v>0</v>
      </c>
      <c r="U33" s="2">
        <f t="shared" ca="1" si="32"/>
        <v>0</v>
      </c>
      <c r="V33" s="2">
        <f t="shared" ca="1" si="32"/>
        <v>0.1</v>
      </c>
      <c r="W33" s="32">
        <f ca="1">IF(ISBLANK($B33), 0, IF(ISNUMBER(VLOOKUP($B33, INDIRECT($A33), MATCH("D"&amp;W$25, StatHeader, 0), 0)), IF(Setup!$F$42=1, VLOOKUP($B33, INDIRECT($A33), MATCH("D"&amp;W$25, StatHeader, 0), 0), 0), VLOOKUP($B33, INDIRECT($A33), MATCH(W$25, StatHeader, 0), 0)))</f>
        <v>0</v>
      </c>
      <c r="X33">
        <f t="shared" ca="1" si="33"/>
        <v>0</v>
      </c>
      <c r="Z33" t="str">
        <f t="shared" si="34"/>
        <v>=</v>
      </c>
      <c r="AA33" t="s">
        <v>18</v>
      </c>
      <c r="AB33" s="30" t="s">
        <v>931</v>
      </c>
      <c r="AC33">
        <f t="shared" ca="1" si="35"/>
        <v>0</v>
      </c>
      <c r="AD33">
        <f t="shared" ca="1" si="35"/>
        <v>46</v>
      </c>
      <c r="AE33">
        <f t="shared" ca="1" si="35"/>
        <v>29</v>
      </c>
      <c r="AF33">
        <f t="shared" ca="1" si="35"/>
        <v>29</v>
      </c>
      <c r="AG33">
        <f t="shared" ca="1" si="35"/>
        <v>39</v>
      </c>
      <c r="AH33">
        <f t="shared" ca="1" si="35"/>
        <v>29</v>
      </c>
      <c r="AI33">
        <f t="shared" ca="1" si="35"/>
        <v>29</v>
      </c>
      <c r="AJ33">
        <f t="shared" ca="1" si="35"/>
        <v>164</v>
      </c>
      <c r="AK33" s="2">
        <f t="shared" ca="1" si="35"/>
        <v>0</v>
      </c>
      <c r="AL33">
        <f t="shared" ca="1" si="35"/>
        <v>48</v>
      </c>
      <c r="AM33">
        <f t="shared" ca="1" si="36"/>
        <v>50</v>
      </c>
      <c r="AN33" s="2">
        <f t="shared" ca="1" si="37"/>
        <v>0</v>
      </c>
      <c r="AO33" s="2">
        <f t="shared" ca="1" si="38"/>
        <v>0</v>
      </c>
      <c r="AP33" s="2">
        <f t="shared" ca="1" si="38"/>
        <v>0</v>
      </c>
      <c r="AQ33" s="2">
        <f t="shared" ca="1" si="38"/>
        <v>0</v>
      </c>
      <c r="AR33" s="2">
        <f t="shared" ca="1" si="38"/>
        <v>0</v>
      </c>
      <c r="AS33" s="2">
        <f t="shared" ca="1" si="38"/>
        <v>0</v>
      </c>
      <c r="AT33" s="32">
        <f t="shared" ca="1" si="38"/>
        <v>0</v>
      </c>
      <c r="AU33" s="2">
        <f t="shared" ca="1" si="38"/>
        <v>0</v>
      </c>
      <c r="AV33" s="2">
        <f t="shared" ca="1" si="38"/>
        <v>0.1</v>
      </c>
      <c r="AW33" s="32">
        <f ca="1">IF(ISBLANK($AB33), 0, IF(ISNUMBER(VLOOKUP($AB33, INDIRECT($AA33), MATCH("D"&amp;AW$25, StatHeader, 0), 0)), IF(Setup!$G$42=1, VLOOKUP($AB33, INDIRECT($AA33), MATCH("D"&amp;AW$25, StatHeader, 0), 0), 0), VLOOKUP($AB33, INDIRECT($AA33), MATCH(AW$25, StatHeader, 0), 0)))</f>
        <v>0</v>
      </c>
      <c r="AX33">
        <f t="shared" ca="1" si="39"/>
        <v>0</v>
      </c>
    </row>
    <row r="34" spans="1:50">
      <c r="A34" t="s">
        <v>19</v>
      </c>
      <c r="B34" s="30" t="s">
        <v>866</v>
      </c>
      <c r="C34">
        <f t="shared" ca="1" si="29"/>
        <v>0</v>
      </c>
      <c r="D34">
        <f t="shared" ca="1" si="29"/>
        <v>12</v>
      </c>
      <c r="E34">
        <f t="shared" ca="1" si="29"/>
        <v>28</v>
      </c>
      <c r="F34">
        <f t="shared" ca="1" si="29"/>
        <v>7</v>
      </c>
      <c r="G34">
        <f t="shared" ca="1" si="29"/>
        <v>34</v>
      </c>
      <c r="H34">
        <f t="shared" ca="1" si="29"/>
        <v>8</v>
      </c>
      <c r="I34">
        <f t="shared" ca="1" si="29"/>
        <v>24</v>
      </c>
      <c r="J34">
        <f t="shared" ca="1" si="29"/>
        <v>0</v>
      </c>
      <c r="K34" s="2">
        <f t="shared" ca="1" si="29"/>
        <v>0</v>
      </c>
      <c r="L34">
        <f t="shared" ca="1" si="29"/>
        <v>27</v>
      </c>
      <c r="M34">
        <f t="shared" ca="1" si="30"/>
        <v>14</v>
      </c>
      <c r="N34" s="2">
        <f t="shared" ca="1" si="31"/>
        <v>0</v>
      </c>
      <c r="O34" s="2">
        <f t="shared" ca="1" si="32"/>
        <v>0</v>
      </c>
      <c r="P34" s="2">
        <f t="shared" ca="1" si="32"/>
        <v>0</v>
      </c>
      <c r="Q34" s="2">
        <f t="shared" ca="1" si="32"/>
        <v>0</v>
      </c>
      <c r="R34" s="2">
        <f t="shared" ca="1" si="32"/>
        <v>0</v>
      </c>
      <c r="S34" s="2">
        <f t="shared" ca="1" si="32"/>
        <v>0</v>
      </c>
      <c r="T34" s="32">
        <f t="shared" ca="1" si="32"/>
        <v>0</v>
      </c>
      <c r="U34" s="2">
        <f t="shared" ca="1" si="32"/>
        <v>0</v>
      </c>
      <c r="V34" s="2">
        <f t="shared" ca="1" si="32"/>
        <v>0.06</v>
      </c>
      <c r="W34" s="32">
        <f ca="1">IF(ISBLANK($B34), 0, IF(ISNUMBER(VLOOKUP($B34, INDIRECT($A34), MATCH("D"&amp;W$25, StatHeader, 0), 0)), IF(Setup!$F$42=1, VLOOKUP($B34, INDIRECT($A34), MATCH("D"&amp;W$25, StatHeader, 0), 0), 0), VLOOKUP($B34, INDIRECT($A34), MATCH(W$25, StatHeader, 0), 0)))</f>
        <v>0</v>
      </c>
      <c r="X34">
        <f t="shared" ca="1" si="33"/>
        <v>0</v>
      </c>
      <c r="Z34" t="str">
        <f t="shared" si="34"/>
        <v>-</v>
      </c>
      <c r="AA34" t="s">
        <v>19</v>
      </c>
      <c r="AB34" s="30" t="s">
        <v>824</v>
      </c>
      <c r="AC34">
        <f t="shared" ca="1" si="35"/>
        <v>0</v>
      </c>
      <c r="AD34">
        <f t="shared" ca="1" si="35"/>
        <v>31</v>
      </c>
      <c r="AE34">
        <f t="shared" ca="1" si="35"/>
        <v>47</v>
      </c>
      <c r="AF34">
        <f t="shared" ca="1" si="35"/>
        <v>0</v>
      </c>
      <c r="AG34">
        <f t="shared" ca="1" si="35"/>
        <v>0</v>
      </c>
      <c r="AH34">
        <f t="shared" ca="1" si="35"/>
        <v>0</v>
      </c>
      <c r="AI34">
        <f t="shared" ca="1" si="35"/>
        <v>0</v>
      </c>
      <c r="AJ34">
        <f t="shared" ca="1" si="35"/>
        <v>0</v>
      </c>
      <c r="AK34" s="2">
        <f t="shared" ca="1" si="35"/>
        <v>0</v>
      </c>
      <c r="AL34">
        <f t="shared" ca="1" si="35"/>
        <v>60</v>
      </c>
      <c r="AM34">
        <f t="shared" ca="1" si="36"/>
        <v>25</v>
      </c>
      <c r="AN34" s="2">
        <f t="shared" ca="1" si="37"/>
        <v>0</v>
      </c>
      <c r="AO34" s="2">
        <f t="shared" ca="1" si="38"/>
        <v>0</v>
      </c>
      <c r="AP34" s="2">
        <f t="shared" ca="1" si="38"/>
        <v>0</v>
      </c>
      <c r="AQ34" s="2">
        <f t="shared" ca="1" si="38"/>
        <v>0</v>
      </c>
      <c r="AR34" s="2">
        <f t="shared" ca="1" si="38"/>
        <v>0</v>
      </c>
      <c r="AS34" s="2">
        <f t="shared" ca="1" si="38"/>
        <v>0</v>
      </c>
      <c r="AT34" s="32">
        <f t="shared" ca="1" si="38"/>
        <v>0</v>
      </c>
      <c r="AU34" s="2">
        <f t="shared" ca="1" si="38"/>
        <v>0</v>
      </c>
      <c r="AV34" s="2">
        <f t="shared" ca="1" si="38"/>
        <v>0</v>
      </c>
      <c r="AW34" s="32">
        <f ca="1">IF(ISBLANK($AB34), 0, IF(ISNUMBER(VLOOKUP($AB34, INDIRECT($AA34), MATCH("D"&amp;AW$25, StatHeader, 0), 0)), IF(Setup!$G$42=1, VLOOKUP($AB34, INDIRECT($AA34), MATCH("D"&amp;AW$25, StatHeader, 0), 0), 0), VLOOKUP($AB34, INDIRECT($AA34), MATCH(AW$25, StatHeader, 0), 0)))</f>
        <v>0</v>
      </c>
      <c r="AX34">
        <f t="shared" ca="1" si="39"/>
        <v>6</v>
      </c>
    </row>
    <row r="35" spans="1:50">
      <c r="A35" t="s">
        <v>72</v>
      </c>
      <c r="B35" s="30" t="s">
        <v>26</v>
      </c>
      <c r="C35">
        <f t="shared" ca="1" si="29"/>
        <v>0</v>
      </c>
      <c r="D35">
        <f t="shared" ca="1" si="29"/>
        <v>5</v>
      </c>
      <c r="E35">
        <f t="shared" ca="1" si="29"/>
        <v>5</v>
      </c>
      <c r="F35">
        <f t="shared" ca="1" si="29"/>
        <v>0</v>
      </c>
      <c r="G35">
        <f t="shared" ca="1" si="29"/>
        <v>0</v>
      </c>
      <c r="H35">
        <f t="shared" ca="1" si="29"/>
        <v>0</v>
      </c>
      <c r="I35">
        <f t="shared" ca="1" si="29"/>
        <v>0</v>
      </c>
      <c r="J35">
        <f t="shared" ca="1" si="29"/>
        <v>0</v>
      </c>
      <c r="K35" s="2">
        <f t="shared" ca="1" si="29"/>
        <v>0</v>
      </c>
      <c r="L35">
        <f t="shared" ca="1" si="29"/>
        <v>0</v>
      </c>
      <c r="M35">
        <f t="shared" ca="1" si="30"/>
        <v>0</v>
      </c>
      <c r="N35" s="2">
        <f t="shared" ca="1" si="31"/>
        <v>0</v>
      </c>
      <c r="O35" s="2">
        <f t="shared" ca="1" si="32"/>
        <v>0</v>
      </c>
      <c r="P35" s="2">
        <f t="shared" ca="1" si="32"/>
        <v>0</v>
      </c>
      <c r="Q35" s="2">
        <f t="shared" ca="1" si="32"/>
        <v>0</v>
      </c>
      <c r="R35" s="2">
        <f t="shared" ca="1" si="32"/>
        <v>0</v>
      </c>
      <c r="S35" s="2">
        <f t="shared" ca="1" si="32"/>
        <v>0</v>
      </c>
      <c r="T35" s="32">
        <f t="shared" ca="1" si="32"/>
        <v>0</v>
      </c>
      <c r="U35" s="2">
        <f t="shared" ca="1" si="32"/>
        <v>0</v>
      </c>
      <c r="V35" s="2">
        <f t="shared" ca="1" si="32"/>
        <v>0</v>
      </c>
      <c r="W35" s="32">
        <f ca="1">IF(ISBLANK($B35), 0, IF(ISNUMBER(VLOOKUP($B35, INDIRECT($A35), MATCH("D"&amp;W$25, StatHeader, 0), 0)), IF(Setup!$F$42=1, VLOOKUP($B35, INDIRECT($A35), MATCH("D"&amp;W$25, StatHeader, 0), 0), 0), VLOOKUP($B35, INDIRECT($A35), MATCH(W$25, StatHeader, 0), 0)))</f>
        <v>0</v>
      </c>
      <c r="X35">
        <f t="shared" ca="1" si="33"/>
        <v>5</v>
      </c>
      <c r="Z35" t="str">
        <f t="shared" si="34"/>
        <v>-</v>
      </c>
      <c r="AA35" t="s">
        <v>72</v>
      </c>
      <c r="AB35" s="30" t="s">
        <v>932</v>
      </c>
      <c r="AC35">
        <f t="shared" ca="1" si="35"/>
        <v>0</v>
      </c>
      <c r="AD35">
        <f t="shared" ca="1" si="35"/>
        <v>10</v>
      </c>
      <c r="AE35">
        <f t="shared" ca="1" si="35"/>
        <v>10</v>
      </c>
      <c r="AF35">
        <f t="shared" ca="1" si="35"/>
        <v>0</v>
      </c>
      <c r="AG35">
        <f t="shared" ca="1" si="35"/>
        <v>10</v>
      </c>
      <c r="AH35">
        <f t="shared" ca="1" si="35"/>
        <v>0</v>
      </c>
      <c r="AI35">
        <f t="shared" ca="1" si="35"/>
        <v>0</v>
      </c>
      <c r="AJ35">
        <f t="shared" ca="1" si="35"/>
        <v>0</v>
      </c>
      <c r="AK35" s="2">
        <f t="shared" ca="1" si="35"/>
        <v>0</v>
      </c>
      <c r="AL35">
        <f t="shared" ca="1" si="35"/>
        <v>0</v>
      </c>
      <c r="AM35">
        <f t="shared" ca="1" si="36"/>
        <v>0</v>
      </c>
      <c r="AN35" s="2">
        <f t="shared" ca="1" si="37"/>
        <v>0</v>
      </c>
      <c r="AO35" s="2">
        <f t="shared" ca="1" si="38"/>
        <v>0</v>
      </c>
      <c r="AP35" s="2">
        <f t="shared" ca="1" si="38"/>
        <v>0</v>
      </c>
      <c r="AQ35" s="2">
        <f t="shared" ca="1" si="38"/>
        <v>0.03</v>
      </c>
      <c r="AR35" s="2">
        <f t="shared" ca="1" si="38"/>
        <v>0</v>
      </c>
      <c r="AS35" s="2">
        <f t="shared" ca="1" si="38"/>
        <v>0</v>
      </c>
      <c r="AT35" s="32">
        <f t="shared" ca="1" si="38"/>
        <v>0</v>
      </c>
      <c r="AU35" s="2">
        <f t="shared" ca="1" si="38"/>
        <v>0</v>
      </c>
      <c r="AV35" s="2">
        <f t="shared" ca="1" si="38"/>
        <v>0</v>
      </c>
      <c r="AW35" s="32">
        <f ca="1">IF(ISBLANK($AB35), 0, IF(ISNUMBER(VLOOKUP($AB35, INDIRECT($AA35), MATCH("D"&amp;AW$25, StatHeader, 0), 0)), IF(Setup!$G$42=1, VLOOKUP($AB35, INDIRECT($AA35), MATCH("D"&amp;AW$25, StatHeader, 0), 0), 0), VLOOKUP($AB35, INDIRECT($AA35), MATCH(AW$25, StatHeader, 0), 0)))</f>
        <v>0</v>
      </c>
      <c r="AX35">
        <f t="shared" ca="1" si="39"/>
        <v>0</v>
      </c>
    </row>
    <row r="36" spans="1:50">
      <c r="A36" t="s">
        <v>72</v>
      </c>
      <c r="B36" s="30" t="s">
        <v>887</v>
      </c>
      <c r="C36">
        <f t="shared" ca="1" si="29"/>
        <v>0</v>
      </c>
      <c r="D36">
        <f t="shared" ca="1" si="29"/>
        <v>6</v>
      </c>
      <c r="E36">
        <f t="shared" ca="1" si="29"/>
        <v>6</v>
      </c>
      <c r="F36">
        <f t="shared" ca="1" si="29"/>
        <v>6</v>
      </c>
      <c r="G36">
        <f t="shared" ca="1" si="29"/>
        <v>0</v>
      </c>
      <c r="H36">
        <f t="shared" ca="1" si="29"/>
        <v>0</v>
      </c>
      <c r="I36">
        <f t="shared" ca="1" si="29"/>
        <v>0</v>
      </c>
      <c r="J36">
        <f t="shared" ca="1" si="29"/>
        <v>0</v>
      </c>
      <c r="K36" s="2">
        <f t="shared" ca="1" si="29"/>
        <v>0</v>
      </c>
      <c r="L36">
        <f t="shared" ca="1" si="29"/>
        <v>0</v>
      </c>
      <c r="M36">
        <f t="shared" ca="1" si="30"/>
        <v>0</v>
      </c>
      <c r="N36" s="2">
        <f t="shared" ca="1" si="31"/>
        <v>0</v>
      </c>
      <c r="O36" s="2">
        <f t="shared" ca="1" si="32"/>
        <v>0</v>
      </c>
      <c r="P36" s="2">
        <f t="shared" ca="1" si="32"/>
        <v>0</v>
      </c>
      <c r="Q36" s="2">
        <f t="shared" ca="1" si="32"/>
        <v>0</v>
      </c>
      <c r="R36" s="2">
        <f t="shared" ca="1" si="32"/>
        <v>0</v>
      </c>
      <c r="S36" s="2">
        <f t="shared" ca="1" si="32"/>
        <v>0</v>
      </c>
      <c r="T36" s="32">
        <f t="shared" ca="1" si="32"/>
        <v>0</v>
      </c>
      <c r="U36" s="2">
        <f t="shared" ca="1" si="32"/>
        <v>0</v>
      </c>
      <c r="V36" s="2">
        <f t="shared" ca="1" si="32"/>
        <v>0</v>
      </c>
      <c r="W36" s="32">
        <f ca="1">IF(ISBLANK($B36), 0, IF(ISNUMBER(VLOOKUP($B36, INDIRECT($A36), MATCH("D"&amp;W$25, StatHeader, 0), 0)), IF(Setup!$F$42=1, VLOOKUP($B36, INDIRECT($A36), MATCH("D"&amp;W$25, StatHeader, 0), 0), 0), VLOOKUP($B36, INDIRECT($A36), MATCH(W$25, StatHeader, 0), 0)))</f>
        <v>0</v>
      </c>
      <c r="X36">
        <f t="shared" ca="1" si="33"/>
        <v>3</v>
      </c>
      <c r="Z36" t="str">
        <f t="shared" si="34"/>
        <v>-</v>
      </c>
      <c r="AA36" t="s">
        <v>72</v>
      </c>
      <c r="AB36" s="30" t="s">
        <v>896</v>
      </c>
      <c r="AC36">
        <f t="shared" ca="1" si="35"/>
        <v>0</v>
      </c>
      <c r="AD36">
        <f t="shared" ca="1" si="35"/>
        <v>0</v>
      </c>
      <c r="AE36">
        <f t="shared" ca="1" si="35"/>
        <v>0</v>
      </c>
      <c r="AF36">
        <f t="shared" ca="1" si="35"/>
        <v>0</v>
      </c>
      <c r="AG36">
        <f t="shared" ca="1" si="35"/>
        <v>0</v>
      </c>
      <c r="AH36">
        <f t="shared" ca="1" si="35"/>
        <v>0</v>
      </c>
      <c r="AI36">
        <f t="shared" ca="1" si="35"/>
        <v>0</v>
      </c>
      <c r="AJ36">
        <f t="shared" ca="1" si="35"/>
        <v>0</v>
      </c>
      <c r="AK36" s="2">
        <f t="shared" ca="1" si="35"/>
        <v>0</v>
      </c>
      <c r="AL36">
        <f t="shared" ca="1" si="35"/>
        <v>0</v>
      </c>
      <c r="AM36">
        <f t="shared" ca="1" si="36"/>
        <v>0</v>
      </c>
      <c r="AN36" s="2">
        <f t="shared" ca="1" si="37"/>
        <v>0</v>
      </c>
      <c r="AO36" s="2">
        <f t="shared" ca="1" si="38"/>
        <v>0</v>
      </c>
      <c r="AP36" s="2">
        <f t="shared" ca="1" si="38"/>
        <v>0.02</v>
      </c>
      <c r="AQ36" s="2">
        <f t="shared" ca="1" si="38"/>
        <v>0</v>
      </c>
      <c r="AR36" s="2">
        <f t="shared" ca="1" si="38"/>
        <v>0.01</v>
      </c>
      <c r="AS36" s="2">
        <f t="shared" ca="1" si="38"/>
        <v>0</v>
      </c>
      <c r="AT36" s="32">
        <f t="shared" ca="1" si="38"/>
        <v>0</v>
      </c>
      <c r="AU36" s="2">
        <f t="shared" ca="1" si="38"/>
        <v>0</v>
      </c>
      <c r="AV36" s="2">
        <f t="shared" ca="1" si="38"/>
        <v>0</v>
      </c>
      <c r="AW36" s="32">
        <f ca="1">IF(ISBLANK($AB36), 0, IF(ISNUMBER(VLOOKUP($AB36, INDIRECT($AA36), MATCH("D"&amp;AW$25, StatHeader, 0), 0)), IF(Setup!$G$42=1, VLOOKUP($AB36, INDIRECT($AA36), MATCH("D"&amp;AW$25, StatHeader, 0), 0), 0), VLOOKUP($AB36, INDIRECT($AA36), MATCH(AW$25, StatHeader, 0), 0)))</f>
        <v>0</v>
      </c>
      <c r="AX36">
        <f t="shared" ca="1" si="39"/>
        <v>0</v>
      </c>
    </row>
    <row r="37" spans="1:50">
      <c r="A37" t="s">
        <v>20</v>
      </c>
      <c r="B37" s="30" t="s">
        <v>917</v>
      </c>
      <c r="C37">
        <f t="shared" ca="1" si="29"/>
        <v>0</v>
      </c>
      <c r="D37">
        <f t="shared" ca="1" si="29"/>
        <v>30</v>
      </c>
      <c r="E37">
        <f t="shared" ca="1" si="29"/>
        <v>0</v>
      </c>
      <c r="F37">
        <f t="shared" ca="1" si="29"/>
        <v>0</v>
      </c>
      <c r="G37">
        <f t="shared" ca="1" si="29"/>
        <v>0</v>
      </c>
      <c r="H37">
        <f t="shared" ca="1" si="29"/>
        <v>0</v>
      </c>
      <c r="I37">
        <f t="shared" ca="1" si="29"/>
        <v>0</v>
      </c>
      <c r="J37">
        <f t="shared" ca="1" si="29"/>
        <v>0</v>
      </c>
      <c r="K37" s="2">
        <f t="shared" ca="1" si="29"/>
        <v>0</v>
      </c>
      <c r="L37">
        <f t="shared" ca="1" si="29"/>
        <v>20</v>
      </c>
      <c r="M37">
        <f t="shared" ca="1" si="30"/>
        <v>20</v>
      </c>
      <c r="N37" s="2">
        <f t="shared" ca="1" si="31"/>
        <v>0</v>
      </c>
      <c r="O37" s="2">
        <f t="shared" ca="1" si="32"/>
        <v>0</v>
      </c>
      <c r="P37" s="2">
        <f t="shared" ca="1" si="32"/>
        <v>0</v>
      </c>
      <c r="Q37" s="2">
        <f t="shared" ca="1" si="32"/>
        <v>0</v>
      </c>
      <c r="R37" s="2">
        <f t="shared" ca="1" si="32"/>
        <v>0</v>
      </c>
      <c r="S37" s="2">
        <f t="shared" ca="1" si="32"/>
        <v>0</v>
      </c>
      <c r="T37" s="32">
        <f t="shared" ca="1" si="32"/>
        <v>0</v>
      </c>
      <c r="U37" s="2">
        <f t="shared" ca="1" si="32"/>
        <v>0</v>
      </c>
      <c r="V37" s="2">
        <f t="shared" ca="1" si="32"/>
        <v>0.1</v>
      </c>
      <c r="W37" s="32">
        <f ca="1">IF(ISBLANK($B37), 0, IF(ISNUMBER(VLOOKUP($B37, INDIRECT($A37), MATCH("D"&amp;W$25, StatHeader, 0), 0)), IF(Setup!$F$42=1, VLOOKUP($B37, INDIRECT($A37), MATCH("D"&amp;W$25, StatHeader, 0), 0), 0), VLOOKUP($B37, INDIRECT($A37), MATCH(W$25, StatHeader, 0), 0)))</f>
        <v>0</v>
      </c>
      <c r="X37">
        <f t="shared" ca="1" si="33"/>
        <v>0</v>
      </c>
      <c r="Z37" t="str">
        <f t="shared" si="34"/>
        <v>-</v>
      </c>
      <c r="AA37" t="s">
        <v>20</v>
      </c>
      <c r="AB37" s="30" t="s">
        <v>916</v>
      </c>
      <c r="AC37">
        <f t="shared" ca="1" si="35"/>
        <v>0</v>
      </c>
      <c r="AD37">
        <f t="shared" ca="1" si="35"/>
        <v>30</v>
      </c>
      <c r="AE37">
        <f t="shared" ca="1" si="35"/>
        <v>0</v>
      </c>
      <c r="AF37">
        <f t="shared" ca="1" si="35"/>
        <v>0</v>
      </c>
      <c r="AG37">
        <f t="shared" ca="1" si="35"/>
        <v>0</v>
      </c>
      <c r="AH37">
        <f t="shared" ca="1" si="35"/>
        <v>0</v>
      </c>
      <c r="AI37">
        <f t="shared" ca="1" si="35"/>
        <v>0</v>
      </c>
      <c r="AJ37">
        <f t="shared" ca="1" si="35"/>
        <v>0</v>
      </c>
      <c r="AK37" s="2">
        <f t="shared" ca="1" si="35"/>
        <v>0</v>
      </c>
      <c r="AL37">
        <f t="shared" ca="1" si="35"/>
        <v>20</v>
      </c>
      <c r="AM37">
        <f t="shared" ca="1" si="36"/>
        <v>20</v>
      </c>
      <c r="AN37" s="2">
        <f t="shared" ca="1" si="37"/>
        <v>0</v>
      </c>
      <c r="AO37" s="2">
        <f t="shared" ca="1" si="38"/>
        <v>0.1</v>
      </c>
      <c r="AP37" s="2">
        <f t="shared" ca="1" si="38"/>
        <v>0</v>
      </c>
      <c r="AQ37" s="2">
        <f t="shared" ca="1" si="38"/>
        <v>0</v>
      </c>
      <c r="AR37" s="2">
        <f t="shared" ca="1" si="38"/>
        <v>0</v>
      </c>
      <c r="AS37" s="2">
        <f t="shared" ca="1" si="38"/>
        <v>0</v>
      </c>
      <c r="AT37" s="32">
        <f t="shared" ca="1" si="38"/>
        <v>0</v>
      </c>
      <c r="AU37" s="2">
        <f t="shared" ca="1" si="38"/>
        <v>0</v>
      </c>
      <c r="AV37" s="2">
        <f t="shared" ca="1" si="38"/>
        <v>0</v>
      </c>
      <c r="AW37" s="32">
        <f ca="1">IF(ISBLANK($AB37), 0, IF(ISNUMBER(VLOOKUP($AB37, INDIRECT($AA37), MATCH("D"&amp;AW$25, StatHeader, 0), 0)), IF(Setup!$G$42=1, VLOOKUP($AB37, INDIRECT($AA37), MATCH("D"&amp;AW$25, StatHeader, 0), 0), 0), VLOOKUP($AB37, INDIRECT($AA37), MATCH(AW$25, StatHeader, 0), 0)))</f>
        <v>0</v>
      </c>
      <c r="AX37">
        <f t="shared" ca="1" si="39"/>
        <v>0</v>
      </c>
    </row>
    <row r="38" spans="1:50">
      <c r="A38" t="s">
        <v>21</v>
      </c>
      <c r="B38" s="30" t="s">
        <v>158</v>
      </c>
      <c r="C38">
        <f t="shared" ca="1" si="29"/>
        <v>0</v>
      </c>
      <c r="D38">
        <f t="shared" ca="1" si="29"/>
        <v>0</v>
      </c>
      <c r="E38">
        <f t="shared" ca="1" si="29"/>
        <v>0</v>
      </c>
      <c r="F38">
        <f t="shared" ca="1" si="29"/>
        <v>0</v>
      </c>
      <c r="G38">
        <f t="shared" ca="1" si="29"/>
        <v>0</v>
      </c>
      <c r="H38">
        <f t="shared" ca="1" si="29"/>
        <v>0</v>
      </c>
      <c r="I38">
        <f t="shared" ca="1" si="29"/>
        <v>0</v>
      </c>
      <c r="J38">
        <f t="shared" ca="1" si="29"/>
        <v>0</v>
      </c>
      <c r="K38" s="2">
        <f t="shared" ca="1" si="29"/>
        <v>0</v>
      </c>
      <c r="L38">
        <f t="shared" ca="1" si="29"/>
        <v>0</v>
      </c>
      <c r="M38">
        <f t="shared" ca="1" si="30"/>
        <v>10</v>
      </c>
      <c r="N38" s="2">
        <f t="shared" ca="1" si="31"/>
        <v>0</v>
      </c>
      <c r="O38" s="2">
        <f t="shared" ca="1" si="32"/>
        <v>0</v>
      </c>
      <c r="P38" s="2">
        <f t="shared" ca="1" si="32"/>
        <v>0</v>
      </c>
      <c r="Q38" s="2">
        <f t="shared" ca="1" si="32"/>
        <v>0</v>
      </c>
      <c r="R38" s="2">
        <f t="shared" ca="1" si="32"/>
        <v>0</v>
      </c>
      <c r="S38" s="2">
        <f t="shared" ca="1" si="32"/>
        <v>0</v>
      </c>
      <c r="T38" s="32">
        <f t="shared" ca="1" si="32"/>
        <v>0</v>
      </c>
      <c r="U38" s="2">
        <f t="shared" ca="1" si="32"/>
        <v>7.0000000000000007E-2</v>
      </c>
      <c r="V38" s="2">
        <f t="shared" ca="1" si="32"/>
        <v>0</v>
      </c>
      <c r="W38" s="32">
        <f ca="1">IF(ISBLANK($B38), 0, IF(ISNUMBER(VLOOKUP($B38, INDIRECT($A38), MATCH("D"&amp;W$25, StatHeader, 0), 0)), IF(Setup!$F$42=1, VLOOKUP($B38, INDIRECT($A38), MATCH("D"&amp;W$25, StatHeader, 0), 0), 0), VLOOKUP($B38, INDIRECT($A38), MATCH(W$25, StatHeader, 0), 0)))</f>
        <v>100</v>
      </c>
      <c r="X38">
        <f t="shared" ca="1" si="33"/>
        <v>0</v>
      </c>
      <c r="Z38" t="str">
        <f t="shared" si="34"/>
        <v>=</v>
      </c>
      <c r="AA38" t="s">
        <v>21</v>
      </c>
      <c r="AB38" s="30" t="s">
        <v>158</v>
      </c>
      <c r="AC38">
        <f t="shared" ca="1" si="35"/>
        <v>0</v>
      </c>
      <c r="AD38">
        <f t="shared" ca="1" si="35"/>
        <v>0</v>
      </c>
      <c r="AE38">
        <f t="shared" ca="1" si="35"/>
        <v>0</v>
      </c>
      <c r="AF38">
        <f t="shared" ca="1" si="35"/>
        <v>0</v>
      </c>
      <c r="AG38">
        <f t="shared" ca="1" si="35"/>
        <v>0</v>
      </c>
      <c r="AH38">
        <f t="shared" ca="1" si="35"/>
        <v>0</v>
      </c>
      <c r="AI38">
        <f t="shared" ca="1" si="35"/>
        <v>0</v>
      </c>
      <c r="AJ38">
        <f t="shared" ca="1" si="35"/>
        <v>0</v>
      </c>
      <c r="AK38" s="2">
        <f t="shared" ca="1" si="35"/>
        <v>0</v>
      </c>
      <c r="AL38">
        <f t="shared" ca="1" si="35"/>
        <v>0</v>
      </c>
      <c r="AM38">
        <f t="shared" ca="1" si="36"/>
        <v>10</v>
      </c>
      <c r="AN38" s="2">
        <f t="shared" ca="1" si="37"/>
        <v>0</v>
      </c>
      <c r="AO38" s="2">
        <f t="shared" ca="1" si="38"/>
        <v>0</v>
      </c>
      <c r="AP38" s="2">
        <f t="shared" ca="1" si="38"/>
        <v>0</v>
      </c>
      <c r="AQ38" s="2">
        <f t="shared" ca="1" si="38"/>
        <v>0</v>
      </c>
      <c r="AR38" s="2">
        <f t="shared" ca="1" si="38"/>
        <v>0</v>
      </c>
      <c r="AS38" s="2">
        <f t="shared" ca="1" si="38"/>
        <v>0</v>
      </c>
      <c r="AT38" s="32">
        <f t="shared" ca="1" si="38"/>
        <v>0</v>
      </c>
      <c r="AU38" s="2">
        <f t="shared" ca="1" si="38"/>
        <v>7.0000000000000007E-2</v>
      </c>
      <c r="AV38" s="2">
        <f t="shared" ca="1" si="38"/>
        <v>0</v>
      </c>
      <c r="AW38" s="32">
        <f ca="1">IF(ISBLANK($AB38), 0, IF(ISNUMBER(VLOOKUP($AB38, INDIRECT($AA38), MATCH("D"&amp;AW$25, StatHeader, 0), 0)), IF(Setup!$G$42=1, VLOOKUP($AB38, INDIRECT($AA38), MATCH("D"&amp;AW$25, StatHeader, 0), 0), 0), VLOOKUP($AB38, INDIRECT($AA38), MATCH(AW$25, StatHeader, 0), 0)))</f>
        <v>100</v>
      </c>
      <c r="AX38">
        <f t="shared" ca="1" si="39"/>
        <v>0</v>
      </c>
    </row>
    <row r="39" spans="1:50">
      <c r="A39" t="s">
        <v>22</v>
      </c>
      <c r="B39" s="30" t="s">
        <v>893</v>
      </c>
      <c r="C39">
        <f t="shared" ca="1" si="29"/>
        <v>0</v>
      </c>
      <c r="D39">
        <f t="shared" ca="1" si="29"/>
        <v>37</v>
      </c>
      <c r="E39">
        <f t="shared" ca="1" si="29"/>
        <v>0</v>
      </c>
      <c r="F39">
        <f t="shared" ca="1" si="29"/>
        <v>16</v>
      </c>
      <c r="G39">
        <f t="shared" ca="1" si="29"/>
        <v>35</v>
      </c>
      <c r="H39">
        <f t="shared" ca="1" si="29"/>
        <v>26</v>
      </c>
      <c r="I39">
        <f t="shared" ca="1" si="29"/>
        <v>12</v>
      </c>
      <c r="J39">
        <f t="shared" ca="1" si="29"/>
        <v>0</v>
      </c>
      <c r="K39" s="2">
        <f t="shared" ca="1" si="29"/>
        <v>0</v>
      </c>
      <c r="L39">
        <f t="shared" ca="1" si="29"/>
        <v>4</v>
      </c>
      <c r="M39">
        <f t="shared" ca="1" si="30"/>
        <v>15</v>
      </c>
      <c r="N39" s="2">
        <f t="shared" ca="1" si="31"/>
        <v>0</v>
      </c>
      <c r="O39" s="2">
        <f t="shared" ca="1" si="32"/>
        <v>0.02</v>
      </c>
      <c r="P39" s="2">
        <f t="shared" ca="1" si="32"/>
        <v>0</v>
      </c>
      <c r="Q39" s="2">
        <f t="shared" ca="1" si="32"/>
        <v>0</v>
      </c>
      <c r="R39" s="2">
        <f t="shared" ca="1" si="32"/>
        <v>0</v>
      </c>
      <c r="S39" s="2">
        <f t="shared" ca="1" si="32"/>
        <v>0</v>
      </c>
      <c r="T39" s="32">
        <f t="shared" ca="1" si="32"/>
        <v>0</v>
      </c>
      <c r="U39" s="2">
        <f t="shared" ca="1" si="32"/>
        <v>0</v>
      </c>
      <c r="V39" s="2">
        <f t="shared" ca="1" si="32"/>
        <v>0.03</v>
      </c>
      <c r="W39" s="32">
        <f ca="1">IF(ISBLANK($B39), 0, IF(ISNUMBER(VLOOKUP($B39, INDIRECT($A39), MATCH("D"&amp;W$25, StatHeader, 0), 0)), IF(Setup!$F$42=1, VLOOKUP($B39, INDIRECT($A39), MATCH("D"&amp;W$25, StatHeader, 0), 0), 0), VLOOKUP($B39, INDIRECT($A39), MATCH(W$25, StatHeader, 0), 0)))</f>
        <v>0</v>
      </c>
      <c r="X39">
        <f t="shared" ca="1" si="33"/>
        <v>5</v>
      </c>
      <c r="Z39" t="str">
        <f t="shared" si="34"/>
        <v>-</v>
      </c>
      <c r="AA39" t="s">
        <v>22</v>
      </c>
      <c r="AB39" s="30" t="s">
        <v>874</v>
      </c>
      <c r="AC39">
        <f t="shared" ca="1" si="35"/>
        <v>0</v>
      </c>
      <c r="AD39">
        <f t="shared" ca="1" si="35"/>
        <v>55</v>
      </c>
      <c r="AE39">
        <f t="shared" ca="1" si="35"/>
        <v>11</v>
      </c>
      <c r="AF39">
        <f t="shared" ca="1" si="35"/>
        <v>0</v>
      </c>
      <c r="AG39">
        <f t="shared" ca="1" si="35"/>
        <v>0</v>
      </c>
      <c r="AH39">
        <f t="shared" ca="1" si="35"/>
        <v>0</v>
      </c>
      <c r="AI39">
        <f t="shared" ca="1" si="35"/>
        <v>0</v>
      </c>
      <c r="AJ39">
        <f t="shared" ca="1" si="35"/>
        <v>0</v>
      </c>
      <c r="AK39" s="2">
        <f t="shared" ca="1" si="35"/>
        <v>0</v>
      </c>
      <c r="AL39">
        <f t="shared" ca="1" si="35"/>
        <v>57</v>
      </c>
      <c r="AM39">
        <f t="shared" ca="1" si="36"/>
        <v>32</v>
      </c>
      <c r="AN39" s="2">
        <f t="shared" ca="1" si="37"/>
        <v>0</v>
      </c>
      <c r="AO39" s="2">
        <f t="shared" ca="1" si="38"/>
        <v>0.04</v>
      </c>
      <c r="AP39" s="2">
        <f t="shared" ca="1" si="38"/>
        <v>0</v>
      </c>
      <c r="AQ39" s="2">
        <f t="shared" ca="1" si="38"/>
        <v>0</v>
      </c>
      <c r="AR39" s="2">
        <f t="shared" ca="1" si="38"/>
        <v>0</v>
      </c>
      <c r="AS39" s="2">
        <f t="shared" ca="1" si="38"/>
        <v>0</v>
      </c>
      <c r="AT39" s="32">
        <f t="shared" ca="1" si="38"/>
        <v>0</v>
      </c>
      <c r="AU39" s="2">
        <f t="shared" ca="1" si="38"/>
        <v>0</v>
      </c>
      <c r="AV39" s="2">
        <f t="shared" ca="1" si="38"/>
        <v>0</v>
      </c>
      <c r="AW39" s="32">
        <f ca="1">IF(ISBLANK($AB39), 0, IF(ISNUMBER(VLOOKUP($AB39, INDIRECT($AA39), MATCH("D"&amp;AW$25, StatHeader, 0), 0)), IF(Setup!$G$42=1, VLOOKUP($AB39, INDIRECT($AA39), MATCH("D"&amp;AW$25, StatHeader, 0), 0), 0), VLOOKUP($AB39, INDIRECT($AA39), MATCH(AW$25, StatHeader, 0), 0)))</f>
        <v>0</v>
      </c>
      <c r="AX39">
        <f t="shared" ca="1" si="39"/>
        <v>6</v>
      </c>
    </row>
    <row r="40" spans="1:50">
      <c r="A40" t="s">
        <v>23</v>
      </c>
      <c r="B40" s="30" t="s">
        <v>862</v>
      </c>
      <c r="C40">
        <f t="shared" ca="1" si="29"/>
        <v>0</v>
      </c>
      <c r="D40">
        <f t="shared" ca="1" si="29"/>
        <v>26</v>
      </c>
      <c r="E40">
        <f t="shared" ca="1" si="29"/>
        <v>16</v>
      </c>
      <c r="F40">
        <f t="shared" ca="1" si="29"/>
        <v>26</v>
      </c>
      <c r="G40">
        <f t="shared" ca="1" si="29"/>
        <v>26</v>
      </c>
      <c r="H40">
        <f t="shared" ca="1" si="29"/>
        <v>0</v>
      </c>
      <c r="I40">
        <f t="shared" ca="1" si="29"/>
        <v>15</v>
      </c>
      <c r="J40">
        <f t="shared" ca="1" si="29"/>
        <v>0</v>
      </c>
      <c r="K40" s="2">
        <f t="shared" ca="1" si="29"/>
        <v>0</v>
      </c>
      <c r="L40">
        <f t="shared" ca="1" si="29"/>
        <v>40</v>
      </c>
      <c r="M40">
        <f t="shared" ca="1" si="30"/>
        <v>36</v>
      </c>
      <c r="N40" s="2">
        <f t="shared" ca="1" si="31"/>
        <v>0</v>
      </c>
      <c r="O40" s="2">
        <f t="shared" ca="1" si="32"/>
        <v>0</v>
      </c>
      <c r="P40" s="2">
        <f t="shared" ca="1" si="32"/>
        <v>0</v>
      </c>
      <c r="Q40" s="2">
        <f t="shared" ca="1" si="32"/>
        <v>0</v>
      </c>
      <c r="R40" s="2">
        <f t="shared" ca="1" si="32"/>
        <v>0</v>
      </c>
      <c r="S40" s="2">
        <f t="shared" ca="1" si="32"/>
        <v>0</v>
      </c>
      <c r="T40" s="32">
        <f t="shared" ca="1" si="32"/>
        <v>0</v>
      </c>
      <c r="U40" s="2">
        <f t="shared" ca="1" si="32"/>
        <v>0</v>
      </c>
      <c r="V40" s="2">
        <f t="shared" ca="1" si="32"/>
        <v>0.06</v>
      </c>
      <c r="W40" s="32">
        <f ca="1">IF(ISBLANK($B40), 0, IF(ISNUMBER(VLOOKUP($B40, INDIRECT($A40), MATCH("D"&amp;W$25, StatHeader, 0), 0)), IF(Setup!$F$42=1, VLOOKUP($B40, INDIRECT($A40), MATCH("D"&amp;W$25, StatHeader, 0), 0), 0), VLOOKUP($B40, INDIRECT($A40), MATCH(W$25, StatHeader, 0), 0)))</f>
        <v>0</v>
      </c>
      <c r="X40">
        <f t="shared" ca="1" si="33"/>
        <v>0</v>
      </c>
      <c r="Z40" t="str">
        <f t="shared" si="34"/>
        <v>-</v>
      </c>
      <c r="AA40" t="s">
        <v>23</v>
      </c>
      <c r="AB40" s="30" t="s">
        <v>824</v>
      </c>
      <c r="AC40">
        <f t="shared" ca="1" si="35"/>
        <v>0</v>
      </c>
      <c r="AD40">
        <f t="shared" ca="1" si="35"/>
        <v>36</v>
      </c>
      <c r="AE40">
        <f t="shared" ca="1" si="35"/>
        <v>32</v>
      </c>
      <c r="AF40">
        <f t="shared" ca="1" si="35"/>
        <v>0</v>
      </c>
      <c r="AG40">
        <f t="shared" ca="1" si="35"/>
        <v>0</v>
      </c>
      <c r="AH40">
        <f t="shared" ca="1" si="35"/>
        <v>0</v>
      </c>
      <c r="AI40">
        <f t="shared" ca="1" si="35"/>
        <v>0</v>
      </c>
      <c r="AJ40">
        <f t="shared" ca="1" si="35"/>
        <v>0</v>
      </c>
      <c r="AK40" s="2">
        <f t="shared" ca="1" si="35"/>
        <v>0</v>
      </c>
      <c r="AL40">
        <f t="shared" ca="1" si="35"/>
        <v>50</v>
      </c>
      <c r="AM40">
        <f t="shared" ca="1" si="36"/>
        <v>35</v>
      </c>
      <c r="AN40" s="2">
        <f t="shared" ca="1" si="37"/>
        <v>0</v>
      </c>
      <c r="AO40" s="2">
        <f t="shared" ca="1" si="38"/>
        <v>0</v>
      </c>
      <c r="AP40" s="2">
        <f t="shared" ca="1" si="38"/>
        <v>0</v>
      </c>
      <c r="AQ40" s="2">
        <f t="shared" ca="1" si="38"/>
        <v>0</v>
      </c>
      <c r="AR40" s="2">
        <f t="shared" ca="1" si="38"/>
        <v>0</v>
      </c>
      <c r="AS40" s="2">
        <f t="shared" ca="1" si="38"/>
        <v>0</v>
      </c>
      <c r="AT40" s="32">
        <f t="shared" ca="1" si="38"/>
        <v>0</v>
      </c>
      <c r="AU40" s="2">
        <f t="shared" ca="1" si="38"/>
        <v>0</v>
      </c>
      <c r="AV40" s="2">
        <f t="shared" ca="1" si="38"/>
        <v>0</v>
      </c>
      <c r="AW40" s="32">
        <f ca="1">IF(ISBLANK($AB40), 0, IF(ISNUMBER(VLOOKUP($AB40, INDIRECT($AA40), MATCH("D"&amp;AW$25, StatHeader, 0), 0)), IF(Setup!$G$42=1, VLOOKUP($AB40, INDIRECT($AA40), MATCH("D"&amp;AW$25, StatHeader, 0), 0), 0), VLOOKUP($AB40, INDIRECT($AA40), MATCH(AW$25, StatHeader, 0), 0)))</f>
        <v>0</v>
      </c>
      <c r="AX40">
        <f t="shared" ca="1" si="39"/>
        <v>5</v>
      </c>
    </row>
    <row r="41" spans="1:50">
      <c r="A41" t="s">
        <v>24</v>
      </c>
      <c r="B41" s="142"/>
      <c r="C41">
        <f t="shared" ref="C41:X41" si="40">SUMIF(INDEX(SetBonusLookup, 0, 1), "="&amp;C25, INDEX(SetBonusLookup, 0, MATCH("WSSet1Gear", INDEX(SetBonusLookup, 1, 0), 0)))</f>
        <v>0</v>
      </c>
      <c r="D41">
        <f t="shared" ca="1" si="40"/>
        <v>0</v>
      </c>
      <c r="E41">
        <f t="shared" si="40"/>
        <v>0</v>
      </c>
      <c r="F41">
        <f t="shared" si="40"/>
        <v>0</v>
      </c>
      <c r="G41">
        <f t="shared" ca="1" si="40"/>
        <v>0</v>
      </c>
      <c r="H41">
        <f t="shared" ca="1" si="40"/>
        <v>0</v>
      </c>
      <c r="I41">
        <f t="shared" ca="1" si="40"/>
        <v>0</v>
      </c>
      <c r="J41">
        <f t="shared" si="40"/>
        <v>0</v>
      </c>
      <c r="K41">
        <f t="shared" ca="1" si="40"/>
        <v>0</v>
      </c>
      <c r="L41">
        <f t="shared" ca="1" si="40"/>
        <v>0</v>
      </c>
      <c r="M41">
        <f t="shared" ca="1" si="40"/>
        <v>0</v>
      </c>
      <c r="N41" s="79">
        <f t="shared" si="40"/>
        <v>0</v>
      </c>
      <c r="O41" s="79">
        <f t="shared" ca="1" si="40"/>
        <v>0</v>
      </c>
      <c r="P41" s="79">
        <f t="shared" si="40"/>
        <v>0</v>
      </c>
      <c r="Q41" s="79">
        <f t="shared" si="40"/>
        <v>0</v>
      </c>
      <c r="R41" s="79">
        <f t="shared" si="40"/>
        <v>0</v>
      </c>
      <c r="S41" s="79">
        <f t="shared" si="40"/>
        <v>0</v>
      </c>
      <c r="T41">
        <f t="shared" si="40"/>
        <v>0</v>
      </c>
      <c r="U41" s="79">
        <f t="shared" si="40"/>
        <v>0</v>
      </c>
      <c r="V41" s="79">
        <f t="shared" si="40"/>
        <v>0</v>
      </c>
      <c r="W41">
        <f t="shared" si="40"/>
        <v>0</v>
      </c>
      <c r="X41">
        <f t="shared" si="40"/>
        <v>0</v>
      </c>
      <c r="Z41" t="str">
        <f ca="1">IF(AND(C41=AC41, D41=AD41, E41=AE41, F41=AF41, G41=AG41, H41=AH41, I41=AI41, J41=AJ41, K41=AK41, L41=AL41, M41=AM41, N41=AN41, O41=AO41, P41=AP41, Q41=AQ41, R41=AR41, S41=AS41, T41=AT41, U41=AU41, V41=AV41, X41=AX41), "=", "-")</f>
        <v>=</v>
      </c>
      <c r="AA41" t="s">
        <v>24</v>
      </c>
      <c r="AB41" s="142"/>
      <c r="AC41">
        <f t="shared" ref="AC41:AX41" si="41">SUMIF(INDEX(SetBonusLookup, 0, 1), "="&amp;AC25, INDEX(SetBonusLookup, 0, MATCH("WSSet2Gear", INDEX(SetBonusLookup, 1, 0), 0)))</f>
        <v>0</v>
      </c>
      <c r="AD41">
        <f t="shared" ca="1" si="41"/>
        <v>0</v>
      </c>
      <c r="AE41">
        <f t="shared" si="41"/>
        <v>0</v>
      </c>
      <c r="AF41">
        <f t="shared" si="41"/>
        <v>0</v>
      </c>
      <c r="AG41">
        <f t="shared" ca="1" si="41"/>
        <v>0</v>
      </c>
      <c r="AH41">
        <f t="shared" ca="1" si="41"/>
        <v>0</v>
      </c>
      <c r="AI41">
        <f t="shared" ca="1" si="41"/>
        <v>0</v>
      </c>
      <c r="AJ41">
        <f t="shared" si="41"/>
        <v>0</v>
      </c>
      <c r="AK41">
        <f t="shared" ca="1" si="41"/>
        <v>0</v>
      </c>
      <c r="AL41">
        <f t="shared" ca="1" si="41"/>
        <v>0</v>
      </c>
      <c r="AM41">
        <f t="shared" ca="1" si="41"/>
        <v>0</v>
      </c>
      <c r="AN41" s="79">
        <f t="shared" si="41"/>
        <v>0</v>
      </c>
      <c r="AO41" s="79">
        <f t="shared" ca="1" si="41"/>
        <v>0</v>
      </c>
      <c r="AP41" s="79">
        <f t="shared" si="41"/>
        <v>0</v>
      </c>
      <c r="AQ41" s="79">
        <f t="shared" si="41"/>
        <v>0</v>
      </c>
      <c r="AR41" s="79">
        <f t="shared" si="41"/>
        <v>0</v>
      </c>
      <c r="AS41" s="79">
        <f t="shared" si="41"/>
        <v>0</v>
      </c>
      <c r="AT41">
        <f t="shared" si="41"/>
        <v>0</v>
      </c>
      <c r="AU41" s="79">
        <f t="shared" si="41"/>
        <v>0</v>
      </c>
      <c r="AV41" s="79">
        <f t="shared" si="41"/>
        <v>0</v>
      </c>
      <c r="AW41">
        <f t="shared" si="41"/>
        <v>0</v>
      </c>
      <c r="AX41">
        <f t="shared" si="41"/>
        <v>0</v>
      </c>
    </row>
    <row r="42" spans="1:50">
      <c r="A42" t="s">
        <v>586</v>
      </c>
      <c r="C42" s="30"/>
      <c r="D42" s="30"/>
      <c r="E42" s="30"/>
      <c r="F42" s="30"/>
      <c r="G42" s="30"/>
      <c r="H42" s="30"/>
      <c r="I42" s="30"/>
      <c r="J42" s="30"/>
      <c r="K42" s="31"/>
      <c r="L42" s="30"/>
      <c r="M42" s="30"/>
      <c r="N42" s="31"/>
      <c r="O42" s="31">
        <v>0.08</v>
      </c>
      <c r="P42" s="31"/>
      <c r="Q42" s="31"/>
      <c r="R42" s="31"/>
      <c r="S42" s="31"/>
      <c r="T42" s="33"/>
      <c r="U42" s="33"/>
      <c r="V42" s="31"/>
      <c r="W42" s="30"/>
      <c r="X42" s="30"/>
      <c r="Z42" t="str">
        <f>IF(AND(C42=AC42, D42=AD42, E42=AE42, F42=AF42, G42=AG42, H42=AH42, I42=AI42, J42=AJ42, K42=AK42, L42=AL42, M42=AM42, N42=AN42, O42=AO42, P42=AP42, Q42=AQ42, R42=AR42, S42=AS42, T42=AT42, U42=AU42, V42=AV42, X42=AX42), "=", "-")</f>
        <v>=</v>
      </c>
      <c r="AA42" t="s">
        <v>586</v>
      </c>
      <c r="AC42" s="30"/>
      <c r="AD42" s="30"/>
      <c r="AE42" s="30"/>
      <c r="AF42" s="30"/>
      <c r="AG42" s="30"/>
      <c r="AH42" s="30"/>
      <c r="AI42" s="30"/>
      <c r="AJ42" s="30"/>
      <c r="AK42" s="31"/>
      <c r="AL42" s="30"/>
      <c r="AM42" s="30"/>
      <c r="AN42" s="31"/>
      <c r="AO42" s="31">
        <v>0.08</v>
      </c>
      <c r="AP42" s="31"/>
      <c r="AQ42" s="31"/>
      <c r="AR42" s="31"/>
      <c r="AS42" s="31"/>
      <c r="AT42" s="33"/>
      <c r="AU42" s="33"/>
      <c r="AV42" s="31"/>
      <c r="AW42" s="30"/>
      <c r="AX42" s="30"/>
    </row>
    <row r="43" spans="1:50">
      <c r="K43" s="2"/>
      <c r="O43" s="2"/>
      <c r="P43" s="2"/>
      <c r="Q43" s="2"/>
      <c r="R43" s="2"/>
      <c r="S43" s="2"/>
      <c r="T43" s="2"/>
      <c r="U43" s="2"/>
      <c r="V43" s="2"/>
      <c r="AK43" s="2"/>
      <c r="AM43">
        <f ca="1">AM44-M44+(AE44-E44)*0.75</f>
        <v>159</v>
      </c>
      <c r="AO43" s="2"/>
      <c r="AP43" s="2"/>
      <c r="AQ43" s="2"/>
      <c r="AR43" s="2"/>
      <c r="AS43" s="2"/>
      <c r="AT43" s="2"/>
      <c r="AU43" s="2"/>
      <c r="AV43" s="2"/>
    </row>
    <row r="44" spans="1:50">
      <c r="A44" t="s">
        <v>7</v>
      </c>
      <c r="C44">
        <f t="shared" ref="C44:X44" ca="1" si="42">SUM(C26:C42)</f>
        <v>0</v>
      </c>
      <c r="D44">
        <f t="shared" ca="1" si="42"/>
        <v>199</v>
      </c>
      <c r="E44">
        <f t="shared" ca="1" si="42"/>
        <v>107</v>
      </c>
      <c r="F44">
        <f t="shared" ca="1" si="42"/>
        <v>102</v>
      </c>
      <c r="G44">
        <f t="shared" ca="1" si="42"/>
        <v>238</v>
      </c>
      <c r="H44">
        <f ca="1">SUM(H26:H42)</f>
        <v>88</v>
      </c>
      <c r="I44">
        <f ca="1">SUM(I26:I42)</f>
        <v>97</v>
      </c>
      <c r="J44">
        <f ca="1">SUM(J26:J42)</f>
        <v>164</v>
      </c>
      <c r="K44" s="2">
        <f ca="1">SUM(K26:K42)</f>
        <v>0</v>
      </c>
      <c r="L44">
        <f t="shared" ca="1" si="42"/>
        <v>221</v>
      </c>
      <c r="M44">
        <f t="shared" ca="1" si="42"/>
        <v>210</v>
      </c>
      <c r="N44" s="2">
        <f t="shared" ca="1" si="42"/>
        <v>0</v>
      </c>
      <c r="O44" s="2">
        <f t="shared" ca="1" si="42"/>
        <v>0.13</v>
      </c>
      <c r="P44" s="2">
        <f t="shared" ca="1" si="42"/>
        <v>0</v>
      </c>
      <c r="Q44" s="2">
        <f t="shared" ca="1" si="42"/>
        <v>0</v>
      </c>
      <c r="R44" s="2">
        <f ca="1">SUM(R26:R42)</f>
        <v>0</v>
      </c>
      <c r="S44" s="2">
        <f ca="1">SUM(S26:S42)</f>
        <v>0</v>
      </c>
      <c r="T44">
        <f ca="1">SUM(T26:T42)</f>
        <v>250</v>
      </c>
      <c r="U44" s="2">
        <f ca="1">SUM(U26:U42)</f>
        <v>7.0000000000000007E-2</v>
      </c>
      <c r="V44" s="2">
        <f ca="1">SUM(V26:V42)</f>
        <v>0.44</v>
      </c>
      <c r="W44" s="4">
        <f ca="1">SUM(W26:W42)/1024</f>
        <v>0.1953125</v>
      </c>
      <c r="X44">
        <f t="shared" ca="1" si="42"/>
        <v>13</v>
      </c>
      <c r="Z44" t="str">
        <f ca="1">IF(AND(C44=AC44, D44=AD44, E44=AE44, F44=AF44, G44=AG44, H44=AH44, I44=AI44, J44=AJ44, K44=AK44, L44=AL44, M44=AM44, N44=AN44, O44=AO44, P44=AP44, Q44=AQ44, R44=AR44, S44=AS44, T44=AT44, U44=AU44, V44=AV44, X44=AX44), "=", "-")</f>
        <v>-</v>
      </c>
      <c r="AA44" t="s">
        <v>7</v>
      </c>
      <c r="AC44">
        <f t="shared" ref="AC44:AX44" ca="1" si="43">SUM(AC26:AC42)</f>
        <v>0</v>
      </c>
      <c r="AD44">
        <f t="shared" ca="1" si="43"/>
        <v>263</v>
      </c>
      <c r="AE44">
        <f t="shared" ca="1" si="43"/>
        <v>179</v>
      </c>
      <c r="AF44">
        <f t="shared" ca="1" si="43"/>
        <v>29</v>
      </c>
      <c r="AG44">
        <f t="shared" ca="1" si="43"/>
        <v>57</v>
      </c>
      <c r="AH44">
        <f ca="1">SUM(AH26:AH42)</f>
        <v>37</v>
      </c>
      <c r="AI44">
        <f ca="1">SUM(AI26:AI42)</f>
        <v>29</v>
      </c>
      <c r="AJ44">
        <f ca="1">SUM(AJ26:AJ42)</f>
        <v>214</v>
      </c>
      <c r="AK44" s="2">
        <f ca="1">SUM(AK26:AK42)</f>
        <v>0</v>
      </c>
      <c r="AL44">
        <f t="shared" ca="1" si="43"/>
        <v>337</v>
      </c>
      <c r="AM44">
        <f t="shared" ca="1" si="43"/>
        <v>315</v>
      </c>
      <c r="AN44" s="2">
        <f t="shared" ca="1" si="43"/>
        <v>0</v>
      </c>
      <c r="AO44" s="2">
        <f t="shared" ca="1" si="43"/>
        <v>0.25</v>
      </c>
      <c r="AP44" s="2">
        <f t="shared" ca="1" si="43"/>
        <v>0.02</v>
      </c>
      <c r="AQ44" s="2">
        <f t="shared" ca="1" si="43"/>
        <v>0.03</v>
      </c>
      <c r="AR44" s="2">
        <f ca="1">SUM(AR26:AR42)</f>
        <v>0.15000000000000002</v>
      </c>
      <c r="AS44" s="2">
        <f ca="1">SUM(AS26:AS42)</f>
        <v>0</v>
      </c>
      <c r="AT44">
        <f ca="1">SUM(AT26:AT42)</f>
        <v>250</v>
      </c>
      <c r="AU44" s="2">
        <f ca="1">SUM(AU26:AU42)</f>
        <v>7.0000000000000007E-2</v>
      </c>
      <c r="AV44" s="2">
        <f ca="1">SUM(AV26:AV42)</f>
        <v>0.1</v>
      </c>
      <c r="AW44" s="4">
        <f ca="1">SUM(AW26:AW42)/1024</f>
        <v>0.1953125</v>
      </c>
      <c r="AX44">
        <f t="shared" ca="1" si="43"/>
        <v>24</v>
      </c>
    </row>
    <row r="45" spans="1:50">
      <c r="A45" s="9" t="s">
        <v>107</v>
      </c>
      <c r="B45" s="160">
        <f ca="1">Setup!B47</f>
        <v>23624.313075000002</v>
      </c>
      <c r="M45" s="79">
        <f ca="1">Set1WSHitRate</f>
        <v>0.875</v>
      </c>
      <c r="AA45" s="9" t="s">
        <v>107</v>
      </c>
      <c r="AB45" s="160">
        <f ca="1">Setup!C47</f>
        <v>22549.51971855179</v>
      </c>
      <c r="AM45" s="79">
        <f ca="1">Set2WSHitRate</f>
        <v>0.95</v>
      </c>
    </row>
    <row r="46" spans="1:50">
      <c r="A46" s="29" t="s">
        <v>641</v>
      </c>
      <c r="B46" s="4">
        <f ca="1">Data!D241</f>
        <v>2.7751379264006397</v>
      </c>
      <c r="AA46" s="29" t="s">
        <v>641</v>
      </c>
      <c r="AB46" s="4">
        <f ca="1">Data!E241</f>
        <v>2.795490078632016</v>
      </c>
    </row>
    <row r="47" spans="1:50">
      <c r="A47" s="18"/>
      <c r="B47" s="143"/>
    </row>
    <row r="49" spans="2:28">
      <c r="B49">
        <f ca="1">B45/AB45</f>
        <v>1.047663691726612</v>
      </c>
      <c r="AB49">
        <f ca="1">AB45/B45</f>
        <v>0.95450477848663495</v>
      </c>
    </row>
  </sheetData>
  <phoneticPr fontId="2" type="noConversion"/>
  <conditionalFormatting sqref="Z3:Z19 Z44 Z21 Z28:Z42">
    <cfRule type="cellIs" dxfId="1" priority="3" stopIfTrue="1" operator="equal">
      <formula>"="</formula>
    </cfRule>
    <cfRule type="cellIs" dxfId="0" priority="4" stopIfTrue="1" operator="equal">
      <formula>"-"</formula>
    </cfRule>
  </conditionalFormatting>
  <dataValidations count="17">
    <dataValidation type="list" allowBlank="1" showInputMessage="1" showErrorMessage="1" sqref="B4 AB4">
      <formula1>INDIRECT($AA$4&amp;"List")</formula1>
    </dataValidation>
    <dataValidation type="list" allowBlank="1" showInputMessage="1" showErrorMessage="1" sqref="AB3">
      <formula1>INDIRECT($AA$3&amp;"List")</formula1>
    </dataValidation>
    <dataValidation type="list" allowBlank="1" showInputMessage="1" showErrorMessage="1" sqref="AB5 B5 AB28 B28">
      <formula1>AmmoList</formula1>
    </dataValidation>
    <dataValidation type="list" allowBlank="1" showInputMessage="1" showErrorMessage="1" sqref="AB29 B6 AB6 B29">
      <formula1>HeadList</formula1>
    </dataValidation>
    <dataValidation type="list" allowBlank="1" showInputMessage="1" showErrorMessage="1" sqref="AB7 B7 AB30 B30">
      <formula1>NeckList</formula1>
    </dataValidation>
    <dataValidation type="list" allowBlank="1" showInputMessage="1" showErrorMessage="1" sqref="B8:B9 AB8:AB9 AB31:AB32 B31:B32">
      <formula1>EarringList</formula1>
    </dataValidation>
    <dataValidation type="list" allowBlank="1" showInputMessage="1" showErrorMessage="1" sqref="AB33 B10 AB10 B33">
      <formula1>BodyList</formula1>
    </dataValidation>
    <dataValidation type="list" allowBlank="1" showInputMessage="1" showErrorMessage="1" sqref="AB34 B11 AB11 B34">
      <formula1>HandsList</formula1>
    </dataValidation>
    <dataValidation type="list" allowBlank="1" showInputMessage="1" showErrorMessage="1" sqref="AB12:AB13 AB35:AB36 B12:B13 B35:B36">
      <formula1>RingList</formula1>
    </dataValidation>
    <dataValidation type="list" allowBlank="1" showInputMessage="1" showErrorMessage="1" sqref="B14 AB14 AB37 B37">
      <formula1>BackList</formula1>
    </dataValidation>
    <dataValidation type="list" allowBlank="1" showInputMessage="1" showErrorMessage="1" sqref="AB38 AB15 B15 B38">
      <formula1>WaistList</formula1>
    </dataValidation>
    <dataValidation type="list" allowBlank="1" showInputMessage="1" showErrorMessage="1" sqref="AB39 AB16 B16 B39">
      <formula1>LegsList</formula1>
    </dataValidation>
    <dataValidation type="list" allowBlank="1" showInputMessage="1" showErrorMessage="1" sqref="B17 AB40 AB17 B40">
      <formula1>FeetList</formula1>
    </dataValidation>
    <dataValidation type="list" allowBlank="1" showInputMessage="1" showErrorMessage="1" sqref="A3 AA3">
      <formula1>MainWeapons</formula1>
    </dataValidation>
    <dataValidation type="list" allowBlank="1" showInputMessage="1" showErrorMessage="1" sqref="A4">
      <formula1>INDIRECT("Sub"&amp;VLOOKUP($A$3, MainWeaponsGroup, 2, 0)&amp;"Weapons")</formula1>
    </dataValidation>
    <dataValidation type="list" allowBlank="1" showInputMessage="1" showErrorMessage="1" sqref="AA4">
      <formula1>INDIRECT("Sub"&amp;VLOOKUP($AA$3, MainWeaponsGroup, 2, 0)&amp;"Weapons")</formula1>
    </dataValidation>
    <dataValidation type="list" allowBlank="1" showInputMessage="1" showErrorMessage="1" sqref="B3">
      <formula1>INDIRECT($A$3&amp;"List")</formula1>
    </dataValidation>
  </dataValidations>
  <pageMargins left="0.75" right="0.75" top="1" bottom="1" header="0.5" footer="0.5"/>
  <pageSetup orientation="portrait" r:id="rId1"/>
  <headerFooter alignWithMargins="0"/>
  <ignoredErrors>
    <ignoredError sqref="AU21 U21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 enableFormatConditionsCalculation="0">
    <tabColor indexed="41"/>
  </sheetPr>
  <dimension ref="A1:P244"/>
  <sheetViews>
    <sheetView workbookViewId="0">
      <selection activeCell="D32" sqref="D32"/>
    </sheetView>
  </sheetViews>
  <sheetFormatPr defaultRowHeight="12.75"/>
  <cols>
    <col min="1" max="1" width="16" customWidth="1"/>
    <col min="2" max="4" width="10.7109375" customWidth="1"/>
    <col min="5" max="5" width="11.42578125" customWidth="1"/>
    <col min="6" max="6" width="10.7109375" customWidth="1"/>
    <col min="7" max="7" width="11.5703125" customWidth="1"/>
    <col min="8" max="8" width="11.7109375" customWidth="1"/>
    <col min="9" max="10" width="10.7109375" customWidth="1"/>
    <col min="11" max="11" width="13.42578125" customWidth="1"/>
    <col min="12" max="12" width="13.85546875" customWidth="1"/>
    <col min="13" max="13" width="13" customWidth="1"/>
    <col min="14" max="15" width="12.85546875" customWidth="1"/>
    <col min="16" max="16" width="13.42578125" customWidth="1"/>
  </cols>
  <sheetData>
    <row r="1" spans="1:16">
      <c r="A1" t="str">
        <f>Setup!B3</f>
        <v>Hume</v>
      </c>
      <c r="B1">
        <f>Setup!B4</f>
        <v>99</v>
      </c>
      <c r="C1" t="s">
        <v>216</v>
      </c>
      <c r="D1" t="str">
        <f>Setup!B5</f>
        <v>Sam</v>
      </c>
      <c r="E1" t="str">
        <f>Setup!B6</f>
        <v>Sublime Sushi</v>
      </c>
      <c r="K1" t="s">
        <v>31</v>
      </c>
      <c r="L1" t="str">
        <f>Setup!N1</f>
        <v>ilvl130</v>
      </c>
      <c r="M1" t="s">
        <v>35</v>
      </c>
    </row>
    <row r="2" spans="1:16">
      <c r="B2" t="s">
        <v>251</v>
      </c>
      <c r="C2" t="s">
        <v>80</v>
      </c>
      <c r="D2" t="s">
        <v>540</v>
      </c>
      <c r="E2" t="s">
        <v>539</v>
      </c>
      <c r="F2" t="s">
        <v>252</v>
      </c>
      <c r="G2" t="s">
        <v>254</v>
      </c>
      <c r="H2" t="s">
        <v>253</v>
      </c>
      <c r="I2" t="s">
        <v>255</v>
      </c>
      <c r="K2" t="s">
        <v>32</v>
      </c>
      <c r="L2">
        <f>VLOOKUP($L$1,Mobs,MATCH($K2,MobHeader,0), FALSE)</f>
        <v>130</v>
      </c>
      <c r="M2" s="29" t="s">
        <v>153</v>
      </c>
      <c r="N2" s="29" t="s">
        <v>157</v>
      </c>
      <c r="O2" s="29" t="s">
        <v>684</v>
      </c>
      <c r="P2" s="29" t="s">
        <v>685</v>
      </c>
    </row>
    <row r="3" spans="1:16">
      <c r="A3" t="s">
        <v>3</v>
      </c>
      <c r="B3">
        <f>HLOOKUP(A3, PlayerStats, 2, 0) + Setup!B9</f>
        <v>109</v>
      </c>
      <c r="C3" s="7">
        <f t="shared" ref="C3:C9" si="0">IF(ISBLANK($E$1), 0, VLOOKUP($E$1, Food, MATCH(A3, FoodHeader, 0), 0))</f>
        <v>6</v>
      </c>
      <c r="D3">
        <f>IF(Setup!F$25=1, Setup!F$26, 0)</f>
        <v>0</v>
      </c>
      <c r="E3">
        <f>IF(Setup!G$25=1, Setup!G$26, 0)</f>
        <v>0</v>
      </c>
      <c r="F3" s="37">
        <f>IF(Setup!F$25=1, IF(ISBLANK($K$16),0,VLOOKUP($K$16,AtmaList,MATCH($A3,AtmaHeader,0), FALSE))+IF(ISBLANK($K$17),0,VLOOKUP($K$17,AtmaList,MATCH($A3,AtmaHeader,0), FALSE))+IF(ISBLANK($K$18),0,VLOOKUP($K$18,AtmaList,MATCH($A3,AtmaHeader,0), FALSE)), 0)</f>
        <v>0</v>
      </c>
      <c r="G3" s="37">
        <f>IF(Setup!G$25=1, IF(ISBLANK($L$16),0,VLOOKUP($L$16,AtmaList,MATCH($A3,AtmaHeader,0), FALSE))+IF(ISBLANK($L$17),0,VLOOKUP($L$17,AtmaList,MATCH($A3,AtmaHeader,0), FALSE))+IF(ISBLANK($L$18),0,VLOOKUP($L$18,AtmaList,MATCH($A3,AtmaHeader,0), FALSE)), 0)</f>
        <v>0</v>
      </c>
      <c r="H3" s="37">
        <f>B3+C3+D3+F3</f>
        <v>115</v>
      </c>
      <c r="I3" s="37">
        <f>B3+C3+E3+G3</f>
        <v>115</v>
      </c>
      <c r="K3" t="s">
        <v>33</v>
      </c>
      <c r="L3">
        <f>VLOOKUP($L$1,Mobs,MATCH($K3,MobHeader,0), FALSE)</f>
        <v>1239</v>
      </c>
      <c r="M3">
        <f>L3-TRUNC(L3*MIN(0.99,Setup!N4+IF(Setup!$J48=1,Setup!$M48*IF(Setup!J43=1,2,IF(Setup!J44=1,IF(Setup!J45=1,1.75,1.5),1)),0)))</f>
        <v>248</v>
      </c>
      <c r="N3">
        <f>L3-TRUNC(L3*MIN(0.99,Setup!N4+IF(Setup!$K48=1,Setup!$N48*IF(Setup!K43=1,2,IF(Setup!K44=1,IF(Setup!K45=1,1.75,1.5),1)),0)))</f>
        <v>248</v>
      </c>
      <c r="O3">
        <f>L3-TRUNC(L3*MIN(0.99,Setup!N4+IF(ISNUMBER(SEARCH("Quietus",Setup!B36)),Weaponskill!N6,0)+IF(Setup!$J48=1,Setup!$M48*IF(Setup!J43=1,2,IF(Setup!J44=1,IF(Setup!J45=1,1.75,1.5),1)),0)))</f>
        <v>248</v>
      </c>
      <c r="P3">
        <f>L3-TRUNC(L3*MIN(0.99,Setup!N4+IF(ISNUMBER(SEARCH("Quietus",Setup!C36)),Weaponskill!N6,0)+IF(Setup!$K48=1,Setup!$N48*IF(Setup!K43=1,2,IF(Setup!K44=1,IF(Setup!K45=1,1.75,1.5),1)),0)))</f>
        <v>248</v>
      </c>
    </row>
    <row r="4" spans="1:16">
      <c r="A4" t="s">
        <v>4</v>
      </c>
      <c r="B4">
        <f>HLOOKUP(A4, PlayerStats, 2, 0) + Setup!B10</f>
        <v>104</v>
      </c>
      <c r="C4" s="7">
        <f t="shared" si="0"/>
        <v>7</v>
      </c>
      <c r="D4">
        <f>IF(Setup!F$25=1, Setup!F$26, 0)</f>
        <v>0</v>
      </c>
      <c r="E4">
        <f>IF(Setup!G$25=1, Setup!G$26, 0)</f>
        <v>0</v>
      </c>
      <c r="F4" s="37">
        <f>IF(Setup!F$25=1, IF(ISBLANK($K$16),0,VLOOKUP($K$16,AtmaList,MATCH($A4,AtmaHeader,0), FALSE))+IF(ISBLANK($K$17),0,VLOOKUP($K$17,AtmaList,MATCH($A4,AtmaHeader,0), FALSE))+IF(ISBLANK($K$18),0,VLOOKUP($K$18,AtmaList,MATCH($A4,AtmaHeader,0), FALSE)), 0)</f>
        <v>0</v>
      </c>
      <c r="G4" s="37">
        <f>IF(Setup!G$25=1, IF(ISBLANK($L$16),0,VLOOKUP($L$16,AtmaList,MATCH($A4,AtmaHeader,0), FALSE))+IF(ISBLANK($L$17),0,VLOOKUP($L$17,AtmaList,MATCH($A4,AtmaHeader,0), FALSE))+IF(ISBLANK($L$18),0,VLOOKUP($L$18,AtmaList,MATCH($A4,AtmaHeader,0), FALSE)), 0)</f>
        <v>0</v>
      </c>
      <c r="H4" s="37">
        <f t="shared" ref="H4:H9" si="1">B4+C4+D4+F4</f>
        <v>111</v>
      </c>
      <c r="I4" s="37">
        <f t="shared" ref="I4:I9" si="2">B4+C4+E4+G4</f>
        <v>111</v>
      </c>
      <c r="K4" t="s">
        <v>36</v>
      </c>
      <c r="M4">
        <f>IF(VLOOKUP($L$1,Mobs,MATCH("Level Correct",MobHeader,0),FALSE) = "Yes", IF(L2&gt;($B$1+1),0.05*(L2-($B$1+1)),0), 0)</f>
        <v>0</v>
      </c>
    </row>
    <row r="5" spans="1:16">
      <c r="A5" t="s">
        <v>42</v>
      </c>
      <c r="B5">
        <f>HLOOKUP(A5, PlayerStats, 2, 0)</f>
        <v>84</v>
      </c>
      <c r="C5" s="7">
        <f t="shared" si="0"/>
        <v>0</v>
      </c>
      <c r="D5">
        <f>IF(Setup!F$25=1, Setup!F$26, 0)</f>
        <v>0</v>
      </c>
      <c r="E5">
        <f>IF(Setup!G$25=1, Setup!G$26, 0)</f>
        <v>0</v>
      </c>
      <c r="F5" s="37">
        <f>IF(Setup!F$25=1, IF(ISBLANK($K$16),0,VLOOKUP($K$16,AtmaList,MATCH($A5,AtmaHeader,0), FALSE))+IF(ISBLANK($K$17),0,VLOOKUP($K$17,AtmaList,MATCH($A5,AtmaHeader,0), FALSE))+IF(ISBLANK($K$18),0,VLOOKUP($K$18,AtmaList,MATCH($A5,AtmaHeader,0), FALSE)), 0)</f>
        <v>0</v>
      </c>
      <c r="G5" s="37">
        <f>IF(Setup!G$25=1, IF(ISBLANK($L$16),0,VLOOKUP($L$16,AtmaList,MATCH($A5,AtmaHeader,0), FALSE))+IF(ISBLANK($L$17),0,VLOOKUP($L$17,AtmaList,MATCH($A5,AtmaHeader,0), FALSE))+IF(ISBLANK($L$18),0,VLOOKUP($L$18,AtmaList,MATCH($A5,AtmaHeader,0), FALSE)), 0)</f>
        <v>0</v>
      </c>
      <c r="H5" s="37">
        <f t="shared" si="1"/>
        <v>84</v>
      </c>
      <c r="I5" s="37">
        <f t="shared" si="2"/>
        <v>84</v>
      </c>
      <c r="K5" t="s">
        <v>34</v>
      </c>
      <c r="L5">
        <f>VLOOKUP($L$1,Mobs,MATCH($K5,MobHeader,0), FALSE)</f>
        <v>1119</v>
      </c>
      <c r="M5">
        <f>L5-TRUNC(IF(Setup!$J47=1,Setup!$M47,0)*IF(Setup!J43=1,2,IF(Setup!J44=1,IF(Setup!J45=1,1.75,1.5),1)))</f>
        <v>1119</v>
      </c>
      <c r="N5">
        <f>L5-TRUNC(IF(Setup!$K47=1,Setup!$N47,0)*IF(Setup!K43=1,2,IF(Setup!K44=1,IF(Setup!K45=1,1.75,1.5),1)))</f>
        <v>1119</v>
      </c>
    </row>
    <row r="6" spans="1:16">
      <c r="A6" t="s">
        <v>5</v>
      </c>
      <c r="B6">
        <f>HLOOKUP(A6, PlayerStats, 2, 0) + Setup!B11</f>
        <v>104</v>
      </c>
      <c r="C6" s="7">
        <f t="shared" si="0"/>
        <v>0</v>
      </c>
      <c r="D6">
        <f>IF(Setup!F$25=1, Setup!F$26, 0)</f>
        <v>0</v>
      </c>
      <c r="E6">
        <f>IF(Setup!G$25=1, Setup!G$26, 0)</f>
        <v>0</v>
      </c>
      <c r="F6" s="37">
        <f>IF(Setup!F$25=1, IF(ISBLANK($K$16),0,VLOOKUP($K$16,AtmaList,MATCH($A6,AtmaHeader,0), FALSE))+IF(ISBLANK($K$17),0,VLOOKUP($K$17,AtmaList,MATCH($A6,AtmaHeader,0), FALSE))+IF(ISBLANK($K$18),0,VLOOKUP($K$18,AtmaList,MATCH($A6,AtmaHeader,0), FALSE)), 0)</f>
        <v>0</v>
      </c>
      <c r="G6" s="37">
        <f>IF(Setup!G$25=1, IF(ISBLANK($L$16),0,VLOOKUP($L$16,AtmaList,MATCH($A6,AtmaHeader,0), FALSE))+IF(ISBLANK($L$17),0,VLOOKUP($L$17,AtmaList,MATCH($A6,AtmaHeader,0), FALSE))+IF(ISBLANK($L$18),0,VLOOKUP($L$18,AtmaList,MATCH($A6,AtmaHeader,0), FALSE)), 0)</f>
        <v>0</v>
      </c>
      <c r="H6" s="37">
        <f t="shared" si="1"/>
        <v>104</v>
      </c>
      <c r="I6" s="37">
        <f t="shared" si="2"/>
        <v>104</v>
      </c>
      <c r="K6" t="s">
        <v>36</v>
      </c>
      <c r="M6">
        <f>IF(VLOOKUP($L$1,Mobs,MATCH("Level Correct",MobHeader,0),FALSE)="Yes",MAX((L2-($B$1+1))*4,0),0)</f>
        <v>0</v>
      </c>
    </row>
    <row r="7" spans="1:16">
      <c r="A7" t="s">
        <v>182</v>
      </c>
      <c r="B7">
        <f>HLOOKUP(A7, PlayerStats, 2, 0) + Setup!B12</f>
        <v>101</v>
      </c>
      <c r="C7" s="7">
        <f t="shared" si="0"/>
        <v>-3</v>
      </c>
      <c r="D7">
        <f>IF(Setup!F$25=1, Setup!F$26, 0)</f>
        <v>0</v>
      </c>
      <c r="E7">
        <f>IF(Setup!G$25=1, Setup!G$26, 0)</f>
        <v>0</v>
      </c>
      <c r="F7" s="37">
        <f>IF(Setup!F$25=1, IF(ISBLANK($K$16),0,VLOOKUP($K$16,AtmaList,MATCH($A7,AtmaHeader,0), FALSE))+IF(ISBLANK($K$17),0,VLOOKUP($K$17,AtmaList,MATCH($A7,AtmaHeader,0), FALSE))+IF(ISBLANK($K$18),0,VLOOKUP($K$18,AtmaList,MATCH($A7,AtmaHeader,0), FALSE)), 0)</f>
        <v>0</v>
      </c>
      <c r="G7" s="37">
        <f>IF(Setup!G$25=1, IF(ISBLANK($L$16),0,VLOOKUP($L$16,AtmaList,MATCH($A7,AtmaHeader,0), FALSE))+IF(ISBLANK($L$17),0,VLOOKUP($L$17,AtmaList,MATCH($A7,AtmaHeader,0), FALSE))+IF(ISBLANK($L$18),0,VLOOKUP($L$18,AtmaList,MATCH($A7,AtmaHeader,0), FALSE)), 0)</f>
        <v>0</v>
      </c>
      <c r="H7" s="37">
        <f t="shared" si="1"/>
        <v>98</v>
      </c>
      <c r="I7" s="37">
        <f t="shared" si="2"/>
        <v>98</v>
      </c>
      <c r="K7" t="s">
        <v>42</v>
      </c>
      <c r="L7">
        <f>VLOOKUP($L$1,Mobs,MATCH($K7,MobHeader,0), FALSE)</f>
        <v>272</v>
      </c>
    </row>
    <row r="8" spans="1:16">
      <c r="A8" t="s">
        <v>183</v>
      </c>
      <c r="B8">
        <f>HLOOKUP(A8, PlayerStats, 2, 0) + Setup!B13</f>
        <v>74</v>
      </c>
      <c r="C8" s="7">
        <f t="shared" si="0"/>
        <v>0</v>
      </c>
      <c r="D8">
        <f>IF(Setup!F$25=1, Setup!F$26, 0)</f>
        <v>0</v>
      </c>
      <c r="E8">
        <f>IF(Setup!G$25=1, Setup!G$26, 0)</f>
        <v>0</v>
      </c>
      <c r="F8" s="37">
        <f>IF(Setup!F$25=1, IF(ISBLANK($K$16),0,VLOOKUP($K$16,AtmaList,MATCH($A8,AtmaHeader,0), FALSE))+IF(ISBLANK($K$17),0,VLOOKUP($K$17,AtmaList,MATCH($A8,AtmaHeader,0), FALSE))+IF(ISBLANK($K$18),0,VLOOKUP($K$18,AtmaList,MATCH($A8,AtmaHeader,0), FALSE)), 0)</f>
        <v>0</v>
      </c>
      <c r="G8" s="37">
        <f>IF(Setup!G$25=1, IF(ISBLANK($L$16),0,VLOOKUP($L$16,AtmaList,MATCH($A8,AtmaHeader,0), FALSE))+IF(ISBLANK($L$17),0,VLOOKUP($L$17,AtmaList,MATCH($A8,AtmaHeader,0), FALSE))+IF(ISBLANK($L$18),0,VLOOKUP($L$18,AtmaList,MATCH($A8,AtmaHeader,0), FALSE)), 0)</f>
        <v>0</v>
      </c>
      <c r="H8" s="37">
        <f t="shared" si="1"/>
        <v>74</v>
      </c>
      <c r="I8" s="37">
        <f t="shared" si="2"/>
        <v>74</v>
      </c>
      <c r="K8" t="s">
        <v>5</v>
      </c>
      <c r="L8">
        <f>VLOOKUP($L$1,Mobs,MATCH($K8,MobHeader,0), FALSE)</f>
        <v>271</v>
      </c>
    </row>
    <row r="9" spans="1:16">
      <c r="A9" t="s">
        <v>218</v>
      </c>
      <c r="B9">
        <f>HLOOKUP(A9, PlayerStats, 2, 0) + Setup!B14</f>
        <v>1850</v>
      </c>
      <c r="C9" s="7">
        <f t="shared" si="0"/>
        <v>0</v>
      </c>
      <c r="D9">
        <f>IF(Setup!F$25=1, Setup!F$26, 0)</f>
        <v>0</v>
      </c>
      <c r="E9">
        <f>IF(Setup!G$25=1, Setup!G$26, 0)</f>
        <v>0</v>
      </c>
      <c r="F9" s="37">
        <f>IF(Setup!F$25=1, IF(ISBLANK($K$16),0,VLOOKUP($K$16,AtmaList,MATCH($A9,AtmaHeader,0), FALSE))+IF(ISBLANK($K$17),0,VLOOKUP($K$17,AtmaList,MATCH($A9,AtmaHeader,0), FALSE))+IF(ISBLANK($K$18),0,VLOOKUP($K$18,AtmaList,MATCH($A9,AtmaHeader,0), FALSE)), 0)</f>
        <v>0</v>
      </c>
      <c r="G9" s="37">
        <f>IF(Setup!G$25=1, IF(ISBLANK($L$16),0,VLOOKUP($L$16,AtmaList,MATCH($A9,AtmaHeader,0), FALSE))+IF(ISBLANK($L$17),0,VLOOKUP($L$17,AtmaList,MATCH($A9,AtmaHeader,0), FALSE))+IF(ISBLANK($L$18),0,VLOOKUP($L$18,AtmaList,MATCH($A9,AtmaHeader,0), FALSE)), 0)</f>
        <v>0</v>
      </c>
      <c r="H9" s="37">
        <f t="shared" si="1"/>
        <v>1850</v>
      </c>
      <c r="I9" s="37">
        <f t="shared" si="2"/>
        <v>1850</v>
      </c>
      <c r="K9" s="29" t="s">
        <v>496</v>
      </c>
      <c r="L9" s="79">
        <f>VLOOKUP($L$1,Mobs,MATCH($K9,MobHeader,0), FALSE)</f>
        <v>0</v>
      </c>
    </row>
    <row r="10" spans="1:16">
      <c r="K10" s="29" t="s">
        <v>497</v>
      </c>
      <c r="L10" s="79">
        <f>VLOOKUP($L$1,Mobs,MATCH($K10,MobHeader,0), FALSE)</f>
        <v>0</v>
      </c>
    </row>
    <row r="11" spans="1:16">
      <c r="A11" t="s">
        <v>80</v>
      </c>
      <c r="B11" s="29" t="s">
        <v>256</v>
      </c>
      <c r="C11" t="s">
        <v>58</v>
      </c>
      <c r="D11" t="s">
        <v>57</v>
      </c>
      <c r="E11" t="s">
        <v>252</v>
      </c>
      <c r="F11" t="s">
        <v>254</v>
      </c>
    </row>
    <row r="12" spans="1:16">
      <c r="A12" t="s">
        <v>9</v>
      </c>
      <c r="B12" s="2">
        <f>IF(ISBLANK($E$1), 0, VLOOKUP($E$1, Food, MATCH("Att Mult", FoodHeader, 0), 0))</f>
        <v>0</v>
      </c>
      <c r="C12" s="32">
        <f>IF(ISBLANK($E$1), 0, VLOOKUP($E$1, Food, MATCH("Att Mult Cap", FoodHeader, 0), 0))</f>
        <v>0</v>
      </c>
      <c r="D12" s="32">
        <f>IF(ISBLANK($E$1), 0, VLOOKUP($E$1, Food, MATCH("Att Add", FoodHeader, 0), 0))</f>
        <v>0</v>
      </c>
      <c r="E12" s="37">
        <f>IF(Setup!F$25=1, IF(ISBLANK($K$16),0,VLOOKUP($K$16,AtmaList,MATCH($A12,AtmaHeader,0), FALSE))+IF(ISBLANK($K$17),0,VLOOKUP($K$17,AtmaList,MATCH($A12,AtmaHeader,0), FALSE))+IF(ISBLANK($K$18),0,VLOOKUP($K$18,AtmaList,MATCH($A12,AtmaHeader,0), FALSE)), 0)</f>
        <v>0</v>
      </c>
      <c r="F12" s="37">
        <f>IF(Setup!G$25=1, IF(ISBLANK($K$16),0,VLOOKUP($K$16,AtmaList,MATCH($A12,AtmaHeader,0), FALSE))+IF(ISBLANK($K$17),0,VLOOKUP($K$17,AtmaList,MATCH($A12,AtmaHeader,0), FALSE))+IF(ISBLANK($K$18),0,VLOOKUP($K$18,AtmaList,MATCH($A12,AtmaHeader,0), FALSE)), 0)</f>
        <v>0</v>
      </c>
      <c r="G12" t="s">
        <v>287</v>
      </c>
      <c r="H12">
        <f>IF(B1&gt;90, 72, IF(B1&gt;75, 60, 48))</f>
        <v>72</v>
      </c>
      <c r="L12" s="2"/>
    </row>
    <row r="13" spans="1:16">
      <c r="A13" t="s">
        <v>10</v>
      </c>
      <c r="B13" s="2">
        <f>IF(ISBLANK($E$1), 0, VLOOKUP($E$1, Food, MATCH("Acc Mult", FoodHeader, 0), 0))</f>
        <v>0.1</v>
      </c>
      <c r="C13" s="32">
        <f>IF(ISBLANK($E$1), 0, VLOOKUP($E$1, Food, MATCH("Acc Mult Cap", FoodHeader, 0), 0))</f>
        <v>100</v>
      </c>
      <c r="D13" s="32">
        <f>IF(ISBLANK($E$1), 0, VLOOKUP($E$1, Food, MATCH("Acc Add", FoodHeader, 0), 0))</f>
        <v>0</v>
      </c>
      <c r="E13" s="37">
        <f>IF(Setup!F$25=1, IF(ISBLANK($K$16),0,VLOOKUP($K$16,AtmaList,MATCH($A13,AtmaHeader,0), FALSE))+IF(ISBLANK($K$17),0,VLOOKUP($K$17,AtmaList,MATCH($A13,AtmaHeader,0), FALSE))+IF(ISBLANK($K$18),0,VLOOKUP($K$18,AtmaList,MATCH($A13,AtmaHeader,0), FALSE)), 0)</f>
        <v>0</v>
      </c>
      <c r="F13" s="37">
        <f>IF(Setup!G$25=1, IF(ISBLANK($K$16),0,VLOOKUP($K$16,AtmaList,MATCH($A13,AtmaHeader,0), FALSE))+IF(ISBLANK($K$17),0,VLOOKUP($K$17,AtmaList,MATCH($A13,AtmaHeader,0), FALSE))+IF(ISBLANK($K$18),0,VLOOKUP($K$18,AtmaList,MATCH($A13,AtmaHeader,0), FALSE)), 0)</f>
        <v>0</v>
      </c>
      <c r="G13" t="s">
        <v>541</v>
      </c>
      <c r="H13">
        <v>0</v>
      </c>
      <c r="K13" t="s">
        <v>259</v>
      </c>
      <c r="L13" s="12">
        <f>IF(D1="Nin", 25%, 0%)</f>
        <v>0</v>
      </c>
    </row>
    <row r="14" spans="1:16">
      <c r="B14" s="2"/>
      <c r="C14" s="32"/>
      <c r="D14" s="32"/>
      <c r="E14" s="37"/>
      <c r="F14" s="37"/>
      <c r="L14" s="29"/>
    </row>
    <row r="15" spans="1:16">
      <c r="E15" s="37"/>
      <c r="F15" s="29"/>
      <c r="G15" s="37"/>
      <c r="H15" s="37"/>
      <c r="K15" s="9" t="s">
        <v>257</v>
      </c>
      <c r="L15" s="9" t="s">
        <v>258</v>
      </c>
      <c r="N15" s="131" t="s">
        <v>552</v>
      </c>
      <c r="O15" s="131" t="s">
        <v>153</v>
      </c>
      <c r="P15" t="s">
        <v>157</v>
      </c>
    </row>
    <row r="16" spans="1:16">
      <c r="B16" s="2" t="s">
        <v>2</v>
      </c>
      <c r="C16" s="7" t="s">
        <v>252</v>
      </c>
      <c r="D16" s="7" t="s">
        <v>254</v>
      </c>
      <c r="G16" t="s">
        <v>153</v>
      </c>
      <c r="H16" t="s">
        <v>157</v>
      </c>
      <c r="K16" s="29" t="str">
        <f>Setup!F27</f>
        <v>Apocolypse</v>
      </c>
      <c r="L16" s="29" t="str">
        <f>Setup!G27</f>
        <v>Razed Ruin</v>
      </c>
      <c r="N16" t="s">
        <v>397</v>
      </c>
      <c r="O16" s="132">
        <f>Setup!B39</f>
        <v>210</v>
      </c>
      <c r="P16" s="132">
        <f>Setup!C39</f>
        <v>210</v>
      </c>
    </row>
    <row r="17" spans="1:16">
      <c r="A17" t="s">
        <v>12</v>
      </c>
      <c r="B17" s="2">
        <f>IF(D1="War", 10%, 0%)</f>
        <v>0</v>
      </c>
      <c r="C17" s="12">
        <f>IF(Setup!F$25=1, IF(ISBLANK($K$16),0,VLOOKUP($K$16,AtmaList,MATCH($A17,AtmaHeader,0), FALSE))+IF(ISBLANK($K$17),0,VLOOKUP($K$17,AtmaList,MATCH($A17,AtmaHeader,0), FALSE))+IF(ISBLANK($K$18),0,VLOOKUP($K$18,AtmaList,MATCH($A17,AtmaHeader,0), FALSE)), 0)</f>
        <v>0</v>
      </c>
      <c r="D17" s="12">
        <f>IF(Setup!G$25=1, IF(ISBLANK($L$16),0,VLOOKUP($L$16,AtmaList,MATCH($A17,AtmaHeader,0), FALSE))+IF(ISBLANK($L$17),0,VLOOKUP($L$17,AtmaList,MATCH($A17,AtmaHeader,0), FALSE))+IF(ISBLANK($L$18),0,VLOOKUP($L$18,AtmaList,MATCH($A17,AtmaHeader,0), FALSE)), 0)</f>
        <v>0</v>
      </c>
      <c r="F17" s="29" t="s">
        <v>623</v>
      </c>
      <c r="G17" t="str">
        <f>Gear!A3</f>
        <v>GreatSword</v>
      </c>
      <c r="H17" t="str">
        <f>Gear!AA3</f>
        <v>GreatSword</v>
      </c>
      <c r="K17" s="29" t="str">
        <f>Setup!F28</f>
        <v>V. Violet</v>
      </c>
      <c r="L17" s="29" t="str">
        <f>Setup!G28</f>
        <v>V. Violet</v>
      </c>
      <c r="N17" s="131">
        <v>75</v>
      </c>
      <c r="O17" s="131">
        <f>MAX(TRUNC(2*O$16/5-60), 0)</f>
        <v>24</v>
      </c>
      <c r="P17" s="131">
        <f>MAX(TRUNC(2*P$16/5-60), 0)</f>
        <v>24</v>
      </c>
    </row>
    <row r="18" spans="1:16">
      <c r="A18" t="s">
        <v>150</v>
      </c>
      <c r="B18" s="12">
        <f>0%</f>
        <v>0</v>
      </c>
      <c r="C18" s="12">
        <f>IF(Setup!F$25=1, IF(ISBLANK($K$16),0,VLOOKUP($K$16,AtmaList,MATCH($A18,AtmaHeader,0), FALSE))+IF(ISBLANK($K$17),0,VLOOKUP($K$17,AtmaList,MATCH($A18,AtmaHeader,0), FALSE))+IF(ISBLANK($K$18),0,VLOOKUP($K$18,AtmaList,MATCH($A18,AtmaHeader,0), FALSE)), 0)</f>
        <v>0</v>
      </c>
      <c r="D18" s="12">
        <f>IF(Setup!G$25=1, IF(ISBLANK($L$16),0,VLOOKUP($L$16,AtmaList,MATCH($A18,AtmaHeader,0), FALSE))+IF(ISBLANK($L$17),0,VLOOKUP($L$17,AtmaList,MATCH($A18,AtmaHeader,0), FALSE))+IF(ISBLANK($L$18),0,VLOOKUP($L$18,AtmaList,MATCH($A18,AtmaHeader,0), FALSE)), 0)</f>
        <v>0</v>
      </c>
      <c r="F18" s="29" t="s">
        <v>30</v>
      </c>
      <c r="G18">
        <f>VLOOKUP(G17, Skills, 3, 0) + VLOOKUP(G17, Skills, 4, 0) + 5*(MAX(0, MIN($B$1-75, 5)))+6*(MAX(0, MIN($B$1-80, 10)))+7*(MAX(0,$B$1-90))</f>
        <v>433</v>
      </c>
      <c r="H18">
        <f>VLOOKUP(H17, Skills, 3, 0) + VLOOKUP(H17, Skills, 4, 0) + 5*(MAX(0, MIN($B$1-75, 5)))+6*(MAX(0, MIN($B$1-80, 10)))+7*(MAX(0,$B$1-90))</f>
        <v>433</v>
      </c>
      <c r="K18" s="29" t="str">
        <f>Setup!F29</f>
        <v>Griffon's Claw</v>
      </c>
      <c r="L18" s="29" t="str">
        <f>Setup!G29</f>
        <v>Apocolypse</v>
      </c>
      <c r="N18" s="131">
        <v>80</v>
      </c>
      <c r="O18" s="131">
        <f t="shared" ref="O18:P20" si="3">MAX(TRUNC(3*O$16/5-90), 0)</f>
        <v>36</v>
      </c>
      <c r="P18" s="131">
        <f t="shared" si="3"/>
        <v>36</v>
      </c>
    </row>
    <row r="19" spans="1:16">
      <c r="A19" t="s">
        <v>297</v>
      </c>
      <c r="B19" s="129" t="s">
        <v>542</v>
      </c>
      <c r="C19" s="79">
        <f>IF(AND(D1="Sam", G17="Axe"), 25%, 0)</f>
        <v>0</v>
      </c>
      <c r="D19" s="79">
        <f>IF(AND(D1="Sam", H17="Axe"), 25%, 0)</f>
        <v>0</v>
      </c>
      <c r="F19" t="s">
        <v>418</v>
      </c>
      <c r="G19" s="29">
        <f ca="1">VLOOKUP(Gear!$B$3, INDIRECT(Gear!$A$3), MATCH("Dmg", StatHeader, 0), 0)</f>
        <v>303</v>
      </c>
      <c r="H19" s="29">
        <f ca="1">VLOOKUP(Gear!$AB$3, INDIRECT(Gear!$AA$3), MATCH("Dmg", StatHeader, 0), 0)</f>
        <v>304</v>
      </c>
      <c r="N19">
        <v>85</v>
      </c>
      <c r="O19" s="131">
        <f t="shared" si="3"/>
        <v>36</v>
      </c>
      <c r="P19" s="131">
        <f t="shared" si="3"/>
        <v>36</v>
      </c>
    </row>
    <row r="20" spans="1:16">
      <c r="A20" s="37" t="s">
        <v>112</v>
      </c>
      <c r="B20" s="2">
        <v>0</v>
      </c>
      <c r="C20" s="12">
        <f>IF(Setup!F$25=1, IF(ISBLANK($K$16),0,VLOOKUP($K$16,AtmaList,MATCH($A20,AtmaHeader,0), FALSE))+IF(ISBLANK($K$17),0,VLOOKUP($K$17,AtmaList,MATCH($A20,AtmaHeader,0), FALSE))+IF(ISBLANK($K$18),0,VLOOKUP($K$18,AtmaList,MATCH($A20,AtmaHeader,0), FALSE)), 0)</f>
        <v>0</v>
      </c>
      <c r="D20" s="12">
        <f>IF(Setup!G$25=1, IF(ISBLANK($L$16),0,VLOOKUP($L$16,AtmaList,MATCH($A20,AtmaHeader,0), FALSE))+IF(ISBLANK($L$17),0,VLOOKUP($L$17,AtmaList,MATCH($A20,AtmaHeader,0), FALSE))+IF(ISBLANK($L$18),0,VLOOKUP($L$18,AtmaList,MATCH($A20,AtmaHeader,0), FALSE)), 0)</f>
        <v>0</v>
      </c>
      <c r="F20" t="s">
        <v>419</v>
      </c>
      <c r="G20">
        <f ca="1">VLOOKUP(Gear!$B$3, INDIRECT(Gear!$A$3), MATCH("Dly", StatHeader, 0), 0)</f>
        <v>430</v>
      </c>
      <c r="H20">
        <f ca="1">VLOOKUP(Gear!$AB$3, INDIRECT(Gear!$AA$3), MATCH("Dly", StatHeader, 0), 0)</f>
        <v>431</v>
      </c>
      <c r="I20">
        <f ca="1">TRUNC(VLOOKUP(Gear!$B$3, INDIRECT(Gear!$A$3), MATCH("Dly", StatHeader, 0), 0) * IF(AND(OR(G17="Scythe", G17="Great Sword"), Gear!$B$4="Sword Strap"), 0.97, 1))</f>
        <v>430</v>
      </c>
      <c r="K20" t="s">
        <v>230</v>
      </c>
      <c r="L20" t="s">
        <v>231</v>
      </c>
      <c r="N20">
        <v>90</v>
      </c>
      <c r="O20" s="131">
        <f t="shared" si="3"/>
        <v>36</v>
      </c>
      <c r="P20" s="131">
        <f t="shared" si="3"/>
        <v>36</v>
      </c>
    </row>
    <row r="21" spans="1:16">
      <c r="A21" t="s">
        <v>114</v>
      </c>
      <c r="B21" s="2">
        <f>IF(B1&gt;=95, 8%, IF(B1&gt;=85, 5%, 0))</f>
        <v>0.08</v>
      </c>
      <c r="C21" s="12">
        <f>IF(Setup!F$25=1, IF(ISBLANK($K$16),0,VLOOKUP($K$16,AtmaList,MATCH($A21,AtmaHeader,0), FALSE))+IF(ISBLANK($K$17),0,VLOOKUP($K$17,AtmaList,MATCH($A21,AtmaHeader,0), FALSE))+IF(ISBLANK($K$18),0,VLOOKUP($K$18,AtmaList,MATCH($A21,AtmaHeader,0), FALSE)), 0)</f>
        <v>0</v>
      </c>
      <c r="D21" s="12">
        <f>IF(Setup!G$25=1, IF(ISBLANK($L$16),0,VLOOKUP($L$16,AtmaList,MATCH($A21,AtmaHeader,0), FALSE))+IF(ISBLANK($L$17),0,VLOOKUP($L$17,AtmaList,MATCH($A21,AtmaHeader,0), FALSE))+IF(ISBLANK($L$18),0,VLOOKUP($L$18,AtmaList,MATCH($A21,AtmaHeader,0), FALSE)), 0)</f>
        <v>0</v>
      </c>
      <c r="F21" s="29" t="s">
        <v>624</v>
      </c>
      <c r="G21" t="str">
        <f>Gear!A4</f>
        <v>Grip</v>
      </c>
      <c r="H21" t="str">
        <f>Gear!AA4</f>
        <v>Grip</v>
      </c>
      <c r="J21" t="s">
        <v>30</v>
      </c>
      <c r="K21">
        <f>IF(AND(Setup!F$25=1, OR(G17="Great Sword", G17="Scythe")), IF(ISBLANK($K$16),0,VLOOKUP($K$16,AtmaList,MATCH($J21,AtmaHeader,0), FALSE))+IF(ISBLANK($K$17),0,VLOOKUP($K$17,AtmaList,MATCH($J21,AtmaHeader,0), FALSE))+IF(ISBLANK($K$18),0,VLOOKUP($K$18,AtmaList,MATCH($J21,AtmaHeader,0), FALSE)), 0)</f>
        <v>0</v>
      </c>
      <c r="L21">
        <f>IF(AND(Setup!G$25=1, OR(H17="Great Sword", H17="Scythe")), IF(ISBLANK($L$16),0,VLOOKUP($L$16,AtmaList,MATCH($J21,AtmaHeader,0), FALSE))+IF(ISBLANK($L$17),0,VLOOKUP($L$17,AtmaList,MATCH($J21,AtmaHeader,0), FALSE))+IF(ISBLANK($L$18),0,VLOOKUP($L$18,AtmaList,MATCH($J21,AtmaHeader,0), FALSE)), 0)</f>
        <v>0</v>
      </c>
      <c r="M21" s="12"/>
      <c r="N21">
        <v>95</v>
      </c>
      <c r="O21" s="131">
        <f t="shared" ref="O21:P23" si="4">MAX(TRUNC(O$16/2-60), 0)</f>
        <v>45</v>
      </c>
      <c r="P21" s="131">
        <f t="shared" si="4"/>
        <v>45</v>
      </c>
    </row>
    <row r="22" spans="1:16">
      <c r="A22" t="s">
        <v>13</v>
      </c>
      <c r="B22" s="29">
        <f>IF(D1="Sam", 15, 0)</f>
        <v>15</v>
      </c>
      <c r="C22" s="42">
        <f>IF(Setup!F$25=1, IF(ISBLANK($K$16),0,VLOOKUP($K$16,AtmaList,MATCH($A22,AtmaHeader,0), FALSE))+IF(ISBLANK($K$17),0,VLOOKUP($K$17,AtmaList,MATCH($A22,AtmaHeader,0), FALSE))+IF(ISBLANK($K$18),0,VLOOKUP($K$18,AtmaList,MATCH($A22,AtmaHeader,0), FALSE)), 0)</f>
        <v>0</v>
      </c>
      <c r="D22" s="42">
        <f>IF(Setup!G$25=1, IF(ISBLANK($L$16),0,VLOOKUP($L$16,AtmaList,MATCH($A22,AtmaHeader,0), FALSE))+IF(ISBLANK($L$17),0,VLOOKUP($L$17,AtmaList,MATCH($A22,AtmaHeader,0), FALSE))+IF(ISBLANK($L$18),0,VLOOKUP($L$18,AtmaList,MATCH($A22,AtmaHeader,0), FALSE)), 0)</f>
        <v>0</v>
      </c>
      <c r="F22" s="29" t="s">
        <v>30</v>
      </c>
      <c r="G22">
        <f>IF(VLOOKUP(G21, Skills, 3, 0)&gt;0, VLOOKUP(G21, Skills, 3, 0) + VLOOKUP(G21, Skills, 4, 0) + 5*(MAX(0, MIN($B$1-75, 5)))+6*(MAX(0, MIN($B$1-80, 10)))+7*(MAX(0,$B$1-90)), 0)</f>
        <v>0</v>
      </c>
      <c r="H22">
        <f>IF(VLOOKUP(H21, Skills, 3, 0)&gt;0, VLOOKUP(H21, Skills, 3, 0) + VLOOKUP(H21, Skills, 4, 0) + 5*(MAX(0, MIN($B$1-75, 5)))+6*(MAX(0, MIN($B$1-80, 10)))+7*(MAX(0,$B$1-90)), 0)</f>
        <v>0</v>
      </c>
      <c r="J22" t="s">
        <v>164</v>
      </c>
      <c r="K22" s="79">
        <f>IF(Setup!F$25=1, IF(ISBLANK($K$16),0,VLOOKUP($K$16,AtmaList,MATCH($J22,AtmaHeader,0), FALSE))+IF(ISBLANK($K$17),0,VLOOKUP($K$17,AtmaList,MATCH($J22,AtmaHeader,0), FALSE))+IF(ISBLANK($K$18),0,VLOOKUP($K$18,AtmaList,MATCH($J22,AtmaHeader,0), FALSE)), 0)</f>
        <v>0</v>
      </c>
      <c r="L22" s="79">
        <f>IF(Setup!G$25=1, IF(ISBLANK($L$16),0,VLOOKUP($L$16,AtmaList,MATCH($J22,AtmaHeader,0), FALSE))+IF(ISBLANK($L$17),0,VLOOKUP($L$17,AtmaList,MATCH($J22,AtmaHeader,0), FALSE))+IF(ISBLANK($L$18),0,VLOOKUP($L$18,AtmaList,MATCH($J22,AtmaHeader,0), FALSE)), 0)</f>
        <v>0</v>
      </c>
      <c r="N22">
        <v>99</v>
      </c>
      <c r="O22" s="131">
        <f t="shared" si="4"/>
        <v>45</v>
      </c>
      <c r="P22" s="131">
        <f t="shared" si="4"/>
        <v>45</v>
      </c>
    </row>
    <row r="23" spans="1:16">
      <c r="A23" s="37" t="s">
        <v>260</v>
      </c>
      <c r="B23">
        <f>VLOOKUP(E1,Food,MATCH("Store TP",FoodHeader,0), 0)</f>
        <v>0</v>
      </c>
      <c r="F23" t="s">
        <v>420</v>
      </c>
      <c r="G23" s="29">
        <f ca="1">IF(G17="Axe", VLOOKUP(Gear!$B$4, INDIRECT(Gear!$A$3), MATCH("Dmg", StatHeader, 0), 0), 0)</f>
        <v>0</v>
      </c>
      <c r="H23" s="29">
        <f ca="1">IF(H17="Axe", VLOOKUP(Gear!$AB$4, INDIRECT(Gear!$AA$3), MATCH("Dmg", StatHeader, 0), 0), 0)</f>
        <v>0</v>
      </c>
      <c r="N23">
        <v>119</v>
      </c>
      <c r="O23" s="131">
        <f t="shared" si="4"/>
        <v>45</v>
      </c>
      <c r="P23" s="131">
        <f t="shared" si="4"/>
        <v>45</v>
      </c>
    </row>
    <row r="24" spans="1:16">
      <c r="A24" t="s">
        <v>184</v>
      </c>
      <c r="B24">
        <v>0</v>
      </c>
      <c r="C24" s="42">
        <f>IF(Setup!F$25=1, IF(ISBLANK($K$16),0,VLOOKUP($K$16,AtmaList,MATCH($A24,AtmaHeader,0), FALSE))+IF(ISBLANK($K$17),0,VLOOKUP($K$17,AtmaList,MATCH($A24,AtmaHeader,0), FALSE))+IF(ISBLANK($K$18),0,VLOOKUP($K$18,AtmaList,MATCH($A24,AtmaHeader,0), FALSE)), 0)</f>
        <v>0</v>
      </c>
      <c r="D24" s="42">
        <f>IF(Setup!G$25=1, IF(ISBLANK($L$16),0,VLOOKUP($L$16,AtmaList,MATCH($A24,AtmaHeader,0), FALSE))+IF(ISBLANK($L$17),0,VLOOKUP($L$17,AtmaList,MATCH($A24,AtmaHeader,0), FALSE))+IF(ISBLANK($L$18),0,VLOOKUP($L$18,AtmaList,MATCH($A24,AtmaHeader,0), FALSE)), 0)</f>
        <v>0</v>
      </c>
      <c r="F24" t="s">
        <v>421</v>
      </c>
      <c r="G24" s="29">
        <f ca="1">IF(G17="Axe", VLOOKUP(Gear!$B$4, INDIRECT(Gear!$A$3), MATCH("Dly", StatHeader, 0), 0), 0)</f>
        <v>0</v>
      </c>
      <c r="H24" s="29">
        <f ca="1">IF(H17="Axe", VLOOKUP(Gear!$AB$4, INDIRECT(Gear!$AA$3), MATCH("Dly", StatHeader, 0), 0), 0)</f>
        <v>0</v>
      </c>
      <c r="J24" s="42" t="s">
        <v>422</v>
      </c>
      <c r="K24" s="2">
        <f>Setup!B37</f>
        <v>0.6</v>
      </c>
      <c r="L24" s="2">
        <f>Setup!C37</f>
        <v>0</v>
      </c>
    </row>
    <row r="25" spans="1:16">
      <c r="A25" t="s">
        <v>122</v>
      </c>
      <c r="B25" s="29">
        <v>0</v>
      </c>
      <c r="C25" s="42">
        <f>IF(Setup!F$25=1, IF(ISBLANK($K$16),0,VLOOKUP($K$16,AtmaList,MATCH($A25,AtmaHeader,0), FALSE))+IF(ISBLANK($K$17),0,VLOOKUP($K$17,AtmaList,MATCH($A25,AtmaHeader,0), FALSE))+IF(ISBLANK($K$18),0,VLOOKUP($K$18,AtmaList,MATCH($A25,AtmaHeader,0), FALSE)), 0)</f>
        <v>0</v>
      </c>
      <c r="D25" s="42">
        <f>IF(Setup!G$25=1, IF(ISBLANK($L$16),0,VLOOKUP($L$16,AtmaList,MATCH($A25,AtmaHeader,0), FALSE))+IF(ISBLANK($L$17),0,VLOOKUP($L$17,AtmaList,MATCH($A25,AtmaHeader,0), FALSE))+IF(ISBLANK($L$18),0,VLOOKUP($L$18,AtmaList,MATCH($A25,AtmaHeader,0), FALSE)), 0)</f>
        <v>0</v>
      </c>
      <c r="J25" s="42" t="s">
        <v>538</v>
      </c>
      <c r="K25">
        <f ca="1">MIN(Setup!F46 + IF(Setup!J40=1, Setup!M40, 0) + IF(Setup!F39=1, VLOOKUP("Save TP", Ionis, 2, 0), 0) + VLOOKUP(Gear!$B$3, INDIRECT(Gear!$A$3), MATCH("Save TP", StatHeader, 0), 0), 500)</f>
        <v>0</v>
      </c>
      <c r="L25">
        <f ca="1">MIN(Setup!G46 + IF(Setup!K40=1, Setup!N40, 0) + IF(Setup!G39=1, VLOOKUP("Save TP", Ionis, 2, 0), 0) + VLOOKUP(Gear!$AB$3, INDIRECT(Gear!$AA$3), MATCH("Save TP", StatHeader, 0), 0), 500)</f>
        <v>0</v>
      </c>
    </row>
    <row r="26" spans="1:16">
      <c r="B26" s="29"/>
      <c r="C26" s="29"/>
      <c r="D26" s="2"/>
      <c r="F26" s="42"/>
    </row>
    <row r="27" spans="1:16">
      <c r="B27" s="12"/>
      <c r="C27" s="12"/>
      <c r="D27" s="2"/>
    </row>
    <row r="28" spans="1:16">
      <c r="A28" s="14" t="s">
        <v>28</v>
      </c>
      <c r="B28" s="23" t="s">
        <v>288</v>
      </c>
      <c r="C28" s="23" t="s">
        <v>289</v>
      </c>
      <c r="D28" s="47" t="s">
        <v>290</v>
      </c>
      <c r="E28" s="23" t="s">
        <v>291</v>
      </c>
    </row>
    <row r="29" spans="1:16">
      <c r="A29" s="20" t="s">
        <v>558</v>
      </c>
      <c r="B29" s="19">
        <f>TRUNC(MIN(200, MAX(0, Setup!$J7-300))/10) + 5</f>
        <v>22</v>
      </c>
      <c r="C29" s="63">
        <f>TRUNC(MIN(200, MAX(0, Setup!$K7-300))/10) + 5</f>
        <v>22</v>
      </c>
      <c r="D29" s="19">
        <f>TRUNC(MIN(200, MAX(0, Setup!$J7-300))/10) + 5</f>
        <v>22</v>
      </c>
      <c r="E29" s="19">
        <f>TRUNC(MIN(200, MAX(0, Setup!$K7-300))/10) + 5</f>
        <v>22</v>
      </c>
    </row>
    <row r="30" spans="1:16">
      <c r="A30" s="20" t="s">
        <v>559</v>
      </c>
      <c r="B30" s="19">
        <f>IF(Setup!$M24=5, 5, IF(Setup!$M24&lt;2, 0, Setup!$M24-1))</f>
        <v>5</v>
      </c>
      <c r="C30" s="62">
        <f>IF(Setup!$N24=5, 5, IF(Setup!$N24&lt;2, 0, Setup!$N24-1))</f>
        <v>5</v>
      </c>
      <c r="D30" s="19">
        <f>IF(Setup!$M24=5, 5, IF(Setup!$M24&lt;2, 0, Setup!$M24-1))</f>
        <v>5</v>
      </c>
      <c r="E30" s="19">
        <f>IF(Setup!$N24=5, 5, IF(Setup!$N24&lt;2, 0, Setup!$N24-1))</f>
        <v>5</v>
      </c>
    </row>
    <row r="31" spans="1:16">
      <c r="A31" t="s">
        <v>3</v>
      </c>
      <c r="B31" s="7">
        <f ca="1">$H3+HLOOKUP($A31, INDIRECT(B$28), MATCH("Total", Slots, 0)+1, 0) + IF(AND(Setup!$F16=1, $D$1="Sam"), FLOOR($B$1/2/7, 1), 0) + IF(AND(Setup!$J8=1,Setup!$I$8="Boost-Str"), B29, 0) + IF(Setup!$J27=1, B30, 0) + IF(Setup!$J28=1, B30, 0) + IF(Setup!$J29=1, B30, 0)</f>
        <v>293</v>
      </c>
      <c r="C31" s="64">
        <f ca="1">$I3+HLOOKUP($A31, INDIRECT(C$28), MATCH("Total", Slots, 0)+1, 0) + IF(AND(Setup!$G16=1, $D$1="Sam"), FLOOR($B$1/2/7, 1), 0) + IF(AND(Setup!$K8=1,Setup!$I$8="Boost-Str"), C29, 0) + IF(Setup!$K27=1, C30, 0) + IF(Setup!$K28=1, C30, 0) + IF(Setup!$K29=1, C30, 0)</f>
        <v>326</v>
      </c>
      <c r="D31" s="7">
        <f ca="1">$H3+HLOOKUP($A31, INDIRECT(D$28), MATCH("Total", Slots, 0)+1, 0) + IF(AND(Setup!$F16=1, $D$1="Sam"), FLOOR($B$1/2/7, 1), 0) + IF(AND(Setup!$J8=1,Setup!$I$8="Boost-Str"), D29, 0) + IF(Setup!$J27=1, D30, 0) + IF(Setup!$J28=1, D30, 0) + IF(Setup!$J29=1, D30, 0)</f>
        <v>321</v>
      </c>
      <c r="E31" s="7">
        <f ca="1">$I3+HLOOKUP($A31, INDIRECT(E$28), MATCH("Total", Slots, 0)+1, 0) + IF(AND(Setup!$G16=1, $D$1="Sam"), FLOOR($B$1/2/7, 1), 0) + IF(AND(Setup!$K8=1,Setup!$I$8="Boost-Str"), E29, 0) + IF(Setup!$K27=1, E30, 0) + IF(Setup!$K28=1, E30, 0) + IF(Setup!$K29=1, E30, 0)</f>
        <v>385</v>
      </c>
    </row>
    <row r="32" spans="1:16">
      <c r="A32" t="s">
        <v>4</v>
      </c>
      <c r="B32" s="7">
        <f ca="1">$H4+HLOOKUP($A32, INDIRECT(B$28), MATCH("Total", Slots, 0)+1, 0) + IF(AND(Setup!$J8=1,Setup!$I$8="Boost-Dex"), B29, 0) + IF(Setup!$J25=1, B30, 0) + IF(Setup!$J26=1, B30, 0) + IF(Setup!$J30=1, B30, 0) + IF(Setup!$J31=1, B30, 0)</f>
        <v>276</v>
      </c>
      <c r="C32" s="64">
        <f ca="1">$I4+HLOOKUP($A32, INDIRECT(C$28), MATCH("Total", Slots, 0)+1, 0) + IF(AND(Setup!$K8=1,Setup!$I$8="Boost-Dex"), C29, 0) + IF(Setup!$K25=1, C30, 0) + IF(Setup!$K26=1, C30, 0) + IF(Setup!$K30=1, C30, 0) + IF(Setup!$K31=1, C30, 0)</f>
        <v>256</v>
      </c>
      <c r="D32" s="7">
        <f ca="1">$H4+HLOOKUP($A32, INDIRECT(D$28), MATCH("Total", Slots, 0)+1, 0) + IF(AND(Setup!$J8=1,Setup!$I$8="Boost-Dex"), D29, 0) + IF(Setup!$J25=1, D30, 0) + IF(Setup!$J26=1, D30, 0) + IF(Setup!$J30=1, D30, 0) + IF(Setup!$J31=1, D30, 0)</f>
        <v>228</v>
      </c>
      <c r="E32" s="49">
        <f ca="1">$I4+HLOOKUP($A32, INDIRECT(E$28), MATCH("Total", Slots, 0)+1, 0) + IF(AND(Setup!$K8=1,Setup!$I$8="Boost-Dex"), E29, 0) + IF(Setup!$K25=1, E30, 0) + IF(Setup!$K26=1, E30, 0) + IF(Setup!$K30=1, E30, 0) + IF(Setup!$K31=1, E30, 0)</f>
        <v>300</v>
      </c>
      <c r="F32" s="26"/>
    </row>
    <row r="33" spans="1:5">
      <c r="A33" s="26" t="s">
        <v>42</v>
      </c>
      <c r="B33" s="7">
        <f ca="1">$H5+HLOOKUP($A33, INDIRECT(B$28), MATCH("Total", Slots, 0)+1, 0)</f>
        <v>136</v>
      </c>
      <c r="C33" s="64">
        <f ca="1">$I5+HLOOKUP($A33, INDIRECT(C$28), MATCH("Total", Slots, 0)+1, 0)</f>
        <v>162</v>
      </c>
      <c r="D33" s="7">
        <f ca="1">$H5+HLOOKUP($A33, INDIRECT(D$28), MATCH("Total", Slots, 0)+1, 0)</f>
        <v>186</v>
      </c>
      <c r="E33" s="7">
        <f ca="1">$I5+HLOOKUP($A33, INDIRECT(E$28), MATCH("Total", Slots, 0)+1, 0)</f>
        <v>113</v>
      </c>
    </row>
    <row r="34" spans="1:5">
      <c r="A34" s="20" t="s">
        <v>5</v>
      </c>
      <c r="B34" s="7">
        <f ca="1">$H6+HLOOKUP($A34, INDIRECT(B$28), MATCH("Total", Slots, 0)+1, 0)</f>
        <v>244</v>
      </c>
      <c r="C34" s="64">
        <f ca="1">$I6+HLOOKUP($A34, INDIRECT(C$28), MATCH("Total", Slots, 0)+1, 0)</f>
        <v>214</v>
      </c>
      <c r="D34" s="7">
        <f ca="1">$H6+HLOOKUP($A34, INDIRECT(D$28), MATCH("Total", Slots, 0)+1, 0)</f>
        <v>342</v>
      </c>
      <c r="E34" s="7">
        <f ca="1">$I6+HLOOKUP($A34, INDIRECT(E$28), MATCH("Total", Slots, 0)+1, 0)</f>
        <v>161</v>
      </c>
    </row>
    <row r="35" spans="1:5">
      <c r="A35" s="20" t="s">
        <v>182</v>
      </c>
      <c r="B35" s="7">
        <f ca="1">$H7+HLOOKUP($A35, INDIRECT(B$28), MATCH("Total", Slots, 0)+1, 0)</f>
        <v>156</v>
      </c>
      <c r="C35" s="64">
        <f ca="1">$I7+HLOOKUP($A35, INDIRECT(C$28), MATCH("Total", Slots, 0)+1, 0)</f>
        <v>156</v>
      </c>
      <c r="D35" s="7">
        <f ca="1">$H7+HLOOKUP($A35, INDIRECT(D$28), MATCH("Total", Slots, 0)+1, 0)</f>
        <v>186</v>
      </c>
      <c r="E35" s="7">
        <f ca="1">$I7+HLOOKUP($A35, INDIRECT(E$28), MATCH("Total", Slots, 0)+1, 0)</f>
        <v>135</v>
      </c>
    </row>
    <row r="36" spans="1:5">
      <c r="A36" s="21" t="s">
        <v>183</v>
      </c>
      <c r="B36" s="50">
        <f ca="1">$H8+HLOOKUP($A36, INDIRECT(B$28), MATCH("Total", Slots, 0)+1, 0)</f>
        <v>118</v>
      </c>
      <c r="C36" s="66">
        <f ca="1">$I8+HLOOKUP($A36, INDIRECT(C$28), MATCH("Total", Slots, 0)+1, 0)</f>
        <v>126</v>
      </c>
      <c r="D36" s="50">
        <f ca="1">$H8+HLOOKUP($A36, INDIRECT(D$28), MATCH("Total", Slots, 0)+1, 0)</f>
        <v>171</v>
      </c>
      <c r="E36" s="50">
        <f ca="1">$I8+HLOOKUP($A36, INDIRECT(E$28), MATCH("Total", Slots, 0)+1, 0)</f>
        <v>103</v>
      </c>
    </row>
    <row r="37" spans="1:5">
      <c r="A37" s="29" t="s">
        <v>609</v>
      </c>
      <c r="B37" s="7">
        <f ca="1">B31-$L$8</f>
        <v>22</v>
      </c>
      <c r="C37" s="64">
        <f ca="1">C31-$L$8</f>
        <v>55</v>
      </c>
      <c r="D37" s="7">
        <f ca="1">D31-$L$8</f>
        <v>50</v>
      </c>
      <c r="E37" s="7">
        <f ca="1">E31-$L$8</f>
        <v>114</v>
      </c>
    </row>
    <row r="38" spans="1:5">
      <c r="A38" s="22" t="s">
        <v>610</v>
      </c>
      <c r="B38" s="50">
        <f ca="1">IF(B37&lt;20, TRUNC(8 - B37/5), 4)</f>
        <v>4</v>
      </c>
      <c r="C38" s="66">
        <f ca="1">IF(C37&lt;20, TRUNC(8 - C37/5), 4)</f>
        <v>4</v>
      </c>
      <c r="D38" s="50">
        <f ca="1">IF(D37&lt;20, TRUNC(8 - D37/5), 4)</f>
        <v>4</v>
      </c>
      <c r="E38" s="50">
        <f ca="1">IF(E37&lt;20, TRUNC(8 - E37/5), 4)</f>
        <v>4</v>
      </c>
    </row>
    <row r="39" spans="1:5">
      <c r="A39" s="20" t="s">
        <v>99</v>
      </c>
      <c r="B39" s="25">
        <f>(IF(Setup!$J27=1, 62 + Setup!$M28 + IF(Setup!$M27=1, 1, IF(Setup!$M27=2, 5, IF(Setup!$M27=3, 9, IF(Setup!$M27=4, 13, IF(Setup!$M27=5, 17, 0))))), 0) + IF(Setup!$J28=1, 56 + Setup!$M28 + IF(Setup!$M27=1, 1, IF(Setup!$M27=2, 5, IF(Setup!$M27=3, 9, IF(Setup!$M27=4, 13, IF(Setup!$M27=5, 17, 0))))), 0) + IF(Setup!$J29=1, 48 + Setup!$M28 + IF(Setup!$M27=1, 1, IF(Setup!$M27=2, 5, IF(Setup!$M27=3, 9, IF(Setup!$M27=4, 13, IF(Setup!$M27=5, 17, 0))))), 0)) * IF(Setup!$J24=1, 2, 1)</f>
        <v>0</v>
      </c>
      <c r="C39" s="68">
        <f>(IF(Setup!$K27=1, 62 + Setup!$N28 + IF(Setup!$N27=1, 1, IF(Setup!$N27=2, 5, IF(Setup!$N27=3, 9, IF(Setup!$N27=4, 13, IF(Setup!$N27=5, 17, 0))))), 0) + IF(Setup!$K28=1, 56 + Setup!$N28 + IF(Setup!$N27=1, 1, IF(Setup!$N27=2, 5, IF(Setup!$N27=3, 9, IF(Setup!$N27=4, 13, IF(Setup!$N27=5, 17, 0))))), 0) + IF(Setup!$K29=1, 48 + Setup!$N28 + IF(Setup!$N27=1, 1, IF(Setup!$N27=2, 5, IF(Setup!$N27=3, 9, IF(Setup!$N27=4, 13, IF(Setup!$N27=5, 17, 0))))), 0)) * IF(Setup!$K24=1, 2, 1)</f>
        <v>0</v>
      </c>
      <c r="D39" s="25">
        <f>(IF(Setup!$J27=1, 62 + Setup!$M28 + IF(Setup!$M27=1, 1, IF(Setup!$M27=2, 5, IF(Setup!$M27=3, 9, IF(Setup!$M27=4, 13, IF(Setup!$M27=5, 17, 0))))), 0) + IF(Setup!$J28=1, 56 + Setup!$M28 + IF(Setup!$M27=1, 1, IF(Setup!$M27=2, 5, IF(Setup!$M27=3, 9, IF(Setup!$M27=4, 13, IF(Setup!$M27=5, 17, 0))))), 0) + IF(Setup!$J29=1, 48 + Setup!$M28 + IF(Setup!$M27=1, 1, IF(Setup!$M27=2, 5, IF(Setup!$M27=3, 9, IF(Setup!$M27=4, 13, IF(Setup!$M27=5, 17, 0))))), 0)) * IF(Setup!$J24=1, 2, 1)</f>
        <v>0</v>
      </c>
      <c r="E39" s="25">
        <f>(IF(Setup!$K27=1, 62 + Setup!$N28 + IF(Setup!$N27=1, 1, IF(Setup!$N27=2, 5, IF(Setup!$N27=3, 9, IF(Setup!$N27=4, 13, IF(Setup!$N27=5, 17, 0))))), 0) + IF(Setup!$K28=1, 56 + Setup!$N28 + IF(Setup!$N27=1, 1, IF(Setup!$N27=2, 5, IF(Setup!$N27=3, 9, IF(Setup!$N27=4, 13, IF(Setup!$N27=5, 17, 0))))), 0) + IF(Setup!$K29=1, 48 + Setup!$N28 + IF(Setup!$N27=1, 1, IF(Setup!$N27=2, 5, IF(Setup!$N27=3, 9, IF(Setup!$N27=4, 13, IF(Setup!$N27=5, 17, 0))))), 0)) * IF(Setup!$K24=1, 2, 1)</f>
        <v>0</v>
      </c>
    </row>
    <row r="40" spans="1:5">
      <c r="A40" s="144" t="s">
        <v>655</v>
      </c>
      <c r="B40" s="25">
        <f>IF(Setup!$F$39=1, VLOOKUP("Att", Ionis, 2, 0), 0)</f>
        <v>0</v>
      </c>
      <c r="C40" s="68">
        <f>IF(Setup!$G$39=1, VLOOKUP("Att", Ionis, 2, 0), 0)</f>
        <v>0</v>
      </c>
      <c r="D40" s="25">
        <f>IF(Setup!$F$39=1, VLOOKUP("Att", Ionis, 2, 0), 0)</f>
        <v>0</v>
      </c>
      <c r="E40" s="25">
        <f>IF(Setup!$G$39=1, VLOOKUP("Att", Ionis, 2, 0), 0)</f>
        <v>0</v>
      </c>
    </row>
    <row r="41" spans="1:5">
      <c r="A41" s="20" t="s">
        <v>551</v>
      </c>
      <c r="B41" s="25">
        <f>IF(LEFT(Gear!$B3,9)="Liberator", IF(ISERROR(VALUE(RIGHT(Gear!$B3,3))), 0, VALUE(RIGHT(Gear!$B3,3))), 0)</f>
        <v>0</v>
      </c>
      <c r="C41" s="68">
        <f>IF(LEFT(Gear!$AB3,9)="Liberator", IF(ISERROR(VALUE(RIGHT(Gear!$AB3,3))), 0, VALUE(RIGHT(Gear!$AB3,3))), 0)</f>
        <v>0</v>
      </c>
      <c r="D41" s="25">
        <f>IF(LEFT(Gear!$B3,9)="Liberator", IF(ISERROR(VALUE(RIGHT(Gear!$B3,3))), 0, VALUE(RIGHT(Gear!$B3,3))), 0)</f>
        <v>0</v>
      </c>
      <c r="E41" s="25">
        <f>IF(LEFT(Gear!$AB3,9)="Liberator", IF(ISERROR(VALUE(RIGHT(Gear!$AB3,3))), 0, VALUE(RIGHT(Gear!$AB3,3))), 0)</f>
        <v>0</v>
      </c>
    </row>
    <row r="42" spans="1:5">
      <c r="A42" s="21" t="s">
        <v>544</v>
      </c>
      <c r="B42" s="22">
        <f>IF(AND(B41&gt;0, Setup!$B38=1, Setup!$B40=0), VLOOKUP(B41, AM2Table, 2, 0), 0)</f>
        <v>0</v>
      </c>
      <c r="C42" s="69">
        <f>IF(AND(C41&gt;0, Setup!$C38=1, Setup!$C40=0), VLOOKUP(C41, AM2Table, 3, 0), 0)</f>
        <v>0</v>
      </c>
      <c r="D42" s="22">
        <f>IF(AND(D41&gt;0, Setup!$B38=1, Setup!$B40=0), VLOOKUP(D41, AM2Table, 2, 0), 0)</f>
        <v>0</v>
      </c>
      <c r="E42" s="22">
        <f>IF(AND(E41&gt;0, Setup!$C38=1, Setup!$C40=0), VLOOKUP(E41, AM2Table, 3, 0), 0)</f>
        <v>0</v>
      </c>
    </row>
    <row r="43" spans="1:5">
      <c r="A43" s="20" t="s">
        <v>550</v>
      </c>
      <c r="B43" s="25">
        <f>(IF(Setup!$J30=1, 30 + Setup!$M31 + IF(Setup!$M30=1, 1, IF(Setup!$M30=2, 4, IF(Setup!$M30=3, 7, IF(Setup!$M30=4, 10, IF(Setup!$M30=5, 13, 0))))), 0) + IF(Setup!$J31=1, 15 + Setup!$M31 + IF(Setup!$M30=1, 1, IF(Setup!$M30=2, 4, IF(Setup!$M30=3, 7, IF(Setup!$M30=4, 10, IF(Setup!$M30=5, 13, 0))))), 0)) * IF(Setup!$J24=1, 2, 1)</f>
        <v>0</v>
      </c>
      <c r="C43" s="68">
        <f>(IF(Setup!$K30=1, 30 + Setup!$N31 + IF(Setup!$N30=1, 1, IF(Setup!$N30=2, 4, IF(Setup!$N30=3, 7, IF(Setup!$N30=4, 10, IF(Setup!$N30=5, 13, 0))))), 0) + IF(Setup!$K31=1, 15 + Setup!$N31 + IF(Setup!$N30=1, 1, IF(Setup!$N30=2, 4, IF(Setup!$N30=3, 7, IF(Setup!$N30=4, 10, IF(Setup!$N30=5, 13, 0))))), 0)) * IF(Setup!$K24=1, 2, 1)</f>
        <v>0</v>
      </c>
      <c r="D43" s="25">
        <f>(IF(Setup!$J30=1, 30 + Setup!$M31 + IF(Setup!$M30=1, 1, IF(Setup!$M30=2, 4, IF(Setup!$M30=3, 7, IF(Setup!$M30=4, 10, IF(Setup!$M30=5, 13, 0))))), 0) + IF(Setup!$J31=1, 15 + Setup!$M31 + IF(Setup!$M30=1, 1, IF(Setup!$M30=2, 4, IF(Setup!$M30=3, 7, IF(Setup!$M30=4, 10, IF(Setup!$M30=5, 13, 0))))), 0)) * IF(Setup!$J24=1, 2, 1)</f>
        <v>0</v>
      </c>
      <c r="E43" s="25">
        <f>(IF(Setup!$K30=1, 30 + Setup!$N31 + IF(Setup!$N30=1, 1, IF(Setup!$N30=2, 4, IF(Setup!$N30=3, 7, IF(Setup!$N30=4, 10, IF(Setup!$N30=5, 13, 0))))), 0) + IF(Setup!$K31=1, 15 + Setup!$N31 + IF(Setup!$N30=1, 1, IF(Setup!$N30=2, 4, IF(Setup!$N30=3, 7, IF(Setup!$N30=4, 10, IF(Setup!$N30=5, 13, 0))))), 0)) * IF(Setup!$K24=1, 2, 1)</f>
        <v>0</v>
      </c>
    </row>
    <row r="44" spans="1:5">
      <c r="A44" s="144" t="s">
        <v>656</v>
      </c>
      <c r="B44" s="25">
        <f>IF(Setup!$F$39=1, VLOOKUP("Acc", Ionis, 2, 0), 0)</f>
        <v>0</v>
      </c>
      <c r="C44" s="68">
        <f>IF(Setup!$G$39=1, VLOOKUP("Acc", Ionis, 2, 0), 0)</f>
        <v>0</v>
      </c>
      <c r="D44" s="25">
        <f>IF(Setup!$F$39=1, VLOOKUP("Acc", Ionis, 2, 0), 0)</f>
        <v>0</v>
      </c>
      <c r="E44" s="25">
        <f>IF(Setup!$G$39=1, VLOOKUP("Acc", Ionis, 2, 0), 0)</f>
        <v>0</v>
      </c>
    </row>
    <row r="45" spans="1:5">
      <c r="A45" s="20" t="s">
        <v>143</v>
      </c>
      <c r="B45" s="25">
        <f>IF(AND(OR(Setup!F$25=1, Setup!$F$31=1), Setup!$F$36=1), 50, 0)</f>
        <v>0</v>
      </c>
      <c r="C45" s="68">
        <f>IF(AND(OR(Setup!G$25=1, Setup!$G$31=1), Setup!$G$36=1), 50, 0)</f>
        <v>0</v>
      </c>
      <c r="D45" s="25">
        <f>IF(AND(OR(Setup!F$25=1, Setup!$F$31=1), Setup!$F$36=1), 50, 0)</f>
        <v>0</v>
      </c>
      <c r="E45" s="25">
        <f>IF(AND(OR(Setup!G$25=1, Setup!$G$31=1), Setup!$G$36=1), 50, 0)</f>
        <v>0</v>
      </c>
    </row>
    <row r="46" spans="1:5">
      <c r="A46" s="20" t="s">
        <v>562</v>
      </c>
      <c r="B46" s="25">
        <f>IF(Setup!F5="On", 25, 0)</f>
        <v>0</v>
      </c>
      <c r="C46" s="68">
        <f>IF(Setup!G5="On", 25, 0)</f>
        <v>0</v>
      </c>
      <c r="D46" s="25">
        <f>IF(OR(Setup!F5="On", Setup!F5="WS Only"), 25, 0)</f>
        <v>0</v>
      </c>
      <c r="E46" s="25">
        <f>IF(OR(Setup!G5="On", Setup!G5="WS Only"), 25, 0)</f>
        <v>0</v>
      </c>
    </row>
    <row r="47" spans="1:5">
      <c r="A47" s="20" t="s">
        <v>561</v>
      </c>
      <c r="B47" s="25">
        <f>IF(Setup!F10=1, IF(Setup!B19=0, 0, 20 + (Setup!B19-1)*5), 0)</f>
        <v>0</v>
      </c>
      <c r="C47" s="68">
        <f>IF(Setup!G10=1, IF(Setup!C19=0, 0, 20 + (Setup!C19-1)*5), 0)</f>
        <v>0</v>
      </c>
      <c r="D47" s="25">
        <f>IF(Setup!F10=1, IF(Setup!B19=0, 0, 20 + (Setup!B19-1)*5), 0)</f>
        <v>0</v>
      </c>
      <c r="E47" s="25">
        <f>IF(Setup!G10=1, IF(Setup!C19=0, 0, 20 + (Setup!C19-1)*5), 0)</f>
        <v>0</v>
      </c>
    </row>
    <row r="48" spans="1:5">
      <c r="A48" s="20" t="s">
        <v>608</v>
      </c>
      <c r="B48" s="25">
        <f>IF(Setup!$J35=1, Setup!$M35, 0)</f>
        <v>0</v>
      </c>
      <c r="C48" s="68">
        <f>IF(Setup!$K35=1, Setup!$N35, 0)</f>
        <v>0</v>
      </c>
      <c r="D48" s="25">
        <f>IF(Setup!$J35=1, Setup!$M35, 0)</f>
        <v>0</v>
      </c>
      <c r="E48" s="25">
        <f>IF(Setup!$K35=1, Setup!$N35, 0)</f>
        <v>0</v>
      </c>
    </row>
    <row r="49" spans="1:5">
      <c r="A49" s="144" t="s">
        <v>848</v>
      </c>
      <c r="B49">
        <f>IF(Setup!$J49=1, Setup!$M49, 0)</f>
        <v>0</v>
      </c>
      <c r="C49" s="73">
        <f>IF(Setup!$K49=1, Setup!$N49, 0)</f>
        <v>0</v>
      </c>
      <c r="D49">
        <f>IF(Setup!$J49=1, Setup!$M49, 0)</f>
        <v>0</v>
      </c>
      <c r="E49">
        <f>IF(Setup!$K49=1, Setup!$N49, 0)</f>
        <v>0</v>
      </c>
    </row>
    <row r="50" spans="1:5">
      <c r="A50" s="21" t="s">
        <v>130</v>
      </c>
      <c r="B50" s="22">
        <f>IF(AND(Setup!$F$15=1, $D$1="War"), 25, 0)</f>
        <v>0</v>
      </c>
      <c r="C50" s="69">
        <f>IF(AND(Setup!$G$15=1, $D$1="War"), 25, 0)</f>
        <v>0</v>
      </c>
      <c r="D50" s="22">
        <f>IF(AND(Setup!$F$15=1, $D$1="War"), 25, 0)</f>
        <v>0</v>
      </c>
      <c r="E50" s="22">
        <f>IF(AND(Setup!$G$15=1, $D$1="War"), 25, 0)</f>
        <v>0</v>
      </c>
    </row>
    <row r="51" spans="1:5">
      <c r="A51" s="20" t="s">
        <v>218</v>
      </c>
      <c r="B51" s="7">
        <f ca="1">$H9+HLOOKUP($A51, INDIRECT(B$28), MATCH("Total", Slots, 0)+1, 0)</f>
        <v>1850</v>
      </c>
      <c r="C51" s="76">
        <f ca="1">$I9+HLOOKUP($A51, INDIRECT(C$28), MATCH("Total", Slots, 0)+1, 0)</f>
        <v>1850</v>
      </c>
      <c r="D51" s="7">
        <f ca="1">$H9+HLOOKUP($A51, INDIRECT(D$28), MATCH("Total", Slots, 0)+1, 0)</f>
        <v>2014</v>
      </c>
      <c r="E51" s="7">
        <f ca="1">$I9+HLOOKUP($A51, INDIRECT(E$28), MATCH("Total", Slots, 0)+1, 0)</f>
        <v>2064</v>
      </c>
    </row>
    <row r="52" spans="1:5">
      <c r="A52" s="20" t="s">
        <v>219</v>
      </c>
      <c r="B52" s="79">
        <f ca="1">HLOOKUP($A52, INDIRECT(B$28), MATCH("Total", Slots, 0)+1, 0) - IF(Setup!F10=1, 15%, 0)</f>
        <v>0</v>
      </c>
      <c r="C52" s="80">
        <f ca="1">HLOOKUP($A52, INDIRECT(C$28), MATCH("Total", Slots, 0)+1, 0) - IF(Setup!G10=1, 15%, 0)</f>
        <v>0</v>
      </c>
      <c r="D52" s="79">
        <f ca="1">HLOOKUP($A52, INDIRECT(D$28), MATCH("Total", Slots, 0)+1, 0) - IF(Setup!F10=1, 15%, 0)</f>
        <v>0</v>
      </c>
      <c r="E52" s="79">
        <f ca="1">HLOOKUP($A52, INDIRECT(E$28), MATCH("Total", Slots, 0)+1, 0) - IF(Setup!G10=1, 15%, 0)</f>
        <v>0</v>
      </c>
    </row>
    <row r="53" spans="1:5">
      <c r="A53" s="20" t="s">
        <v>572</v>
      </c>
      <c r="B53" s="139">
        <f ca="1">B51 + TRUNC(B51*B52)</f>
        <v>1850</v>
      </c>
      <c r="C53" s="140">
        <f ca="1">C51 + TRUNC(C51*C52)</f>
        <v>1850</v>
      </c>
      <c r="D53" s="139">
        <f ca="1">D51 + TRUNC(D51*D52)</f>
        <v>2014</v>
      </c>
      <c r="E53" s="139">
        <f ca="1">E51 + TRUNC(E51*E52)</f>
        <v>2064</v>
      </c>
    </row>
    <row r="54" spans="1:5">
      <c r="A54" s="20" t="s">
        <v>573</v>
      </c>
      <c r="B54" s="79">
        <f>IF(ISBLANK($E$1), 0, VLOOKUP($E$1, Food, MATCH("HP Mult", FoodHeader, 0), 0))</f>
        <v>0</v>
      </c>
      <c r="C54" s="80">
        <f>IF(ISBLANK($E$1), 0, VLOOKUP($E$1, Food, MATCH("HP Mult", FoodHeader, 0), 0))</f>
        <v>0</v>
      </c>
      <c r="D54" s="79">
        <f>IF(ISBLANK($E$1), 0, VLOOKUP($E$1, Food, MATCH("HP Mult", FoodHeader, 0), 0))</f>
        <v>0</v>
      </c>
      <c r="E54" s="79">
        <f>IF(ISBLANK($E$1), 0, VLOOKUP($E$1, Food, MATCH("HP Mult", FoodHeader, 0), 0))</f>
        <v>0</v>
      </c>
    </row>
    <row r="55" spans="1:5">
      <c r="A55" s="20" t="s">
        <v>574</v>
      </c>
      <c r="B55" s="139">
        <f>IF(ISBLANK($E$1), 0, VLOOKUP($E$1, Food, MATCH("HP Cap", FoodHeader, 0), 0))</f>
        <v>0</v>
      </c>
      <c r="C55" s="140">
        <f>IF(ISBLANK($E$1), 0, VLOOKUP($E$1, Food, MATCH("HP Cap", FoodHeader, 0), 0))</f>
        <v>0</v>
      </c>
      <c r="D55" s="139">
        <f>IF(ISBLANK($E$1), 0, VLOOKUP($E$1, Food, MATCH("HP Cap", FoodHeader, 0), 0))</f>
        <v>0</v>
      </c>
      <c r="E55" s="139">
        <f>IF(ISBLANK($E$1), 0, VLOOKUP($E$1, Food, MATCH("HP Cap", FoodHeader, 0), 0))</f>
        <v>0</v>
      </c>
    </row>
    <row r="56" spans="1:5">
      <c r="A56" s="20" t="s">
        <v>575</v>
      </c>
      <c r="B56" s="139">
        <f ca="1">MIN(TRUNC(B53*B54), B55)</f>
        <v>0</v>
      </c>
      <c r="C56" s="140">
        <f ca="1">MIN(TRUNC(C53*C54), C55)</f>
        <v>0</v>
      </c>
      <c r="D56" s="139">
        <f ca="1">MIN(TRUNC(D53*D54), D55)</f>
        <v>0</v>
      </c>
      <c r="E56" s="139">
        <f ca="1">MIN(TRUNC(E53*E54), E55)</f>
        <v>0</v>
      </c>
    </row>
    <row r="57" spans="1:5">
      <c r="A57" s="21" t="s">
        <v>306</v>
      </c>
      <c r="B57" s="50">
        <f ca="1">B53+B56</f>
        <v>1850</v>
      </c>
      <c r="C57" s="66">
        <f ca="1">C53+C56</f>
        <v>1850</v>
      </c>
      <c r="D57" s="50">
        <f ca="1">D53+D56</f>
        <v>2014</v>
      </c>
      <c r="E57" s="50">
        <f ca="1">E53+E56</f>
        <v>2064</v>
      </c>
    </row>
    <row r="58" spans="1:5">
      <c r="A58" s="20" t="s">
        <v>299</v>
      </c>
      <c r="B58" s="25">
        <f>Setup!F9</f>
        <v>16</v>
      </c>
      <c r="C58" s="68">
        <f>Setup!G9</f>
        <v>16</v>
      </c>
      <c r="D58" s="25">
        <f>Setup!F9</f>
        <v>16</v>
      </c>
      <c r="E58" s="25">
        <f>Setup!G9</f>
        <v>16</v>
      </c>
    </row>
    <row r="59" spans="1:5">
      <c r="A59" s="21" t="s">
        <v>194</v>
      </c>
      <c r="B59" s="22">
        <f ca="1">IF(Setup!F$8=1, TRUNC(VLOOKUP(B58, EndarkTable, 8)), 0)</f>
        <v>124</v>
      </c>
      <c r="C59" s="69">
        <f ca="1">IF(Setup!G$8=1, TRUNC(VLOOKUP(C58, EndarkTable, 8)), 0)</f>
        <v>124</v>
      </c>
      <c r="D59" s="22">
        <f ca="1">IF(Setup!F$8=1, TRUNC(VLOOKUP(D58, EndarkTable, 8)), 0)</f>
        <v>124</v>
      </c>
      <c r="E59" s="22">
        <f ca="1">IF(Setup!G$8=1, TRUNC(VLOOKUP(E58, EndarkTable, 8)), 0)</f>
        <v>124</v>
      </c>
    </row>
    <row r="60" spans="1:5">
      <c r="A60" s="26"/>
      <c r="B60" s="136"/>
      <c r="C60" s="136"/>
      <c r="D60" s="136"/>
      <c r="E60" s="136"/>
    </row>
    <row r="61" spans="1:5">
      <c r="A61" s="87" t="s">
        <v>625</v>
      </c>
      <c r="B61" s="23"/>
      <c r="C61" s="23"/>
      <c r="D61" s="23"/>
      <c r="E61" s="23"/>
    </row>
    <row r="62" spans="1:5">
      <c r="A62" s="20" t="s">
        <v>30</v>
      </c>
      <c r="B62" s="19">
        <f ca="1">$G$18+HLOOKUP(VLOOKUP($G17, Skills, 2, 0), INDIRECT(B$28), MATCH("Total", Slots, 0)+1, 0) + VLOOKUP(Gear!$B$3, INDIRECT(Gear!$A$3), MATCH("CombatSkill", StatHeader, 0), 0)</f>
        <v>702</v>
      </c>
      <c r="C62" s="63">
        <f ca="1">$H$18+HLOOKUP(VLOOKUP($H17, Skills, 2, 0), INDIRECT(C$28), MATCH("Total", Slots, 0)+1, 0) + VLOOKUP(Gear!$AB$3, INDIRECT(Gear!$AA$3), MATCH("CombatSkill", StatHeader, 0), 0)</f>
        <v>702</v>
      </c>
      <c r="D62" s="19">
        <f ca="1">$G$18+HLOOKUP(VLOOKUP($G17, Skills, 2, 0), INDIRECT(D$28), MATCH("Total", Slots, 0)+1, 0) + VLOOKUP(Gear!$B$3, INDIRECT(Gear!$A$3), MATCH("CombatSkill", StatHeader, 0), 0)</f>
        <v>702</v>
      </c>
      <c r="E62" s="19">
        <f ca="1">$H$18+HLOOKUP(VLOOKUP($H17, Skills, 2, 0), INDIRECT(E$28), MATCH("Total", Slots, 0)+1, 0) + VLOOKUP(Gear!$AB$3, INDIRECT(Gear!$AA$3), MATCH("CombatSkill", StatHeader, 0), 0)</f>
        <v>702</v>
      </c>
    </row>
    <row r="63" spans="1:5">
      <c r="A63" s="20" t="s">
        <v>9</v>
      </c>
      <c r="B63" s="35">
        <f ca="1">8+B62+Data!B31</f>
        <v>1003</v>
      </c>
      <c r="C63" s="130">
        <f ca="1">8+C62+Data!B31</f>
        <v>1003</v>
      </c>
      <c r="D63" s="35">
        <f ca="1">8+D62+Data!B31</f>
        <v>1003</v>
      </c>
      <c r="E63" s="35">
        <f ca="1">8+E62+Data!B31</f>
        <v>1003</v>
      </c>
    </row>
    <row r="64" spans="1:5">
      <c r="A64" s="21" t="s">
        <v>10</v>
      </c>
      <c r="B64" s="36">
        <f ca="1">MIN(B62, 200) + TRUNC(MAX(MIN(B62-200, 200), 0)*0.9) + TRUNC(MAX(MIN(B62-400, 200), 0)*0.8) + TRUNC(MAX(MIN(B62-600, 200), 0)*0.9)+Setup!B30</f>
        <v>653</v>
      </c>
      <c r="C64" s="65">
        <f ca="1">MIN(C62, 200) + TRUNC(MAX(MIN(C62-200, 200), 0)*0.9) + TRUNC(MAX(MIN(C62-400, 200), 0)*0.8) + TRUNC(MAX(MIN(C62-600, 200), 0)*0.9)+Setup!B30</f>
        <v>653</v>
      </c>
      <c r="D64" s="36">
        <f ca="1">MIN(D62, 200) + TRUNC(MAX(MIN(D62-200, 200), 0)*0.9) + TRUNC(MAX(MIN(D62-400, 200), 0)*0.8) + TRUNC(MAX(MIN(D62-600, 200), 0)*0.9)+Setup!B30</f>
        <v>653</v>
      </c>
      <c r="E64" s="36">
        <f ca="1">MIN(E62, 200) + TRUNC(MAX(MIN(E62-200, 200), 0)*0.9) + TRUNC(MAX(MIN(E62-400, 200), 0)*0.8) + TRUNC(MAX(MIN(E62-600, 200), 0)*0.9)+Setup!B30</f>
        <v>653</v>
      </c>
    </row>
    <row r="65" spans="1:6">
      <c r="A65" s="144" t="s">
        <v>626</v>
      </c>
      <c r="B65" s="145">
        <f>75%</f>
        <v>0.75</v>
      </c>
      <c r="C65" s="146">
        <f>75%</f>
        <v>0.75</v>
      </c>
      <c r="D65" s="145">
        <f>75%</f>
        <v>0.75</v>
      </c>
      <c r="E65" s="145">
        <f>75%</f>
        <v>0.75</v>
      </c>
    </row>
    <row r="66" spans="1:6">
      <c r="A66" s="147" t="s">
        <v>627</v>
      </c>
      <c r="B66" s="148">
        <f>75%</f>
        <v>0.75</v>
      </c>
      <c r="C66" s="149">
        <f>75%</f>
        <v>0.75</v>
      </c>
      <c r="D66" s="148">
        <f>75%</f>
        <v>0.75</v>
      </c>
      <c r="E66" s="148">
        <f>75%</f>
        <v>0.75</v>
      </c>
    </row>
    <row r="67" spans="1:6">
      <c r="A67" s="20" t="s">
        <v>59</v>
      </c>
      <c r="B67" s="35">
        <f ca="1">B63 + TRUNC(B$31*B65) + B$39+B$40+B$42+B$59+$E$12+$H$12+HLOOKUP("Att", INDIRECT(B$28), MATCH("Total", Slots, 0)+1, 0)</f>
        <v>1578</v>
      </c>
      <c r="C67" s="161">
        <f ca="1">C63 + TRUNC(C$31*C65) + C$39+C$40+C$42+C$59+$F$12+$H$12+HLOOKUP("Att", INDIRECT(C$28), MATCH("Total", Slots, 0)+1, 0)</f>
        <v>1573</v>
      </c>
      <c r="D67" s="35">
        <f ca="1">D63 + TRUNC(D$31*D65) + D$39+D$40+D$42+D$59+$E$12+$H$12+HLOOKUP("Att", INDIRECT(D$28), MATCH("Total", Slots, 0)+1, 0)</f>
        <v>1660</v>
      </c>
      <c r="E67" s="35">
        <f ca="1">E63 + TRUNC(E$31*E65) + E$39+E$40+E$42+E$59+$F$12+$H$12+HLOOKUP("Att", INDIRECT(E$28), MATCH("Total", Slots, 0)+1, 0)</f>
        <v>1824</v>
      </c>
    </row>
    <row r="68" spans="1:6">
      <c r="A68" s="21" t="s">
        <v>60</v>
      </c>
      <c r="B68" s="36">
        <f ca="1">B64 + TRUNC(B$32*B66) + B$43+B$44+B$45+B$46+B$47+B$48+B$49+B$50+$E$13+$H$13+HLOOKUP("Acc", INDIRECT(B$28), MATCH("Total", Slots, 0)+1, 0) +   IF( AND( LEFT(Gear!B3, 10)="Apocalypse",Setup!F11=1), 10, 0) +  IF(AND($D$1="Sam", Setup!F16=1), 10, 0)</f>
        <v>1112</v>
      </c>
      <c r="C68" s="65">
        <f ca="1">C64 + TRUNC(C$32*C66) + C$43+C$44+C$45+C$46+C$47+C$48+C$49+C$50+$F$13+$H$13+HLOOKUP("Acc", INDIRECT(C$28), MATCH("Total", Slots, 0)+1, 0)  + IF( AND( LEFT(Gear!AB3, 10)="Apocalypse",Setup!G11=1), 10, 0) +  IF(AND($D$1="Sam", Setup!G16=1), 10, 0)</f>
        <v>1158</v>
      </c>
      <c r="D68" s="36">
        <f ca="1">D64 + TRUNC(D$32*D66) + D$43+D$44+D$45+D$46+D$47+D$48+D$49+D$50+$E$13+$H$13+HLOOKUP("Acc", INDIRECT(D$28), MATCH("Total", Slots, 0)+1, 0) +   IF( AND( LEFT(Gear!B3, 10)="Apocalypse",Setup!F11=1), 10, 0) +  IF(AND($D$1="Sam", Setup!F16=1), 10, 0)</f>
        <v>1044</v>
      </c>
      <c r="E68" s="36">
        <f ca="1">E64 + TRUNC(E$32*E66) + E$43+E$44+E$45+E$46+E$47+E$48+E$49+E$50+$F$13+$H$13+HLOOKUP("Acc", INDIRECT(E$28), MATCH("Total", Slots, 0)+1, 0) +   IF( AND( LEFT(Gear!AB3, 10)="Apocalypse",Setup!G11=1), 10, 0) +  IF(AND($D$1="Sam", Setup!G16=1), 10, 0)</f>
        <v>1203</v>
      </c>
    </row>
    <row r="69" spans="1:6">
      <c r="A69" s="20" t="s">
        <v>55</v>
      </c>
      <c r="B69" s="35">
        <f ca="1">TRUNC(MIN(B67*$B$12, $C$12))+$D$12</f>
        <v>0</v>
      </c>
      <c r="C69" s="130">
        <f ca="1">TRUNC(MIN(C67*$B$12, $C$12))+$D$12</f>
        <v>0</v>
      </c>
      <c r="D69" s="35">
        <f ca="1">TRUNC(MIN(D67*$B$12, $C$12))+$D$12</f>
        <v>0</v>
      </c>
      <c r="E69" s="35">
        <f ca="1">TRUNC(MIN(E67*$B$12, $C$12))+$D$12</f>
        <v>0</v>
      </c>
    </row>
    <row r="70" spans="1:6">
      <c r="A70" s="21" t="s">
        <v>56</v>
      </c>
      <c r="B70" s="36">
        <f ca="1">TRUNC(MIN(B68*$B$13, $C$13))+$D$13</f>
        <v>100</v>
      </c>
      <c r="C70" s="65">
        <f ca="1">TRUNC(MIN(C68*$B$13, $C$13))+$D$13</f>
        <v>100</v>
      </c>
      <c r="D70" s="36">
        <f ca="1">TRUNC(MIN(D68*$B$13, $C$13))+$D$13</f>
        <v>100</v>
      </c>
      <c r="E70" s="36">
        <f ca="1">TRUNC(MIN(E68*$B$13, $C$13))+$D$13</f>
        <v>100</v>
      </c>
    </row>
    <row r="71" spans="1:6">
      <c r="A71" s="20" t="s">
        <v>127</v>
      </c>
      <c r="B71" s="25">
        <f>IF(Setup!$J$34=1, TRUNC(Setup!$M$34*B67), 0)</f>
        <v>0</v>
      </c>
      <c r="C71" s="68">
        <f>IF(Setup!$K$34=1, TRUNC(Setup!$N$34*C67), 0)</f>
        <v>0</v>
      </c>
      <c r="D71" s="25">
        <f>IF(Setup!$J$34=1, TRUNC(Setup!$M$34*D67), 0)</f>
        <v>0</v>
      </c>
      <c r="E71" s="25">
        <f>IF(Setup!$K$34=1, TRUNC(Setup!$N$34*E67), 0)</f>
        <v>0</v>
      </c>
    </row>
    <row r="72" spans="1:6">
      <c r="A72" s="20" t="s">
        <v>142</v>
      </c>
      <c r="B72" s="25">
        <f>IF(AND(OR(Setup!F$25=1, Setup!$F$31=1), Setup!$F$36=1), FLOOR(0.25*B67, 1), 0)</f>
        <v>0</v>
      </c>
      <c r="C72" s="68">
        <f>IF(AND(OR(Setup!G$25=1, Setup!$G$31=1), Setup!$G$36=1), FLOOR(0.25*C67, 1), 0)</f>
        <v>0</v>
      </c>
      <c r="D72" s="25">
        <f>IF(AND(OR(Setup!F$25=1, Setup!$F$31=1), Setup!$F$36=1), FLOOR(0.25*D67, 1), 0)</f>
        <v>0</v>
      </c>
      <c r="E72" s="25">
        <f>IF(AND(OR(Setup!G$25=1, Setup!$G$31=1), Setup!$G$36=1), FLOOR(0.25*E67, 1), 0)</f>
        <v>0</v>
      </c>
      <c r="F72" s="26"/>
    </row>
    <row r="73" spans="1:6">
      <c r="A73" s="20" t="s">
        <v>126</v>
      </c>
      <c r="B73" s="25">
        <f>IF(AND(Setup!$F$14=1, $D$1="War"), FLOOR(0.25*B67, 1), 0)</f>
        <v>0</v>
      </c>
      <c r="C73" s="68">
        <f>IF(AND(Setup!$G$14=1, $D$1="War"), FLOOR(0.25*C67, 1), 0)</f>
        <v>0</v>
      </c>
      <c r="D73" s="25">
        <f>IF(AND(Setup!$F$14=1, $D$1="War"), FLOOR(0.25*D67, 1), 0)</f>
        <v>0</v>
      </c>
      <c r="E73" s="25">
        <f>IF(AND(Setup!$G$14=1, $D$1="War"), FLOOR(0.25*E67, 1), 0)</f>
        <v>0</v>
      </c>
    </row>
    <row r="74" spans="1:6">
      <c r="A74" s="20" t="s">
        <v>250</v>
      </c>
      <c r="B74" s="25">
        <f ca="1">IF(Setup!$F$4=1, FLOOR(B67*(64+5*Setup!$B$17)/256, 1), 0)</f>
        <v>548</v>
      </c>
      <c r="C74" s="68">
        <f ca="1">IF(Setup!$G$4=1, FLOOR(C67*(64+5*Setup!$C$17)/256, 1), 0)</f>
        <v>546</v>
      </c>
      <c r="D74" s="25">
        <f ca="1">IF(Setup!$F$4=1, FLOOR(D67*(64+5*Setup!$B$17)/256, 1), 0)</f>
        <v>577</v>
      </c>
      <c r="E74" s="25">
        <f ca="1">IF(Setup!$G$4=1, FLOOR(E67*(64+5*Setup!$C$17)/256, 1), 0)</f>
        <v>634</v>
      </c>
    </row>
    <row r="75" spans="1:6">
      <c r="A75" s="144" t="s">
        <v>849</v>
      </c>
      <c r="B75" s="25">
        <f>IF(Setup!$J$50=1, TRUNC(B57*Setup!$M$50), 0)</f>
        <v>0</v>
      </c>
      <c r="C75" s="68">
        <f>IF(Setup!$K$50=1, TRUNC(C57*Setup!$N$50), 0)</f>
        <v>0</v>
      </c>
      <c r="D75" s="25">
        <f>IF(Setup!$J$50=1, TRUNC(D57*Setup!$M$50), 0)</f>
        <v>0</v>
      </c>
      <c r="E75" s="25">
        <f>IF(Setup!$K$50=1, TRUNC(E57*Setup!$N$50), 0)</f>
        <v>0</v>
      </c>
    </row>
    <row r="76" spans="1:6">
      <c r="A76" s="20" t="s">
        <v>437</v>
      </c>
      <c r="B76" s="7">
        <f ca="1">FLOOR(HLOOKUP($A76, INDIRECT(B$28), MATCH("Total", Slots, 0)+1, 0) * B67, 1)</f>
        <v>0</v>
      </c>
      <c r="C76" s="64">
        <f ca="1">FLOOR(HLOOKUP($A76, INDIRECT(C$28), MATCH("Total", Slots, 0)+1, 0) * C67, 1)</f>
        <v>0</v>
      </c>
      <c r="D76" s="7">
        <f ca="1">FLOOR(HLOOKUP($A76, INDIRECT(D$28), MATCH("Total", Slots, 0)+1, 0) * D67, 1)</f>
        <v>0</v>
      </c>
      <c r="E76" s="7">
        <f ca="1">FLOOR(HLOOKUP($A76, INDIRECT(E$28), MATCH("Total", Slots, 0)+1, 0) * E67, 1)</f>
        <v>0</v>
      </c>
      <c r="F76" s="67"/>
    </row>
    <row r="77" spans="1:6">
      <c r="A77" s="21" t="s">
        <v>409</v>
      </c>
      <c r="B77" s="22">
        <v>0</v>
      </c>
      <c r="C77" s="69">
        <v>0</v>
      </c>
      <c r="D77" s="22">
        <f ca="1">TRUNC(VLOOKUP(Setup!B$36, WeaponskillData, MATCH("Att Bonus", WeaponskillDataCols, 0), 0) * D67)</f>
        <v>0</v>
      </c>
      <c r="E77" s="22">
        <f ca="1">TRUNC(VLOOKUP(Setup!C$36, WeaponskillData, MATCH("Att Bonus", WeaponskillDataCols, 0), 0) * E67)</f>
        <v>-273</v>
      </c>
    </row>
    <row r="78" spans="1:6">
      <c r="A78" s="29" t="s">
        <v>9</v>
      </c>
      <c r="B78" s="37">
        <f ca="1">B67+B69+B71+B72+B73+B74+B76+B77+(B67*0.296)</f>
        <v>2593.0879999999997</v>
      </c>
      <c r="C78" s="150">
        <f ca="1">C67+C69+C71+C72+C73+C74+C76+C77+(B67*0.296)</f>
        <v>2586.0879999999997</v>
      </c>
      <c r="D78" s="37">
        <f ca="1">D67+D69+D71+D72+D73+D74+D76+D77+(B67*0.296)</f>
        <v>2704.0879999999997</v>
      </c>
      <c r="E78" s="37">
        <f ca="1">E67+E69+E71+E72+E73+E74+E76+E77+(B67*0.296)</f>
        <v>2652.0879999999997</v>
      </c>
    </row>
    <row r="79" spans="1:6">
      <c r="A79" s="177" t="s">
        <v>10</v>
      </c>
      <c r="B79" s="151">
        <f ca="1">B68+B70</f>
        <v>1212</v>
      </c>
      <c r="C79" s="152">
        <f ca="1">C68+C70</f>
        <v>1258</v>
      </c>
      <c r="D79" s="151">
        <f ca="1">D68+D70</f>
        <v>1144</v>
      </c>
      <c r="E79" s="151">
        <f ca="1">E68+E70</f>
        <v>1303</v>
      </c>
    </row>
    <row r="80" spans="1:6">
      <c r="A80" s="60" t="s">
        <v>37</v>
      </c>
      <c r="B80" s="156">
        <f ca="1">MAX(MIN(B78/$M$3, 4.125)-$M$4, 0)</f>
        <v>4.125</v>
      </c>
      <c r="C80" s="157">
        <f ca="1">MAX(MIN(C78/$N$3, 4.125)-$M$4, 0)</f>
        <v>4.125</v>
      </c>
      <c r="D80" s="156">
        <f ca="1">MAX(MIN(D78/$O$3, 4.125)-$M$4, 0)</f>
        <v>4.125</v>
      </c>
      <c r="E80" s="156">
        <f ca="1">MAX(MIN(E78/$P$3, 4.125)-$M$4, 0)</f>
        <v>4.125</v>
      </c>
      <c r="F80" s="26"/>
    </row>
    <row r="81" spans="1:6">
      <c r="A81" s="9" t="s">
        <v>664</v>
      </c>
      <c r="B81" s="162"/>
      <c r="C81" s="163"/>
      <c r="D81" s="162"/>
      <c r="E81" s="162"/>
      <c r="F81" s="26"/>
    </row>
    <row r="82" spans="1:6">
      <c r="A82" s="29" t="s">
        <v>665</v>
      </c>
      <c r="B82" s="162">
        <f ca="1">B80</f>
        <v>4.125</v>
      </c>
      <c r="C82" s="164">
        <f ca="1">C80</f>
        <v>4.125</v>
      </c>
      <c r="D82" s="162">
        <f ca="1">D80</f>
        <v>4.125</v>
      </c>
      <c r="E82" s="162">
        <f ca="1">E80</f>
        <v>4.125</v>
      </c>
      <c r="F82" s="26"/>
    </row>
    <row r="83" spans="1:6">
      <c r="A83" s="29" t="s">
        <v>666</v>
      </c>
      <c r="B83" s="162">
        <f ca="1">B82+MIN(B82*(152/1024) - (752/1024), -0.375)</f>
        <v>3.75</v>
      </c>
      <c r="C83" s="164">
        <f ca="1">C82+MIN(C82*(152/1024) - (752/1024), -0.375)</f>
        <v>3.75</v>
      </c>
      <c r="D83" s="162">
        <f ca="1">D82+MIN(D82*(152/1024) - (752/1024), -0.375)</f>
        <v>3.75</v>
      </c>
      <c r="E83" s="162">
        <f ca="1">E82+MIN(E82*(152/1024) - (752/1024), -0.375)</f>
        <v>3.75</v>
      </c>
      <c r="F83" s="26"/>
    </row>
    <row r="84" spans="1:6">
      <c r="A84" s="29" t="s">
        <v>667</v>
      </c>
      <c r="B84" s="162">
        <f ca="1">B82+MIN(1-B82, B82*152/1024 - 448/1024)</f>
        <v>1</v>
      </c>
      <c r="C84" s="164">
        <f ca="1">C82+MIN(1-C82, C82*152/1024 - 448/1024)</f>
        <v>1</v>
      </c>
      <c r="D84" s="162">
        <f ca="1">D82+MIN(1-D82, D82*152/1024 - 448/1024)</f>
        <v>1</v>
      </c>
      <c r="E84" s="162">
        <f ca="1">E82+MIN(1-E82, E82*152/1024 - 448/1024)</f>
        <v>1</v>
      </c>
      <c r="F84" s="26"/>
    </row>
    <row r="85" spans="1:6">
      <c r="A85" s="29" t="s">
        <v>668</v>
      </c>
      <c r="B85" s="162">
        <f ca="1">MAX(B83,B84)</f>
        <v>3.75</v>
      </c>
      <c r="C85" s="164">
        <f ca="1">MAX(C83,C84)</f>
        <v>3.75</v>
      </c>
      <c r="D85" s="162">
        <f ca="1">MAX(D83,D84)</f>
        <v>3.75</v>
      </c>
      <c r="E85" s="162">
        <f ca="1">MAX(E83,E84)</f>
        <v>3.75</v>
      </c>
      <c r="F85" s="26"/>
    </row>
    <row r="86" spans="1:6">
      <c r="A86" s="29" t="s">
        <v>669</v>
      </c>
      <c r="B86" s="162">
        <f ca="1">MAX(MAX(B83,B84), 0)</f>
        <v>3.75</v>
      </c>
      <c r="C86" s="164">
        <f ca="1">MAX(MAX(C83,C84), 0)</f>
        <v>3.75</v>
      </c>
      <c r="D86" s="162">
        <f ca="1">MAX(MAX(D83,D84), 0)</f>
        <v>3.75</v>
      </c>
      <c r="E86" s="162">
        <f ca="1">MAX(MAX(E83,E84), 0)</f>
        <v>3.75</v>
      </c>
      <c r="F86" s="26"/>
    </row>
    <row r="87" spans="1:6">
      <c r="A87" s="29" t="s">
        <v>670</v>
      </c>
      <c r="B87" s="162">
        <f ca="1">B82 + MAX(MIN(B82 * 0.25, 0.375), 0.25)</f>
        <v>4.5</v>
      </c>
      <c r="C87" s="164">
        <f ca="1">C82 + MAX(MIN(C82 * 0.25, 0.375), 0.25)</f>
        <v>4.5</v>
      </c>
      <c r="D87" s="162">
        <f ca="1">D82 + MAX(MIN(D82 * 0.25, 0.375), 0.25)</f>
        <v>4.5</v>
      </c>
      <c r="E87" s="162">
        <f ca="1">E82 + MAX(MIN(E82 * 0.25, 0.375), 0.25)</f>
        <v>4.5</v>
      </c>
      <c r="F87" s="26"/>
    </row>
    <row r="88" spans="1:6">
      <c r="A88" s="29" t="s">
        <v>671</v>
      </c>
      <c r="B88" s="162">
        <f ca="1">B82 + MIN(B82*341/1024 + 358/1024, 1-B82)</f>
        <v>1</v>
      </c>
      <c r="C88" s="164">
        <f ca="1">C82 + MIN(C82*341/1024 + 358/1024, 1-C82)</f>
        <v>1</v>
      </c>
      <c r="D88" s="162">
        <f ca="1">D82 + MIN(D82*341/1024 + 358/1024, 1-D82)</f>
        <v>1</v>
      </c>
      <c r="E88" s="162">
        <f ca="1">E82 + MIN(E82*341/1024 + 358/1024, 1-E82)</f>
        <v>1</v>
      </c>
      <c r="F88" s="26"/>
    </row>
    <row r="89" spans="1:6">
      <c r="A89" s="29" t="s">
        <v>672</v>
      </c>
      <c r="B89" s="162">
        <f ca="1">MAX(B87,B88)</f>
        <v>4.5</v>
      </c>
      <c r="C89" s="164">
        <f ca="1">MAX(C87,C88)</f>
        <v>4.5</v>
      </c>
      <c r="D89" s="162">
        <f ca="1">MAX(D87,D88)</f>
        <v>4.5</v>
      </c>
      <c r="E89" s="162">
        <f ca="1">MAX(E87,E88)</f>
        <v>4.5</v>
      </c>
      <c r="F89" s="26"/>
    </row>
    <row r="90" spans="1:6">
      <c r="A90" s="29" t="s">
        <v>673</v>
      </c>
      <c r="B90" s="162">
        <f ca="1">MIN(MAX(B87,B88), 3.75)</f>
        <v>3.75</v>
      </c>
      <c r="C90" s="164">
        <f ca="1">MIN(MAX(C87,C88),3.75)</f>
        <v>3.75</v>
      </c>
      <c r="D90" s="162">
        <f ca="1">MIN(MAX(D87,D88),3.75)</f>
        <v>3.75</v>
      </c>
      <c r="E90" s="162">
        <f ca="1">MIN(MAX(E87,E88), 3.75)</f>
        <v>3.75</v>
      </c>
      <c r="F90" s="26"/>
    </row>
    <row r="91" spans="1:6">
      <c r="A91" s="29" t="s">
        <v>674</v>
      </c>
      <c r="B91" s="162">
        <f t="shared" ref="B91:E92" ca="1" si="5">B89-B85</f>
        <v>0.75</v>
      </c>
      <c r="C91" s="164">
        <f t="shared" ca="1" si="5"/>
        <v>0.75</v>
      </c>
      <c r="D91" s="162">
        <f t="shared" ca="1" si="5"/>
        <v>0.75</v>
      </c>
      <c r="E91" s="162">
        <f t="shared" ca="1" si="5"/>
        <v>0.75</v>
      </c>
      <c r="F91" s="26"/>
    </row>
    <row r="92" spans="1:6">
      <c r="A92" s="29" t="s">
        <v>675</v>
      </c>
      <c r="B92" s="162">
        <f t="shared" ca="1" si="5"/>
        <v>0</v>
      </c>
      <c r="C92" s="164">
        <f t="shared" ca="1" si="5"/>
        <v>0</v>
      </c>
      <c r="D92" s="162">
        <f t="shared" ca="1" si="5"/>
        <v>0</v>
      </c>
      <c r="E92" s="162">
        <f t="shared" ca="1" si="5"/>
        <v>0</v>
      </c>
      <c r="F92" s="26"/>
    </row>
    <row r="93" spans="1:6">
      <c r="A93" s="29" t="s">
        <v>676</v>
      </c>
      <c r="B93" s="165">
        <f ca="1">IF(B85&lt;0, 1-(B92/B91), 0)</f>
        <v>0</v>
      </c>
      <c r="C93" s="166">
        <f ca="1">IF(C85&lt;0, 1-(C92/C91), 0)</f>
        <v>0</v>
      </c>
      <c r="D93" s="165">
        <f ca="1">IF(D85&lt;0, 1-(D92/D91), 0)</f>
        <v>0</v>
      </c>
      <c r="E93" s="165">
        <f ca="1">IF(E85&lt;0, 1-(E92/E91), 0)</f>
        <v>0</v>
      </c>
      <c r="F93" s="26"/>
    </row>
    <row r="94" spans="1:6">
      <c r="A94" s="29" t="s">
        <v>677</v>
      </c>
      <c r="B94" s="165">
        <f ca="1">IF(B89&gt;3, 1-(B92/B91), 0)</f>
        <v>1</v>
      </c>
      <c r="C94" s="166">
        <f ca="1">IF(C89&gt;3, 1-(C92/C91), 0)</f>
        <v>1</v>
      </c>
      <c r="D94" s="165">
        <f ca="1">IF(D89&gt;3, 1-(D92/D91), 0)</f>
        <v>1</v>
      </c>
      <c r="E94" s="165">
        <f ca="1">IF(E89&gt;3, 1-(E92/E91), 0)</f>
        <v>1</v>
      </c>
      <c r="F94" s="26"/>
    </row>
    <row r="95" spans="1:6">
      <c r="A95" s="29" t="s">
        <v>678</v>
      </c>
      <c r="B95" s="165">
        <f ca="1">MAX(0, MIN(1/3, (0.5 - ABS(B82-1)) * 1.2))</f>
        <v>0</v>
      </c>
      <c r="C95" s="166">
        <f ca="1">MAX(0, MIN(1/3, (0.5 - ABS(C82-1)) * 1.2))</f>
        <v>0</v>
      </c>
      <c r="D95" s="165">
        <f ca="1">MAX(0, MIN(1/3, (0.5 - ABS(D82-1)) * 1.2))</f>
        <v>0</v>
      </c>
      <c r="E95" s="165">
        <f ca="1">MAX(0, MIN(1/3, (0.5 - ABS(E82-1)) * 1.2))</f>
        <v>0</v>
      </c>
      <c r="F95" s="26"/>
    </row>
    <row r="96" spans="1:6">
      <c r="A96" s="29" t="s">
        <v>679</v>
      </c>
      <c r="B96" s="162">
        <f ca="1">((0 * B93) + (B90 * B94) + (1 * B95) + (1 - B93 - B94 - B95) * ((B90 + B86) / 2)) * 1.02</f>
        <v>3.8250000000000002</v>
      </c>
      <c r="C96" s="164">
        <f ca="1">((0 * C93) + (C90 * C94) + (1 * C95) + (1 - C93 - C94 - C95) * ((C90 + C86) / 2)) * 1.02</f>
        <v>3.8250000000000002</v>
      </c>
      <c r="D96" s="162">
        <f ca="1">((0 * D93) + (D90 * D94) + (1 * D95) + (1 - D93 - D94 - D95) * ((D90 + D86) / 2)) * 1.02</f>
        <v>3.8250000000000002</v>
      </c>
      <c r="E96" s="162">
        <f ca="1">((0 * E93) + (E90 * E94) + (1 * E95) + (1 - E93 - E94 - E95) * ((E90 + E86) / 2)) * 1.02</f>
        <v>3.8250000000000002</v>
      </c>
      <c r="F96" s="26"/>
    </row>
    <row r="97" spans="1:6">
      <c r="A97" s="9" t="s">
        <v>680</v>
      </c>
      <c r="B97" s="162"/>
      <c r="C97" s="164"/>
      <c r="D97" s="162"/>
      <c r="E97" s="162"/>
      <c r="F97" s="26"/>
    </row>
    <row r="98" spans="1:6">
      <c r="A98" s="29" t="s">
        <v>665</v>
      </c>
      <c r="B98" s="162">
        <f ca="1">B80+1</f>
        <v>5.125</v>
      </c>
      <c r="C98" s="164">
        <f ca="1">C80+1</f>
        <v>5.125</v>
      </c>
      <c r="D98" s="162">
        <f ca="1">D80+1</f>
        <v>5.125</v>
      </c>
      <c r="E98" s="162">
        <f ca="1">E80+1</f>
        <v>5.125</v>
      </c>
      <c r="F98" s="26"/>
    </row>
    <row r="99" spans="1:6">
      <c r="A99" s="29" t="s">
        <v>666</v>
      </c>
      <c r="B99" s="162">
        <f ca="1">B98+MIN(B98*(152/1024) - (752/1024), -0.375)</f>
        <v>4.75</v>
      </c>
      <c r="C99" s="164">
        <f ca="1">C98+MIN(C98*(152/1024) - (752/1024), -0.375)</f>
        <v>4.75</v>
      </c>
      <c r="D99" s="162">
        <f ca="1">D98+MIN(D98*(152/1024) - (752/1024), -0.375)</f>
        <v>4.75</v>
      </c>
      <c r="E99" s="162">
        <f ca="1">E98+MIN(E98*(152/1024) - (752/1024), -0.375)</f>
        <v>4.75</v>
      </c>
      <c r="F99" s="26"/>
    </row>
    <row r="100" spans="1:6">
      <c r="A100" s="29" t="s">
        <v>667</v>
      </c>
      <c r="B100" s="162">
        <f ca="1">B98+MIN(1-B98, B98*152/1024 - 448/1024)</f>
        <v>1</v>
      </c>
      <c r="C100" s="164">
        <f ca="1">C98+MIN(1-C98, C98*152/1024 - 448/1024)</f>
        <v>1</v>
      </c>
      <c r="D100" s="162">
        <f ca="1">D98+MIN(1-D98, D98*152/1024 - 448/1024)</f>
        <v>1</v>
      </c>
      <c r="E100" s="162">
        <f ca="1">E98+MIN(1-E98, E98*152/1024 - 448/1024)</f>
        <v>1</v>
      </c>
      <c r="F100" s="26"/>
    </row>
    <row r="101" spans="1:6">
      <c r="A101" s="29" t="s">
        <v>668</v>
      </c>
      <c r="B101" s="162">
        <f ca="1">MAX(B99,B100)</f>
        <v>4.75</v>
      </c>
      <c r="C101" s="164">
        <f ca="1">MAX(C99,C100)</f>
        <v>4.75</v>
      </c>
      <c r="D101" s="162">
        <f ca="1">MAX(D99,D100)</f>
        <v>4.75</v>
      </c>
      <c r="E101" s="162">
        <f ca="1">MAX(E99,E100)</f>
        <v>4.75</v>
      </c>
      <c r="F101" s="26"/>
    </row>
    <row r="102" spans="1:6">
      <c r="A102" s="29" t="s">
        <v>669</v>
      </c>
      <c r="B102" s="162">
        <f ca="1">MAX(MAX(B99,B100), 0)</f>
        <v>4.75</v>
      </c>
      <c r="C102" s="164">
        <f ca="1">MAX(MAX(C99,C100), 0)</f>
        <v>4.75</v>
      </c>
      <c r="D102" s="162">
        <f ca="1">MAX(MAX(D99,D100), 0)</f>
        <v>4.75</v>
      </c>
      <c r="E102" s="162">
        <f ca="1">MAX(MAX(E99,E100), 0)</f>
        <v>4.75</v>
      </c>
      <c r="F102" s="26"/>
    </row>
    <row r="103" spans="1:6">
      <c r="A103" s="29" t="s">
        <v>670</v>
      </c>
      <c r="B103" s="162">
        <f ca="1">B98 + MAX(MIN(B98 * 0.25, 0.375), 0.25)</f>
        <v>5.5</v>
      </c>
      <c r="C103" s="164">
        <f ca="1">C98 + MAX(MIN(C98 * 0.25, 0.375), 0.25)</f>
        <v>5.5</v>
      </c>
      <c r="D103" s="162">
        <f ca="1">D98 + MAX(MIN(D98 * 0.25, 0.375), 0.25)</f>
        <v>5.5</v>
      </c>
      <c r="E103" s="162">
        <f ca="1">E98 + MAX(MIN(E98 * 0.25, 0.375), 0.25)</f>
        <v>5.5</v>
      </c>
      <c r="F103" s="26"/>
    </row>
    <row r="104" spans="1:6">
      <c r="A104" s="29" t="s">
        <v>671</v>
      </c>
      <c r="B104" s="162">
        <f ca="1">B98 + MIN(B98*341/1024 + 358/1024, 1-B98)</f>
        <v>1</v>
      </c>
      <c r="C104" s="164">
        <f ca="1">C98 + MIN(C98*341/1024 + 358/1024, 1-C98)</f>
        <v>1</v>
      </c>
      <c r="D104" s="162">
        <f ca="1">D98 + MIN(D98*341/1024 + 358/1024, 1-D98)</f>
        <v>1</v>
      </c>
      <c r="E104" s="162">
        <f ca="1">E98 + MIN(E98*341/1024 + 358/1024, 1-E98)</f>
        <v>1</v>
      </c>
      <c r="F104" s="26"/>
    </row>
    <row r="105" spans="1:6">
      <c r="A105" s="29" t="s">
        <v>672</v>
      </c>
      <c r="B105" s="162">
        <f ca="1">MAX(B103,B104)</f>
        <v>5.5</v>
      </c>
      <c r="C105" s="164">
        <f ca="1">MAX(C103,C104)</f>
        <v>5.5</v>
      </c>
      <c r="D105" s="162">
        <f ca="1">MAX(D103,D104)</f>
        <v>5.5</v>
      </c>
      <c r="E105" s="162">
        <f ca="1">MAX(E103,E104)</f>
        <v>5.5</v>
      </c>
      <c r="F105" s="26"/>
    </row>
    <row r="106" spans="1:6">
      <c r="A106" s="29" t="s">
        <v>673</v>
      </c>
      <c r="B106" s="162">
        <f ca="1">MIN(MAX(B103,B104), 4.75)</f>
        <v>4.75</v>
      </c>
      <c r="C106" s="164">
        <f ca="1">MIN(MAX(C103,C104), 4.75)</f>
        <v>4.75</v>
      </c>
      <c r="D106" s="162">
        <f ca="1">MIN(MAX(D103,D104), 4.75)</f>
        <v>4.75</v>
      </c>
      <c r="E106" s="162">
        <f ca="1">MIN(MAX(E103,E104), 4.75)</f>
        <v>4.75</v>
      </c>
      <c r="F106" s="26"/>
    </row>
    <row r="107" spans="1:6">
      <c r="A107" s="29" t="s">
        <v>674</v>
      </c>
      <c r="B107" s="162">
        <f t="shared" ref="B107:E108" ca="1" si="6">B105-B101</f>
        <v>0.75</v>
      </c>
      <c r="C107" s="164">
        <f t="shared" ca="1" si="6"/>
        <v>0.75</v>
      </c>
      <c r="D107" s="162">
        <f t="shared" ca="1" si="6"/>
        <v>0.75</v>
      </c>
      <c r="E107" s="162">
        <f t="shared" ca="1" si="6"/>
        <v>0.75</v>
      </c>
      <c r="F107" s="26"/>
    </row>
    <row r="108" spans="1:6">
      <c r="A108" s="29" t="s">
        <v>675</v>
      </c>
      <c r="B108" s="162">
        <f t="shared" ca="1" si="6"/>
        <v>0</v>
      </c>
      <c r="C108" s="164">
        <f t="shared" ca="1" si="6"/>
        <v>0</v>
      </c>
      <c r="D108" s="162">
        <f t="shared" ca="1" si="6"/>
        <v>0</v>
      </c>
      <c r="E108" s="162">
        <f t="shared" ca="1" si="6"/>
        <v>0</v>
      </c>
      <c r="F108" s="26"/>
    </row>
    <row r="109" spans="1:6">
      <c r="A109" s="29" t="s">
        <v>676</v>
      </c>
      <c r="B109" s="167">
        <f ca="1">IF(B101&lt;0, 1-(B108/B107), 0)</f>
        <v>0</v>
      </c>
      <c r="C109" s="168">
        <f ca="1">IF(C101&lt;0, 1-(C108/C107), 0)</f>
        <v>0</v>
      </c>
      <c r="D109" s="167">
        <f ca="1">IF(D101&lt;0, 1-(D108/D107), 0)</f>
        <v>0</v>
      </c>
      <c r="E109" s="167">
        <f ca="1">IF(E101&lt;0, 1-(E108/E107), 0)</f>
        <v>0</v>
      </c>
      <c r="F109" s="26"/>
    </row>
    <row r="110" spans="1:6">
      <c r="A110" s="29" t="s">
        <v>677</v>
      </c>
      <c r="B110" s="167">
        <f ca="1">IF(B105&gt;3, 1-(B108/B107), 0)</f>
        <v>1</v>
      </c>
      <c r="C110" s="168">
        <f ca="1">IF(C105&gt;3, 1-(C108/C107), 0)</f>
        <v>1</v>
      </c>
      <c r="D110" s="167">
        <f ca="1">IF(D105&gt;3, 1-(D108/D107), 0)</f>
        <v>1</v>
      </c>
      <c r="E110" s="167">
        <f ca="1">IF(E105&gt;3, 1-(E108/E107), 0)</f>
        <v>1</v>
      </c>
      <c r="F110" s="26"/>
    </row>
    <row r="111" spans="1:6">
      <c r="A111" s="29" t="s">
        <v>678</v>
      </c>
      <c r="B111" s="167">
        <f ca="1">MAX(0, MIN(1/3, (0.5 - ABS(B98-1)) * 1.2))</f>
        <v>0</v>
      </c>
      <c r="C111" s="168">
        <f ca="1">MAX(0, MIN(1/3, (0.5 - ABS(C98-1)) * 1.2))</f>
        <v>0</v>
      </c>
      <c r="D111" s="167">
        <f ca="1">MAX(0, MIN(1/3, (0.5 - ABS(D98-1)) * 1.2))</f>
        <v>0</v>
      </c>
      <c r="E111" s="167">
        <f ca="1">MAX(0, MIN(1/3, (0.5 - ABS(E98-1)) * 1.2))</f>
        <v>0</v>
      </c>
      <c r="F111" s="26"/>
    </row>
    <row r="112" spans="1:6">
      <c r="A112" s="22" t="s">
        <v>681</v>
      </c>
      <c r="B112" s="169">
        <f ca="1">((0 * B109) + (B106 * B110) + (1 * B111) + (1 - B109 - B110 - B111) * ((B106 + B102) / 2)) * 1.02</f>
        <v>4.8449999999999998</v>
      </c>
      <c r="C112" s="170">
        <f ca="1">((0 * C109) + (C106 * C110) + (1 * C111) + (1 - C109 - C110 - C111) * ((C106 + C102) / 2)) * 1.02</f>
        <v>4.8449999999999998</v>
      </c>
      <c r="D112" s="169">
        <f ca="1">((0 * D109) + (D106 * D110) + (1 * D111) + (1 - D109 - D110 - D111) * ((D106 + D102) / 2)) * 1.02</f>
        <v>4.8449999999999998</v>
      </c>
      <c r="E112" s="169">
        <f ca="1">((0 * E109) + (E106 * E110) + (1 * E111) + (1 - E109 - E110 - E111) * ((E106 + E102) / 2)) * 1.02</f>
        <v>4.8449999999999998</v>
      </c>
    </row>
    <row r="113" spans="1:7">
      <c r="A113" t="s">
        <v>39</v>
      </c>
      <c r="B113" s="5">
        <f ca="1">((B79-($M$5+$M$6))/2)/100+75%</f>
        <v>1.2150000000000001</v>
      </c>
      <c r="C113" s="153">
        <f ca="1">((C79-($M$5+$M$6))/2)/100+75%</f>
        <v>1.4449999999999998</v>
      </c>
      <c r="D113" s="41">
        <f ca="1">((D79-($M$5+$M$6))/2)/100+75%</f>
        <v>0.875</v>
      </c>
      <c r="E113" s="5">
        <f ca="1">((E79-($M$5+$M$6))/2)/100+75%</f>
        <v>1.67</v>
      </c>
    </row>
    <row r="114" spans="1:7">
      <c r="A114" s="176" t="s">
        <v>38</v>
      </c>
      <c r="B114" s="41">
        <f ca="1">MAX(MIN(B113,95%), 20%)</f>
        <v>0.95</v>
      </c>
      <c r="C114" s="153">
        <f ca="1">MAX(MIN(C113,95%), 20%)</f>
        <v>0.95</v>
      </c>
      <c r="D114" s="41">
        <f ca="1">MAX(MIN(D113,95%), 20%)</f>
        <v>0.875</v>
      </c>
      <c r="E114" s="41">
        <f ca="1">MAX(MIN(E113,95%), 20%)</f>
        <v>0.95</v>
      </c>
    </row>
    <row r="115" spans="1:7">
      <c r="A115" s="21" t="s">
        <v>453</v>
      </c>
      <c r="B115" s="113">
        <f ca="1">MAX(MIN(95%, B113+17%), 20%)</f>
        <v>0.95</v>
      </c>
      <c r="C115" s="114">
        <f ca="1">MAX(MIN(95%, C113+17%), 20%)</f>
        <v>0.95</v>
      </c>
      <c r="D115" s="24">
        <f ca="1">D114</f>
        <v>0.875</v>
      </c>
      <c r="E115" s="24">
        <f ca="1">E114</f>
        <v>0.95</v>
      </c>
    </row>
    <row r="116" spans="1:7">
      <c r="A116" s="144" t="s">
        <v>628</v>
      </c>
      <c r="B116">
        <f ca="1">$G$19</f>
        <v>303</v>
      </c>
      <c r="C116" s="73">
        <f ca="1">$H$19</f>
        <v>304</v>
      </c>
      <c r="D116">
        <f ca="1">$G$19</f>
        <v>303</v>
      </c>
      <c r="E116">
        <f ca="1">$H$19</f>
        <v>304</v>
      </c>
    </row>
    <row r="117" spans="1:7">
      <c r="A117" t="s">
        <v>448</v>
      </c>
      <c r="B117" s="32">
        <f ca="1">TRUNC(B116/9)</f>
        <v>33</v>
      </c>
      <c r="C117" s="71">
        <f ca="1">TRUNC(C116/9)</f>
        <v>33</v>
      </c>
      <c r="D117" s="32">
        <f ca="1">TRUNC(D116/9)</f>
        <v>33</v>
      </c>
      <c r="E117" s="32">
        <f ca="1">TRUNC(E116/9)</f>
        <v>33</v>
      </c>
    </row>
    <row r="118" spans="1:7">
      <c r="A118" t="s">
        <v>270</v>
      </c>
      <c r="B118" s="29">
        <f ca="1">TRUNC(MAX(MIN(TRUNC((B$37+B$38)/2), (8+B117)*2), (0-B117)*2)/2)</f>
        <v>6</v>
      </c>
      <c r="C118" s="68">
        <f ca="1">TRUNC(MAX(MIN(TRUNC((C$37+C$38)/2), (8+C117)*2), (0-C117)*2)/2)</f>
        <v>14</v>
      </c>
      <c r="D118" s="29">
        <f ca="1">TRUNC(MAX(MIN(TRUNC((D$37+D$38)/2), (8+D117)*2), (0-D117)*2)/2)</f>
        <v>13</v>
      </c>
      <c r="E118" s="29">
        <f ca="1">TRUNC(MAX(MIN(TRUNC((E$37+E$38)/2), (8+E117)*2), (0-E117)*2)/2)</f>
        <v>29</v>
      </c>
    </row>
    <row r="119" spans="1:7">
      <c r="A119" s="14" t="s">
        <v>271</v>
      </c>
      <c r="B119" s="14">
        <f ca="1">B116+B118</f>
        <v>309</v>
      </c>
      <c r="C119" s="78">
        <f ca="1">C116+C118</f>
        <v>318</v>
      </c>
      <c r="D119" s="14">
        <f ca="1">D116+D118</f>
        <v>316</v>
      </c>
      <c r="E119" s="14">
        <f ca="1">E116+E118</f>
        <v>333</v>
      </c>
    </row>
    <row r="121" spans="1:7">
      <c r="A121" s="87" t="s">
        <v>631</v>
      </c>
      <c r="B121" s="23"/>
      <c r="C121" s="23"/>
      <c r="D121" s="23"/>
      <c r="E121" s="23"/>
    </row>
    <row r="122" spans="1:7">
      <c r="A122" s="20" t="s">
        <v>30</v>
      </c>
      <c r="B122" s="19">
        <f ca="1">$G$22+IF(VLOOKUP($G21, Skills, 2, 0)&lt;&gt;"None", HLOOKUP(VLOOKUP($G21, Skills, 2, 0), INDIRECT(B$28), MATCH("Total", Slots, 0)+1, 0) + VLOOKUP(Gear!$B$4, INDIRECT(Gear!$A$4), MATCH("CombatSkill", StatHeader, 0), 0), 0)</f>
        <v>0</v>
      </c>
      <c r="C122" s="63">
        <f ca="1">$H$22+IF(VLOOKUP($H21, Skills, 2, 0)&lt;&gt;"None", HLOOKUP(VLOOKUP($H21, Skills, 2, 0), INDIRECT(C$28), MATCH("Total", Slots, 0)+1, 0) + VLOOKUP(Gear!$AB$4, INDIRECT(Gear!$AA$4), MATCH("CombatSkill", StatHeader, 0), 0), 0)</f>
        <v>0</v>
      </c>
      <c r="D122" s="19">
        <f ca="1">$G$22+IF(VLOOKUP($G21, Skills, 2, 0)&lt;&gt;"None", HLOOKUP(VLOOKUP($G21, Skills, 2, 0), INDIRECT(D$28), MATCH("Total", Slots, 0)+1, 0) + VLOOKUP(Gear!$B$4, INDIRECT(Gear!$A$4), MATCH("CombatSkill", StatHeader, 0), 0), 0)</f>
        <v>0</v>
      </c>
      <c r="E122" s="19">
        <f ca="1">$H$22+IF(VLOOKUP($H21, Skills, 2, 0)&lt;&gt;"None", HLOOKUP(VLOOKUP($H21, Skills, 2, 0), INDIRECT(E$28), MATCH("Total", Slots, 0)+1, 0) + VLOOKUP(Gear!$AB$4, INDIRECT(Gear!$AA$4), MATCH("CombatSkill", StatHeader, 0), 0), 0)</f>
        <v>0</v>
      </c>
    </row>
    <row r="123" spans="1:7">
      <c r="A123" s="20" t="s">
        <v>9</v>
      </c>
      <c r="B123" s="19">
        <f ca="1">IF(B122&gt;0, 8+B122, 0)</f>
        <v>0</v>
      </c>
      <c r="C123" s="62">
        <f ca="1">IF(C122&gt;0, 8+C122, 0)</f>
        <v>0</v>
      </c>
      <c r="D123" s="19">
        <f ca="1">IF(D122&gt;0, 8+D122, 0)</f>
        <v>0</v>
      </c>
      <c r="E123" s="19">
        <f ca="1">IF(E122&gt;0, 8+E122, 0)</f>
        <v>0</v>
      </c>
    </row>
    <row r="124" spans="1:7">
      <c r="A124" s="21" t="s">
        <v>10</v>
      </c>
      <c r="B124" s="36">
        <f ca="1">MIN(B122, 200) + TRUNC(MAX(MIN(B122-200, 200), 0)*0.9) + TRUNC(MAX(MIN(B122-400, 200), 0)*0.8) + TRUNC(MAX(MIN(B122-600, 200), 0)*0.9)</f>
        <v>0</v>
      </c>
      <c r="C124" s="65">
        <f ca="1">MIN(C122, 200) + TRUNC(MAX(MIN(C122-200, 200), 0)*0.9) + TRUNC(MAX(MIN(C122-400, 200), 0)*0.8) + TRUNC(MAX(MIN(C122-600, 200), 0)*0.9)</f>
        <v>0</v>
      </c>
      <c r="D124" s="36">
        <f ca="1">MIN(D122, 200) + TRUNC(MAX(MIN(D122-200, 200), 0)*0.9) + TRUNC(MAX(MIN(D122-400, 200), 0)*0.8) + TRUNC(MAX(MIN(D122-600, 200), 0)*0.9)</f>
        <v>0</v>
      </c>
      <c r="E124" s="36">
        <f ca="1">MIN(E122, 200) + TRUNC(MAX(MIN(E122-200, 200), 0)*0.9) + TRUNC(MAX(MIN(E122-400, 200), 0)*0.8) + TRUNC(MAX(MIN(E122-600, 200), 0)*0.9)</f>
        <v>0</v>
      </c>
      <c r="G124" s="2"/>
    </row>
    <row r="125" spans="1:7">
      <c r="A125" s="144" t="s">
        <v>626</v>
      </c>
      <c r="B125" s="145">
        <f>IF($G22&gt;0, 50%, 0)</f>
        <v>0</v>
      </c>
      <c r="C125" s="158">
        <f>IF($H22&gt;0, 50%, 0)</f>
        <v>0</v>
      </c>
      <c r="D125" s="145">
        <f>IF($G22&gt;0, 50%, 0)</f>
        <v>0</v>
      </c>
      <c r="E125" s="145">
        <f>IF($H22&gt;0, 50%, 0)</f>
        <v>0</v>
      </c>
      <c r="F125" s="26"/>
    </row>
    <row r="126" spans="1:7">
      <c r="A126" s="147" t="s">
        <v>627</v>
      </c>
      <c r="B126" s="148">
        <f>IF($G22&gt;0, 75%, 0)</f>
        <v>0</v>
      </c>
      <c r="C126" s="149">
        <f>IF($H22&gt;0, 75%, 0)</f>
        <v>0</v>
      </c>
      <c r="D126" s="148">
        <f>IF($G22&gt;0, 75%, 0)</f>
        <v>0</v>
      </c>
      <c r="E126" s="148">
        <f>IF($H22&gt;0, 75%, 0)</f>
        <v>0</v>
      </c>
    </row>
    <row r="127" spans="1:7">
      <c r="A127" s="20" t="s">
        <v>59</v>
      </c>
      <c r="B127" s="35">
        <f ca="1">B123 + TRUNC(B$31*B125) + B$39+B$40+B$42+B$59+$E$12+$H$12+HLOOKUP("Att", INDIRECT(B$28), MATCH("Total", Slots, 0)+1, 0)</f>
        <v>356</v>
      </c>
      <c r="C127" s="161">
        <f ca="1">C123 + TRUNC(C$31*C125) + C$39+C$40+C$42+C$59+$F$12+$H$12+HLOOKUP("Att", INDIRECT(C$28), MATCH("Total", Slots, 0)+1, 0)</f>
        <v>326</v>
      </c>
      <c r="D127" s="35">
        <f ca="1">D123 + TRUNC(D$31*D125) + D$39+D$40+D$42+D$59+$E$12+$H$12+HLOOKUP("Att", INDIRECT(D$28), MATCH("Total", Slots, 0)+1, 0)</f>
        <v>417</v>
      </c>
      <c r="E127" s="35">
        <f ca="1">E123 + TRUNC(E$31*E125) + E$39+E$40+E$42+E$59+$F$12+$H$12+HLOOKUP("Att", INDIRECT(E$28), MATCH("Total", Slots, 0)+1, 0)</f>
        <v>533</v>
      </c>
    </row>
    <row r="128" spans="1:7">
      <c r="A128" s="21" t="s">
        <v>60</v>
      </c>
      <c r="B128" s="36">
        <f ca="1">B124 + TRUNC(B$32*B126) + B$43+B$44+B$45+B$46+B$47+B$48+B$50+$E$13+$H$13+HLOOKUP("Acc", INDIRECT(B$28), MATCH("Total", Slots, 0)+1, 0)</f>
        <v>242</v>
      </c>
      <c r="C128" s="65">
        <f ca="1">C124 + TRUNC(C$32*C126) + C$43+C$44+C$45+C$46+C$47+C$48+C$50+$F$13+$H$13+HLOOKUP("Acc", INDIRECT(C$28), MATCH("Total", Slots, 0)+1, 0)</f>
        <v>303</v>
      </c>
      <c r="D128" s="36">
        <f ca="1">D124 + TRUNC(D$32*D126) + D$43+D$44+D$45+D$46+D$47+D$48+D$50+$E$13+$H$13+HLOOKUP("Acc", INDIRECT(D$28), MATCH("Total", Slots, 0)+1, 0)</f>
        <v>210</v>
      </c>
      <c r="E128" s="36">
        <f ca="1">E124 + TRUNC(E$32*E126) + E$43+E$44+E$45+E$46+E$47+E$48+E$50+$F$13+$H$13+HLOOKUP("Acc", INDIRECT(E$28), MATCH("Total", Slots, 0)+1, 0)</f>
        <v>315</v>
      </c>
    </row>
    <row r="129" spans="1:6">
      <c r="A129" s="20" t="s">
        <v>55</v>
      </c>
      <c r="B129" s="35">
        <f ca="1">TRUNC(MIN(B127*$B$12, $C$12))+$D$12</f>
        <v>0</v>
      </c>
      <c r="C129" s="130">
        <f ca="1">TRUNC(MIN(C127*$B$12, $C$12))+$D$12</f>
        <v>0</v>
      </c>
      <c r="D129" s="35">
        <f ca="1">TRUNC(MIN(D127*$B$12, $C$12))+$D$12</f>
        <v>0</v>
      </c>
      <c r="E129" s="35">
        <f ca="1">TRUNC(MIN(E127*$B$12, $C$12))+$D$12</f>
        <v>0</v>
      </c>
    </row>
    <row r="130" spans="1:6">
      <c r="A130" s="21" t="s">
        <v>56</v>
      </c>
      <c r="B130" s="36">
        <f ca="1">TRUNC(MIN(B128*$B$13, $C$13))+$D$13</f>
        <v>24</v>
      </c>
      <c r="C130" s="65">
        <f ca="1">TRUNC(MIN(C128*$B$13, $C$13))+$D$13</f>
        <v>30</v>
      </c>
      <c r="D130" s="36">
        <f ca="1">TRUNC(MIN(D128*$B$13, $C$13))+$D$13</f>
        <v>21</v>
      </c>
      <c r="E130" s="36">
        <f ca="1">TRUNC(MIN(E128*$B$13, $C$13))+$D$13</f>
        <v>31</v>
      </c>
    </row>
    <row r="131" spans="1:6">
      <c r="A131" s="20" t="s">
        <v>127</v>
      </c>
      <c r="B131" s="25">
        <f>IF(Setup!$J$34=1, TRUNC(Setup!$M$34*B127), 0)</f>
        <v>0</v>
      </c>
      <c r="C131" s="68">
        <f>IF(Setup!$K$34=1, TRUNC(Setup!$N$34*C127), 0)</f>
        <v>0</v>
      </c>
      <c r="D131" s="25">
        <f>IF(Setup!$J$34=1, TRUNC(Setup!$M$34*D127), 0)</f>
        <v>0</v>
      </c>
      <c r="E131" s="25">
        <f>IF(Setup!$K$34=1, TRUNC(Setup!$N$34*E127), 0)</f>
        <v>0</v>
      </c>
    </row>
    <row r="132" spans="1:6">
      <c r="A132" s="20" t="s">
        <v>142</v>
      </c>
      <c r="B132" s="25">
        <f>IF(AND(OR(Setup!F$25=1, Setup!$F$31=1), Setup!$F$36=1), FLOOR(0.25*B127, 1), 0)</f>
        <v>0</v>
      </c>
      <c r="C132" s="68">
        <f>IF(AND(OR(Setup!G$25=1, Setup!$G$31=1), Setup!$G$36=1), FLOOR(0.25*C127, 1), 0)</f>
        <v>0</v>
      </c>
      <c r="D132" s="25">
        <f>IF(AND(OR(Setup!F$25=1, Setup!$F$31=1), Setup!$F$36=1), FLOOR(0.25*D127, 1), 0)</f>
        <v>0</v>
      </c>
      <c r="E132" s="25">
        <f>IF(AND(OR(Setup!G$25=1, Setup!$G$31=1), Setup!$G$36=1), FLOOR(0.25*E127, 1), 0)</f>
        <v>0</v>
      </c>
    </row>
    <row r="133" spans="1:6">
      <c r="A133" s="20" t="s">
        <v>126</v>
      </c>
      <c r="B133" s="25">
        <f>IF(AND(Setup!$F$14=1, $D$1="War"), FLOOR(0.25*B127, 1), 0)</f>
        <v>0</v>
      </c>
      <c r="C133" s="68">
        <f>IF(AND(Setup!$G$14=1, $D$1="War"), FLOOR(0.25*C127, 1), 0)</f>
        <v>0</v>
      </c>
      <c r="D133" s="25">
        <f>IF(AND(Setup!$F$14=1, $D$1="War"), FLOOR(0.25*D127, 1), 0)</f>
        <v>0</v>
      </c>
      <c r="E133" s="25">
        <f>IF(AND(Setup!$G$14=1, $D$1="War"), FLOOR(0.25*E127, 1), 0)</f>
        <v>0</v>
      </c>
    </row>
    <row r="134" spans="1:6">
      <c r="A134" s="20" t="s">
        <v>250</v>
      </c>
      <c r="B134" s="25">
        <f ca="1">IF(Setup!$F$4=1, FLOOR(B127*(64+5*Setup!$B$17)/256, 1), 0)</f>
        <v>123</v>
      </c>
      <c r="C134" s="68">
        <f ca="1">IF(Setup!$G$4=1, FLOOR(C127*(64+5*Setup!$C$17)/256, 1), 0)</f>
        <v>113</v>
      </c>
      <c r="D134" s="25">
        <f ca="1">IF(Setup!$F$4=1, FLOOR(D127*(64+5*Setup!$B$17)/256, 1), 0)</f>
        <v>144</v>
      </c>
      <c r="E134" s="25">
        <f ca="1">IF(Setup!$G$4=1, FLOOR(E127*(64+5*Setup!$C$17)/256, 1), 0)</f>
        <v>185</v>
      </c>
    </row>
    <row r="135" spans="1:6">
      <c r="A135" s="144" t="s">
        <v>849</v>
      </c>
      <c r="B135" s="25">
        <f>IF(Setup!$J$50=1, TRUNC(B57*Setup!$M$50), 0)</f>
        <v>0</v>
      </c>
      <c r="C135" s="68">
        <f>IF(Setup!$K$50=1, TRUNC(C57*Setup!$N$50), 0)</f>
        <v>0</v>
      </c>
      <c r="D135" s="25">
        <f>IF(Setup!$J$50=1, TRUNC(D57*Setup!$M$50), 0)</f>
        <v>0</v>
      </c>
      <c r="E135" s="25">
        <f>IF(Setup!$K$50=1, TRUNC(E57*Setup!$N$50), 0)</f>
        <v>0</v>
      </c>
    </row>
    <row r="136" spans="1:6">
      <c r="A136" s="20" t="s">
        <v>437</v>
      </c>
      <c r="B136" s="7">
        <f ca="1">FLOOR(HLOOKUP($A136, INDIRECT(B$28), MATCH("Total", Slots, 0)+1, 0) * B127, 1)</f>
        <v>0</v>
      </c>
      <c r="C136" s="64">
        <f ca="1">FLOOR(HLOOKUP($A136, INDIRECT(C$28), MATCH("Total", Slots, 0)+1, 0) * C127, 1)</f>
        <v>0</v>
      </c>
      <c r="D136" s="7">
        <f ca="1">FLOOR(HLOOKUP($A136, INDIRECT(D$28), MATCH("Total", Slots, 0)+1, 0) * D127, 1)</f>
        <v>0</v>
      </c>
      <c r="E136" s="7">
        <f ca="1">FLOOR(HLOOKUP($A136, INDIRECT(E$28), MATCH("Total", Slots, 0)+1, 0) * E127, 1)</f>
        <v>0</v>
      </c>
    </row>
    <row r="137" spans="1:6">
      <c r="A137" s="21" t="s">
        <v>409</v>
      </c>
      <c r="B137" s="22">
        <v>0</v>
      </c>
      <c r="C137" s="69">
        <v>0</v>
      </c>
      <c r="D137" s="22">
        <f ca="1">TRUNC(VLOOKUP(Setup!B$36, WeaponskillData, MATCH("Att Bonus", WeaponskillDataCols, 0), 0) * D127)</f>
        <v>0</v>
      </c>
      <c r="E137" s="22">
        <f ca="1">TRUNC(VLOOKUP(Setup!C$36, WeaponskillData, MATCH("Att Bonus", WeaponskillDataCols, 0), 0) * E127)</f>
        <v>-79</v>
      </c>
    </row>
    <row r="138" spans="1:6">
      <c r="A138" s="29" t="s">
        <v>9</v>
      </c>
      <c r="B138" s="37">
        <f ca="1">B127+B129+B131+B132+B133+B134+B136+B137</f>
        <v>479</v>
      </c>
      <c r="C138" s="150">
        <f ca="1">C127+C129+C131+C132+C133+C134+C136+C137</f>
        <v>439</v>
      </c>
      <c r="D138" s="37">
        <f ca="1">D127+D129+D131+D132+D133+D134+D136+D137</f>
        <v>561</v>
      </c>
      <c r="E138" s="37">
        <f ca="1">E127+E129+E131+E132+E133+E134+E136+E137</f>
        <v>639</v>
      </c>
    </row>
    <row r="139" spans="1:6">
      <c r="A139" s="22" t="s">
        <v>10</v>
      </c>
      <c r="B139" s="151">
        <f ca="1">B128+B130</f>
        <v>266</v>
      </c>
      <c r="C139" s="152">
        <f ca="1">C128+C130</f>
        <v>333</v>
      </c>
      <c r="D139" s="151">
        <f ca="1">D128+D130</f>
        <v>231</v>
      </c>
      <c r="E139" s="151">
        <f ca="1">E128+E130</f>
        <v>346</v>
      </c>
    </row>
    <row r="140" spans="1:6">
      <c r="A140" s="60" t="s">
        <v>37</v>
      </c>
      <c r="B140" s="156">
        <f ca="1">MAX(MIN(B138/$M$3, 4.125)-$M$4, 0)</f>
        <v>1.9314516129032258</v>
      </c>
      <c r="C140" s="157">
        <f ca="1">MAX(MIN(C138/$N$3, 4.125)-$M$4, 0)</f>
        <v>1.7701612903225807</v>
      </c>
      <c r="D140" s="156">
        <f ca="1">MAX(MIN(D138/$O$3, 4.125)-$M$4, 0)</f>
        <v>2.2620967741935485</v>
      </c>
      <c r="E140" s="156">
        <f ca="1">MAX(MIN(E138/$P$3, 4.125)-$M$4, 0)</f>
        <v>2.5766129032258065</v>
      </c>
      <c r="F140" s="26"/>
    </row>
    <row r="141" spans="1:6">
      <c r="A141" s="9" t="s">
        <v>664</v>
      </c>
      <c r="B141" s="162"/>
      <c r="C141" s="163"/>
      <c r="D141" s="162"/>
      <c r="E141" s="162"/>
      <c r="F141" s="26"/>
    </row>
    <row r="142" spans="1:6">
      <c r="A142" s="29" t="s">
        <v>665</v>
      </c>
      <c r="B142" s="162">
        <f ca="1">B140</f>
        <v>1.9314516129032258</v>
      </c>
      <c r="C142" s="164">
        <f ca="1">C140</f>
        <v>1.7701612903225807</v>
      </c>
      <c r="D142" s="162">
        <f ca="1">D140</f>
        <v>2.2620967741935485</v>
      </c>
      <c r="E142" s="162">
        <f ca="1">E140</f>
        <v>2.5766129032258065</v>
      </c>
      <c r="F142" s="26"/>
    </row>
    <row r="143" spans="1:6">
      <c r="A143" s="29" t="s">
        <v>666</v>
      </c>
      <c r="B143" s="162">
        <f ca="1">B142+MIN(B142*(152/1024) - (752/1024), -0.375)</f>
        <v>1.4837764616935483</v>
      </c>
      <c r="C143" s="164">
        <f ca="1">C142+MIN(C142*(152/1024) - (752/1024), -0.375)</f>
        <v>1.2985446068548387</v>
      </c>
      <c r="D143" s="162">
        <f ca="1">D142+MIN(D142*(152/1024) - (752/1024), -0.375)</f>
        <v>1.8635017641129035</v>
      </c>
      <c r="E143" s="162">
        <f ca="1">E142+MIN(E142*(152/1024) - (752/1024), -0.375)</f>
        <v>2.2016129032258065</v>
      </c>
      <c r="F143" s="26"/>
    </row>
    <row r="144" spans="1:6">
      <c r="A144" s="29" t="s">
        <v>667</v>
      </c>
      <c r="B144" s="162">
        <f ca="1">B142+MIN(1-B142, B142*152/1024 - 448/1024)</f>
        <v>1</v>
      </c>
      <c r="C144" s="164">
        <f ca="1">C142+MIN(1-C142, C142*152/1024 - 448/1024)</f>
        <v>1</v>
      </c>
      <c r="D144" s="162">
        <f ca="1">D142+MIN(1-D142, D142*152/1024 - 448/1024)</f>
        <v>1</v>
      </c>
      <c r="E144" s="162">
        <f ca="1">E142+MIN(1-E142, E142*152/1024 - 448/1024)</f>
        <v>1</v>
      </c>
      <c r="F144" s="26"/>
    </row>
    <row r="145" spans="1:6">
      <c r="A145" s="29" t="s">
        <v>668</v>
      </c>
      <c r="B145" s="162">
        <f ca="1">MAX(B143,B144)</f>
        <v>1.4837764616935483</v>
      </c>
      <c r="C145" s="164">
        <f ca="1">MAX(C143,C144)</f>
        <v>1.2985446068548387</v>
      </c>
      <c r="D145" s="162">
        <f ca="1">MAX(D143,D144)</f>
        <v>1.8635017641129035</v>
      </c>
      <c r="E145" s="162">
        <f ca="1">MAX(E143,E144)</f>
        <v>2.2016129032258065</v>
      </c>
      <c r="F145" s="26"/>
    </row>
    <row r="146" spans="1:6">
      <c r="A146" s="29" t="s">
        <v>669</v>
      </c>
      <c r="B146" s="162">
        <f ca="1">MAX(MAX(B143,B144), 0)</f>
        <v>1.4837764616935483</v>
      </c>
      <c r="C146" s="164">
        <f ca="1">MAX(MAX(C143,C144), 0)</f>
        <v>1.2985446068548387</v>
      </c>
      <c r="D146" s="162">
        <f ca="1">MAX(MAX(D143,D144), 0)</f>
        <v>1.8635017641129035</v>
      </c>
      <c r="E146" s="162">
        <f ca="1">MAX(MAX(E143,E144), 0)</f>
        <v>2.2016129032258065</v>
      </c>
      <c r="F146" s="26"/>
    </row>
    <row r="147" spans="1:6">
      <c r="A147" s="29" t="s">
        <v>670</v>
      </c>
      <c r="B147" s="162">
        <f ca="1">B142 + MAX(MIN(B142 * 0.25, 0.375), 0.25)</f>
        <v>2.306451612903226</v>
      </c>
      <c r="C147" s="164">
        <f ca="1">C142 + MAX(MIN(C142 * 0.25, 0.375), 0.25)</f>
        <v>2.145161290322581</v>
      </c>
      <c r="D147" s="162">
        <f ca="1">D142 + MAX(MIN(D142 * 0.25, 0.375), 0.25)</f>
        <v>2.6370967741935485</v>
      </c>
      <c r="E147" s="162">
        <f ca="1">E142 + MAX(MIN(E142 * 0.25, 0.375), 0.25)</f>
        <v>2.9516129032258065</v>
      </c>
      <c r="F147" s="26"/>
    </row>
    <row r="148" spans="1:6">
      <c r="A148" s="29" t="s">
        <v>671</v>
      </c>
      <c r="B148" s="162">
        <f ca="1">B142 + MIN(B142*341/1024 + 358/1024, 1-B142)</f>
        <v>1</v>
      </c>
      <c r="C148" s="164">
        <f ca="1">C142 + MIN(C142*341/1024 + 358/1024, 1-C142)</f>
        <v>1</v>
      </c>
      <c r="D148" s="162">
        <f ca="1">D142 + MIN(D142*341/1024 + 358/1024, 1-D142)</f>
        <v>1</v>
      </c>
      <c r="E148" s="162">
        <f ca="1">E142 + MIN(E142*341/1024 + 358/1024, 1-E142)</f>
        <v>1</v>
      </c>
      <c r="F148" s="26"/>
    </row>
    <row r="149" spans="1:6">
      <c r="A149" s="29" t="s">
        <v>672</v>
      </c>
      <c r="B149" s="162">
        <f ca="1">MAX(B147,B148)</f>
        <v>2.306451612903226</v>
      </c>
      <c r="C149" s="164">
        <f ca="1">MAX(C147,C148)</f>
        <v>2.145161290322581</v>
      </c>
      <c r="D149" s="162">
        <f ca="1">MAX(D147,D148)</f>
        <v>2.6370967741935485</v>
      </c>
      <c r="E149" s="162">
        <f ca="1">MAX(E147,E148)</f>
        <v>2.9516129032258065</v>
      </c>
      <c r="F149" s="26"/>
    </row>
    <row r="150" spans="1:6">
      <c r="A150" s="29" t="s">
        <v>673</v>
      </c>
      <c r="B150" s="162">
        <f ca="1">MIN(MAX(B147,B148), 3)</f>
        <v>2.306451612903226</v>
      </c>
      <c r="C150" s="164">
        <f ca="1">MIN(MAX(C147,C148), 3)</f>
        <v>2.145161290322581</v>
      </c>
      <c r="D150" s="162">
        <f ca="1">MIN(MAX(D147,D148), 3)</f>
        <v>2.6370967741935485</v>
      </c>
      <c r="E150" s="162">
        <f ca="1">MIN(MAX(E147,E148), 3)</f>
        <v>2.9516129032258065</v>
      </c>
      <c r="F150" s="26"/>
    </row>
    <row r="151" spans="1:6">
      <c r="A151" s="29" t="s">
        <v>674</v>
      </c>
      <c r="B151" s="162">
        <f t="shared" ref="B151:E152" ca="1" si="7">B149-B145</f>
        <v>0.82267515120967771</v>
      </c>
      <c r="C151" s="164">
        <f t="shared" ca="1" si="7"/>
        <v>0.84661668346774221</v>
      </c>
      <c r="D151" s="162">
        <f t="shared" ca="1" si="7"/>
        <v>0.77359501008064502</v>
      </c>
      <c r="E151" s="162">
        <f t="shared" ca="1" si="7"/>
        <v>0.75</v>
      </c>
      <c r="F151" s="26"/>
    </row>
    <row r="152" spans="1:6">
      <c r="A152" s="29" t="s">
        <v>675</v>
      </c>
      <c r="B152" s="162">
        <f t="shared" ca="1" si="7"/>
        <v>0.82267515120967771</v>
      </c>
      <c r="C152" s="164">
        <f t="shared" ca="1" si="7"/>
        <v>0.84661668346774221</v>
      </c>
      <c r="D152" s="162">
        <f t="shared" ca="1" si="7"/>
        <v>0.77359501008064502</v>
      </c>
      <c r="E152" s="162">
        <f t="shared" ca="1" si="7"/>
        <v>0.75</v>
      </c>
      <c r="F152" s="26"/>
    </row>
    <row r="153" spans="1:6">
      <c r="A153" s="29" t="s">
        <v>676</v>
      </c>
      <c r="B153" s="165">
        <f ca="1">IF(B145&lt;0, 1-(B152/B151), 0)</f>
        <v>0</v>
      </c>
      <c r="C153" s="166">
        <f ca="1">IF(C145&lt;0, 1-(C152/C151), 0)</f>
        <v>0</v>
      </c>
      <c r="D153" s="165">
        <f ca="1">IF(D145&lt;0, 1-(D152/D151), 0)</f>
        <v>0</v>
      </c>
      <c r="E153" s="165">
        <f ca="1">IF(E145&lt;0, 1-(E152/E151), 0)</f>
        <v>0</v>
      </c>
      <c r="F153" s="26"/>
    </row>
    <row r="154" spans="1:6">
      <c r="A154" s="29" t="s">
        <v>677</v>
      </c>
      <c r="B154" s="165">
        <f ca="1">IF(B149&gt;3, 1-(B152/B151), 0)</f>
        <v>0</v>
      </c>
      <c r="C154" s="166">
        <f ca="1">IF(C149&gt;3, 1-(C152/C151), 0)</f>
        <v>0</v>
      </c>
      <c r="D154" s="165">
        <f ca="1">IF(D149&gt;3, 1-(D152/D151), 0)</f>
        <v>0</v>
      </c>
      <c r="E154" s="165">
        <f ca="1">IF(E149&gt;3, 1-(E152/E151), 0)</f>
        <v>0</v>
      </c>
      <c r="F154" s="26"/>
    </row>
    <row r="155" spans="1:6">
      <c r="A155" s="29" t="s">
        <v>678</v>
      </c>
      <c r="B155" s="165">
        <f ca="1">MAX(0, MIN(1/3, (0.5 - ABS(B142-1)) * 1.2))</f>
        <v>0</v>
      </c>
      <c r="C155" s="166">
        <f ca="1">MAX(0, MIN(1/3, (0.5 - ABS(C142-1)) * 1.2))</f>
        <v>0</v>
      </c>
      <c r="D155" s="165">
        <f ca="1">MAX(0, MIN(1/3, (0.5 - ABS(D142-1)) * 1.2))</f>
        <v>0</v>
      </c>
      <c r="E155" s="165">
        <f ca="1">MAX(0, MIN(1/3, (0.5 - ABS(E142-1)) * 1.2))</f>
        <v>0</v>
      </c>
      <c r="F155" s="26"/>
    </row>
    <row r="156" spans="1:6">
      <c r="A156" s="29" t="s">
        <v>679</v>
      </c>
      <c r="B156" s="162">
        <f ca="1">((0 * B153) + (3 * B154) + (1 * B155) + (1 - B153 - B154 - B155) * ((B150 + B146) / 2)) * 1.02</f>
        <v>1.9330163180443547</v>
      </c>
      <c r="C156" s="164">
        <f ca="1">((0 * C153) + (3 * C154) + (1 * C155) + (1 - C153 - C154 - C155) * ((C150 + C146) / 2)) * 1.02</f>
        <v>1.7562900075604841</v>
      </c>
      <c r="D156" s="162">
        <f ca="1">((0 * D153) + (3 * D154) + (1 * D155) + (1 - D153 - D154 - D155) * ((D150 + D146) / 2)) * 1.02</f>
        <v>2.2953052545362906</v>
      </c>
      <c r="E156" s="162">
        <f ca="1">((0 * E153) + (3 * E154) + (1 * E155) + (1 - E153 - E154 - E155) * ((E150 + E146) / 2)) * 1.02</f>
        <v>2.6281451612903228</v>
      </c>
      <c r="F156" s="26"/>
    </row>
    <row r="157" spans="1:6">
      <c r="A157" s="9" t="s">
        <v>680</v>
      </c>
      <c r="B157" s="162"/>
      <c r="C157" s="164"/>
      <c r="D157" s="162"/>
      <c r="E157" s="162"/>
      <c r="F157" s="26"/>
    </row>
    <row r="158" spans="1:6">
      <c r="A158" s="29" t="s">
        <v>665</v>
      </c>
      <c r="B158" s="162">
        <f ca="1">B140+1</f>
        <v>2.931451612903226</v>
      </c>
      <c r="C158" s="164">
        <f ca="1">C140+1</f>
        <v>2.770161290322581</v>
      </c>
      <c r="D158" s="162">
        <f ca="1">D140+1</f>
        <v>3.2620967741935485</v>
      </c>
      <c r="E158" s="162">
        <f ca="1">E140+1</f>
        <v>3.5766129032258065</v>
      </c>
      <c r="F158" s="26"/>
    </row>
    <row r="159" spans="1:6">
      <c r="A159" s="29" t="s">
        <v>666</v>
      </c>
      <c r="B159" s="162">
        <f ca="1">B158+MIN(B158*(152/1024) - (752/1024), -0.375)</f>
        <v>2.556451612903226</v>
      </c>
      <c r="C159" s="164">
        <f ca="1">C158+MIN(C158*(152/1024) - (752/1024), -0.375)</f>
        <v>2.395161290322581</v>
      </c>
      <c r="D159" s="162">
        <f ca="1">D158+MIN(D158*(152/1024) - (752/1024), -0.375)</f>
        <v>2.8870967741935485</v>
      </c>
      <c r="E159" s="162">
        <f ca="1">E158+MIN(E158*(152/1024) - (752/1024), -0.375)</f>
        <v>3.2016129032258065</v>
      </c>
      <c r="F159" s="26"/>
    </row>
    <row r="160" spans="1:6">
      <c r="A160" s="29" t="s">
        <v>667</v>
      </c>
      <c r="B160" s="162">
        <f ca="1">B158+MIN(1-B158, B158*152/1024 - 448/1024)</f>
        <v>1</v>
      </c>
      <c r="C160" s="164">
        <f ca="1">C158+MIN(1-C158, C158*152/1024 - 448/1024)</f>
        <v>1</v>
      </c>
      <c r="D160" s="162">
        <f ca="1">D158+MIN(1-D158, D158*152/1024 - 448/1024)</f>
        <v>1</v>
      </c>
      <c r="E160" s="162">
        <f ca="1">E158+MIN(1-E158, E158*152/1024 - 448/1024)</f>
        <v>1</v>
      </c>
      <c r="F160" s="26"/>
    </row>
    <row r="161" spans="1:6">
      <c r="A161" s="29" t="s">
        <v>668</v>
      </c>
      <c r="B161" s="162">
        <f ca="1">MAX(B159,B160)</f>
        <v>2.556451612903226</v>
      </c>
      <c r="C161" s="164">
        <f ca="1">MAX(C159,C160)</f>
        <v>2.395161290322581</v>
      </c>
      <c r="D161" s="162">
        <f ca="1">MAX(D159,D160)</f>
        <v>2.8870967741935485</v>
      </c>
      <c r="E161" s="162">
        <f ca="1">MAX(E159,E160)</f>
        <v>3.2016129032258065</v>
      </c>
      <c r="F161" s="26"/>
    </row>
    <row r="162" spans="1:6">
      <c r="A162" s="29" t="s">
        <v>669</v>
      </c>
      <c r="B162" s="162">
        <f ca="1">MAX(MAX(B159,B160), 0)</f>
        <v>2.556451612903226</v>
      </c>
      <c r="C162" s="164">
        <f ca="1">MAX(MAX(C159,C160), 0)</f>
        <v>2.395161290322581</v>
      </c>
      <c r="D162" s="162">
        <f ca="1">MAX(MAX(D159,D160), 0)</f>
        <v>2.8870967741935485</v>
      </c>
      <c r="E162" s="162">
        <f ca="1">MAX(MAX(E159,E160), 0)</f>
        <v>3.2016129032258065</v>
      </c>
      <c r="F162" s="26"/>
    </row>
    <row r="163" spans="1:6">
      <c r="A163" s="29" t="s">
        <v>670</v>
      </c>
      <c r="B163" s="162">
        <f ca="1">B158 + MAX(MIN(B158 * 0.25, 0.375), 0.25)</f>
        <v>3.306451612903226</v>
      </c>
      <c r="C163" s="164">
        <f ca="1">C158 + MAX(MIN(C158 * 0.25, 0.375), 0.25)</f>
        <v>3.145161290322581</v>
      </c>
      <c r="D163" s="162">
        <f ca="1">D158 + MAX(MIN(D158 * 0.25, 0.375), 0.25)</f>
        <v>3.6370967741935485</v>
      </c>
      <c r="E163" s="162">
        <f ca="1">E158 + MAX(MIN(E158 * 0.25, 0.375), 0.25)</f>
        <v>3.9516129032258065</v>
      </c>
      <c r="F163" s="26"/>
    </row>
    <row r="164" spans="1:6">
      <c r="A164" s="29" t="s">
        <v>671</v>
      </c>
      <c r="B164" s="162">
        <f ca="1">B158 + MIN(B158*341/1024 + 358/1024, 1-B158)</f>
        <v>1</v>
      </c>
      <c r="C164" s="164">
        <f ca="1">C158 + MIN(C158*341/1024 + 358/1024, 1-C158)</f>
        <v>1</v>
      </c>
      <c r="D164" s="162">
        <f ca="1">D158 + MIN(D158*341/1024 + 358/1024, 1-D158)</f>
        <v>1</v>
      </c>
      <c r="E164" s="162">
        <f ca="1">E158 + MIN(E158*341/1024 + 358/1024, 1-E158)</f>
        <v>1</v>
      </c>
      <c r="F164" s="26"/>
    </row>
    <row r="165" spans="1:6">
      <c r="A165" s="29" t="s">
        <v>672</v>
      </c>
      <c r="B165" s="162">
        <f ca="1">MAX(B163,B164)</f>
        <v>3.306451612903226</v>
      </c>
      <c r="C165" s="164">
        <f ca="1">MAX(C163,C164)</f>
        <v>3.145161290322581</v>
      </c>
      <c r="D165" s="162">
        <f ca="1">MAX(D163,D164)</f>
        <v>3.6370967741935485</v>
      </c>
      <c r="E165" s="162">
        <f ca="1">MAX(E163,E164)</f>
        <v>3.9516129032258065</v>
      </c>
      <c r="F165" s="26"/>
    </row>
    <row r="166" spans="1:6">
      <c r="A166" s="29" t="s">
        <v>673</v>
      </c>
      <c r="B166" s="162">
        <f ca="1">MIN(MAX(B163,B164), 4.75)</f>
        <v>3.306451612903226</v>
      </c>
      <c r="C166" s="164">
        <f ca="1">MIN(MAX(C163,C164), 4.75)</f>
        <v>3.145161290322581</v>
      </c>
      <c r="D166" s="162">
        <f ca="1">MIN(MAX(D163,D164), 4.75)</f>
        <v>3.6370967741935485</v>
      </c>
      <c r="E166" s="162">
        <f ca="1">MIN(MAX(E163,E164), 4.75)</f>
        <v>3.9516129032258065</v>
      </c>
      <c r="F166" s="26"/>
    </row>
    <row r="167" spans="1:6">
      <c r="A167" s="29" t="s">
        <v>674</v>
      </c>
      <c r="B167" s="162">
        <f t="shared" ref="B167:E168" ca="1" si="8">B165-B161</f>
        <v>0.75</v>
      </c>
      <c r="C167" s="164">
        <f t="shared" ca="1" si="8"/>
        <v>0.75</v>
      </c>
      <c r="D167" s="162">
        <f t="shared" ca="1" si="8"/>
        <v>0.75</v>
      </c>
      <c r="E167" s="162">
        <f t="shared" ca="1" si="8"/>
        <v>0.75</v>
      </c>
      <c r="F167" s="26"/>
    </row>
    <row r="168" spans="1:6">
      <c r="A168" s="29" t="s">
        <v>675</v>
      </c>
      <c r="B168" s="162">
        <f t="shared" ca="1" si="8"/>
        <v>0.75</v>
      </c>
      <c r="C168" s="164">
        <f t="shared" ca="1" si="8"/>
        <v>0.75</v>
      </c>
      <c r="D168" s="162">
        <f t="shared" ca="1" si="8"/>
        <v>0.75</v>
      </c>
      <c r="E168" s="162">
        <f t="shared" ca="1" si="8"/>
        <v>0.75</v>
      </c>
      <c r="F168" s="26"/>
    </row>
    <row r="169" spans="1:6">
      <c r="A169" s="29" t="s">
        <v>676</v>
      </c>
      <c r="B169" s="167">
        <f ca="1">IF(B161&lt;0, 1-(B168/B167), 0)</f>
        <v>0</v>
      </c>
      <c r="C169" s="168">
        <f ca="1">IF(C161&lt;0, 1-(C168/C167), 0)</f>
        <v>0</v>
      </c>
      <c r="D169" s="167">
        <f ca="1">IF(D161&lt;0, 1-(D168/D167), 0)</f>
        <v>0</v>
      </c>
      <c r="E169" s="167">
        <f ca="1">IF(E161&lt;0, 1-(E168/E167), 0)</f>
        <v>0</v>
      </c>
      <c r="F169" s="26"/>
    </row>
    <row r="170" spans="1:6">
      <c r="A170" s="29" t="s">
        <v>677</v>
      </c>
      <c r="B170" s="167">
        <f ca="1">IF(B165&gt;3, 1-(B168/B167), 0)</f>
        <v>0</v>
      </c>
      <c r="C170" s="168">
        <f ca="1">IF(C165&gt;3, 1-(C168/C167), 0)</f>
        <v>0</v>
      </c>
      <c r="D170" s="167">
        <f ca="1">IF(D165&gt;3, 1-(D168/D167), 0)</f>
        <v>0</v>
      </c>
      <c r="E170" s="167">
        <f ca="1">IF(E165&gt;3, 1-(E168/E167), 0)</f>
        <v>0</v>
      </c>
      <c r="F170" s="26"/>
    </row>
    <row r="171" spans="1:6">
      <c r="A171" s="29" t="s">
        <v>678</v>
      </c>
      <c r="B171" s="167">
        <f ca="1">MAX(0, MIN(1/3, (0.5 - ABS(B158-1)) * 1.2))</f>
        <v>0</v>
      </c>
      <c r="C171" s="168">
        <f ca="1">MAX(0, MIN(1/3, (0.5 - ABS(C158-1)) * 1.2))</f>
        <v>0</v>
      </c>
      <c r="D171" s="167">
        <f ca="1">MAX(0, MIN(1/3, (0.5 - ABS(D158-1)) * 1.2))</f>
        <v>0</v>
      </c>
      <c r="E171" s="167">
        <f ca="1">MAX(0, MIN(1/3, (0.5 - ABS(E158-1)) * 1.2))</f>
        <v>0</v>
      </c>
      <c r="F171" s="26"/>
    </row>
    <row r="172" spans="1:6">
      <c r="A172" s="22" t="s">
        <v>681</v>
      </c>
      <c r="B172" s="169">
        <f ca="1">((0 * B169) + (3 * B170) + (1 * B171) + (1 - B169 - B170 - B171) * ((B166 + B162) / 2)) * 1.02</f>
        <v>2.9900806451612905</v>
      </c>
      <c r="C172" s="170">
        <f ca="1">((0 * C169) + (3 * C170) + (1 * C171) + (1 - C169 - C170 - C171) * ((C166 + C162) / 2)) * 1.02</f>
        <v>2.8255645161290328</v>
      </c>
      <c r="D172" s="169">
        <f ca="1">((0 * D169) + (3 * D170) + (1 * D171) + (1 - D169 - D170 - D171) * ((D166 + D162) / 2)) * 1.02</f>
        <v>3.3273387096774196</v>
      </c>
      <c r="E172" s="169">
        <f ca="1">((0 * E169) + (3 * E170) + (1 * E171) + (1 - E169 - E170 - E171) * ((E166 + E162) / 2)) * 1.02</f>
        <v>3.6481451612903228</v>
      </c>
    </row>
    <row r="173" spans="1:6">
      <c r="A173" t="s">
        <v>39</v>
      </c>
      <c r="B173" s="5">
        <f ca="1">((B139-($M$5+$M$6))/2)/100+75%</f>
        <v>-3.5149999999999997</v>
      </c>
      <c r="C173" s="153">
        <f ca="1">((C139-($M$5+$M$6))/2)/100+75%</f>
        <v>-3.18</v>
      </c>
      <c r="D173" s="41">
        <f ca="1">((D139-($M$5+$M$6))/2)/100+75%</f>
        <v>-3.6900000000000004</v>
      </c>
      <c r="E173" s="5">
        <f ca="1">((E139-($M$5+$M$6))/2)/100+75%</f>
        <v>-3.1150000000000002</v>
      </c>
    </row>
    <row r="174" spans="1:6">
      <c r="A174" s="26" t="s">
        <v>38</v>
      </c>
      <c r="B174" s="41">
        <f ca="1">MAX(MIN(B173,95%), 20%)</f>
        <v>0.2</v>
      </c>
      <c r="C174" s="153">
        <f ca="1">MAX(MIN(C173,95%), 20%)</f>
        <v>0.2</v>
      </c>
      <c r="D174" s="41">
        <f ca="1">MAX(MIN(D173,95%), 20%)</f>
        <v>0.2</v>
      </c>
      <c r="E174" s="41">
        <f ca="1">MAX(MIN(E173,95%), 20%)</f>
        <v>0.2</v>
      </c>
    </row>
    <row r="175" spans="1:6">
      <c r="A175" s="21" t="s">
        <v>453</v>
      </c>
      <c r="B175" s="113">
        <f ca="1">MAX(MIN(95%, B173+17%), 20%)</f>
        <v>0.2</v>
      </c>
      <c r="C175" s="114">
        <f ca="1">MAX(MIN(95%, C173+17%), 20%)</f>
        <v>0.2</v>
      </c>
      <c r="D175" s="24">
        <f ca="1">D174</f>
        <v>0.2</v>
      </c>
      <c r="E175" s="24">
        <f ca="1">E174</f>
        <v>0.2</v>
      </c>
    </row>
    <row r="176" spans="1:6">
      <c r="A176" s="144" t="s">
        <v>628</v>
      </c>
      <c r="B176">
        <f ca="1">$G23</f>
        <v>0</v>
      </c>
      <c r="C176" s="73">
        <f ca="1">$H23</f>
        <v>0</v>
      </c>
      <c r="D176">
        <f ca="1">$G23</f>
        <v>0</v>
      </c>
      <c r="E176">
        <f ca="1">$H23</f>
        <v>0</v>
      </c>
    </row>
    <row r="177" spans="1:5">
      <c r="A177" s="29" t="s">
        <v>632</v>
      </c>
      <c r="B177" s="32">
        <f ca="1">TRUNC(B176/9)</f>
        <v>0</v>
      </c>
      <c r="C177" s="71">
        <f ca="1">TRUNC(C176/9)</f>
        <v>0</v>
      </c>
      <c r="D177" s="32">
        <f ca="1">TRUNC(D176/9)</f>
        <v>0</v>
      </c>
      <c r="E177" s="32">
        <f ca="1">TRUNC(E176/9)</f>
        <v>0</v>
      </c>
    </row>
    <row r="178" spans="1:5">
      <c r="A178" s="29" t="s">
        <v>633</v>
      </c>
      <c r="B178" s="29">
        <f ca="1">IF(B176&gt;0, TRUNC(MAX(MIN(TRUNC((B37+B38)/2), (8+B177)*2), (0-B177)*2)/2), 0)</f>
        <v>0</v>
      </c>
      <c r="C178" s="68">
        <f ca="1">IF(C176&gt;0, TRUNC(MAX(MIN(TRUNC((C37+C38)/2), (8+C177)*2), (0-C177)*2)/2), 0)</f>
        <v>0</v>
      </c>
      <c r="D178" s="29">
        <f ca="1">IF(D176&gt;0, TRUNC(MAX(MIN(TRUNC((D37+D38)/2), (8+D177)*2), (0-D177)*2)/2), 0)</f>
        <v>0</v>
      </c>
      <c r="E178" s="29">
        <f ca="1">IF(E176&gt;0, TRUNC(MAX(MIN(TRUNC((E37+E38)/2), (8+E177)*2), (0-E177)*2)/2), 0)</f>
        <v>0</v>
      </c>
    </row>
    <row r="179" spans="1:5">
      <c r="A179" s="22" t="s">
        <v>102</v>
      </c>
      <c r="B179" s="14">
        <f ca="1">B176+B178</f>
        <v>0</v>
      </c>
      <c r="C179" s="78">
        <f ca="1">C176+C178</f>
        <v>0</v>
      </c>
      <c r="D179" s="14">
        <f ca="1">D176+D178</f>
        <v>0</v>
      </c>
      <c r="E179" s="14">
        <f ca="1">E176+E178</f>
        <v>0</v>
      </c>
    </row>
    <row r="181" spans="1:5">
      <c r="A181" s="23" t="s">
        <v>634</v>
      </c>
      <c r="B181" s="87"/>
      <c r="C181" s="87"/>
      <c r="D181" s="87"/>
      <c r="E181" s="87"/>
    </row>
    <row r="182" spans="1:5">
      <c r="A182" t="s">
        <v>12</v>
      </c>
      <c r="B182" s="2">
        <f ca="1">MAX($B$17+$C$17+HLOOKUP($A182, INDIRECT(B$28), MATCH("Total", Slots, 0)+1, 0) + IF(Setup!J36=1, Setup!M36, 0), 0)</f>
        <v>0.43</v>
      </c>
      <c r="C182" s="15">
        <f ca="1">MAX($B$17+$D$17+HLOOKUP($A182, INDIRECT(C$28), MATCH("Total", Slots, 0)+1, 0) + IF(Setup!K36=1, Setup!N36, 0), 0)</f>
        <v>0.41000000000000003</v>
      </c>
      <c r="D182" s="2">
        <f ca="1">MAX($B$17+$C$17+HLOOKUP($A182, INDIRECT(D$28), MATCH("Total", Slots, 0)+1, 0) + IF(Setup!J36=1, Setup!M36, 0), 0)</f>
        <v>0.13</v>
      </c>
      <c r="E182" s="2">
        <f ca="1">MAX($B$17+$D$17+HLOOKUP($A182, INDIRECT(E$28), MATCH("Total", Slots, 0)+1, 0) + IF(Setup!K36=1, Setup!N36, 0), 0)</f>
        <v>0.25</v>
      </c>
    </row>
    <row r="183" spans="1:5">
      <c r="A183" s="26" t="s">
        <v>150</v>
      </c>
      <c r="B183" s="40">
        <f ca="1">$B$18+$C$18+HLOOKUP($A183, INDIRECT(B$28), MATCH("Total", Slots, 0)+1, 0)</f>
        <v>0.06</v>
      </c>
      <c r="C183" s="15">
        <f ca="1">$B$18+$D$18+HLOOKUP($A183, INDIRECT(C$28), MATCH("Total", Slots, 0)+1, 0)</f>
        <v>0.06</v>
      </c>
      <c r="D183" s="40">
        <f ca="1">$B$18+$C$18+HLOOKUP($A183, INDIRECT(D$28), MATCH("Total", Slots, 0)+1, 0)</f>
        <v>0</v>
      </c>
      <c r="E183" s="40">
        <f ca="1">$B$18+$D$18+HLOOKUP($A183, INDIRECT(E$28), MATCH("Total", Slots, 0)+1, 0)</f>
        <v>0.02</v>
      </c>
    </row>
    <row r="184" spans="1:5">
      <c r="A184" s="20" t="s">
        <v>416</v>
      </c>
      <c r="B184" s="40">
        <f ca="1">HLOOKUP($A184, INDIRECT(B$28), MATCH("Total", Slots, 0)+1, 0)</f>
        <v>0.05</v>
      </c>
      <c r="C184" s="15">
        <f ca="1">HLOOKUP($A184, INDIRECT(C$28), MATCH("Total", Slots, 0)+1, 0)</f>
        <v>0.05</v>
      </c>
      <c r="D184" s="40">
        <f ca="1">HLOOKUP($A184, INDIRECT(D$28), MATCH("Total", Slots, 0)+1, 0)</f>
        <v>0</v>
      </c>
      <c r="E184" s="40">
        <f ca="1">HLOOKUP($A184, INDIRECT(E$28), MATCH("Total", Slots, 0)+1, 0)</f>
        <v>0.03</v>
      </c>
    </row>
    <row r="185" spans="1:5">
      <c r="A185" s="21" t="s">
        <v>297</v>
      </c>
      <c r="B185" s="52">
        <f ca="1">C19 + HLOOKUP("Zan", INDIRECT(B$28), MATCH("Total", Slots, 0)+1, 0)</f>
        <v>0</v>
      </c>
      <c r="C185" s="70">
        <f ca="1">D19 + HLOOKUP("Zan", INDIRECT(C$28), MATCH("Total", Slots, 0)+1, 0)</f>
        <v>0</v>
      </c>
      <c r="D185" s="52">
        <v>0</v>
      </c>
      <c r="E185" s="52">
        <v>0</v>
      </c>
    </row>
    <row r="186" spans="1:5">
      <c r="A186" s="20" t="s">
        <v>266</v>
      </c>
      <c r="B186" s="40">
        <f ca="1">IF(AND($D$1="Nin", $G$17="Axe", Gear!$B$4&lt;&gt;"None"), $L$13 + HLOOKUP($A186, INDIRECT(B$28), MATCH("Total", Slots, 0)+1, 0), 0)</f>
        <v>0</v>
      </c>
      <c r="C186" s="15">
        <f ca="1">IF(AND($D$1="Nin", $G$17="Axe", Gear!$B$4&lt;&gt;"None"), $L$13 + HLOOKUP($A186, INDIRECT(C$28), MATCH("Total", Slots, 0)+1, 0), 0)</f>
        <v>0</v>
      </c>
      <c r="D186" s="40">
        <f>IF(AND($D$1="Nin", $G$17="Axe", Gear!$B$4&lt;&gt;"None"), $L$13, 0)</f>
        <v>0</v>
      </c>
      <c r="E186" s="40">
        <f>IF(AND($D$1="Nin", $G$17="Axe", Gear!$B$4&lt;&gt;"None"), $L$13, 0)</f>
        <v>0</v>
      </c>
    </row>
    <row r="187" spans="1:5">
      <c r="A187" s="20" t="s">
        <v>423</v>
      </c>
      <c r="B187" s="82">
        <f ca="1">$G20+$G24</f>
        <v>430</v>
      </c>
      <c r="C187" s="84">
        <f ca="1">$H20+$H24</f>
        <v>431</v>
      </c>
      <c r="D187" s="82">
        <f ca="1">$G20+$G24</f>
        <v>430</v>
      </c>
      <c r="E187" s="82">
        <f ca="1">$H20+$H24</f>
        <v>431</v>
      </c>
    </row>
    <row r="188" spans="1:5">
      <c r="A188" s="20" t="s">
        <v>424</v>
      </c>
      <c r="B188" s="83">
        <f ca="1">IF(AND($G17="Axe", $G24&lt;&gt;0), TRUNC(B187*B186), TRUNC(VLOOKUP(Gear!$B$4,INDIRECT(Gear!$A$4),MATCH("2HDly",StatHeader,0),0) * $G$20))</f>
        <v>0</v>
      </c>
      <c r="C188" s="85">
        <f ca="1">IF(AND($H17="Axe", $H24&lt;&gt;0), TRUNC(C187*C186), TRUNC(VLOOKUP(Gear!$AB$4,INDIRECT(Gear!$AA$4),MATCH("2HDly",StatHeader,0),0) * $H$20))</f>
        <v>0</v>
      </c>
      <c r="D188" s="83">
        <f ca="1">IF(AND($G17="Axe", $G24&lt;&gt;0), TRUNC(D187*D186), TRUNC(VLOOKUP(Gear!$B$4,INDIRECT(Gear!$A$4),MATCH("2HDly",StatHeader,0),0) * $G$20))</f>
        <v>0</v>
      </c>
      <c r="E188" s="83">
        <f ca="1">IF(AND($H17="Axe", $H24&lt;&gt;0), TRUNC(E187*E186), TRUNC(VLOOKUP(Gear!$AB$4,INDIRECT(Gear!$AA$4),MATCH("2HDly",StatHeader,0),0) * $H$20))</f>
        <v>0</v>
      </c>
    </row>
    <row r="189" spans="1:5">
      <c r="A189" s="20" t="s">
        <v>267</v>
      </c>
      <c r="B189" s="49">
        <f ca="1">TRUNC((B187-B188) / IF(AND($G17="Axe", $G24&gt;0), 2, 1))</f>
        <v>430</v>
      </c>
      <c r="C189" s="64">
        <f ca="1">TRUNC((C187-C188) / IF(AND($H17="Axe", $H24&gt;0), 2, 1))</f>
        <v>431</v>
      </c>
      <c r="D189" s="49">
        <f ca="1">TRUNC((D187-D188) / IF(AND($G17="Axe", $G24&gt;0), 2, 1))</f>
        <v>430</v>
      </c>
      <c r="E189" s="49">
        <f ca="1">TRUNC((E187-E188) / IF(AND($H17="Axe", $H24&gt;0), 2, 1))</f>
        <v>431</v>
      </c>
    </row>
    <row r="190" spans="1:5">
      <c r="A190" s="20" t="s">
        <v>268</v>
      </c>
      <c r="B190" s="53">
        <f ca="1">IF(B189&lt;176, TRUNC((B189-12)*11/64)+32, IF(B189&lt;541, TRUNC(B189*489/2000)+17, IF(B189&lt;720, TRUNC((B189-1)/16)+115, TRUNC(B189/15)+113)))</f>
        <v>122</v>
      </c>
      <c r="C190" s="71">
        <f ca="1">IF(C189&lt;176, TRUNC((C189-12)*11/64)+32, IF(C189&lt;541, TRUNC(C189*489/2000)+17, IF(C189&lt;720, TRUNC((C189-1)/16)+115, TRUNC(C189/15)+113)))</f>
        <v>122</v>
      </c>
      <c r="D190" s="53">
        <f ca="1">IF(D189&lt;176, TRUNC((D189-12)*11/64)+32, IF(D189&lt;541, TRUNC(D189*489/2000)+17, IF(D189&lt;720, TRUNC((D189-1)/16)+115, TRUNC(D189/15)+113)))</f>
        <v>122</v>
      </c>
      <c r="E190" s="53">
        <f ca="1">IF(E189&lt;176, TRUNC((E189-12)*11/64)+32, IF(E189&lt;541, TRUNC(E189*489/2000)+17, IF(E189&lt;720, TRUNC((E189-1)/16)+115, TRUNC(E189/15)+113)))</f>
        <v>122</v>
      </c>
    </row>
    <row r="191" spans="1:5">
      <c r="A191" s="26" t="s">
        <v>13</v>
      </c>
      <c r="B191" s="53">
        <f ca="1">$B$23+$B$22+$C$22+IF(Setup!$J$38=1, Setup!M38, 0)+HLOOKUP("STP", INDIRECT(B$28), MATCH("Total", Slots, 0)+1, 0)</f>
        <v>133</v>
      </c>
      <c r="C191" s="71">
        <f ca="1">$B$23+$B$22+$D$22+IF(Setup!$K$38=1, Setup!N38, 0)+HLOOKUP("STP", INDIRECT(C$28), MATCH("Total", Slots, 0)+1, 0)</f>
        <v>128</v>
      </c>
      <c r="D191" s="53">
        <f ca="1">$B$23+$B$22+$C$22+IF(Setup!$J$38=1, Setup!M38, 0)+HLOOKUP("STP", INDIRECT(D$28), MATCH("Total", Slots, 0)+1, 0)</f>
        <v>98</v>
      </c>
      <c r="E191" s="53">
        <f ca="1">$B$23+$B$22+$D$22+IF(Setup!$K$38=1, Setup!N38, 0)+HLOOKUP("STP", INDIRECT(E$28), MATCH("Total", Slots, 0)+1, 0)</f>
        <v>109</v>
      </c>
    </row>
    <row r="192" spans="1:5">
      <c r="A192" s="14" t="s">
        <v>269</v>
      </c>
      <c r="B192" s="54">
        <f ca="1">TRUNC(B190*(1+B191/100))</f>
        <v>284</v>
      </c>
      <c r="C192" s="171">
        <f ca="1">TRUNC(C190*(1+C191/100))</f>
        <v>278</v>
      </c>
      <c r="D192" s="54">
        <f ca="1">TRUNC(D190*(1+D191/100))</f>
        <v>241</v>
      </c>
      <c r="E192" s="54">
        <f ca="1">TRUNC(E190*(1+E191/100))</f>
        <v>254</v>
      </c>
    </row>
    <row r="193" spans="1:5">
      <c r="A193" s="20" t="s">
        <v>553</v>
      </c>
      <c r="B193" s="49">
        <f ca="1">B32-$L$7</f>
        <v>4</v>
      </c>
      <c r="C193" s="76">
        <f ca="1">C32-$L$7</f>
        <v>-16</v>
      </c>
      <c r="D193" s="49">
        <f ca="1">D32-$L$7</f>
        <v>-44</v>
      </c>
      <c r="E193" s="49">
        <f ca="1">E32-$L$7</f>
        <v>28</v>
      </c>
    </row>
    <row r="194" spans="1:5">
      <c r="A194" t="s">
        <v>67</v>
      </c>
      <c r="B194" s="12">
        <f ca="1">IF(B193&gt;50, 15%, IF(B193&gt;39,5%+(B193-40)/100,IF(B193&gt;29,4%,IF(B193&gt;19,3%,IF(B193&gt;13,2%,IF(B193&gt;6,1%,0))))))+5%</f>
        <v>0.05</v>
      </c>
      <c r="C194" s="133">
        <f ca="1">IF(C193&gt;50, 15%, IF(C193&gt;39,5%+(C193-40)/100,IF(C193&gt;29,4%,IF(C193&gt;19,3%,IF(C193&gt;13,2%,IF(C193&gt;6,1%,0))))))+5%</f>
        <v>0.05</v>
      </c>
      <c r="D194" s="12">
        <f ca="1">IF(D193&gt;50, 15%, IF(D193&gt;39,5%+(D193-40)/100,IF(D193&gt;29,4%,IF(D193&gt;19,3%,IF(D193&gt;13,2%,IF(D193&gt;6,1%,0))))))+5%</f>
        <v>0.05</v>
      </c>
      <c r="E194" s="12">
        <f ca="1">IF(E193&gt;50, 15%, IF(E193&gt;39,5%+(E193-40)/100,IF(E193&gt;29,4%,IF(E193&gt;19,3%,IF(E193&gt;13,2%,IF(E193&gt;6,1%,0))))))+5%</f>
        <v>0.08</v>
      </c>
    </row>
    <row r="195" spans="1:5">
      <c r="A195" s="29" t="s">
        <v>657</v>
      </c>
      <c r="B195" s="12">
        <f>IF(Setup!$F$39=1, VLOOKUP("C.Rate", Ionis, 2, 0), 0)</f>
        <v>0</v>
      </c>
      <c r="C195" s="133">
        <f>IF(Setup!$G$39=1, VLOOKUP("C.Rate", Ionis, 2, 0), 0)</f>
        <v>0</v>
      </c>
      <c r="D195" s="12">
        <f>IF(Setup!$F$39=1, VLOOKUP("C.Rate", Ionis, 2, 0), 0)</f>
        <v>0</v>
      </c>
      <c r="E195" s="12">
        <f>IF(Setup!$G$39=1, VLOOKUP("C.Rate", Ionis, 2, 0), 0)</f>
        <v>0</v>
      </c>
    </row>
    <row r="196" spans="1:5">
      <c r="A196" t="s">
        <v>125</v>
      </c>
      <c r="B196" s="2">
        <f ca="1">MAX(MIN(B194+B195+Setup!$B$15+$B$20+$C$20+HLOOKUP($A196, INDIRECT(B$28), MATCH("Total", Slots, 0)+1, 0) + IF(Setup!J37=1, Setup!M37, 0) + $L$10, 100%), 0)</f>
        <v>0.31</v>
      </c>
      <c r="C196" s="15">
        <f ca="1">MAX(MIN(C194+C195+Setup!$B$15+$B$20+$D$20+HLOOKUP($A196, INDIRECT(C$28), MATCH("Total", Slots, 0)+1, 0) + IF(Setup!K37=1, Setup!N37, 0) + $L$10, 100%), 0)</f>
        <v>0.45</v>
      </c>
      <c r="D196" s="2">
        <f ca="1">MAX(MIN(D194+D195+Setup!$B$15+$B$20+$C$20+HLOOKUP($A196, INDIRECT(D$28), MATCH("Total", Slots, 0)+1, 0) + IF(Setup!J37=1, Setup!M37, 0) + $L$10, 100%), 0)</f>
        <v>0.30000000000000004</v>
      </c>
      <c r="E196" s="2">
        <f ca="1">MAX(MIN(E194+E195+Setup!$B$15+$B$20+$D$20+HLOOKUP($A196, INDIRECT(E$28), MATCH("Total", Slots, 0)+1, 0) + IF(Setup!K37=1, Setup!N37, 0) + $L$10, 100%), 0)</f>
        <v>0.48000000000000004</v>
      </c>
    </row>
    <row r="197" spans="1:5">
      <c r="A197" s="14" t="s">
        <v>124</v>
      </c>
      <c r="B197" s="52">
        <f ca="1">MAX(MIN(100% + $B$21+$C$21 + HLOOKUP($A197, INDIRECT(B$28), MATCH("Total", Slots, 0)+1, 0) - $L$9, 200%), 0)</f>
        <v>1.08</v>
      </c>
      <c r="C197" s="70">
        <f ca="1">MAX(MIN(100% + $B$21+$D$21 + HLOOKUP($A197, INDIRECT(C$28), MATCH("Total", Slots, 0)+1, 0) - $L$9, 200%), 0)</f>
        <v>1.08</v>
      </c>
      <c r="D197" s="52">
        <f ca="1">MAX(MIN(100% + $B$21+$C$21 + HLOOKUP($A197, INDIRECT(D$28), MATCH("Total", Slots, 0)+1, 0) - $L$9, 200%), 0)</f>
        <v>1.08</v>
      </c>
      <c r="E197" s="52">
        <f ca="1">MAX(MIN(100% + $B$21+$D$21 + HLOOKUP($A197, INDIRECT(E$28), MATCH("Total", Slots, 0)+1, 0) - $L$9, 200%), 0)</f>
        <v>1.08</v>
      </c>
    </row>
    <row r="198" spans="1:5">
      <c r="A198" s="20" t="s">
        <v>307</v>
      </c>
      <c r="B198" s="26" t="str">
        <f>Setup!F5</f>
        <v>None</v>
      </c>
      <c r="C198" s="77" t="str">
        <f>Setup!G5</f>
        <v>None</v>
      </c>
      <c r="D198" s="26" t="str">
        <f>Setup!F5</f>
        <v>None</v>
      </c>
      <c r="E198" s="26" t="str">
        <f>Setup!G5</f>
        <v>None</v>
      </c>
    </row>
    <row r="199" spans="1:5">
      <c r="A199" s="20" t="s">
        <v>321</v>
      </c>
      <c r="B199" s="40">
        <f>IF(OR(Gear!B10="Gloom Breastplate", Gear!B16="Sable Cuisses", Gear!B6="Chaos", Gear!B6="Chaos +1", Gear!B6="Ignominy", Gear!B6="Ignominy +1"), 2%, 0%)</f>
        <v>0</v>
      </c>
      <c r="C199" s="15">
        <f>IF(OR(Gear!AB10="Gloom Breastplate", Gear!AB16="Sable Cuisses", Gear!AB6="Chaos", Gear!AB6="Chaos +1", Gear!AB6="Ignominy", Gear!AB6="Ignominy +1"), 2%, 0%)</f>
        <v>0</v>
      </c>
      <c r="D199" s="40">
        <f>IF(OR(Gear!B33="Gloom Breastplate", Gear!B39="Sable Cuisses", Gear!B29="Chaos", Gear!B29="Chaos +1", Gear!B29="Ignominy", Gear!B29="Ignominy +1"), 2%, 0%)</f>
        <v>0</v>
      </c>
      <c r="E199" s="40">
        <f>IF(OR(Gear!AB33="Gloom Breastplate", Gear!AB39="Sable Cuisses", Gear!AB29="Chaos", Gear!AB29="Chaos +1", Gear!AB29="Ignominy", Gear!AB29="Ignominy +1"), 2%, 0%)</f>
        <v>0</v>
      </c>
    </row>
    <row r="200" spans="1:5">
      <c r="A200" s="20" t="s">
        <v>308</v>
      </c>
      <c r="B200" s="40">
        <f>10%+B199</f>
        <v>0.1</v>
      </c>
      <c r="C200" s="15">
        <f>10%+C199</f>
        <v>0.1</v>
      </c>
      <c r="D200" s="40">
        <f>10%+D199</f>
        <v>0.1</v>
      </c>
      <c r="E200" s="40">
        <f>10%+E199</f>
        <v>0.1</v>
      </c>
    </row>
    <row r="201" spans="1:5">
      <c r="A201" s="20" t="s">
        <v>317</v>
      </c>
      <c r="B201" s="40">
        <f>Setup!F7</f>
        <v>0.85</v>
      </c>
      <c r="C201" s="15">
        <f>Setup!G7</f>
        <v>0.85</v>
      </c>
      <c r="D201" s="40">
        <f>Setup!F6</f>
        <v>0.9</v>
      </c>
      <c r="E201" s="40">
        <f>Setup!G6</f>
        <v>0.9</v>
      </c>
    </row>
    <row r="202" spans="1:5">
      <c r="A202" s="14" t="s">
        <v>316</v>
      </c>
      <c r="B202" s="14">
        <f>IF(B198="On", TRUNC(B57*B200*B201), 0)</f>
        <v>0</v>
      </c>
      <c r="C202" s="78">
        <f>IF(C198="On", TRUNC(C57*C200*C201), 0)</f>
        <v>0</v>
      </c>
      <c r="D202" s="14">
        <f>IF(OR(D198="WS Only", D198="On"), TRUNC(D57*D200*D201), 0)</f>
        <v>0</v>
      </c>
      <c r="E202" s="14">
        <f>IF(OR(E198="WS Only", E198="On"), TRUNC(E57*E200*E201), 0)</f>
        <v>0</v>
      </c>
    </row>
    <row r="204" spans="1:5">
      <c r="A204" s="14" t="s">
        <v>28</v>
      </c>
      <c r="B204" s="23" t="s">
        <v>261</v>
      </c>
      <c r="C204" s="23" t="s">
        <v>262</v>
      </c>
      <c r="D204" s="47" t="s">
        <v>263</v>
      </c>
      <c r="E204" s="23" t="s">
        <v>264</v>
      </c>
    </row>
    <row r="205" spans="1:5">
      <c r="A205" s="154" t="s">
        <v>629</v>
      </c>
      <c r="B205" s="25">
        <f ca="1">VLOOKUP(Gear!$B$3, INDIRECT(G17), MATCH("AE Dmg", StatHeader, 0), 0)</f>
        <v>0</v>
      </c>
      <c r="C205" s="25">
        <f ca="1">VLOOKUP(Gear!$AB$3, INDIRECT(H17), MATCH("AE Dmg", StatHeader, 0), 0)</f>
        <v>0</v>
      </c>
      <c r="D205" s="155"/>
      <c r="E205" s="25"/>
    </row>
    <row r="206" spans="1:5">
      <c r="A206" s="154" t="s">
        <v>630</v>
      </c>
      <c r="B206" s="25">
        <f ca="1">VLOOKUP(Gear!$B$4, INDIRECT(G21), MATCH("AE Dmg", StatHeader, 0), 0)</f>
        <v>0</v>
      </c>
      <c r="C206" s="25">
        <f ca="1">VLOOKUP(Gear!$AB$4, INDIRECT(H21), MATCH("AE Dmg", StatHeader, 0), 0)</f>
        <v>0</v>
      </c>
      <c r="D206" s="155"/>
      <c r="E206" s="25"/>
    </row>
    <row r="207" spans="1:5">
      <c r="A207" s="20" t="s">
        <v>554</v>
      </c>
      <c r="B207" s="72">
        <f ca="1">B59</f>
        <v>124</v>
      </c>
      <c r="C207" s="72">
        <f ca="1">C59</f>
        <v>124</v>
      </c>
      <c r="D207" s="137"/>
      <c r="E207" s="136"/>
    </row>
    <row r="208" spans="1:5">
      <c r="A208" s="20" t="s">
        <v>555</v>
      </c>
      <c r="B208" s="72">
        <f>TRUNC(MAX(0, Setup!J11-300)/10) + 20</f>
        <v>35</v>
      </c>
      <c r="C208" s="72">
        <f>TRUNC(MAX(0, Setup!K11-300)/10) + 20</f>
        <v>35</v>
      </c>
      <c r="D208" s="137"/>
      <c r="E208" s="136"/>
    </row>
    <row r="209" spans="1:6">
      <c r="A209" s="20" t="s">
        <v>556</v>
      </c>
      <c r="B209" s="72">
        <f>IF(Setup!J15&lt;150, MAX(1, TRUNC(SQRT(Setup!J15))-1), TRUNC(Setup!J15/20)+5)</f>
        <v>28</v>
      </c>
      <c r="C209" s="72">
        <f>IF(Setup!K15&lt;150, MAX(1, TRUNC(SQRT(Setup!K15))-1), TRUNC(Setup!K15/20)+5)</f>
        <v>28</v>
      </c>
      <c r="D209" s="137"/>
      <c r="E209" s="136"/>
    </row>
    <row r="210" spans="1:6">
      <c r="A210" s="21" t="s">
        <v>557</v>
      </c>
      <c r="B210" s="138">
        <f ca="1">IF(Setup!F8=1, Data!B207, IF(Setup!J12=1, Data!B208, IF(Setup!J17=1, Data!B209, 0)))</f>
        <v>124</v>
      </c>
      <c r="C210" s="138">
        <f ca="1">IF(Setup!G8=1, Data!C207, IF(Setup!K12=1, Data!C208, IF(Setup!K17=1, Data!C209, 0)))</f>
        <v>124</v>
      </c>
      <c r="D210" s="47"/>
      <c r="E210" s="23"/>
    </row>
    <row r="211" spans="1:6">
      <c r="A211" t="s">
        <v>272</v>
      </c>
      <c r="B211" s="6">
        <f ca="1">AvgHitsPerHand1TP1</f>
        <v>1.5655904999999999</v>
      </c>
      <c r="C211" s="6">
        <f ca="1">AvgHitsPerHand1TP2</f>
        <v>1.5486234999999997</v>
      </c>
      <c r="D211" s="48"/>
    </row>
    <row r="212" spans="1:6">
      <c r="A212" t="s">
        <v>273</v>
      </c>
      <c r="B212" s="6">
        <f ca="1">AvgHitsPerHand2TP1</f>
        <v>0</v>
      </c>
      <c r="C212" s="6">
        <f ca="1">AvgHitsPerHand2TP2</f>
        <v>0</v>
      </c>
      <c r="D212" s="48"/>
      <c r="F212" s="26"/>
    </row>
    <row r="213" spans="1:6">
      <c r="A213" s="26" t="s">
        <v>265</v>
      </c>
      <c r="B213" s="40">
        <f>IF(COUNTIF(Gear!$B$7:$B$19, "Bale +2") &gt; 1, (COUNTIF(Gear!$B$7:$B$19, "Bale +2")-1) * 1% + IF(COUNTIF(Gear!$B$7:$B$19, "Bale +2")=5, 1%, 0), 0)</f>
        <v>0</v>
      </c>
      <c r="C213" s="15">
        <f>IF(COUNTIF(Gear!$AB$7:$AB$19, "Bale +2") &gt; 1, (COUNTIF(Gear!$AB$7:$AB$19, "Bale +2")-1) * 1% + IF(COUNTIF(Gear!$AB$7:$AB$19, "Bale +2")=5, 1%, 0), 0)</f>
        <v>0</v>
      </c>
      <c r="D213" s="40"/>
      <c r="E213" s="40"/>
    </row>
    <row r="214" spans="1:6">
      <c r="A214" t="s">
        <v>274</v>
      </c>
      <c r="B214" s="6">
        <f ca="1">((B119*B96*(100%-B$196)) + (B119*B112*B$196*B$197)) * (1+(B$213*90%))</f>
        <v>1316.759004</v>
      </c>
      <c r="C214" s="6">
        <f ca="1">((C119*C96*(100%-C$196)) + (C119*C112*C$196*C$197)) * (1+(C$213*90%))</f>
        <v>1417.7775600000002</v>
      </c>
      <c r="D214" s="48"/>
    </row>
    <row r="215" spans="1:6">
      <c r="A215" t="s">
        <v>275</v>
      </c>
      <c r="B215" s="4">
        <f ca="1">IF(ISBLANK(Gear!$B$3), 0, IF(B205&gt;0, B205, B210))</f>
        <v>124</v>
      </c>
      <c r="C215" s="4">
        <f ca="1">IF(ISBLANK(Gear!$AB$3), 0, IF(VLOOKUP(Gear!$AB$3, INDIRECT(H17), MATCH("AE Dmg", StatHeader, 0), 0) &gt; 0, VLOOKUP(Gear!$AB$3, INDIRECT(H17), MATCH("AE Dmg", StatHeader, 0), 0), C210))</f>
        <v>124</v>
      </c>
      <c r="D215" s="48"/>
    </row>
    <row r="216" spans="1:6">
      <c r="A216" t="s">
        <v>276</v>
      </c>
      <c r="B216" s="6">
        <f ca="1">((B179*B156*(1-B$196)) + (B179*B172*B$196*B$197)) * (1+(B$213*90%))</f>
        <v>0</v>
      </c>
      <c r="C216" s="6">
        <f ca="1">((C179*C156*(1-C$196)) + (C179*C172*C$196*C$197)) * (1+(C$213*90%))</f>
        <v>0</v>
      </c>
      <c r="D216" s="48"/>
    </row>
    <row r="217" spans="1:6">
      <c r="A217" t="s">
        <v>277</v>
      </c>
      <c r="B217" s="4">
        <f ca="1">IF(OR(ISBLANK(Gear!$B$4), G23=0), 0, IF(B206&gt;0, B206, B210))</f>
        <v>0</v>
      </c>
      <c r="C217" s="4">
        <f ca="1">IF(OR(ISBLANK(Gear!$AB$4), H23=0), 0, IF(C206&gt;0, C206, C210))</f>
        <v>0</v>
      </c>
      <c r="D217" s="48"/>
    </row>
    <row r="218" spans="1:6">
      <c r="A218" s="29" t="s">
        <v>659</v>
      </c>
      <c r="B218" s="32">
        <f>IF(LEFT(Gear!$B3,10)="Apocalypse", IF(ISERROR(VALUE(RIGHT(Gear!$B3,3))), 0, VALUE(RIGHT(Gear!$B3,3))), IF(LEFT(Gear!$B3,8)="Ragnarok", IF(ISERROR(VALUE(RIGHT(Gear!$B3,3))), 0, VALUE(RIGHT(Gear!$B3,3))), 0))</f>
        <v>0</v>
      </c>
      <c r="C218" s="32">
        <f>IF(LEFT(Gear!$AB3,10)="Apocalypse", IF(ISERROR(VALUE(RIGHT(Gear!$AB3,3))), 0, VALUE(RIGHT(Gear!$AB3,3))), IF(LEFT(Gear!$AB3,8)="Ragnarok", IF(ISERROR(VALUE(RIGHT(Gear!$AB3,3))), 0, VALUE(RIGHT(Gear!$AB3,3))), 0))</f>
        <v>119</v>
      </c>
      <c r="D218" s="48"/>
    </row>
    <row r="219" spans="1:6">
      <c r="A219" s="29" t="s">
        <v>660</v>
      </c>
      <c r="B219" s="4">
        <f ca="1">IF(B218&gt;0, IF(LEFT(Gear!$B3,10)="Apocalypse", IF(B218&lt;95, 8%, 20%), IF(LEFT(Gear!$B3,8)="Ragnarok", IF(B218&lt;95, 6%, 16%)*2.5, 0))) * B214 * B114</f>
        <v>0</v>
      </c>
      <c r="C219" s="4">
        <f ca="1">IF(C218&gt;0, IF(LEFT(Gear!$AB3,10)="Apocalypse", IF(C218&lt;95, 8%, 20%), IF(LEFT(Gear!$AB3,8)="Ragnarok", IF(C218&lt;95, 6%, 16%)*2.5, 0))) * C214 * C114</f>
        <v>538.75547280000012</v>
      </c>
      <c r="D219" s="48"/>
    </row>
    <row r="220" spans="1:6">
      <c r="A220" s="29" t="s">
        <v>942</v>
      </c>
      <c r="B220" s="4">
        <f ca="1">IF(B218=0, K24*B214*B211*2, 0)</f>
        <v>2473.806464942234</v>
      </c>
      <c r="C220" s="4">
        <f>IF(C218=0, L24*C214*C211*2, 0)</f>
        <v>0</v>
      </c>
      <c r="D220" s="48"/>
    </row>
    <row r="221" spans="1:6">
      <c r="A221" s="29" t="s">
        <v>661</v>
      </c>
      <c r="B221" s="4">
        <f ca="1">(1-B184)*(1-B183)*B182*2*B114</f>
        <v>0.72958099999999981</v>
      </c>
      <c r="C221" s="4">
        <f ca="1">(1-C184)*(1-C183)*C182*2*C114</f>
        <v>0.69564700000000002</v>
      </c>
      <c r="D221" s="48"/>
    </row>
    <row r="222" spans="1:6">
      <c r="A222" s="29" t="s">
        <v>662</v>
      </c>
      <c r="B222" s="4">
        <f ca="1">IF(B122&gt;0, (1-B184)*(1-B183)*B182*2*B174, 0)</f>
        <v>0</v>
      </c>
      <c r="C222" s="4">
        <f ca="1">IF(C122&gt;0, (1-C184)*(1-C183)*C182*2*C174, 0)</f>
        <v>0</v>
      </c>
      <c r="D222" s="48"/>
    </row>
    <row r="223" spans="1:6">
      <c r="A223" s="29" t="s">
        <v>663</v>
      </c>
      <c r="B223" s="4">
        <f>IF(Gear!B6="Quiahuiz", 5% * (B221*B214 + B222*B216), 0)</f>
        <v>0</v>
      </c>
      <c r="C223" s="4">
        <f>IF(Gear!AB6="Quiahuiz", 5% * (C221*C214 + C222*C216), 0)</f>
        <v>0</v>
      </c>
      <c r="D223" s="48"/>
    </row>
    <row r="224" spans="1:6">
      <c r="A224" s="23" t="s">
        <v>278</v>
      </c>
      <c r="B224" s="55">
        <f ca="1">(B211*(B214+B215)) + (B212*(B216+B217)) + B219 + B220 + B223</f>
        <v>4729.4450743940961</v>
      </c>
      <c r="C224" s="55">
        <f ca="1">(C211*(C214+C215)) + (C212*(C216+C217)) + C219 + C220 + C223</f>
        <v>2926.3884339886599</v>
      </c>
      <c r="D224" s="51"/>
      <c r="E224" s="14"/>
    </row>
    <row r="225" spans="1:8">
      <c r="A225" t="s">
        <v>132</v>
      </c>
      <c r="B225" s="2">
        <f>MIN(IF(Setup!J$4=1, IF(Setup!$I$4="Haste",150, IF(Setup!$I$4="Haste II", 307, 0)), 0) + (IF(Setup!J$25=1, 96 + 16 * Setup!M$25, 0) + IF(Setup!J$26=1, 64 + 16 * Setup!M$25, 0)) * IF(Setup!J24=1, 2, 1) + IF(Setup!J16=1, TRUNC(((Setup!J15/15)/100)*1024), 0), 448) / 1024</f>
        <v>0.4375</v>
      </c>
      <c r="C225" s="2">
        <f>MIN(IF(Setup!K$4=1, IF(Setup!$I$4="Haste",150, IF(Setup!$I$4="Haste II", 307, 0)), 0) + (IF(Setup!K$25=1, 96 + 16 * Setup!N$25, 0) + IF(Setup!K$26=1, 64 + 16 * Setup!N$25, 0)) * IF(Setup!K24=1, 2, 1) + IF(Setup!K16=1, TRUNC(((Setup!K15/15)/100)*1024), 0), 448) / 1024</f>
        <v>0.4375</v>
      </c>
      <c r="D225" s="48"/>
    </row>
    <row r="226" spans="1:8">
      <c r="A226" t="s">
        <v>133</v>
      </c>
      <c r="B226" s="12">
        <f>MAX(0, MIN(256, IF( AND( LEFT(Gear!B3, 10)="Apocalypse",Setup!F11=1), 100, 0) +  IF(AND($D$1="Sam", Setup!F16=1), 100, 0) + IF(AND(Setup!F19=1, $D$1="Dnc"), 50, IF(Setup!J21=1, 100, 0)) + IF(Setup!F4=1, 50*Setup!$B$18, 0))) / 1024</f>
        <v>0.25</v>
      </c>
      <c r="C226" s="12">
        <f>MAX(0, MIN(256,  IF( AND( LEFT(Gear!AB3, 10)="Apocalypse",Setup!G11=1), 100, 0) + IF(AND($D$1="Sam", Setup!G16=1), 100, 0) + IF(AND(Setup!G19=1, $D$1="Dnc"), 50, IF(Setup!K21=1, 100, 0)) + IF(Setup!G4=1, 50*Setup!$B$18, 0))) / 1024</f>
        <v>0.25</v>
      </c>
      <c r="D226" s="48"/>
    </row>
    <row r="227" spans="1:8">
      <c r="A227" t="s">
        <v>66</v>
      </c>
      <c r="B227" s="2">
        <f ca="1">MIN(HLOOKUP("Haste", INDIRECT(B$28), MATCH("Total", Slots, 0)+1, 0) + IF(Setup!$F$39=1, VLOOKUP("Haste", Ionis, 2, 0)/1024, 0), 25%)</f>
        <v>0.25</v>
      </c>
      <c r="C227" s="2">
        <f ca="1">MIN(HLOOKUP("Haste", INDIRECT(C$28), MATCH("Total", Slots, 0)+1, 0) + IF(Setup!$G$39=1, VLOOKUP("Haste", Ionis, 2, 0)/1024, 0), 25%)</f>
        <v>0.25</v>
      </c>
      <c r="D227" s="48"/>
    </row>
    <row r="228" spans="1:8">
      <c r="A228" t="s">
        <v>41</v>
      </c>
      <c r="B228" s="2">
        <f ca="1">B225+B226+B227</f>
        <v>0.9375</v>
      </c>
      <c r="C228" s="2">
        <f ca="1">C225+C226+C227</f>
        <v>0.9375</v>
      </c>
      <c r="D228" s="48"/>
    </row>
    <row r="229" spans="1:8">
      <c r="A229" t="s">
        <v>279</v>
      </c>
      <c r="B229" s="13">
        <f ca="1">IF(B186&gt;0, (B189*2), B189) * (1-B228)</f>
        <v>26.875</v>
      </c>
      <c r="C229" s="13">
        <f ca="1">IF(C186&gt;0, (C189*2), C189) * (1-C228)</f>
        <v>26.9375</v>
      </c>
      <c r="D229" s="48"/>
    </row>
    <row r="230" spans="1:8">
      <c r="A230" t="s">
        <v>280</v>
      </c>
      <c r="B230" s="13">
        <f ca="1">20%*($G$20+$G$24)</f>
        <v>86</v>
      </c>
      <c r="C230" s="13">
        <f ca="1">20%*($H$20+$H$24)</f>
        <v>86.2</v>
      </c>
      <c r="D230" s="48"/>
    </row>
    <row r="231" spans="1:8">
      <c r="A231" s="14" t="s">
        <v>281</v>
      </c>
      <c r="B231" s="56">
        <f ca="1">MAX(B229,B230)</f>
        <v>86</v>
      </c>
      <c r="C231" s="56">
        <f ca="1">MAX(C229,C230)</f>
        <v>86.2</v>
      </c>
      <c r="D231" s="51"/>
      <c r="E231" s="14"/>
    </row>
    <row r="232" spans="1:8">
      <c r="A232" s="57" t="s">
        <v>282</v>
      </c>
      <c r="B232" s="58">
        <f ca="1">B224/(B231/60)</f>
        <v>3299.6128426005321</v>
      </c>
      <c r="C232" s="58">
        <f ca="1">C224/(C231/60)</f>
        <v>2036.9293044004592</v>
      </c>
      <c r="D232" s="59"/>
      <c r="E232" s="60"/>
    </row>
    <row r="233" spans="1:8">
      <c r="A233" t="s">
        <v>564</v>
      </c>
      <c r="B233" s="7"/>
      <c r="C233" s="7"/>
      <c r="D233" s="4">
        <f ca="1">HLOOKUP($A233, INDIRECT(D$28), MATCH("Total", Slots, 0)+1, 0)</f>
        <v>0.1953125</v>
      </c>
      <c r="E233" s="4">
        <f ca="1">HLOOKUP($A233, INDIRECT(E$28), MATCH("Total", Slots, 0)+1, 0)</f>
        <v>0.1953125</v>
      </c>
    </row>
    <row r="234" spans="1:8">
      <c r="A234" t="s">
        <v>417</v>
      </c>
      <c r="B234" s="7"/>
      <c r="C234" s="7"/>
      <c r="D234" s="79">
        <f ca="1">HLOOKUP($A234, INDIRECT(D$28), MATCH("Total", Slots, 0)+1, 0)</f>
        <v>7.0000000000000007E-2</v>
      </c>
      <c r="E234" s="79">
        <f ca="1">HLOOKUP($A234, INDIRECT(E$28), MATCH("Total", Slots, 0)+1, 0)</f>
        <v>7.0000000000000007E-2</v>
      </c>
    </row>
    <row r="235" spans="1:8">
      <c r="A235" t="s">
        <v>184</v>
      </c>
      <c r="B235" s="7"/>
      <c r="C235" s="7"/>
      <c r="D235">
        <f ca="1">C24+HLOOKUP($A235, INDIRECT(D$28), MATCH("Total", Slots, 0)+1, 0)</f>
        <v>250</v>
      </c>
      <c r="E235">
        <f ca="1">D24+HLOOKUP($A235, INDIRECT(E$28), MATCH("Total", Slots, 0)+1, 0)</f>
        <v>250</v>
      </c>
    </row>
    <row r="236" spans="1:8">
      <c r="A236" t="s">
        <v>164</v>
      </c>
      <c r="B236" s="7"/>
      <c r="C236" s="7"/>
      <c r="D236" s="79">
        <f ca="1">1 + HLOOKUP($A236, INDIRECT(D$28), MATCH("Total", Slots, 0)+1, 0) + K22+Setup!B32</f>
        <v>1.52</v>
      </c>
      <c r="E236" s="79">
        <f ca="1">1 + HLOOKUP($A236, INDIRECT(E$28), MATCH("Total", Slots, 0)+1, 0) + L22+Setup!B32</f>
        <v>1.1800000000000002</v>
      </c>
    </row>
    <row r="237" spans="1:8">
      <c r="A237" t="s">
        <v>433</v>
      </c>
      <c r="B237" s="7"/>
      <c r="C237" s="7"/>
      <c r="D237" s="79">
        <f>100% + IF(Setup!B36="Catastrophe", IF(OR(Gear!B3="Apocalypse 90", Gear!B3="Apocalypse 95"), 25%, IF(OR(Gear!B3="Apocalypse 99",Gear!B3="Apocalypse 119"), 40%, 0)), 0) + IF(Setup!B36="Insurgency", IF(OR(Gear!B3="Liberator 90", Gear!B3="Liberator 95"), 15%, IF(OR(Gear!B3="Liberator 99",Gear!B3="Liberator 119"), 30%, 0)), 0)</f>
        <v>1</v>
      </c>
      <c r="E237" s="79">
        <f>100% + IF(Setup!C36="Catastrophe", IF(OR(Gear!AB3="Apocalypse 90", Gear!AB3="Apocalypse 95"), 25%, IF(OR(Gear!AB3="Apocalypse 99",Gear!AB3="Apocalypse 119"), 40%, 0)), 0) + IF(Setup!C36="Insurgency", IF(OR(Gear!AB3="Liberator 90", Gear!AB3="Liberator 95"), 15%, IF(OR(Gear!AB3="Liberator 99",Gear!AB3="Liberator 119"), 30%, 0)), 0)</f>
        <v>1</v>
      </c>
    </row>
    <row r="238" spans="1:8">
      <c r="A238" t="s">
        <v>122</v>
      </c>
      <c r="B238" s="7"/>
      <c r="C238" s="7"/>
      <c r="D238">
        <f ca="1">C25 + IF(Setup!J18=1, 10, 0) + IF(Setup!J39=1, Setup!M39, 0) + IF(Setup!J16=1, (TRUNC(Setup!J15/100)+1)*10, 0) + HLOOKUP($A238, INDIRECT(B$28), MATCH("Total", Slots, 0)+1, 0)</f>
        <v>0</v>
      </c>
      <c r="E238">
        <f ca="1">D25 + IF(Setup!K18=1, 10, 0) + IF(Setup!K39=1, Setup!N39, 0) + IF(Setup!K16=1, (TRUNC(Setup!K15/100)+1)*10, 0) + HLOOKUP($A238, INDIRECT(C$28), MATCH("Total", Slots, 0)+1, 0)</f>
        <v>0</v>
      </c>
      <c r="F238" t="s">
        <v>398</v>
      </c>
      <c r="G238">
        <v>3</v>
      </c>
      <c r="H238">
        <v>3</v>
      </c>
    </row>
    <row r="239" spans="1:8">
      <c r="A239" t="s">
        <v>284</v>
      </c>
      <c r="B239" s="7"/>
      <c r="C239" s="7"/>
      <c r="D239" s="81">
        <f ca="1">TRUNC(B231*G238/180) * D238 + Setup!F48</f>
        <v>0</v>
      </c>
      <c r="E239" s="81">
        <f ca="1">TRUNC(C231*H238/180) * E238 + Setup!G48</f>
        <v>0</v>
      </c>
    </row>
    <row r="240" spans="1:8">
      <c r="A240" t="s">
        <v>40</v>
      </c>
      <c r="D240" s="43">
        <f ca="1">Weaponskill!Q3 * D237</f>
        <v>23624.313075000002</v>
      </c>
      <c r="E240" s="43">
        <f ca="1">Weaponskill!R3 * E237</f>
        <v>22549.51971855179</v>
      </c>
    </row>
    <row r="241" spans="1:5">
      <c r="A241" t="s">
        <v>285</v>
      </c>
      <c r="D241" s="61">
        <f ca="1">Weaponskill!Q2</f>
        <v>2.7751379264006397</v>
      </c>
      <c r="E241" s="61">
        <f ca="1">Weaponskill!R2</f>
        <v>2.795490078632016</v>
      </c>
    </row>
    <row r="242" spans="1:5">
      <c r="A242" t="s">
        <v>286</v>
      </c>
      <c r="D242" s="6">
        <f ca="1">D241*$B$231+120</f>
        <v>358.66186167045498</v>
      </c>
      <c r="E242" s="6">
        <f ca="1">E241*$C$231+120</f>
        <v>360.97124477807978</v>
      </c>
    </row>
    <row r="243" spans="1:5">
      <c r="A243" t="s">
        <v>303</v>
      </c>
      <c r="D243" s="6">
        <f ca="1">B224*D241+D240</f>
        <v>36749.175471779752</v>
      </c>
      <c r="E243" s="6">
        <f ca="1">C224*E241+E240</f>
        <v>30730.209551990571</v>
      </c>
    </row>
    <row r="244" spans="1:5">
      <c r="A244" t="s">
        <v>300</v>
      </c>
      <c r="D244" s="6">
        <f ca="1">D243/(D242/60)</f>
        <v>6147.7139443745309</v>
      </c>
      <c r="E244" s="6">
        <f ca="1">E243/(E242/60)</f>
        <v>5107.9209211054613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23" enableFormatConditionsCalculation="0">
    <tabColor indexed="47"/>
  </sheetPr>
  <dimension ref="A1:AE1064"/>
  <sheetViews>
    <sheetView workbookViewId="0">
      <selection activeCell="J5" sqref="J5"/>
    </sheetView>
  </sheetViews>
  <sheetFormatPr defaultRowHeight="12.75"/>
  <cols>
    <col min="1" max="1" width="15.28515625" customWidth="1"/>
    <col min="2" max="2" width="8.85546875" customWidth="1"/>
    <col min="3" max="3" width="8" customWidth="1"/>
    <col min="4" max="4" width="8.5703125" customWidth="1"/>
    <col min="5" max="5" width="8.85546875" customWidth="1"/>
    <col min="6" max="6" width="8.5703125" customWidth="1"/>
    <col min="7" max="7" width="8.28515625" customWidth="1"/>
    <col min="8" max="8" width="7.42578125" customWidth="1"/>
    <col min="9" max="9" width="9.5703125" customWidth="1"/>
    <col min="10" max="10" width="9.28515625" customWidth="1"/>
    <col min="11" max="12" width="10.28515625" customWidth="1"/>
    <col min="13" max="13" width="9.5703125" customWidth="1"/>
    <col min="14" max="14" width="11.28515625" customWidth="1"/>
    <col min="16" max="16" width="12.140625" customWidth="1"/>
    <col min="17" max="17" width="9.28515625" customWidth="1"/>
    <col min="19" max="19" width="9.7109375" customWidth="1"/>
    <col min="20" max="20" width="8.28515625" customWidth="1"/>
    <col min="21" max="21" width="8.140625" customWidth="1"/>
    <col min="22" max="22" width="8.5703125" customWidth="1"/>
    <col min="23" max="23" width="9.28515625" customWidth="1"/>
    <col min="24" max="24" width="8.5703125" bestFit="1" customWidth="1"/>
    <col min="25" max="25" width="8.140625" customWidth="1"/>
    <col min="27" max="27" width="10.42578125" customWidth="1"/>
    <col min="28" max="28" width="7.28515625" customWidth="1"/>
    <col min="29" max="29" width="8.42578125" customWidth="1"/>
    <col min="30" max="30" width="8.5703125" customWidth="1"/>
  </cols>
  <sheetData>
    <row r="1" spans="1:28">
      <c r="A1" t="s">
        <v>480</v>
      </c>
      <c r="Q1" s="26" t="s">
        <v>377</v>
      </c>
      <c r="R1" s="26" t="s">
        <v>378</v>
      </c>
    </row>
    <row r="2" spans="1:28">
      <c r="A2" s="9" t="str">
        <f>Setup!B36</f>
        <v>Torcleaver</v>
      </c>
      <c r="F2" s="2"/>
      <c r="I2" t="str">
        <f>VLOOKUP($A$2, WeaponskillData, MATCH("WSC1 Name", WeaponskillDataCols, 0), 0)</f>
        <v>Vit</v>
      </c>
      <c r="J2" s="7">
        <f ca="1">INDIRECT($A$1 &amp; "WS" &amp; I2)</f>
        <v>342</v>
      </c>
      <c r="K2" s="118">
        <f>VLOOKUP($A$2, WeaponskillData, MATCH("WSC1 Value", WeaponskillDataCols, 0), 0)</f>
        <v>0.8</v>
      </c>
      <c r="P2" s="26" t="s">
        <v>215</v>
      </c>
      <c r="Q2" s="119">
        <f ca="1">T531+Set1OverTP</f>
        <v>2.7751379264006397</v>
      </c>
      <c r="R2" s="119">
        <f ca="1">T1064+Set2OverTP</f>
        <v>2.795490078632016</v>
      </c>
    </row>
    <row r="3" spans="1:28">
      <c r="A3" t="s">
        <v>48</v>
      </c>
      <c r="B3" s="32">
        <f ca="1">Set1MeleeTP</f>
        <v>284</v>
      </c>
      <c r="D3" t="s">
        <v>44</v>
      </c>
      <c r="E3" s="2">
        <f ca="1">Set1DA</f>
        <v>0.13</v>
      </c>
      <c r="F3" s="2">
        <f ca="1">Set1DA</f>
        <v>0.13</v>
      </c>
      <c r="I3" t="str">
        <f>VLOOKUP($A$2, WeaponskillData, MATCH("WSC2 Name", WeaponskillDataCols, 0), 0)</f>
        <v>N/A</v>
      </c>
      <c r="J3" s="7">
        <f ca="1">IF(I3&lt;&gt;"N/A", INDIRECT($A$1 &amp; "WS" &amp; I3), 0)</f>
        <v>0</v>
      </c>
      <c r="K3" s="118">
        <f>IF(I3&lt;&gt;"N/A", VLOOKUP($A$2, WeaponskillData, MATCH("WSC2 Value", WeaponskillDataCols, 0), 0), 0)</f>
        <v>0</v>
      </c>
      <c r="P3" s="26" t="s">
        <v>29</v>
      </c>
      <c r="Q3" s="120">
        <f ca="1">AA531</f>
        <v>23624.313075000002</v>
      </c>
      <c r="R3" s="120">
        <f ca="1">AA1064</f>
        <v>22549.51971855179</v>
      </c>
    </row>
    <row r="4" spans="1:28">
      <c r="A4" t="s">
        <v>49</v>
      </c>
      <c r="B4">
        <f ca="1">Set1WSTP</f>
        <v>241</v>
      </c>
      <c r="D4" t="s">
        <v>154</v>
      </c>
      <c r="E4" s="2">
        <f ca="1">Set1TA</f>
        <v>0</v>
      </c>
      <c r="F4" s="2">
        <f ca="1">Set1TA</f>
        <v>0</v>
      </c>
      <c r="I4" t="s">
        <v>103</v>
      </c>
      <c r="J4">
        <f ca="1">TRUNC(J2*K2+J3*K3+IF(Gear!B4="Utu",0.1,0)*Set1WSDex)</f>
        <v>296</v>
      </c>
    </row>
    <row r="5" spans="1:28">
      <c r="A5" t="s">
        <v>481</v>
      </c>
      <c r="B5">
        <f ca="1">Set1WSStoreTP</f>
        <v>98</v>
      </c>
      <c r="D5" t="s">
        <v>379</v>
      </c>
      <c r="E5" s="2">
        <f ca="1">Set1QA</f>
        <v>0</v>
      </c>
      <c r="F5" s="2">
        <f ca="1">Set1QA</f>
        <v>0</v>
      </c>
      <c r="I5" t="s">
        <v>104</v>
      </c>
      <c r="J5" s="3">
        <f>VLOOKUP($A$2, WeaponskillData, MATCH("FTP1", WeaponskillDataCols, 0), 0)</f>
        <v>4.75</v>
      </c>
      <c r="K5" s="3">
        <f>VLOOKUP($A$2, WeaponskillData, MATCH("FTP2", WeaponskillDataCols, 0), 0)</f>
        <v>7.5</v>
      </c>
      <c r="L5" s="3">
        <f>VLOOKUP($A$2, WeaponskillData, MATCH("FTP3", WeaponskillDataCols, 0), 0)</f>
        <v>10</v>
      </c>
      <c r="N5" t="s">
        <v>428</v>
      </c>
    </row>
    <row r="6" spans="1:28">
      <c r="A6" t="s">
        <v>380</v>
      </c>
      <c r="B6">
        <f ca="1">TRUNC(10*(1+B5/100))</f>
        <v>19</v>
      </c>
      <c r="D6" t="s">
        <v>547</v>
      </c>
      <c r="E6" s="2">
        <f ca="1">Melee!B25</f>
        <v>0</v>
      </c>
      <c r="F6" s="2">
        <v>0</v>
      </c>
      <c r="I6" s="28" t="s">
        <v>381</v>
      </c>
      <c r="J6" s="3">
        <f ca="1">J5+Set1FTP</f>
        <v>4.9453125</v>
      </c>
      <c r="K6" s="3">
        <f ca="1">K5+Set1FTP</f>
        <v>7.6953125</v>
      </c>
      <c r="L6" s="3">
        <f ca="1">L5+Set1FTP</f>
        <v>10.1953125</v>
      </c>
      <c r="N6" s="1">
        <f ca="1">VLOOKUP($A$2,WeaponskillData,MATCH("Def0",WeaponskillDataCols,0),0) + (MIN(MAX($J$7-1000, 0),1000)/1000)*VLOOKUP($A$2,WeaponskillData,MATCH("Def1",WeaponskillDataCols,0),0) + (MAX($J$7-2000,0)/1000)*VLOOKUP($A$2,WeaponskillData,MATCH("Def2",WeaponskillDataCols,0),0)</f>
        <v>0</v>
      </c>
    </row>
    <row r="7" spans="1:28">
      <c r="A7" t="s">
        <v>51</v>
      </c>
      <c r="B7" s="5">
        <f ca="1">Set1WSHitRate</f>
        <v>0.875</v>
      </c>
      <c r="D7" t="s">
        <v>548</v>
      </c>
      <c r="E7" s="2">
        <f ca="1">Melee!B26</f>
        <v>0</v>
      </c>
      <c r="F7" s="2">
        <v>0</v>
      </c>
      <c r="I7" t="s">
        <v>159</v>
      </c>
      <c r="J7" s="4">
        <f ca="1">MIN(TRUNC(V531+Set1TPBonus), 3000)</f>
        <v>1715</v>
      </c>
      <c r="K7" t="s">
        <v>382</v>
      </c>
      <c r="L7" s="3">
        <f ca="1">IF(J7&lt;1000, 0, IF(J7&lt;2000, J6+(J7-1000)/1000*(K6-J6), K6+(J7-2000)/1000*(L6-K6)))</f>
        <v>6.9115624999999996</v>
      </c>
    </row>
    <row r="8" spans="1:28">
      <c r="D8" t="s">
        <v>549</v>
      </c>
      <c r="E8" s="2">
        <f ca="1">Melee!B27</f>
        <v>0</v>
      </c>
      <c r="F8" s="2">
        <v>0</v>
      </c>
      <c r="I8" t="s">
        <v>384</v>
      </c>
      <c r="J8" s="118">
        <f>VLOOKUP($A$2, WeaponskillData, MATCH("Crit0", WeaponskillDataCols, 0), 0)</f>
        <v>0</v>
      </c>
      <c r="K8" s="1">
        <f ca="1">(MIN($J$7-1000, 1000)/1000)*VLOOKUP($A$2, WeaponskillData, MATCH("Crit1", WeaponskillDataCols, 0), 0) + (MAX($J$7-2000, 0)/1000)*VLOOKUP($A$2, WeaponskillData, MATCH("Crit2", WeaponskillDataCols, 0), 0)</f>
        <v>0</v>
      </c>
      <c r="P8" t="s">
        <v>385</v>
      </c>
      <c r="Q8" s="4">
        <f>Set1OverTP</f>
        <v>0.5</v>
      </c>
    </row>
    <row r="9" spans="1:28">
      <c r="A9" t="s">
        <v>383</v>
      </c>
      <c r="B9">
        <f>VLOOKUP($A$2, WeaponskillData, MATCH("Extra Hits", WeaponskillDataCols, 0), 0)</f>
        <v>0</v>
      </c>
      <c r="K9" t="s">
        <v>338</v>
      </c>
      <c r="L9" t="s">
        <v>105</v>
      </c>
      <c r="M9" t="s">
        <v>114</v>
      </c>
      <c r="P9" t="s">
        <v>425</v>
      </c>
      <c r="Q9" s="2">
        <f ca="1">Set1ConserveTP</f>
        <v>7.0000000000000007E-2</v>
      </c>
    </row>
    <row r="10" spans="1:28">
      <c r="A10" t="s">
        <v>386</v>
      </c>
      <c r="B10">
        <f ca="1">IF(Data!G23&gt;0, 1, 0)</f>
        <v>0</v>
      </c>
      <c r="I10" t="s">
        <v>387</v>
      </c>
      <c r="J10">
        <f ca="1">Set1MainDmg</f>
        <v>316</v>
      </c>
      <c r="K10">
        <f ca="1">FLOOR((J10+J4)*L7, 1)</f>
        <v>4229</v>
      </c>
      <c r="L10" s="1">
        <f>IF(J8=0, 0, MIN($J$8+$K$8+Set1CritMain, 100%))</f>
        <v>0</v>
      </c>
      <c r="M10" s="2">
        <f ca="1">Set1CritDmg</f>
        <v>1.08</v>
      </c>
      <c r="P10" t="s">
        <v>413</v>
      </c>
      <c r="Q10">
        <f ca="1">Set1SaveTP</f>
        <v>0</v>
      </c>
    </row>
    <row r="11" spans="1:28">
      <c r="I11" t="s">
        <v>186</v>
      </c>
      <c r="J11">
        <f ca="1">Set1MainDmg</f>
        <v>316</v>
      </c>
      <c r="K11">
        <f ca="1">IF(J11&gt;0, FLOOR((J11+$J$4) * IF(VLOOKUP($A$2, WeaponskillData, MATCH("FTPCarry", WeaponskillDataCols, 0), 0)=1, $L$7, 1), 1), 0)</f>
        <v>612</v>
      </c>
      <c r="L11" s="1">
        <f>IF(J8=0, 0, MIN($J$8+$K$8+Set1CritMain, 100%))</f>
        <v>0</v>
      </c>
      <c r="M11" s="2">
        <f ca="1">Set1CritDmg</f>
        <v>1.08</v>
      </c>
      <c r="P11" t="s">
        <v>456</v>
      </c>
      <c r="Q11">
        <f>Set1MinTP</f>
        <v>1000</v>
      </c>
      <c r="AA11" s="13"/>
    </row>
    <row r="12" spans="1:28">
      <c r="A12" t="s">
        <v>307</v>
      </c>
      <c r="B12">
        <f>IF(OR(Setup!$F$5="WS Only", Setup!$F$5="On"), 1, 0)</f>
        <v>0</v>
      </c>
      <c r="I12" t="s">
        <v>388</v>
      </c>
      <c r="J12">
        <v>0</v>
      </c>
      <c r="K12">
        <f>IF(J12&gt;0, FLOOR((J12+$J$4) * IF(VLOOKUP($A$2, WeaponskillData, MATCH("FTPCarry", WeaponskillDataCols, 0), 0)=1, $L$7, 1), 1), 0)</f>
        <v>0</v>
      </c>
      <c r="L12" s="1">
        <f>IF(J8=0, 0, MIN($J$8+$K$8+Set1CritMain, 100%))</f>
        <v>0</v>
      </c>
      <c r="P12" t="s">
        <v>495</v>
      </c>
      <c r="Q12" s="79">
        <f ca="1">Set1WSDmg</f>
        <v>1.52</v>
      </c>
      <c r="V12" s="32"/>
      <c r="AB12" s="4"/>
    </row>
    <row r="13" spans="1:28">
      <c r="A13" t="s">
        <v>308</v>
      </c>
      <c r="B13" s="2">
        <f>Data!$D$200</f>
        <v>0.1</v>
      </c>
      <c r="I13" t="s">
        <v>389</v>
      </c>
      <c r="J13">
        <f ca="1">Set1OffDmg</f>
        <v>0</v>
      </c>
      <c r="K13">
        <f ca="1">IF(J13&gt;0, FLOOR((J13+$J$4) * IF(VLOOKUP($A$2, WeaponskillData, MATCH("FTPCarry", WeaponskillDataCols, 0), 0)=1, $L$7, 1), 1), 0)</f>
        <v>0</v>
      </c>
      <c r="L13" s="1">
        <f>IF(J8=0, 0, MIN($J$8+$K$8+Set1CritOff, 100%))</f>
        <v>0</v>
      </c>
      <c r="AA13" s="7"/>
    </row>
    <row r="14" spans="1:28">
      <c r="A14" t="s">
        <v>218</v>
      </c>
      <c r="B14">
        <f ca="1">FLOOR(Setup!F$6*Data!$D$57, 1)</f>
        <v>1812</v>
      </c>
      <c r="I14" t="s">
        <v>37</v>
      </c>
      <c r="J14" s="6">
        <f ca="1">Set1CRatio</f>
        <v>4.125</v>
      </c>
      <c r="K14" s="29" t="s">
        <v>682</v>
      </c>
      <c r="L14" s="6">
        <f ca="1">Data!D96</f>
        <v>3.8250000000000002</v>
      </c>
      <c r="M14" s="6">
        <f ca="1">Data!D112</f>
        <v>4.8449999999999998</v>
      </c>
      <c r="AA14" s="13"/>
    </row>
    <row r="15" spans="1:28">
      <c r="I15" t="s">
        <v>123</v>
      </c>
      <c r="J15" s="7">
        <f ca="1">Set1Regain</f>
        <v>0</v>
      </c>
      <c r="K15" s="29" t="s">
        <v>683</v>
      </c>
      <c r="L15" s="6">
        <f ca="1">Data!D156</f>
        <v>2.2953052545362906</v>
      </c>
      <c r="M15" s="6">
        <f ca="1">Data!D172</f>
        <v>3.3273387096774196</v>
      </c>
    </row>
    <row r="17" spans="1:31">
      <c r="A17" t="s">
        <v>482</v>
      </c>
      <c r="B17" t="s">
        <v>483</v>
      </c>
      <c r="C17" t="s">
        <v>45</v>
      </c>
      <c r="D17" s="28" t="s">
        <v>391</v>
      </c>
      <c r="E17" t="s">
        <v>390</v>
      </c>
      <c r="F17" t="s">
        <v>484</v>
      </c>
      <c r="G17" t="s">
        <v>392</v>
      </c>
      <c r="H17" t="s">
        <v>393</v>
      </c>
      <c r="I17" t="s">
        <v>394</v>
      </c>
      <c r="J17" t="s">
        <v>395</v>
      </c>
      <c r="K17" s="2" t="s">
        <v>396</v>
      </c>
      <c r="L17" t="s">
        <v>397</v>
      </c>
      <c r="M17" t="s">
        <v>459</v>
      </c>
      <c r="N17" s="26" t="s">
        <v>460</v>
      </c>
      <c r="O17" s="16" t="s">
        <v>398</v>
      </c>
      <c r="P17" s="16" t="s">
        <v>399</v>
      </c>
      <c r="Q17" s="16" t="s">
        <v>400</v>
      </c>
      <c r="R17" s="16" t="s">
        <v>401</v>
      </c>
      <c r="S17" s="16" t="s">
        <v>402</v>
      </c>
      <c r="T17" s="20" t="s">
        <v>403</v>
      </c>
      <c r="U17" s="20" t="s">
        <v>149</v>
      </c>
      <c r="V17" s="20" t="s">
        <v>404</v>
      </c>
      <c r="W17" s="20" t="s">
        <v>61</v>
      </c>
      <c r="X17" s="20" t="s">
        <v>405</v>
      </c>
      <c r="Y17" s="16" t="s">
        <v>217</v>
      </c>
      <c r="Z17" s="16" t="s">
        <v>326</v>
      </c>
      <c r="AA17" t="s">
        <v>426</v>
      </c>
    </row>
    <row r="18" spans="1:31">
      <c r="A18">
        <v>0</v>
      </c>
      <c r="B18">
        <v>0</v>
      </c>
      <c r="C18">
        <f t="shared" ref="C18:C81" ca="1" si="0">MIN(8, 1+$B$10+$B$9+A18+B18)</f>
        <v>1</v>
      </c>
      <c r="D18">
        <f t="shared" ref="D18:D81" ca="1" si="1">C18-(1+$B$10)</f>
        <v>0</v>
      </c>
      <c r="E18">
        <f t="shared" ref="E18:E81" ca="1" si="2">MIN(A18, C18-(1+$B$10+$B$9))</f>
        <v>0</v>
      </c>
      <c r="F18" s="110">
        <f t="shared" ref="F18:F81" ca="1" si="3">IF(A18=3, Set1QA, IF(A18=2, (1-Set1QA)*Set1TA + (1-Set1QA)*(1-Set1TA)*(1-Set1DA)*Set1AM3*Set1AM33, IF(A18=1, (1-Set1QA)*(1-Set1TA)*Set1DA + (1-Set1QA)*(1-Set1TA)*(1-Set1DA)*Set1AM3*Set1AM32, (1-Set1QA)*(1-Set1TA)*(1-Set1DA)*(1-Set1AM3)))) * IF($B$9+$B$10&gt;0, IF(B18=3, Set1QA, IF(B18=2, (1-Set1QA)*Set1TA, IF(B18=1, (1-Set1QA)*(1-Set1TA)*Set1DA, (1-Set1QA)*(1-Set1TA)*(1-Set1DA)))), IF(B18=0, 1, 0))</f>
        <v>0.87</v>
      </c>
      <c r="G18">
        <v>1</v>
      </c>
      <c r="H18">
        <v>1</v>
      </c>
      <c r="I18">
        <v>7</v>
      </c>
      <c r="J18" s="1">
        <f t="shared" ref="J18:J81" ca="1" si="4">POWER(95%,G18)*POWER(5%, 1-G18) * IF($B$10=0, IF(H18=0, 1, 0), POWER(Set1WSHitRate,H18)*POWER(1-Set1WSHitRate, 1-H18)) * IF(I18&lt;=D18, POWER(Set1WSHitRate, I18)*POWER(1-Set1WSHitRate, D18-I18)*COMBIN(D18,I18), 0)</f>
        <v>0</v>
      </c>
      <c r="K18" s="1">
        <f t="shared" ref="K18:K81" ca="1" si="5">F18*J18</f>
        <v>0</v>
      </c>
      <c r="L18" s="13">
        <f t="shared" ref="L18:L81" ca="1" si="6">MAX((G18+H18)*Set1WSTP + I18*$B$6, Set1SaveTP)</f>
        <v>615</v>
      </c>
      <c r="M18" s="7">
        <f t="shared" ref="M18:M81" ca="1" si="7">MAX(Set1MinTP-(L18+Set1Regain), 0)</f>
        <v>385</v>
      </c>
      <c r="N18" s="26">
        <f t="shared" ref="N18:N81" ca="1" si="8">CEILING(M18/Set1MeleeTP, 1)</f>
        <v>2</v>
      </c>
      <c r="O18" s="44">
        <f t="shared" ref="O18:O81" ca="1" si="9">VLOOKUP(N18,AvgRoundsSet1,2)</f>
        <v>1.5762319669595739</v>
      </c>
      <c r="P18" s="44">
        <f t="shared" ref="P18:P81" ca="1" si="10">VLOOKUP(CEILING(MAX(M18-1, 0)/Set1MeleeTP, 1), AvgRoundsSet1, 2) + VLOOKUP(CEILING(MAX(M18-2, 0)/Set1MeleeTP, 1), AvgRoundsSet1, 2) + VLOOKUP(CEILING(MAX(M18-3, 0)/Set1MeleeTP, 1), AvgRoundsSet1, 2) + VLOOKUP(CEILING(MAX(M18-4, 0)/Set1MeleeTP, 1), AvgRoundsSet1, 2) + VLOOKUP(CEILING(MAX(M18-5, 0)/Set1MeleeTP, 1), AvgRoundsSet1, 2) + VLOOKUP(CEILING(MAX(M18-6, 0)/Set1MeleeTP, 1), AvgRoundsSet1, 2) + VLOOKUP(CEILING(MAX(M18-7, 0)/Set1MeleeTP, 1), AvgRoundsSet1, 2) + VLOOKUP(CEILING(MAX(M18-8, 0)/Set1MeleeTP, 1), AvgRoundsSet1, 2) + VLOOKUP(CEILING(MAX(M18-9, 0)/Set1MeleeTP, 1), AvgRoundsSet1, 2) + VLOOKUP(CEILING(MAX(M18-10, 0)/Set1MeleeTP, 1), AvgRoundsSet1, 2)</f>
        <v>15.762319669595739</v>
      </c>
      <c r="Q18" s="44">
        <f t="shared" ref="Q18:Q81" ca="1" si="11">VLOOKUP(CEILING(MAX(M18-11, 0)/Set1MeleeTP, 1), AvgRoundsSet1, 2) + VLOOKUP(CEILING(MAX(M18-12, 0)/Set1MeleeTP, 1), AvgRoundsSet1, 2) + VLOOKUP(CEILING(MAX(M18-13, 0)/Set1MeleeTP, 1), AvgRoundsSet1, 2) + VLOOKUP(CEILING(MAX(M18-14, 0)/Set1MeleeTP, 1), AvgRoundsSet1, 2) + VLOOKUP(CEILING(MAX(M18-15, 0)/Set1MeleeTP, 1), AvgRoundsSet1, 2) + VLOOKUP(CEILING(MAX(M18-16, 0)/Set1MeleeTP, 1), AvgRoundsSet1, 2) + VLOOKUP(CEILING(MAX(M18-17, 0)/Set1MeleeTP, 1), AvgRoundsSet1, 2) + VLOOKUP(CEILING(MAX(M18-18, 0)/Set1MeleeTP, 1), AvgRoundsSet1, 2) + VLOOKUP(CEILING(MAX(M18-19, 0)/Set1MeleeTP, 1), AvgRoundsSet1, 2) + VLOOKUP(CEILING(MAX(M18-20, 0)/Set1MeleeTP, 1), AvgRoundsSet1, 2)</f>
        <v>15.762319669595739</v>
      </c>
      <c r="R18" s="44">
        <f t="shared" ref="R18:R81" ca="1" si="12">(P18+Q18)/20</f>
        <v>1.5762319669595739</v>
      </c>
      <c r="S18" s="44">
        <f t="shared" ref="S18:S81" ca="1" si="13">R18*Set1ConserveTP + O18*(1-Set1ConserveTP)</f>
        <v>1.5762319669595737</v>
      </c>
      <c r="T18" s="4">
        <f t="shared" ref="T18:T81" ca="1" si="14">K18*S18</f>
        <v>0</v>
      </c>
      <c r="U18" s="120">
        <f t="shared" ref="U18:U81" ca="1" si="15">MIN(L18+(S18+Set1OverTP)*AvgHitsPerRound1*Set1MeleeTP + Set1Regain + 10.5*Set1ConserveTP, 3000)</f>
        <v>1538.885248288175</v>
      </c>
      <c r="V18" s="4">
        <f t="shared" ref="V18:V81" ca="1" si="16">U18*K18</f>
        <v>0</v>
      </c>
      <c r="W18" s="13">
        <f t="shared" ref="W18:W81" ca="1" si="17">G18*$K$10*((1-$L$10)*$L$14 + $L$10*$M$14*$M$10)*Set1WSDmg + H18*$K$13*((1-$L$13)*$L$15 + $L$13*$M$15*$M$11) + I18*$K$11*((1-$L$11)*$L$14 + $L$11*$M$14*$M$11) + E18*$K$12*$L$12*$M$10</f>
        <v>40973.706000000006</v>
      </c>
      <c r="X18" s="4">
        <f t="shared" ref="X18:X81" ca="1" si="18">K18*W18</f>
        <v>0</v>
      </c>
      <c r="Y18" s="4">
        <f t="shared" ref="Y18:Y81" si="19">IF($B$12=1, (VLOOKUP(C18, IF($B$13=10%,Souleater10,Souleater12), 6, FALSE) * $B$14), 0)</f>
        <v>0</v>
      </c>
      <c r="Z18" s="13">
        <f ca="1">Y18+W18</f>
        <v>40973.706000000006</v>
      </c>
      <c r="AA18" s="4">
        <f ca="1">Z18*K18</f>
        <v>0</v>
      </c>
      <c r="AE18" s="4"/>
    </row>
    <row r="19" spans="1:31">
      <c r="A19">
        <v>0</v>
      </c>
      <c r="B19">
        <v>0</v>
      </c>
      <c r="C19">
        <f t="shared" ca="1" si="0"/>
        <v>1</v>
      </c>
      <c r="D19">
        <f t="shared" ca="1" si="1"/>
        <v>0</v>
      </c>
      <c r="E19">
        <f t="shared" ca="1" si="2"/>
        <v>0</v>
      </c>
      <c r="F19" s="110">
        <f t="shared" ca="1" si="3"/>
        <v>0.87</v>
      </c>
      <c r="G19">
        <v>1</v>
      </c>
      <c r="H19">
        <v>1</v>
      </c>
      <c r="I19">
        <v>6</v>
      </c>
      <c r="J19" s="1">
        <f t="shared" ca="1" si="4"/>
        <v>0</v>
      </c>
      <c r="K19" s="1">
        <f t="shared" ca="1" si="5"/>
        <v>0</v>
      </c>
      <c r="L19" s="13">
        <f t="shared" ca="1" si="6"/>
        <v>596</v>
      </c>
      <c r="M19" s="7">
        <f t="shared" ca="1" si="7"/>
        <v>404</v>
      </c>
      <c r="N19" s="26">
        <f t="shared" ca="1" si="8"/>
        <v>2</v>
      </c>
      <c r="O19" s="44">
        <f t="shared" ca="1" si="9"/>
        <v>1.5762319669595739</v>
      </c>
      <c r="P19" s="44">
        <f t="shared" ca="1" si="10"/>
        <v>15.762319669595739</v>
      </c>
      <c r="Q19" s="44">
        <f t="shared" ca="1" si="11"/>
        <v>15.762319669595739</v>
      </c>
      <c r="R19" s="44">
        <f t="shared" ca="1" si="12"/>
        <v>1.5762319669595739</v>
      </c>
      <c r="S19" s="44">
        <f t="shared" ca="1" si="13"/>
        <v>1.5762319669595737</v>
      </c>
      <c r="T19" s="4">
        <f t="shared" ca="1" si="14"/>
        <v>0</v>
      </c>
      <c r="U19" s="120">
        <f t="shared" ca="1" si="15"/>
        <v>1519.885248288175</v>
      </c>
      <c r="V19" s="4">
        <f t="shared" ca="1" si="16"/>
        <v>0</v>
      </c>
      <c r="W19" s="13">
        <f t="shared" ca="1" si="17"/>
        <v>38632.806000000004</v>
      </c>
      <c r="X19" s="4">
        <f t="shared" ca="1" si="18"/>
        <v>0</v>
      </c>
      <c r="Y19" s="4">
        <f t="shared" si="19"/>
        <v>0</v>
      </c>
      <c r="Z19" s="13">
        <f t="shared" ref="Z19:Z82" ca="1" si="20">Y19+W19</f>
        <v>38632.806000000004</v>
      </c>
      <c r="AA19" s="4">
        <f t="shared" ref="AA19:AA82" ca="1" si="21">Z19*K19</f>
        <v>0</v>
      </c>
      <c r="AE19" s="4"/>
    </row>
    <row r="20" spans="1:31">
      <c r="A20">
        <v>0</v>
      </c>
      <c r="B20">
        <v>0</v>
      </c>
      <c r="C20">
        <f t="shared" ca="1" si="0"/>
        <v>1</v>
      </c>
      <c r="D20">
        <f t="shared" ca="1" si="1"/>
        <v>0</v>
      </c>
      <c r="E20">
        <f t="shared" ca="1" si="2"/>
        <v>0</v>
      </c>
      <c r="F20" s="110">
        <f t="shared" ca="1" si="3"/>
        <v>0.87</v>
      </c>
      <c r="G20">
        <v>1</v>
      </c>
      <c r="H20">
        <v>1</v>
      </c>
      <c r="I20">
        <v>5</v>
      </c>
      <c r="J20" s="1">
        <f t="shared" ca="1" si="4"/>
        <v>0</v>
      </c>
      <c r="K20" s="1">
        <f t="shared" ca="1" si="5"/>
        <v>0</v>
      </c>
      <c r="L20" s="13">
        <f t="shared" ca="1" si="6"/>
        <v>577</v>
      </c>
      <c r="M20" s="7">
        <f t="shared" ca="1" si="7"/>
        <v>423</v>
      </c>
      <c r="N20" s="26">
        <f t="shared" ca="1" si="8"/>
        <v>2</v>
      </c>
      <c r="O20" s="44">
        <f t="shared" ca="1" si="9"/>
        <v>1.5762319669595739</v>
      </c>
      <c r="P20" s="44">
        <f t="shared" ca="1" si="10"/>
        <v>15.762319669595739</v>
      </c>
      <c r="Q20" s="44">
        <f t="shared" ca="1" si="11"/>
        <v>15.762319669595739</v>
      </c>
      <c r="R20" s="44">
        <f t="shared" ca="1" si="12"/>
        <v>1.5762319669595739</v>
      </c>
      <c r="S20" s="44">
        <f t="shared" ca="1" si="13"/>
        <v>1.5762319669595737</v>
      </c>
      <c r="T20" s="4">
        <f t="shared" ca="1" si="14"/>
        <v>0</v>
      </c>
      <c r="U20" s="120">
        <f t="shared" ca="1" si="15"/>
        <v>1500.885248288175</v>
      </c>
      <c r="V20" s="4">
        <f t="shared" ca="1" si="16"/>
        <v>0</v>
      </c>
      <c r="W20" s="13">
        <f t="shared" ca="1" si="17"/>
        <v>36291.906000000003</v>
      </c>
      <c r="X20" s="4">
        <f t="shared" ca="1" si="18"/>
        <v>0</v>
      </c>
      <c r="Y20" s="4">
        <f t="shared" si="19"/>
        <v>0</v>
      </c>
      <c r="Z20" s="13">
        <f t="shared" ca="1" si="20"/>
        <v>36291.906000000003</v>
      </c>
      <c r="AA20" s="4">
        <f t="shared" ca="1" si="21"/>
        <v>0</v>
      </c>
      <c r="AE20" s="4"/>
    </row>
    <row r="21" spans="1:31">
      <c r="A21">
        <v>0</v>
      </c>
      <c r="B21">
        <v>0</v>
      </c>
      <c r="C21">
        <f t="shared" ca="1" si="0"/>
        <v>1</v>
      </c>
      <c r="D21">
        <f t="shared" ca="1" si="1"/>
        <v>0</v>
      </c>
      <c r="E21">
        <f t="shared" ca="1" si="2"/>
        <v>0</v>
      </c>
      <c r="F21" s="110">
        <f t="shared" ca="1" si="3"/>
        <v>0.87</v>
      </c>
      <c r="G21">
        <v>1</v>
      </c>
      <c r="H21">
        <v>1</v>
      </c>
      <c r="I21">
        <v>4</v>
      </c>
      <c r="J21" s="1">
        <f t="shared" ca="1" si="4"/>
        <v>0</v>
      </c>
      <c r="K21" s="1">
        <f t="shared" ca="1" si="5"/>
        <v>0</v>
      </c>
      <c r="L21" s="13">
        <f t="shared" ca="1" si="6"/>
        <v>558</v>
      </c>
      <c r="M21" s="7">
        <f t="shared" ca="1" si="7"/>
        <v>442</v>
      </c>
      <c r="N21" s="26">
        <f t="shared" ca="1" si="8"/>
        <v>2</v>
      </c>
      <c r="O21" s="44">
        <f t="shared" ca="1" si="9"/>
        <v>1.5762319669595739</v>
      </c>
      <c r="P21" s="44">
        <f t="shared" ca="1" si="10"/>
        <v>15.762319669595739</v>
      </c>
      <c r="Q21" s="44">
        <f t="shared" ca="1" si="11"/>
        <v>15.762319669595739</v>
      </c>
      <c r="R21" s="44">
        <f t="shared" ca="1" si="12"/>
        <v>1.5762319669595739</v>
      </c>
      <c r="S21" s="44">
        <f t="shared" ca="1" si="13"/>
        <v>1.5762319669595737</v>
      </c>
      <c r="T21" s="4">
        <f t="shared" ca="1" si="14"/>
        <v>0</v>
      </c>
      <c r="U21" s="120">
        <f t="shared" ca="1" si="15"/>
        <v>1481.885248288175</v>
      </c>
      <c r="V21" s="4">
        <f t="shared" ca="1" si="16"/>
        <v>0</v>
      </c>
      <c r="W21" s="13">
        <f t="shared" ca="1" si="17"/>
        <v>33951.006000000001</v>
      </c>
      <c r="X21" s="4">
        <f t="shared" ca="1" si="18"/>
        <v>0</v>
      </c>
      <c r="Y21" s="4">
        <f t="shared" si="19"/>
        <v>0</v>
      </c>
      <c r="Z21" s="13">
        <f t="shared" ca="1" si="20"/>
        <v>33951.006000000001</v>
      </c>
      <c r="AA21" s="4">
        <f t="shared" ca="1" si="21"/>
        <v>0</v>
      </c>
      <c r="AE21" s="4"/>
    </row>
    <row r="22" spans="1:31">
      <c r="A22">
        <v>0</v>
      </c>
      <c r="B22">
        <v>0</v>
      </c>
      <c r="C22">
        <f t="shared" ca="1" si="0"/>
        <v>1</v>
      </c>
      <c r="D22">
        <f t="shared" ca="1" si="1"/>
        <v>0</v>
      </c>
      <c r="E22">
        <f t="shared" ca="1" si="2"/>
        <v>0</v>
      </c>
      <c r="F22" s="110">
        <f t="shared" ca="1" si="3"/>
        <v>0.87</v>
      </c>
      <c r="G22">
        <v>1</v>
      </c>
      <c r="H22">
        <v>1</v>
      </c>
      <c r="I22">
        <v>3</v>
      </c>
      <c r="J22" s="1">
        <f t="shared" ca="1" si="4"/>
        <v>0</v>
      </c>
      <c r="K22" s="1">
        <f t="shared" ca="1" si="5"/>
        <v>0</v>
      </c>
      <c r="L22" s="13">
        <f t="shared" ca="1" si="6"/>
        <v>539</v>
      </c>
      <c r="M22" s="7">
        <f t="shared" ca="1" si="7"/>
        <v>461</v>
      </c>
      <c r="N22" s="26">
        <f t="shared" ca="1" si="8"/>
        <v>2</v>
      </c>
      <c r="O22" s="44">
        <f t="shared" ca="1" si="9"/>
        <v>1.5762319669595739</v>
      </c>
      <c r="P22" s="44">
        <f t="shared" ca="1" si="10"/>
        <v>15.762319669595739</v>
      </c>
      <c r="Q22" s="44">
        <f t="shared" ca="1" si="11"/>
        <v>15.762319669595739</v>
      </c>
      <c r="R22" s="44">
        <f t="shared" ca="1" si="12"/>
        <v>1.5762319669595739</v>
      </c>
      <c r="S22" s="44">
        <f t="shared" ca="1" si="13"/>
        <v>1.5762319669595737</v>
      </c>
      <c r="T22" s="4">
        <f t="shared" ca="1" si="14"/>
        <v>0</v>
      </c>
      <c r="U22" s="120">
        <f t="shared" ca="1" si="15"/>
        <v>1462.885248288175</v>
      </c>
      <c r="V22" s="4">
        <f t="shared" ca="1" si="16"/>
        <v>0</v>
      </c>
      <c r="W22" s="13">
        <f t="shared" ca="1" si="17"/>
        <v>31610.106000000003</v>
      </c>
      <c r="X22" s="4">
        <f t="shared" ca="1" si="18"/>
        <v>0</v>
      </c>
      <c r="Y22" s="4">
        <f t="shared" si="19"/>
        <v>0</v>
      </c>
      <c r="Z22" s="13">
        <f t="shared" ca="1" si="20"/>
        <v>31610.106000000003</v>
      </c>
      <c r="AA22" s="4">
        <f t="shared" ca="1" si="21"/>
        <v>0</v>
      </c>
      <c r="AE22" s="4"/>
    </row>
    <row r="23" spans="1:31">
      <c r="A23">
        <v>0</v>
      </c>
      <c r="B23">
        <v>0</v>
      </c>
      <c r="C23">
        <f t="shared" ca="1" si="0"/>
        <v>1</v>
      </c>
      <c r="D23">
        <f t="shared" ca="1" si="1"/>
        <v>0</v>
      </c>
      <c r="E23">
        <f t="shared" ca="1" si="2"/>
        <v>0</v>
      </c>
      <c r="F23" s="110">
        <f t="shared" ca="1" si="3"/>
        <v>0.87</v>
      </c>
      <c r="G23">
        <v>1</v>
      </c>
      <c r="H23">
        <v>1</v>
      </c>
      <c r="I23">
        <v>2</v>
      </c>
      <c r="J23" s="1">
        <f t="shared" ca="1" si="4"/>
        <v>0</v>
      </c>
      <c r="K23" s="1">
        <f t="shared" ca="1" si="5"/>
        <v>0</v>
      </c>
      <c r="L23" s="13">
        <f t="shared" ca="1" si="6"/>
        <v>520</v>
      </c>
      <c r="M23" s="7">
        <f t="shared" ca="1" si="7"/>
        <v>480</v>
      </c>
      <c r="N23" s="26">
        <f t="shared" ca="1" si="8"/>
        <v>2</v>
      </c>
      <c r="O23" s="44">
        <f t="shared" ca="1" si="9"/>
        <v>1.5762319669595739</v>
      </c>
      <c r="P23" s="44">
        <f t="shared" ca="1" si="10"/>
        <v>15.762319669595739</v>
      </c>
      <c r="Q23" s="44">
        <f t="shared" ca="1" si="11"/>
        <v>15.762319669595739</v>
      </c>
      <c r="R23" s="44">
        <f t="shared" ca="1" si="12"/>
        <v>1.5762319669595739</v>
      </c>
      <c r="S23" s="44">
        <f t="shared" ca="1" si="13"/>
        <v>1.5762319669595737</v>
      </c>
      <c r="T23" s="4">
        <f t="shared" ca="1" si="14"/>
        <v>0</v>
      </c>
      <c r="U23" s="120">
        <f t="shared" ca="1" si="15"/>
        <v>1443.885248288175</v>
      </c>
      <c r="V23" s="4">
        <f t="shared" ca="1" si="16"/>
        <v>0</v>
      </c>
      <c r="W23" s="13">
        <f t="shared" ca="1" si="17"/>
        <v>29269.206000000002</v>
      </c>
      <c r="X23" s="4">
        <f t="shared" ca="1" si="18"/>
        <v>0</v>
      </c>
      <c r="Y23" s="4">
        <f t="shared" si="19"/>
        <v>0</v>
      </c>
      <c r="Z23" s="13">
        <f t="shared" ca="1" si="20"/>
        <v>29269.206000000002</v>
      </c>
      <c r="AA23" s="4">
        <f t="shared" ca="1" si="21"/>
        <v>0</v>
      </c>
      <c r="AE23" s="4"/>
    </row>
    <row r="24" spans="1:31">
      <c r="A24">
        <v>0</v>
      </c>
      <c r="B24">
        <v>0</v>
      </c>
      <c r="C24">
        <f t="shared" ca="1" si="0"/>
        <v>1</v>
      </c>
      <c r="D24">
        <f t="shared" ca="1" si="1"/>
        <v>0</v>
      </c>
      <c r="E24">
        <f t="shared" ca="1" si="2"/>
        <v>0</v>
      </c>
      <c r="F24" s="110">
        <f t="shared" ca="1" si="3"/>
        <v>0.87</v>
      </c>
      <c r="G24">
        <v>1</v>
      </c>
      <c r="H24">
        <v>1</v>
      </c>
      <c r="I24">
        <v>1</v>
      </c>
      <c r="J24" s="1">
        <f t="shared" ca="1" si="4"/>
        <v>0</v>
      </c>
      <c r="K24" s="1">
        <f t="shared" ca="1" si="5"/>
        <v>0</v>
      </c>
      <c r="L24" s="13">
        <f t="shared" ca="1" si="6"/>
        <v>501</v>
      </c>
      <c r="M24" s="7">
        <f t="shared" ca="1" si="7"/>
        <v>499</v>
      </c>
      <c r="N24" s="26">
        <f t="shared" ca="1" si="8"/>
        <v>2</v>
      </c>
      <c r="O24" s="44">
        <f t="shared" ca="1" si="9"/>
        <v>1.5762319669595739</v>
      </c>
      <c r="P24" s="44">
        <f t="shared" ca="1" si="10"/>
        <v>15.762319669595739</v>
      </c>
      <c r="Q24" s="44">
        <f t="shared" ca="1" si="11"/>
        <v>15.762319669595739</v>
      </c>
      <c r="R24" s="44">
        <f t="shared" ca="1" si="12"/>
        <v>1.5762319669595739</v>
      </c>
      <c r="S24" s="44">
        <f t="shared" ca="1" si="13"/>
        <v>1.5762319669595737</v>
      </c>
      <c r="T24" s="4">
        <f t="shared" ca="1" si="14"/>
        <v>0</v>
      </c>
      <c r="U24" s="120">
        <f t="shared" ca="1" si="15"/>
        <v>1424.885248288175</v>
      </c>
      <c r="V24" s="4">
        <f t="shared" ca="1" si="16"/>
        <v>0</v>
      </c>
      <c r="W24" s="13">
        <f t="shared" ca="1" si="17"/>
        <v>26928.306000000004</v>
      </c>
      <c r="X24" s="4">
        <f t="shared" ca="1" si="18"/>
        <v>0</v>
      </c>
      <c r="Y24" s="4">
        <f t="shared" si="19"/>
        <v>0</v>
      </c>
      <c r="Z24" s="13">
        <f t="shared" ca="1" si="20"/>
        <v>26928.306000000004</v>
      </c>
      <c r="AA24" s="4">
        <f t="shared" ca="1" si="21"/>
        <v>0</v>
      </c>
      <c r="AE24" s="4"/>
    </row>
    <row r="25" spans="1:31">
      <c r="A25">
        <v>0</v>
      </c>
      <c r="B25">
        <v>0</v>
      </c>
      <c r="C25">
        <f t="shared" ca="1" si="0"/>
        <v>1</v>
      </c>
      <c r="D25">
        <f t="shared" ca="1" si="1"/>
        <v>0</v>
      </c>
      <c r="E25">
        <f t="shared" ca="1" si="2"/>
        <v>0</v>
      </c>
      <c r="F25" s="110">
        <f t="shared" ca="1" si="3"/>
        <v>0.87</v>
      </c>
      <c r="G25">
        <v>1</v>
      </c>
      <c r="H25">
        <v>1</v>
      </c>
      <c r="I25">
        <v>0</v>
      </c>
      <c r="J25" s="1">
        <f t="shared" ca="1" si="4"/>
        <v>0</v>
      </c>
      <c r="K25" s="1">
        <f t="shared" ca="1" si="5"/>
        <v>0</v>
      </c>
      <c r="L25" s="13">
        <f t="shared" ca="1" si="6"/>
        <v>482</v>
      </c>
      <c r="M25" s="7">
        <f t="shared" ca="1" si="7"/>
        <v>518</v>
      </c>
      <c r="N25" s="26">
        <f t="shared" ca="1" si="8"/>
        <v>2</v>
      </c>
      <c r="O25" s="44">
        <f t="shared" ca="1" si="9"/>
        <v>1.5762319669595739</v>
      </c>
      <c r="P25" s="44">
        <f t="shared" ca="1" si="10"/>
        <v>15.762319669595739</v>
      </c>
      <c r="Q25" s="44">
        <f t="shared" ca="1" si="11"/>
        <v>15.762319669595739</v>
      </c>
      <c r="R25" s="44">
        <f t="shared" ca="1" si="12"/>
        <v>1.5762319669595739</v>
      </c>
      <c r="S25" s="44">
        <f t="shared" ca="1" si="13"/>
        <v>1.5762319669595737</v>
      </c>
      <c r="T25" s="4">
        <f t="shared" ca="1" si="14"/>
        <v>0</v>
      </c>
      <c r="U25" s="120">
        <f t="shared" ca="1" si="15"/>
        <v>1405.885248288175</v>
      </c>
      <c r="V25" s="4">
        <f t="shared" ca="1" si="16"/>
        <v>0</v>
      </c>
      <c r="W25" s="13">
        <f t="shared" ca="1" si="17"/>
        <v>24587.406000000003</v>
      </c>
      <c r="X25" s="4">
        <f t="shared" ca="1" si="18"/>
        <v>0</v>
      </c>
      <c r="Y25" s="4">
        <f t="shared" si="19"/>
        <v>0</v>
      </c>
      <c r="Z25" s="13">
        <f t="shared" ca="1" si="20"/>
        <v>24587.406000000003</v>
      </c>
      <c r="AA25" s="4">
        <f t="shared" ca="1" si="21"/>
        <v>0</v>
      </c>
      <c r="AE25" s="4"/>
    </row>
    <row r="26" spans="1:31">
      <c r="A26">
        <v>0</v>
      </c>
      <c r="B26">
        <v>0</v>
      </c>
      <c r="C26">
        <f t="shared" ca="1" si="0"/>
        <v>1</v>
      </c>
      <c r="D26">
        <f t="shared" ca="1" si="1"/>
        <v>0</v>
      </c>
      <c r="E26">
        <f t="shared" ca="1" si="2"/>
        <v>0</v>
      </c>
      <c r="F26" s="110">
        <f t="shared" ca="1" si="3"/>
        <v>0.87</v>
      </c>
      <c r="G26">
        <v>1</v>
      </c>
      <c r="H26">
        <v>0</v>
      </c>
      <c r="I26">
        <v>7</v>
      </c>
      <c r="J26" s="1">
        <f t="shared" ca="1" si="4"/>
        <v>0</v>
      </c>
      <c r="K26" s="1">
        <f t="shared" ca="1" si="5"/>
        <v>0</v>
      </c>
      <c r="L26" s="13">
        <f t="shared" ca="1" si="6"/>
        <v>374</v>
      </c>
      <c r="M26" s="7">
        <f t="shared" ca="1" si="7"/>
        <v>626</v>
      </c>
      <c r="N26" s="26">
        <f t="shared" ca="1" si="8"/>
        <v>3</v>
      </c>
      <c r="O26" s="44">
        <f t="shared" ca="1" si="9"/>
        <v>2.2442427272544552</v>
      </c>
      <c r="P26" s="44">
        <f t="shared" ca="1" si="10"/>
        <v>22.442427272544553</v>
      </c>
      <c r="Q26" s="44">
        <f t="shared" ca="1" si="11"/>
        <v>22.442427272544553</v>
      </c>
      <c r="R26" s="44">
        <f t="shared" ca="1" si="12"/>
        <v>2.2442427272544552</v>
      </c>
      <c r="S26" s="44">
        <f t="shared" ca="1" si="13"/>
        <v>2.2442427272544552</v>
      </c>
      <c r="T26" s="4">
        <f t="shared" ca="1" si="14"/>
        <v>0</v>
      </c>
      <c r="U26" s="120">
        <f t="shared" ca="1" si="15"/>
        <v>1594.901337549361</v>
      </c>
      <c r="V26" s="4">
        <f t="shared" ca="1" si="16"/>
        <v>0</v>
      </c>
      <c r="W26" s="13">
        <f t="shared" ca="1" si="17"/>
        <v>40973.706000000006</v>
      </c>
      <c r="X26" s="4">
        <f t="shared" ca="1" si="18"/>
        <v>0</v>
      </c>
      <c r="Y26" s="4">
        <f t="shared" si="19"/>
        <v>0</v>
      </c>
      <c r="Z26" s="13">
        <f t="shared" ca="1" si="20"/>
        <v>40973.706000000006</v>
      </c>
      <c r="AA26" s="4">
        <f t="shared" ca="1" si="21"/>
        <v>0</v>
      </c>
      <c r="AE26" s="4"/>
    </row>
    <row r="27" spans="1:31">
      <c r="A27">
        <v>0</v>
      </c>
      <c r="B27">
        <v>0</v>
      </c>
      <c r="C27">
        <f t="shared" ca="1" si="0"/>
        <v>1</v>
      </c>
      <c r="D27">
        <f t="shared" ca="1" si="1"/>
        <v>0</v>
      </c>
      <c r="E27">
        <f t="shared" ca="1" si="2"/>
        <v>0</v>
      </c>
      <c r="F27" s="110">
        <f t="shared" ca="1" si="3"/>
        <v>0.87</v>
      </c>
      <c r="G27">
        <v>1</v>
      </c>
      <c r="H27">
        <v>0</v>
      </c>
      <c r="I27">
        <v>6</v>
      </c>
      <c r="J27" s="1">
        <f t="shared" ca="1" si="4"/>
        <v>0</v>
      </c>
      <c r="K27" s="1">
        <f t="shared" ca="1" si="5"/>
        <v>0</v>
      </c>
      <c r="L27" s="13">
        <f t="shared" ca="1" si="6"/>
        <v>355</v>
      </c>
      <c r="M27" s="7">
        <f t="shared" ca="1" si="7"/>
        <v>645</v>
      </c>
      <c r="N27" s="26">
        <f t="shared" ca="1" si="8"/>
        <v>3</v>
      </c>
      <c r="O27" s="44">
        <f t="shared" ca="1" si="9"/>
        <v>2.2442427272544552</v>
      </c>
      <c r="P27" s="44">
        <f t="shared" ca="1" si="10"/>
        <v>22.442427272544553</v>
      </c>
      <c r="Q27" s="44">
        <f t="shared" ca="1" si="11"/>
        <v>22.442427272544553</v>
      </c>
      <c r="R27" s="44">
        <f t="shared" ca="1" si="12"/>
        <v>2.2442427272544552</v>
      </c>
      <c r="S27" s="44">
        <f t="shared" ca="1" si="13"/>
        <v>2.2442427272544552</v>
      </c>
      <c r="T27" s="4">
        <f t="shared" ca="1" si="14"/>
        <v>0</v>
      </c>
      <c r="U27" s="120">
        <f t="shared" ca="1" si="15"/>
        <v>1575.901337549361</v>
      </c>
      <c r="V27" s="4">
        <f t="shared" ca="1" si="16"/>
        <v>0</v>
      </c>
      <c r="W27" s="13">
        <f t="shared" ca="1" si="17"/>
        <v>38632.806000000004</v>
      </c>
      <c r="X27" s="4">
        <f t="shared" ca="1" si="18"/>
        <v>0</v>
      </c>
      <c r="Y27" s="4">
        <f t="shared" si="19"/>
        <v>0</v>
      </c>
      <c r="Z27" s="13">
        <f t="shared" ca="1" si="20"/>
        <v>38632.806000000004</v>
      </c>
      <c r="AA27" s="4">
        <f t="shared" ca="1" si="21"/>
        <v>0</v>
      </c>
      <c r="AE27" s="4"/>
    </row>
    <row r="28" spans="1:31">
      <c r="A28">
        <v>0</v>
      </c>
      <c r="B28">
        <v>0</v>
      </c>
      <c r="C28">
        <f t="shared" ca="1" si="0"/>
        <v>1</v>
      </c>
      <c r="D28">
        <f t="shared" ca="1" si="1"/>
        <v>0</v>
      </c>
      <c r="E28">
        <f t="shared" ca="1" si="2"/>
        <v>0</v>
      </c>
      <c r="F28" s="110">
        <f t="shared" ca="1" si="3"/>
        <v>0.87</v>
      </c>
      <c r="G28">
        <v>1</v>
      </c>
      <c r="H28">
        <v>0</v>
      </c>
      <c r="I28">
        <v>5</v>
      </c>
      <c r="J28" s="1">
        <f t="shared" ca="1" si="4"/>
        <v>0</v>
      </c>
      <c r="K28" s="1">
        <f t="shared" ca="1" si="5"/>
        <v>0</v>
      </c>
      <c r="L28" s="13">
        <f t="shared" ca="1" si="6"/>
        <v>336</v>
      </c>
      <c r="M28" s="7">
        <f t="shared" ca="1" si="7"/>
        <v>664</v>
      </c>
      <c r="N28" s="26">
        <f t="shared" ca="1" si="8"/>
        <v>3</v>
      </c>
      <c r="O28" s="44">
        <f t="shared" ca="1" si="9"/>
        <v>2.2442427272544552</v>
      </c>
      <c r="P28" s="44">
        <f t="shared" ca="1" si="10"/>
        <v>22.442427272544553</v>
      </c>
      <c r="Q28" s="44">
        <f t="shared" ca="1" si="11"/>
        <v>22.442427272544553</v>
      </c>
      <c r="R28" s="44">
        <f t="shared" ca="1" si="12"/>
        <v>2.2442427272544552</v>
      </c>
      <c r="S28" s="44">
        <f t="shared" ca="1" si="13"/>
        <v>2.2442427272544552</v>
      </c>
      <c r="T28" s="4">
        <f t="shared" ca="1" si="14"/>
        <v>0</v>
      </c>
      <c r="U28" s="120">
        <f t="shared" ca="1" si="15"/>
        <v>1556.901337549361</v>
      </c>
      <c r="V28" s="4">
        <f t="shared" ca="1" si="16"/>
        <v>0</v>
      </c>
      <c r="W28" s="13">
        <f t="shared" ca="1" si="17"/>
        <v>36291.906000000003</v>
      </c>
      <c r="X28" s="4">
        <f t="shared" ca="1" si="18"/>
        <v>0</v>
      </c>
      <c r="Y28" s="4">
        <f t="shared" si="19"/>
        <v>0</v>
      </c>
      <c r="Z28" s="13">
        <f t="shared" ca="1" si="20"/>
        <v>36291.906000000003</v>
      </c>
      <c r="AA28" s="4">
        <f t="shared" ca="1" si="21"/>
        <v>0</v>
      </c>
      <c r="AE28" s="4"/>
    </row>
    <row r="29" spans="1:31">
      <c r="A29">
        <v>0</v>
      </c>
      <c r="B29">
        <v>0</v>
      </c>
      <c r="C29">
        <f t="shared" ca="1" si="0"/>
        <v>1</v>
      </c>
      <c r="D29">
        <f t="shared" ca="1" si="1"/>
        <v>0</v>
      </c>
      <c r="E29">
        <f t="shared" ca="1" si="2"/>
        <v>0</v>
      </c>
      <c r="F29" s="110">
        <f t="shared" ca="1" si="3"/>
        <v>0.87</v>
      </c>
      <c r="G29">
        <v>1</v>
      </c>
      <c r="H29">
        <v>0</v>
      </c>
      <c r="I29">
        <v>4</v>
      </c>
      <c r="J29" s="1">
        <f t="shared" ca="1" si="4"/>
        <v>0</v>
      </c>
      <c r="K29" s="1">
        <f t="shared" ca="1" si="5"/>
        <v>0</v>
      </c>
      <c r="L29" s="13">
        <f t="shared" ca="1" si="6"/>
        <v>317</v>
      </c>
      <c r="M29" s="7">
        <f t="shared" ca="1" si="7"/>
        <v>683</v>
      </c>
      <c r="N29" s="26">
        <f t="shared" ca="1" si="8"/>
        <v>3</v>
      </c>
      <c r="O29" s="44">
        <f t="shared" ca="1" si="9"/>
        <v>2.2442427272544552</v>
      </c>
      <c r="P29" s="44">
        <f t="shared" ca="1" si="10"/>
        <v>22.442427272544553</v>
      </c>
      <c r="Q29" s="44">
        <f t="shared" ca="1" si="11"/>
        <v>22.442427272544553</v>
      </c>
      <c r="R29" s="44">
        <f t="shared" ca="1" si="12"/>
        <v>2.2442427272544552</v>
      </c>
      <c r="S29" s="44">
        <f t="shared" ca="1" si="13"/>
        <v>2.2442427272544552</v>
      </c>
      <c r="T29" s="4">
        <f t="shared" ca="1" si="14"/>
        <v>0</v>
      </c>
      <c r="U29" s="120">
        <f t="shared" ca="1" si="15"/>
        <v>1537.901337549361</v>
      </c>
      <c r="V29" s="4">
        <f t="shared" ca="1" si="16"/>
        <v>0</v>
      </c>
      <c r="W29" s="13">
        <f t="shared" ca="1" si="17"/>
        <v>33951.006000000001</v>
      </c>
      <c r="X29" s="4">
        <f t="shared" ca="1" si="18"/>
        <v>0</v>
      </c>
      <c r="Y29" s="4">
        <f t="shared" si="19"/>
        <v>0</v>
      </c>
      <c r="Z29" s="13">
        <f t="shared" ca="1" si="20"/>
        <v>33951.006000000001</v>
      </c>
      <c r="AA29" s="4">
        <f t="shared" ca="1" si="21"/>
        <v>0</v>
      </c>
      <c r="AE29" s="4"/>
    </row>
    <row r="30" spans="1:31">
      <c r="A30">
        <v>0</v>
      </c>
      <c r="B30">
        <v>0</v>
      </c>
      <c r="C30">
        <f t="shared" ca="1" si="0"/>
        <v>1</v>
      </c>
      <c r="D30">
        <f t="shared" ca="1" si="1"/>
        <v>0</v>
      </c>
      <c r="E30">
        <f t="shared" ca="1" si="2"/>
        <v>0</v>
      </c>
      <c r="F30" s="110">
        <f t="shared" ca="1" si="3"/>
        <v>0.87</v>
      </c>
      <c r="G30">
        <v>1</v>
      </c>
      <c r="H30">
        <v>0</v>
      </c>
      <c r="I30">
        <v>3</v>
      </c>
      <c r="J30" s="1">
        <f t="shared" ca="1" si="4"/>
        <v>0</v>
      </c>
      <c r="K30" s="1">
        <f t="shared" ca="1" si="5"/>
        <v>0</v>
      </c>
      <c r="L30" s="13">
        <f t="shared" ca="1" si="6"/>
        <v>298</v>
      </c>
      <c r="M30" s="7">
        <f t="shared" ca="1" si="7"/>
        <v>702</v>
      </c>
      <c r="N30" s="26">
        <f t="shared" ca="1" si="8"/>
        <v>3</v>
      </c>
      <c r="O30" s="44">
        <f t="shared" ca="1" si="9"/>
        <v>2.2442427272544552</v>
      </c>
      <c r="P30" s="44">
        <f t="shared" ca="1" si="10"/>
        <v>22.442427272544553</v>
      </c>
      <c r="Q30" s="44">
        <f t="shared" ca="1" si="11"/>
        <v>22.442427272544553</v>
      </c>
      <c r="R30" s="44">
        <f t="shared" ca="1" si="12"/>
        <v>2.2442427272544552</v>
      </c>
      <c r="S30" s="44">
        <f t="shared" ca="1" si="13"/>
        <v>2.2442427272544552</v>
      </c>
      <c r="T30" s="4">
        <f t="shared" ca="1" si="14"/>
        <v>0</v>
      </c>
      <c r="U30" s="120">
        <f t="shared" ca="1" si="15"/>
        <v>1518.901337549361</v>
      </c>
      <c r="V30" s="4">
        <f t="shared" ca="1" si="16"/>
        <v>0</v>
      </c>
      <c r="W30" s="13">
        <f t="shared" ca="1" si="17"/>
        <v>31610.106000000003</v>
      </c>
      <c r="X30" s="4">
        <f t="shared" ca="1" si="18"/>
        <v>0</v>
      </c>
      <c r="Y30" s="4">
        <f t="shared" si="19"/>
        <v>0</v>
      </c>
      <c r="Z30" s="13">
        <f t="shared" ca="1" si="20"/>
        <v>31610.106000000003</v>
      </c>
      <c r="AA30" s="4">
        <f t="shared" ca="1" si="21"/>
        <v>0</v>
      </c>
      <c r="AE30" s="4"/>
    </row>
    <row r="31" spans="1:31">
      <c r="A31">
        <v>0</v>
      </c>
      <c r="B31">
        <v>0</v>
      </c>
      <c r="C31">
        <f t="shared" ca="1" si="0"/>
        <v>1</v>
      </c>
      <c r="D31">
        <f t="shared" ca="1" si="1"/>
        <v>0</v>
      </c>
      <c r="E31">
        <f t="shared" ca="1" si="2"/>
        <v>0</v>
      </c>
      <c r="F31" s="110">
        <f t="shared" ca="1" si="3"/>
        <v>0.87</v>
      </c>
      <c r="G31">
        <v>1</v>
      </c>
      <c r="H31">
        <v>0</v>
      </c>
      <c r="I31">
        <v>2</v>
      </c>
      <c r="J31" s="1">
        <f t="shared" ca="1" si="4"/>
        <v>0</v>
      </c>
      <c r="K31" s="1">
        <f t="shared" ca="1" si="5"/>
        <v>0</v>
      </c>
      <c r="L31" s="13">
        <f t="shared" ca="1" si="6"/>
        <v>279</v>
      </c>
      <c r="M31" s="7">
        <f t="shared" ca="1" si="7"/>
        <v>721</v>
      </c>
      <c r="N31" s="26">
        <f t="shared" ca="1" si="8"/>
        <v>3</v>
      </c>
      <c r="O31" s="44">
        <f t="shared" ca="1" si="9"/>
        <v>2.2442427272544552</v>
      </c>
      <c r="P31" s="44">
        <f t="shared" ca="1" si="10"/>
        <v>22.442427272544553</v>
      </c>
      <c r="Q31" s="44">
        <f t="shared" ca="1" si="11"/>
        <v>22.442427272544553</v>
      </c>
      <c r="R31" s="44">
        <f t="shared" ca="1" si="12"/>
        <v>2.2442427272544552</v>
      </c>
      <c r="S31" s="44">
        <f t="shared" ca="1" si="13"/>
        <v>2.2442427272544552</v>
      </c>
      <c r="T31" s="4">
        <f t="shared" ca="1" si="14"/>
        <v>0</v>
      </c>
      <c r="U31" s="120">
        <f t="shared" ca="1" si="15"/>
        <v>1499.901337549361</v>
      </c>
      <c r="V31" s="4">
        <f t="shared" ca="1" si="16"/>
        <v>0</v>
      </c>
      <c r="W31" s="13">
        <f t="shared" ca="1" si="17"/>
        <v>29269.206000000002</v>
      </c>
      <c r="X31" s="4">
        <f t="shared" ca="1" si="18"/>
        <v>0</v>
      </c>
      <c r="Y31" s="4">
        <f t="shared" si="19"/>
        <v>0</v>
      </c>
      <c r="Z31" s="13">
        <f t="shared" ca="1" si="20"/>
        <v>29269.206000000002</v>
      </c>
      <c r="AA31" s="4">
        <f t="shared" ca="1" si="21"/>
        <v>0</v>
      </c>
      <c r="AE31" s="4"/>
    </row>
    <row r="32" spans="1:31">
      <c r="A32">
        <v>0</v>
      </c>
      <c r="B32">
        <v>0</v>
      </c>
      <c r="C32">
        <f t="shared" ca="1" si="0"/>
        <v>1</v>
      </c>
      <c r="D32">
        <f t="shared" ca="1" si="1"/>
        <v>0</v>
      </c>
      <c r="E32">
        <f t="shared" ca="1" si="2"/>
        <v>0</v>
      </c>
      <c r="F32" s="110">
        <f t="shared" ca="1" si="3"/>
        <v>0.87</v>
      </c>
      <c r="G32">
        <v>1</v>
      </c>
      <c r="H32">
        <v>0</v>
      </c>
      <c r="I32">
        <v>1</v>
      </c>
      <c r="J32" s="1">
        <f t="shared" ca="1" si="4"/>
        <v>0</v>
      </c>
      <c r="K32" s="1">
        <f t="shared" ca="1" si="5"/>
        <v>0</v>
      </c>
      <c r="L32" s="13">
        <f t="shared" ca="1" si="6"/>
        <v>260</v>
      </c>
      <c r="M32" s="7">
        <f t="shared" ca="1" si="7"/>
        <v>740</v>
      </c>
      <c r="N32" s="26">
        <f t="shared" ca="1" si="8"/>
        <v>3</v>
      </c>
      <c r="O32" s="44">
        <f t="shared" ca="1" si="9"/>
        <v>2.2442427272544552</v>
      </c>
      <c r="P32" s="44">
        <f t="shared" ca="1" si="10"/>
        <v>22.442427272544553</v>
      </c>
      <c r="Q32" s="44">
        <f t="shared" ca="1" si="11"/>
        <v>22.442427272544553</v>
      </c>
      <c r="R32" s="44">
        <f t="shared" ca="1" si="12"/>
        <v>2.2442427272544552</v>
      </c>
      <c r="S32" s="44">
        <f t="shared" ca="1" si="13"/>
        <v>2.2442427272544552</v>
      </c>
      <c r="T32" s="4">
        <f t="shared" ca="1" si="14"/>
        <v>0</v>
      </c>
      <c r="U32" s="120">
        <f t="shared" ca="1" si="15"/>
        <v>1480.901337549361</v>
      </c>
      <c r="V32" s="4">
        <f t="shared" ca="1" si="16"/>
        <v>0</v>
      </c>
      <c r="W32" s="13">
        <f t="shared" ca="1" si="17"/>
        <v>26928.306000000004</v>
      </c>
      <c r="X32" s="4">
        <f t="shared" ca="1" si="18"/>
        <v>0</v>
      </c>
      <c r="Y32" s="4">
        <f t="shared" si="19"/>
        <v>0</v>
      </c>
      <c r="Z32" s="13">
        <f t="shared" ca="1" si="20"/>
        <v>26928.306000000004</v>
      </c>
      <c r="AA32" s="4">
        <f t="shared" ca="1" si="21"/>
        <v>0</v>
      </c>
      <c r="AE32" s="4"/>
    </row>
    <row r="33" spans="1:31">
      <c r="A33">
        <v>0</v>
      </c>
      <c r="B33">
        <v>0</v>
      </c>
      <c r="C33">
        <f t="shared" ca="1" si="0"/>
        <v>1</v>
      </c>
      <c r="D33">
        <f t="shared" ca="1" si="1"/>
        <v>0</v>
      </c>
      <c r="E33">
        <f t="shared" ca="1" si="2"/>
        <v>0</v>
      </c>
      <c r="F33" s="110">
        <f t="shared" ca="1" si="3"/>
        <v>0.87</v>
      </c>
      <c r="G33">
        <v>1</v>
      </c>
      <c r="H33">
        <v>0</v>
      </c>
      <c r="I33">
        <v>0</v>
      </c>
      <c r="J33" s="1">
        <f t="shared" ca="1" si="4"/>
        <v>0.95</v>
      </c>
      <c r="K33" s="1">
        <f t="shared" ca="1" si="5"/>
        <v>0.82650000000000001</v>
      </c>
      <c r="L33" s="13">
        <f t="shared" ca="1" si="6"/>
        <v>241</v>
      </c>
      <c r="M33" s="7">
        <f t="shared" ca="1" si="7"/>
        <v>759</v>
      </c>
      <c r="N33" s="26">
        <f t="shared" ca="1" si="8"/>
        <v>3</v>
      </c>
      <c r="O33" s="44">
        <f t="shared" ca="1" si="9"/>
        <v>2.2442427272544552</v>
      </c>
      <c r="P33" s="44">
        <f t="shared" ca="1" si="10"/>
        <v>22.442427272544553</v>
      </c>
      <c r="Q33" s="44">
        <f t="shared" ca="1" si="11"/>
        <v>22.442427272544553</v>
      </c>
      <c r="R33" s="44">
        <f t="shared" ca="1" si="12"/>
        <v>2.2442427272544552</v>
      </c>
      <c r="S33" s="44">
        <f t="shared" ca="1" si="13"/>
        <v>2.2442427272544552</v>
      </c>
      <c r="T33" s="4">
        <f t="shared" ca="1" si="14"/>
        <v>1.8548666140758072</v>
      </c>
      <c r="U33" s="120">
        <f t="shared" ca="1" si="15"/>
        <v>1461.901337549361</v>
      </c>
      <c r="V33" s="4">
        <f t="shared" ca="1" si="16"/>
        <v>1208.2614554845468</v>
      </c>
      <c r="W33" s="13">
        <f t="shared" ca="1" si="17"/>
        <v>24587.406000000003</v>
      </c>
      <c r="X33" s="4">
        <f t="shared" ca="1" si="18"/>
        <v>20321.491059000004</v>
      </c>
      <c r="Y33" s="4">
        <f t="shared" si="19"/>
        <v>0</v>
      </c>
      <c r="Z33" s="13">
        <f t="shared" ca="1" si="20"/>
        <v>24587.406000000003</v>
      </c>
      <c r="AA33" s="4">
        <f t="shared" ca="1" si="21"/>
        <v>20321.491059000004</v>
      </c>
      <c r="AE33" s="4"/>
    </row>
    <row r="34" spans="1:31">
      <c r="A34">
        <v>0</v>
      </c>
      <c r="B34">
        <v>0</v>
      </c>
      <c r="C34">
        <f t="shared" ca="1" si="0"/>
        <v>1</v>
      </c>
      <c r="D34">
        <f t="shared" ca="1" si="1"/>
        <v>0</v>
      </c>
      <c r="E34">
        <f t="shared" ca="1" si="2"/>
        <v>0</v>
      </c>
      <c r="F34" s="110">
        <f t="shared" ca="1" si="3"/>
        <v>0.87</v>
      </c>
      <c r="G34">
        <v>0</v>
      </c>
      <c r="H34">
        <v>1</v>
      </c>
      <c r="I34">
        <v>7</v>
      </c>
      <c r="J34" s="1">
        <f t="shared" ca="1" si="4"/>
        <v>0</v>
      </c>
      <c r="K34" s="1">
        <f t="shared" ca="1" si="5"/>
        <v>0</v>
      </c>
      <c r="L34" s="13">
        <f t="shared" ca="1" si="6"/>
        <v>374</v>
      </c>
      <c r="M34" s="7">
        <f t="shared" ca="1" si="7"/>
        <v>626</v>
      </c>
      <c r="N34" s="26">
        <f t="shared" ca="1" si="8"/>
        <v>3</v>
      </c>
      <c r="O34" s="44">
        <f t="shared" ca="1" si="9"/>
        <v>2.2442427272544552</v>
      </c>
      <c r="P34" s="44">
        <f t="shared" ca="1" si="10"/>
        <v>22.442427272544553</v>
      </c>
      <c r="Q34" s="44">
        <f t="shared" ca="1" si="11"/>
        <v>22.442427272544553</v>
      </c>
      <c r="R34" s="44">
        <f t="shared" ca="1" si="12"/>
        <v>2.2442427272544552</v>
      </c>
      <c r="S34" s="44">
        <f t="shared" ca="1" si="13"/>
        <v>2.2442427272544552</v>
      </c>
      <c r="T34" s="4">
        <f t="shared" ca="1" si="14"/>
        <v>0</v>
      </c>
      <c r="U34" s="120">
        <f t="shared" ca="1" si="15"/>
        <v>1594.901337549361</v>
      </c>
      <c r="V34" s="4">
        <f t="shared" ca="1" si="16"/>
        <v>0</v>
      </c>
      <c r="W34" s="13">
        <f t="shared" ca="1" si="17"/>
        <v>16386.3</v>
      </c>
      <c r="X34" s="4">
        <f t="shared" ca="1" si="18"/>
        <v>0</v>
      </c>
      <c r="Y34" s="4">
        <f t="shared" si="19"/>
        <v>0</v>
      </c>
      <c r="Z34" s="13">
        <f t="shared" ca="1" si="20"/>
        <v>16386.3</v>
      </c>
      <c r="AA34" s="4">
        <f t="shared" ca="1" si="21"/>
        <v>0</v>
      </c>
      <c r="AE34" s="4"/>
    </row>
    <row r="35" spans="1:31">
      <c r="A35">
        <v>0</v>
      </c>
      <c r="B35">
        <v>0</v>
      </c>
      <c r="C35">
        <f t="shared" ca="1" si="0"/>
        <v>1</v>
      </c>
      <c r="D35">
        <f t="shared" ca="1" si="1"/>
        <v>0</v>
      </c>
      <c r="E35">
        <f t="shared" ca="1" si="2"/>
        <v>0</v>
      </c>
      <c r="F35" s="110">
        <f t="shared" ca="1" si="3"/>
        <v>0.87</v>
      </c>
      <c r="G35">
        <v>0</v>
      </c>
      <c r="H35">
        <v>1</v>
      </c>
      <c r="I35">
        <v>6</v>
      </c>
      <c r="J35" s="1">
        <f t="shared" ca="1" si="4"/>
        <v>0</v>
      </c>
      <c r="K35" s="1">
        <f t="shared" ca="1" si="5"/>
        <v>0</v>
      </c>
      <c r="L35" s="13">
        <f t="shared" ca="1" si="6"/>
        <v>355</v>
      </c>
      <c r="M35" s="7">
        <f t="shared" ca="1" si="7"/>
        <v>645</v>
      </c>
      <c r="N35" s="26">
        <f t="shared" ca="1" si="8"/>
        <v>3</v>
      </c>
      <c r="O35" s="44">
        <f t="shared" ca="1" si="9"/>
        <v>2.2442427272544552</v>
      </c>
      <c r="P35" s="44">
        <f t="shared" ca="1" si="10"/>
        <v>22.442427272544553</v>
      </c>
      <c r="Q35" s="44">
        <f t="shared" ca="1" si="11"/>
        <v>22.442427272544553</v>
      </c>
      <c r="R35" s="44">
        <f t="shared" ca="1" si="12"/>
        <v>2.2442427272544552</v>
      </c>
      <c r="S35" s="44">
        <f t="shared" ca="1" si="13"/>
        <v>2.2442427272544552</v>
      </c>
      <c r="T35" s="4">
        <f t="shared" ca="1" si="14"/>
        <v>0</v>
      </c>
      <c r="U35" s="120">
        <f t="shared" ca="1" si="15"/>
        <v>1575.901337549361</v>
      </c>
      <c r="V35" s="4">
        <f t="shared" ca="1" si="16"/>
        <v>0</v>
      </c>
      <c r="W35" s="13">
        <f t="shared" ca="1" si="17"/>
        <v>14045.400000000001</v>
      </c>
      <c r="X35" s="4">
        <f t="shared" ca="1" si="18"/>
        <v>0</v>
      </c>
      <c r="Y35" s="4">
        <f t="shared" si="19"/>
        <v>0</v>
      </c>
      <c r="Z35" s="13">
        <f t="shared" ca="1" si="20"/>
        <v>14045.400000000001</v>
      </c>
      <c r="AA35" s="4">
        <f t="shared" ca="1" si="21"/>
        <v>0</v>
      </c>
      <c r="AE35" s="4"/>
    </row>
    <row r="36" spans="1:31">
      <c r="A36">
        <v>0</v>
      </c>
      <c r="B36">
        <v>0</v>
      </c>
      <c r="C36">
        <f t="shared" ca="1" si="0"/>
        <v>1</v>
      </c>
      <c r="D36">
        <f t="shared" ca="1" si="1"/>
        <v>0</v>
      </c>
      <c r="E36">
        <f t="shared" ca="1" si="2"/>
        <v>0</v>
      </c>
      <c r="F36" s="110">
        <f t="shared" ca="1" si="3"/>
        <v>0.87</v>
      </c>
      <c r="G36">
        <v>0</v>
      </c>
      <c r="H36">
        <v>1</v>
      </c>
      <c r="I36">
        <v>5</v>
      </c>
      <c r="J36" s="1">
        <f t="shared" ca="1" si="4"/>
        <v>0</v>
      </c>
      <c r="K36" s="1">
        <f t="shared" ca="1" si="5"/>
        <v>0</v>
      </c>
      <c r="L36" s="13">
        <f t="shared" ca="1" si="6"/>
        <v>336</v>
      </c>
      <c r="M36" s="7">
        <f t="shared" ca="1" si="7"/>
        <v>664</v>
      </c>
      <c r="N36" s="26">
        <f t="shared" ca="1" si="8"/>
        <v>3</v>
      </c>
      <c r="O36" s="44">
        <f t="shared" ca="1" si="9"/>
        <v>2.2442427272544552</v>
      </c>
      <c r="P36" s="44">
        <f t="shared" ca="1" si="10"/>
        <v>22.442427272544553</v>
      </c>
      <c r="Q36" s="44">
        <f t="shared" ca="1" si="11"/>
        <v>22.442427272544553</v>
      </c>
      <c r="R36" s="44">
        <f t="shared" ca="1" si="12"/>
        <v>2.2442427272544552</v>
      </c>
      <c r="S36" s="44">
        <f t="shared" ca="1" si="13"/>
        <v>2.2442427272544552</v>
      </c>
      <c r="T36" s="4">
        <f t="shared" ca="1" si="14"/>
        <v>0</v>
      </c>
      <c r="U36" s="120">
        <f t="shared" ca="1" si="15"/>
        <v>1556.901337549361</v>
      </c>
      <c r="V36" s="4">
        <f t="shared" ca="1" si="16"/>
        <v>0</v>
      </c>
      <c r="W36" s="13">
        <f t="shared" ca="1" si="17"/>
        <v>11704.5</v>
      </c>
      <c r="X36" s="4">
        <f t="shared" ca="1" si="18"/>
        <v>0</v>
      </c>
      <c r="Y36" s="4">
        <f t="shared" si="19"/>
        <v>0</v>
      </c>
      <c r="Z36" s="13">
        <f t="shared" ca="1" si="20"/>
        <v>11704.5</v>
      </c>
      <c r="AA36" s="4">
        <f t="shared" ca="1" si="21"/>
        <v>0</v>
      </c>
      <c r="AE36" s="4"/>
    </row>
    <row r="37" spans="1:31">
      <c r="A37">
        <v>0</v>
      </c>
      <c r="B37">
        <v>0</v>
      </c>
      <c r="C37">
        <f t="shared" ca="1" si="0"/>
        <v>1</v>
      </c>
      <c r="D37">
        <f t="shared" ca="1" si="1"/>
        <v>0</v>
      </c>
      <c r="E37">
        <f t="shared" ca="1" si="2"/>
        <v>0</v>
      </c>
      <c r="F37" s="110">
        <f t="shared" ca="1" si="3"/>
        <v>0.87</v>
      </c>
      <c r="G37">
        <v>0</v>
      </c>
      <c r="H37">
        <v>1</v>
      </c>
      <c r="I37">
        <v>4</v>
      </c>
      <c r="J37" s="1">
        <f t="shared" ca="1" si="4"/>
        <v>0</v>
      </c>
      <c r="K37" s="1">
        <f t="shared" ca="1" si="5"/>
        <v>0</v>
      </c>
      <c r="L37" s="13">
        <f t="shared" ca="1" si="6"/>
        <v>317</v>
      </c>
      <c r="M37" s="7">
        <f t="shared" ca="1" si="7"/>
        <v>683</v>
      </c>
      <c r="N37" s="26">
        <f t="shared" ca="1" si="8"/>
        <v>3</v>
      </c>
      <c r="O37" s="44">
        <f t="shared" ca="1" si="9"/>
        <v>2.2442427272544552</v>
      </c>
      <c r="P37" s="44">
        <f t="shared" ca="1" si="10"/>
        <v>22.442427272544553</v>
      </c>
      <c r="Q37" s="44">
        <f t="shared" ca="1" si="11"/>
        <v>22.442427272544553</v>
      </c>
      <c r="R37" s="44">
        <f t="shared" ca="1" si="12"/>
        <v>2.2442427272544552</v>
      </c>
      <c r="S37" s="44">
        <f t="shared" ca="1" si="13"/>
        <v>2.2442427272544552</v>
      </c>
      <c r="T37" s="4">
        <f t="shared" ca="1" si="14"/>
        <v>0</v>
      </c>
      <c r="U37" s="120">
        <f t="shared" ca="1" si="15"/>
        <v>1537.901337549361</v>
      </c>
      <c r="V37" s="4">
        <f t="shared" ca="1" si="16"/>
        <v>0</v>
      </c>
      <c r="W37" s="13">
        <f t="shared" ca="1" si="17"/>
        <v>9363.6</v>
      </c>
      <c r="X37" s="4">
        <f t="shared" ca="1" si="18"/>
        <v>0</v>
      </c>
      <c r="Y37" s="4">
        <f t="shared" si="19"/>
        <v>0</v>
      </c>
      <c r="Z37" s="13">
        <f t="shared" ca="1" si="20"/>
        <v>9363.6</v>
      </c>
      <c r="AA37" s="4">
        <f t="shared" ca="1" si="21"/>
        <v>0</v>
      </c>
      <c r="AE37" s="4"/>
    </row>
    <row r="38" spans="1:31">
      <c r="A38">
        <v>0</v>
      </c>
      <c r="B38">
        <v>0</v>
      </c>
      <c r="C38">
        <f t="shared" ca="1" si="0"/>
        <v>1</v>
      </c>
      <c r="D38">
        <f t="shared" ca="1" si="1"/>
        <v>0</v>
      </c>
      <c r="E38">
        <f t="shared" ca="1" si="2"/>
        <v>0</v>
      </c>
      <c r="F38" s="110">
        <f t="shared" ca="1" si="3"/>
        <v>0.87</v>
      </c>
      <c r="G38">
        <v>0</v>
      </c>
      <c r="H38">
        <v>1</v>
      </c>
      <c r="I38">
        <v>3</v>
      </c>
      <c r="J38" s="1">
        <f t="shared" ca="1" si="4"/>
        <v>0</v>
      </c>
      <c r="K38" s="1">
        <f t="shared" ca="1" si="5"/>
        <v>0</v>
      </c>
      <c r="L38" s="13">
        <f t="shared" ca="1" si="6"/>
        <v>298</v>
      </c>
      <c r="M38" s="7">
        <f t="shared" ca="1" si="7"/>
        <v>702</v>
      </c>
      <c r="N38" s="26">
        <f t="shared" ca="1" si="8"/>
        <v>3</v>
      </c>
      <c r="O38" s="44">
        <f t="shared" ca="1" si="9"/>
        <v>2.2442427272544552</v>
      </c>
      <c r="P38" s="44">
        <f t="shared" ca="1" si="10"/>
        <v>22.442427272544553</v>
      </c>
      <c r="Q38" s="44">
        <f t="shared" ca="1" si="11"/>
        <v>22.442427272544553</v>
      </c>
      <c r="R38" s="44">
        <f t="shared" ca="1" si="12"/>
        <v>2.2442427272544552</v>
      </c>
      <c r="S38" s="44">
        <f t="shared" ca="1" si="13"/>
        <v>2.2442427272544552</v>
      </c>
      <c r="T38" s="4">
        <f t="shared" ca="1" si="14"/>
        <v>0</v>
      </c>
      <c r="U38" s="120">
        <f t="shared" ca="1" si="15"/>
        <v>1518.901337549361</v>
      </c>
      <c r="V38" s="4">
        <f t="shared" ca="1" si="16"/>
        <v>0</v>
      </c>
      <c r="W38" s="13">
        <f t="shared" ca="1" si="17"/>
        <v>7022.7000000000007</v>
      </c>
      <c r="X38" s="4">
        <f t="shared" ca="1" si="18"/>
        <v>0</v>
      </c>
      <c r="Y38" s="4">
        <f t="shared" si="19"/>
        <v>0</v>
      </c>
      <c r="Z38" s="13">
        <f t="shared" ca="1" si="20"/>
        <v>7022.7000000000007</v>
      </c>
      <c r="AA38" s="4">
        <f t="shared" ca="1" si="21"/>
        <v>0</v>
      </c>
      <c r="AE38" s="4"/>
    </row>
    <row r="39" spans="1:31">
      <c r="A39">
        <v>0</v>
      </c>
      <c r="B39">
        <v>0</v>
      </c>
      <c r="C39">
        <f t="shared" ca="1" si="0"/>
        <v>1</v>
      </c>
      <c r="D39">
        <f t="shared" ca="1" si="1"/>
        <v>0</v>
      </c>
      <c r="E39">
        <f t="shared" ca="1" si="2"/>
        <v>0</v>
      </c>
      <c r="F39" s="110">
        <f t="shared" ca="1" si="3"/>
        <v>0.87</v>
      </c>
      <c r="G39">
        <v>0</v>
      </c>
      <c r="H39">
        <v>1</v>
      </c>
      <c r="I39">
        <v>2</v>
      </c>
      <c r="J39" s="1">
        <f t="shared" ca="1" si="4"/>
        <v>0</v>
      </c>
      <c r="K39" s="1">
        <f t="shared" ca="1" si="5"/>
        <v>0</v>
      </c>
      <c r="L39" s="13">
        <f t="shared" ca="1" si="6"/>
        <v>279</v>
      </c>
      <c r="M39" s="7">
        <f t="shared" ca="1" si="7"/>
        <v>721</v>
      </c>
      <c r="N39" s="26">
        <f t="shared" ca="1" si="8"/>
        <v>3</v>
      </c>
      <c r="O39" s="44">
        <f t="shared" ca="1" si="9"/>
        <v>2.2442427272544552</v>
      </c>
      <c r="P39" s="44">
        <f t="shared" ca="1" si="10"/>
        <v>22.442427272544553</v>
      </c>
      <c r="Q39" s="44">
        <f t="shared" ca="1" si="11"/>
        <v>22.442427272544553</v>
      </c>
      <c r="R39" s="44">
        <f t="shared" ca="1" si="12"/>
        <v>2.2442427272544552</v>
      </c>
      <c r="S39" s="44">
        <f t="shared" ca="1" si="13"/>
        <v>2.2442427272544552</v>
      </c>
      <c r="T39" s="4">
        <f t="shared" ca="1" si="14"/>
        <v>0</v>
      </c>
      <c r="U39" s="120">
        <f t="shared" ca="1" si="15"/>
        <v>1499.901337549361</v>
      </c>
      <c r="V39" s="4">
        <f t="shared" ca="1" si="16"/>
        <v>0</v>
      </c>
      <c r="W39" s="13">
        <f t="shared" ca="1" si="17"/>
        <v>4681.8</v>
      </c>
      <c r="X39" s="4">
        <f t="shared" ca="1" si="18"/>
        <v>0</v>
      </c>
      <c r="Y39" s="4">
        <f t="shared" si="19"/>
        <v>0</v>
      </c>
      <c r="Z39" s="13">
        <f t="shared" ca="1" si="20"/>
        <v>4681.8</v>
      </c>
      <c r="AA39" s="4">
        <f t="shared" ca="1" si="21"/>
        <v>0</v>
      </c>
      <c r="AE39" s="4"/>
    </row>
    <row r="40" spans="1:31">
      <c r="A40">
        <v>0</v>
      </c>
      <c r="B40">
        <v>0</v>
      </c>
      <c r="C40">
        <f t="shared" ca="1" si="0"/>
        <v>1</v>
      </c>
      <c r="D40">
        <f t="shared" ca="1" si="1"/>
        <v>0</v>
      </c>
      <c r="E40">
        <f t="shared" ca="1" si="2"/>
        <v>0</v>
      </c>
      <c r="F40" s="110">
        <f t="shared" ca="1" si="3"/>
        <v>0.87</v>
      </c>
      <c r="G40">
        <v>0</v>
      </c>
      <c r="H40">
        <v>1</v>
      </c>
      <c r="I40">
        <v>1</v>
      </c>
      <c r="J40" s="1">
        <f t="shared" ca="1" si="4"/>
        <v>0</v>
      </c>
      <c r="K40" s="1">
        <f t="shared" ca="1" si="5"/>
        <v>0</v>
      </c>
      <c r="L40" s="13">
        <f t="shared" ca="1" si="6"/>
        <v>260</v>
      </c>
      <c r="M40" s="7">
        <f t="shared" ca="1" si="7"/>
        <v>740</v>
      </c>
      <c r="N40" s="26">
        <f t="shared" ca="1" si="8"/>
        <v>3</v>
      </c>
      <c r="O40" s="44">
        <f t="shared" ca="1" si="9"/>
        <v>2.2442427272544552</v>
      </c>
      <c r="P40" s="44">
        <f t="shared" ca="1" si="10"/>
        <v>22.442427272544553</v>
      </c>
      <c r="Q40" s="44">
        <f t="shared" ca="1" si="11"/>
        <v>22.442427272544553</v>
      </c>
      <c r="R40" s="44">
        <f t="shared" ca="1" si="12"/>
        <v>2.2442427272544552</v>
      </c>
      <c r="S40" s="44">
        <f t="shared" ca="1" si="13"/>
        <v>2.2442427272544552</v>
      </c>
      <c r="T40" s="4">
        <f t="shared" ca="1" si="14"/>
        <v>0</v>
      </c>
      <c r="U40" s="120">
        <f t="shared" ca="1" si="15"/>
        <v>1480.901337549361</v>
      </c>
      <c r="V40" s="4">
        <f t="shared" ca="1" si="16"/>
        <v>0</v>
      </c>
      <c r="W40" s="13">
        <f t="shared" ca="1" si="17"/>
        <v>2340.9</v>
      </c>
      <c r="X40" s="4">
        <f t="shared" ca="1" si="18"/>
        <v>0</v>
      </c>
      <c r="Y40" s="4">
        <f t="shared" si="19"/>
        <v>0</v>
      </c>
      <c r="Z40" s="13">
        <f t="shared" ca="1" si="20"/>
        <v>2340.9</v>
      </c>
      <c r="AA40" s="4">
        <f t="shared" ca="1" si="21"/>
        <v>0</v>
      </c>
      <c r="AE40" s="4"/>
    </row>
    <row r="41" spans="1:31">
      <c r="A41">
        <v>0</v>
      </c>
      <c r="B41">
        <v>0</v>
      </c>
      <c r="C41">
        <f t="shared" ca="1" si="0"/>
        <v>1</v>
      </c>
      <c r="D41">
        <f t="shared" ca="1" si="1"/>
        <v>0</v>
      </c>
      <c r="E41">
        <f t="shared" ca="1" si="2"/>
        <v>0</v>
      </c>
      <c r="F41" s="110">
        <f t="shared" ca="1" si="3"/>
        <v>0.87</v>
      </c>
      <c r="G41">
        <v>0</v>
      </c>
      <c r="H41">
        <v>1</v>
      </c>
      <c r="I41">
        <v>0</v>
      </c>
      <c r="J41" s="1">
        <f t="shared" ca="1" si="4"/>
        <v>0</v>
      </c>
      <c r="K41" s="1">
        <f t="shared" ca="1" si="5"/>
        <v>0</v>
      </c>
      <c r="L41" s="13">
        <f t="shared" ca="1" si="6"/>
        <v>241</v>
      </c>
      <c r="M41" s="7">
        <f t="shared" ca="1" si="7"/>
        <v>759</v>
      </c>
      <c r="N41" s="26">
        <f t="shared" ca="1" si="8"/>
        <v>3</v>
      </c>
      <c r="O41" s="44">
        <f t="shared" ca="1" si="9"/>
        <v>2.2442427272544552</v>
      </c>
      <c r="P41" s="44">
        <f t="shared" ca="1" si="10"/>
        <v>22.442427272544553</v>
      </c>
      <c r="Q41" s="44">
        <f t="shared" ca="1" si="11"/>
        <v>22.442427272544553</v>
      </c>
      <c r="R41" s="44">
        <f t="shared" ca="1" si="12"/>
        <v>2.2442427272544552</v>
      </c>
      <c r="S41" s="44">
        <f t="shared" ca="1" si="13"/>
        <v>2.2442427272544552</v>
      </c>
      <c r="T41" s="4">
        <f t="shared" ca="1" si="14"/>
        <v>0</v>
      </c>
      <c r="U41" s="120">
        <f t="shared" ca="1" si="15"/>
        <v>1461.901337549361</v>
      </c>
      <c r="V41" s="4">
        <f t="shared" ca="1" si="16"/>
        <v>0</v>
      </c>
      <c r="W41" s="13">
        <f t="shared" ca="1" si="17"/>
        <v>0</v>
      </c>
      <c r="X41" s="4">
        <f t="shared" ca="1" si="18"/>
        <v>0</v>
      </c>
      <c r="Y41" s="4">
        <f t="shared" si="19"/>
        <v>0</v>
      </c>
      <c r="Z41" s="13">
        <f t="shared" ca="1" si="20"/>
        <v>0</v>
      </c>
      <c r="AA41" s="4">
        <f t="shared" ca="1" si="21"/>
        <v>0</v>
      </c>
      <c r="AE41" s="4"/>
    </row>
    <row r="42" spans="1:31">
      <c r="A42">
        <v>0</v>
      </c>
      <c r="B42">
        <v>0</v>
      </c>
      <c r="C42">
        <f t="shared" ca="1" si="0"/>
        <v>1</v>
      </c>
      <c r="D42">
        <f t="shared" ca="1" si="1"/>
        <v>0</v>
      </c>
      <c r="E42">
        <f t="shared" ca="1" si="2"/>
        <v>0</v>
      </c>
      <c r="F42" s="110">
        <f t="shared" ca="1" si="3"/>
        <v>0.87</v>
      </c>
      <c r="G42">
        <v>0</v>
      </c>
      <c r="H42">
        <v>0</v>
      </c>
      <c r="I42">
        <v>7</v>
      </c>
      <c r="J42" s="1">
        <f t="shared" ca="1" si="4"/>
        <v>0</v>
      </c>
      <c r="K42" s="1">
        <f t="shared" ca="1" si="5"/>
        <v>0</v>
      </c>
      <c r="L42" s="13">
        <f t="shared" ca="1" si="6"/>
        <v>133</v>
      </c>
      <c r="M42" s="7">
        <f t="shared" ca="1" si="7"/>
        <v>867</v>
      </c>
      <c r="N42" s="26">
        <f t="shared" ca="1" si="8"/>
        <v>4</v>
      </c>
      <c r="O42" s="44">
        <f t="shared" ca="1" si="9"/>
        <v>2.8621467101781541</v>
      </c>
      <c r="P42" s="44">
        <f t="shared" ca="1" si="10"/>
        <v>28.621467101781548</v>
      </c>
      <c r="Q42" s="44">
        <f t="shared" ca="1" si="11"/>
        <v>24.914043204239348</v>
      </c>
      <c r="R42" s="44">
        <f t="shared" ca="1" si="12"/>
        <v>2.6767755153010446</v>
      </c>
      <c r="S42" s="44">
        <f t="shared" ca="1" si="13"/>
        <v>2.8491707265367565</v>
      </c>
      <c r="T42" s="4">
        <f t="shared" ca="1" si="14"/>
        <v>0</v>
      </c>
      <c r="U42" s="120">
        <f t="shared" ca="1" si="15"/>
        <v>1622.8690837457082</v>
      </c>
      <c r="V42" s="4">
        <f t="shared" ca="1" si="16"/>
        <v>0</v>
      </c>
      <c r="W42" s="13">
        <f t="shared" ca="1" si="17"/>
        <v>16386.3</v>
      </c>
      <c r="X42" s="4">
        <f t="shared" ca="1" si="18"/>
        <v>0</v>
      </c>
      <c r="Y42" s="4">
        <f t="shared" si="19"/>
        <v>0</v>
      </c>
      <c r="Z42" s="13">
        <f t="shared" ca="1" si="20"/>
        <v>16386.3</v>
      </c>
      <c r="AA42" s="4">
        <f t="shared" ca="1" si="21"/>
        <v>0</v>
      </c>
      <c r="AE42" s="4"/>
    </row>
    <row r="43" spans="1:31">
      <c r="A43">
        <v>0</v>
      </c>
      <c r="B43">
        <v>0</v>
      </c>
      <c r="C43">
        <f t="shared" ca="1" si="0"/>
        <v>1</v>
      </c>
      <c r="D43">
        <f t="shared" ca="1" si="1"/>
        <v>0</v>
      </c>
      <c r="E43">
        <f t="shared" ca="1" si="2"/>
        <v>0</v>
      </c>
      <c r="F43" s="110">
        <f t="shared" ca="1" si="3"/>
        <v>0.87</v>
      </c>
      <c r="G43">
        <v>0</v>
      </c>
      <c r="H43">
        <v>0</v>
      </c>
      <c r="I43">
        <v>6</v>
      </c>
      <c r="J43" s="1">
        <f t="shared" ca="1" si="4"/>
        <v>0</v>
      </c>
      <c r="K43" s="1">
        <f t="shared" ca="1" si="5"/>
        <v>0</v>
      </c>
      <c r="L43" s="13">
        <f t="shared" ca="1" si="6"/>
        <v>114</v>
      </c>
      <c r="M43" s="7">
        <f t="shared" ca="1" si="7"/>
        <v>886</v>
      </c>
      <c r="N43" s="26">
        <f t="shared" ca="1" si="8"/>
        <v>4</v>
      </c>
      <c r="O43" s="44">
        <f t="shared" ca="1" si="9"/>
        <v>2.8621467101781541</v>
      </c>
      <c r="P43" s="44">
        <f t="shared" ca="1" si="10"/>
        <v>28.621467101781548</v>
      </c>
      <c r="Q43" s="44">
        <f t="shared" ca="1" si="11"/>
        <v>28.621467101781548</v>
      </c>
      <c r="R43" s="44">
        <f t="shared" ca="1" si="12"/>
        <v>2.8621467101781546</v>
      </c>
      <c r="S43" s="44">
        <f t="shared" ca="1" si="13"/>
        <v>2.8621467101781541</v>
      </c>
      <c r="T43" s="4">
        <f t="shared" ca="1" si="14"/>
        <v>0</v>
      </c>
      <c r="U43" s="120">
        <f t="shared" ca="1" si="15"/>
        <v>1609.6385655333725</v>
      </c>
      <c r="V43" s="4">
        <f t="shared" ca="1" si="16"/>
        <v>0</v>
      </c>
      <c r="W43" s="13">
        <f t="shared" ca="1" si="17"/>
        <v>14045.400000000001</v>
      </c>
      <c r="X43" s="4">
        <f t="shared" ca="1" si="18"/>
        <v>0</v>
      </c>
      <c r="Y43" s="4">
        <f t="shared" si="19"/>
        <v>0</v>
      </c>
      <c r="Z43" s="13">
        <f t="shared" ca="1" si="20"/>
        <v>14045.400000000001</v>
      </c>
      <c r="AA43" s="4">
        <f t="shared" ca="1" si="21"/>
        <v>0</v>
      </c>
      <c r="AE43" s="4"/>
    </row>
    <row r="44" spans="1:31">
      <c r="A44">
        <v>0</v>
      </c>
      <c r="B44">
        <v>0</v>
      </c>
      <c r="C44">
        <f t="shared" ca="1" si="0"/>
        <v>1</v>
      </c>
      <c r="D44">
        <f t="shared" ca="1" si="1"/>
        <v>0</v>
      </c>
      <c r="E44">
        <f t="shared" ca="1" si="2"/>
        <v>0</v>
      </c>
      <c r="F44" s="110">
        <f t="shared" ca="1" si="3"/>
        <v>0.87</v>
      </c>
      <c r="G44">
        <v>0</v>
      </c>
      <c r="H44">
        <v>0</v>
      </c>
      <c r="I44">
        <v>5</v>
      </c>
      <c r="J44" s="1">
        <f t="shared" ca="1" si="4"/>
        <v>0</v>
      </c>
      <c r="K44" s="1">
        <f t="shared" ca="1" si="5"/>
        <v>0</v>
      </c>
      <c r="L44" s="13">
        <f t="shared" ca="1" si="6"/>
        <v>95</v>
      </c>
      <c r="M44" s="7">
        <f t="shared" ca="1" si="7"/>
        <v>905</v>
      </c>
      <c r="N44" s="26">
        <f t="shared" ca="1" si="8"/>
        <v>4</v>
      </c>
      <c r="O44" s="44">
        <f t="shared" ca="1" si="9"/>
        <v>2.8621467101781541</v>
      </c>
      <c r="P44" s="44">
        <f t="shared" ca="1" si="10"/>
        <v>28.621467101781548</v>
      </c>
      <c r="Q44" s="44">
        <f t="shared" ca="1" si="11"/>
        <v>28.621467101781548</v>
      </c>
      <c r="R44" s="44">
        <f t="shared" ca="1" si="12"/>
        <v>2.8621467101781546</v>
      </c>
      <c r="S44" s="44">
        <f t="shared" ca="1" si="13"/>
        <v>2.8621467101781541</v>
      </c>
      <c r="T44" s="4">
        <f t="shared" ca="1" si="14"/>
        <v>0</v>
      </c>
      <c r="U44" s="120">
        <f t="shared" ca="1" si="15"/>
        <v>1590.6385655333725</v>
      </c>
      <c r="V44" s="4">
        <f t="shared" ca="1" si="16"/>
        <v>0</v>
      </c>
      <c r="W44" s="13">
        <f t="shared" ca="1" si="17"/>
        <v>11704.5</v>
      </c>
      <c r="X44" s="4">
        <f t="shared" ca="1" si="18"/>
        <v>0</v>
      </c>
      <c r="Y44" s="4">
        <f t="shared" si="19"/>
        <v>0</v>
      </c>
      <c r="Z44" s="13">
        <f t="shared" ca="1" si="20"/>
        <v>11704.5</v>
      </c>
      <c r="AA44" s="4">
        <f t="shared" ca="1" si="21"/>
        <v>0</v>
      </c>
      <c r="AE44" s="4"/>
    </row>
    <row r="45" spans="1:31">
      <c r="A45">
        <v>0</v>
      </c>
      <c r="B45">
        <v>0</v>
      </c>
      <c r="C45">
        <f t="shared" ca="1" si="0"/>
        <v>1</v>
      </c>
      <c r="D45">
        <f t="shared" ca="1" si="1"/>
        <v>0</v>
      </c>
      <c r="E45">
        <f t="shared" ca="1" si="2"/>
        <v>0</v>
      </c>
      <c r="F45" s="110">
        <f t="shared" ca="1" si="3"/>
        <v>0.87</v>
      </c>
      <c r="G45">
        <v>0</v>
      </c>
      <c r="H45">
        <v>0</v>
      </c>
      <c r="I45">
        <v>4</v>
      </c>
      <c r="J45" s="1">
        <f t="shared" ca="1" si="4"/>
        <v>0</v>
      </c>
      <c r="K45" s="1">
        <f t="shared" ca="1" si="5"/>
        <v>0</v>
      </c>
      <c r="L45" s="13">
        <f t="shared" ca="1" si="6"/>
        <v>76</v>
      </c>
      <c r="M45" s="7">
        <f t="shared" ca="1" si="7"/>
        <v>924</v>
      </c>
      <c r="N45" s="26">
        <f t="shared" ca="1" si="8"/>
        <v>4</v>
      </c>
      <c r="O45" s="44">
        <f t="shared" ca="1" si="9"/>
        <v>2.8621467101781541</v>
      </c>
      <c r="P45" s="44">
        <f t="shared" ca="1" si="10"/>
        <v>28.621467101781548</v>
      </c>
      <c r="Q45" s="44">
        <f t="shared" ca="1" si="11"/>
        <v>28.621467101781548</v>
      </c>
      <c r="R45" s="44">
        <f t="shared" ca="1" si="12"/>
        <v>2.8621467101781546</v>
      </c>
      <c r="S45" s="44">
        <f t="shared" ca="1" si="13"/>
        <v>2.8621467101781541</v>
      </c>
      <c r="T45" s="4">
        <f t="shared" ca="1" si="14"/>
        <v>0</v>
      </c>
      <c r="U45" s="120">
        <f t="shared" ca="1" si="15"/>
        <v>1571.6385655333725</v>
      </c>
      <c r="V45" s="4">
        <f t="shared" ca="1" si="16"/>
        <v>0</v>
      </c>
      <c r="W45" s="13">
        <f t="shared" ca="1" si="17"/>
        <v>9363.6</v>
      </c>
      <c r="X45" s="4">
        <f t="shared" ca="1" si="18"/>
        <v>0</v>
      </c>
      <c r="Y45" s="4">
        <f t="shared" si="19"/>
        <v>0</v>
      </c>
      <c r="Z45" s="13">
        <f t="shared" ca="1" si="20"/>
        <v>9363.6</v>
      </c>
      <c r="AA45" s="4">
        <f t="shared" ca="1" si="21"/>
        <v>0</v>
      </c>
      <c r="AE45" s="4"/>
    </row>
    <row r="46" spans="1:31">
      <c r="A46">
        <v>0</v>
      </c>
      <c r="B46">
        <v>0</v>
      </c>
      <c r="C46">
        <f t="shared" ca="1" si="0"/>
        <v>1</v>
      </c>
      <c r="D46">
        <f t="shared" ca="1" si="1"/>
        <v>0</v>
      </c>
      <c r="E46">
        <f t="shared" ca="1" si="2"/>
        <v>0</v>
      </c>
      <c r="F46" s="110">
        <f t="shared" ca="1" si="3"/>
        <v>0.87</v>
      </c>
      <c r="G46">
        <v>0</v>
      </c>
      <c r="H46">
        <v>0</v>
      </c>
      <c r="I46">
        <v>3</v>
      </c>
      <c r="J46" s="1">
        <f t="shared" ca="1" si="4"/>
        <v>0</v>
      </c>
      <c r="K46" s="1">
        <f t="shared" ca="1" si="5"/>
        <v>0</v>
      </c>
      <c r="L46" s="13">
        <f t="shared" ca="1" si="6"/>
        <v>57</v>
      </c>
      <c r="M46" s="7">
        <f t="shared" ca="1" si="7"/>
        <v>943</v>
      </c>
      <c r="N46" s="26">
        <f t="shared" ca="1" si="8"/>
        <v>4</v>
      </c>
      <c r="O46" s="44">
        <f t="shared" ca="1" si="9"/>
        <v>2.8621467101781541</v>
      </c>
      <c r="P46" s="44">
        <f t="shared" ca="1" si="10"/>
        <v>28.621467101781548</v>
      </c>
      <c r="Q46" s="44">
        <f t="shared" ca="1" si="11"/>
        <v>28.621467101781548</v>
      </c>
      <c r="R46" s="44">
        <f t="shared" ca="1" si="12"/>
        <v>2.8621467101781546</v>
      </c>
      <c r="S46" s="44">
        <f t="shared" ca="1" si="13"/>
        <v>2.8621467101781541</v>
      </c>
      <c r="T46" s="4">
        <f t="shared" ca="1" si="14"/>
        <v>0</v>
      </c>
      <c r="U46" s="120">
        <f t="shared" ca="1" si="15"/>
        <v>1552.6385655333725</v>
      </c>
      <c r="V46" s="4">
        <f t="shared" ca="1" si="16"/>
        <v>0</v>
      </c>
      <c r="W46" s="13">
        <f t="shared" ca="1" si="17"/>
        <v>7022.7000000000007</v>
      </c>
      <c r="X46" s="4">
        <f t="shared" ca="1" si="18"/>
        <v>0</v>
      </c>
      <c r="Y46" s="4">
        <f t="shared" si="19"/>
        <v>0</v>
      </c>
      <c r="Z46" s="13">
        <f t="shared" ca="1" si="20"/>
        <v>7022.7000000000007</v>
      </c>
      <c r="AA46" s="4">
        <f t="shared" ca="1" si="21"/>
        <v>0</v>
      </c>
      <c r="AE46" s="4"/>
    </row>
    <row r="47" spans="1:31">
      <c r="A47">
        <v>0</v>
      </c>
      <c r="B47">
        <v>0</v>
      </c>
      <c r="C47">
        <f t="shared" ca="1" si="0"/>
        <v>1</v>
      </c>
      <c r="D47">
        <f t="shared" ca="1" si="1"/>
        <v>0</v>
      </c>
      <c r="E47">
        <f t="shared" ca="1" si="2"/>
        <v>0</v>
      </c>
      <c r="F47" s="110">
        <f t="shared" ca="1" si="3"/>
        <v>0.87</v>
      </c>
      <c r="G47">
        <v>0</v>
      </c>
      <c r="H47">
        <v>0</v>
      </c>
      <c r="I47">
        <v>2</v>
      </c>
      <c r="J47" s="1">
        <f t="shared" ca="1" si="4"/>
        <v>0</v>
      </c>
      <c r="K47" s="1">
        <f t="shared" ca="1" si="5"/>
        <v>0</v>
      </c>
      <c r="L47" s="13">
        <f t="shared" ca="1" si="6"/>
        <v>38</v>
      </c>
      <c r="M47" s="7">
        <f t="shared" ca="1" si="7"/>
        <v>962</v>
      </c>
      <c r="N47" s="26">
        <f t="shared" ca="1" si="8"/>
        <v>4</v>
      </c>
      <c r="O47" s="44">
        <f t="shared" ca="1" si="9"/>
        <v>2.8621467101781541</v>
      </c>
      <c r="P47" s="44">
        <f t="shared" ca="1" si="10"/>
        <v>28.621467101781548</v>
      </c>
      <c r="Q47" s="44">
        <f t="shared" ca="1" si="11"/>
        <v>28.621467101781548</v>
      </c>
      <c r="R47" s="44">
        <f t="shared" ca="1" si="12"/>
        <v>2.8621467101781546</v>
      </c>
      <c r="S47" s="44">
        <f t="shared" ca="1" si="13"/>
        <v>2.8621467101781541</v>
      </c>
      <c r="T47" s="4">
        <f t="shared" ca="1" si="14"/>
        <v>0</v>
      </c>
      <c r="U47" s="120">
        <f t="shared" ca="1" si="15"/>
        <v>1533.6385655333725</v>
      </c>
      <c r="V47" s="4">
        <f t="shared" ca="1" si="16"/>
        <v>0</v>
      </c>
      <c r="W47" s="13">
        <f t="shared" ca="1" si="17"/>
        <v>4681.8</v>
      </c>
      <c r="X47" s="4">
        <f t="shared" ca="1" si="18"/>
        <v>0</v>
      </c>
      <c r="Y47" s="4">
        <f t="shared" si="19"/>
        <v>0</v>
      </c>
      <c r="Z47" s="13">
        <f t="shared" ca="1" si="20"/>
        <v>4681.8</v>
      </c>
      <c r="AA47" s="4">
        <f t="shared" ca="1" si="21"/>
        <v>0</v>
      </c>
      <c r="AE47" s="4"/>
    </row>
    <row r="48" spans="1:31">
      <c r="A48">
        <v>0</v>
      </c>
      <c r="B48">
        <v>0</v>
      </c>
      <c r="C48">
        <f t="shared" ca="1" si="0"/>
        <v>1</v>
      </c>
      <c r="D48">
        <f t="shared" ca="1" si="1"/>
        <v>0</v>
      </c>
      <c r="E48">
        <f t="shared" ca="1" si="2"/>
        <v>0</v>
      </c>
      <c r="F48" s="110">
        <f t="shared" ca="1" si="3"/>
        <v>0.87</v>
      </c>
      <c r="G48">
        <v>0</v>
      </c>
      <c r="H48">
        <v>0</v>
      </c>
      <c r="I48">
        <v>1</v>
      </c>
      <c r="J48" s="1">
        <f t="shared" ca="1" si="4"/>
        <v>0</v>
      </c>
      <c r="K48" s="1">
        <f t="shared" ca="1" si="5"/>
        <v>0</v>
      </c>
      <c r="L48" s="13">
        <f t="shared" ca="1" si="6"/>
        <v>19</v>
      </c>
      <c r="M48" s="7">
        <f t="shared" ca="1" si="7"/>
        <v>981</v>
      </c>
      <c r="N48" s="26">
        <f t="shared" ca="1" si="8"/>
        <v>4</v>
      </c>
      <c r="O48" s="44">
        <f t="shared" ca="1" si="9"/>
        <v>2.8621467101781541</v>
      </c>
      <c r="P48" s="44">
        <f t="shared" ca="1" si="10"/>
        <v>28.621467101781548</v>
      </c>
      <c r="Q48" s="44">
        <f t="shared" ca="1" si="11"/>
        <v>28.621467101781548</v>
      </c>
      <c r="R48" s="44">
        <f t="shared" ca="1" si="12"/>
        <v>2.8621467101781546</v>
      </c>
      <c r="S48" s="44">
        <f t="shared" ca="1" si="13"/>
        <v>2.8621467101781541</v>
      </c>
      <c r="T48" s="4">
        <f t="shared" ca="1" si="14"/>
        <v>0</v>
      </c>
      <c r="U48" s="120">
        <f t="shared" ca="1" si="15"/>
        <v>1514.6385655333725</v>
      </c>
      <c r="V48" s="4">
        <f t="shared" ca="1" si="16"/>
        <v>0</v>
      </c>
      <c r="W48" s="13">
        <f t="shared" ca="1" si="17"/>
        <v>2340.9</v>
      </c>
      <c r="X48" s="4">
        <f t="shared" ca="1" si="18"/>
        <v>0</v>
      </c>
      <c r="Y48" s="4">
        <f t="shared" si="19"/>
        <v>0</v>
      </c>
      <c r="Z48" s="13">
        <f t="shared" ca="1" si="20"/>
        <v>2340.9</v>
      </c>
      <c r="AA48" s="4">
        <f t="shared" ca="1" si="21"/>
        <v>0</v>
      </c>
      <c r="AE48" s="4"/>
    </row>
    <row r="49" spans="1:31">
      <c r="A49">
        <v>0</v>
      </c>
      <c r="B49">
        <v>0</v>
      </c>
      <c r="C49">
        <f t="shared" ca="1" si="0"/>
        <v>1</v>
      </c>
      <c r="D49">
        <f t="shared" ca="1" si="1"/>
        <v>0</v>
      </c>
      <c r="E49">
        <f t="shared" ca="1" si="2"/>
        <v>0</v>
      </c>
      <c r="F49" s="110">
        <f t="shared" ca="1" si="3"/>
        <v>0.87</v>
      </c>
      <c r="G49">
        <v>0</v>
      </c>
      <c r="H49">
        <v>0</v>
      </c>
      <c r="I49">
        <v>0</v>
      </c>
      <c r="J49" s="1">
        <f t="shared" ca="1" si="4"/>
        <v>0.05</v>
      </c>
      <c r="K49" s="1">
        <f t="shared" ca="1" si="5"/>
        <v>4.3500000000000004E-2</v>
      </c>
      <c r="L49" s="13">
        <f t="shared" ca="1" si="6"/>
        <v>0</v>
      </c>
      <c r="M49" s="7">
        <f t="shared" ca="1" si="7"/>
        <v>1000</v>
      </c>
      <c r="N49" s="26">
        <f t="shared" ca="1" si="8"/>
        <v>4</v>
      </c>
      <c r="O49" s="44">
        <f t="shared" ca="1" si="9"/>
        <v>2.8621467101781541</v>
      </c>
      <c r="P49" s="44">
        <f t="shared" ca="1" si="10"/>
        <v>28.621467101781548</v>
      </c>
      <c r="Q49" s="44">
        <f t="shared" ca="1" si="11"/>
        <v>28.621467101781548</v>
      </c>
      <c r="R49" s="44">
        <f t="shared" ca="1" si="12"/>
        <v>2.8621467101781546</v>
      </c>
      <c r="S49" s="44">
        <f t="shared" ca="1" si="13"/>
        <v>2.8621467101781541</v>
      </c>
      <c r="T49" s="4">
        <f t="shared" ca="1" si="14"/>
        <v>0.12450338189274972</v>
      </c>
      <c r="U49" s="120">
        <f t="shared" ca="1" si="15"/>
        <v>1495.6385655333725</v>
      </c>
      <c r="V49" s="4">
        <f t="shared" ca="1" si="16"/>
        <v>65.06027760070171</v>
      </c>
      <c r="W49" s="13">
        <f t="shared" ca="1" si="17"/>
        <v>0</v>
      </c>
      <c r="X49" s="4">
        <f t="shared" ca="1" si="18"/>
        <v>0</v>
      </c>
      <c r="Y49" s="4">
        <f t="shared" si="19"/>
        <v>0</v>
      </c>
      <c r="Z49" s="13">
        <f t="shared" ca="1" si="20"/>
        <v>0</v>
      </c>
      <c r="AA49" s="4">
        <f t="shared" ca="1" si="21"/>
        <v>0</v>
      </c>
      <c r="AE49" s="4"/>
    </row>
    <row r="50" spans="1:31">
      <c r="A50">
        <v>0</v>
      </c>
      <c r="B50">
        <v>1</v>
      </c>
      <c r="C50">
        <f t="shared" ca="1" si="0"/>
        <v>2</v>
      </c>
      <c r="D50">
        <f t="shared" ca="1" si="1"/>
        <v>1</v>
      </c>
      <c r="E50">
        <f t="shared" ca="1" si="2"/>
        <v>0</v>
      </c>
      <c r="F50" s="110">
        <f t="shared" ca="1" si="3"/>
        <v>0</v>
      </c>
      <c r="G50">
        <v>1</v>
      </c>
      <c r="H50">
        <v>1</v>
      </c>
      <c r="I50">
        <v>7</v>
      </c>
      <c r="J50" s="1">
        <f t="shared" ca="1" si="4"/>
        <v>0</v>
      </c>
      <c r="K50" s="1">
        <f t="shared" ca="1" si="5"/>
        <v>0</v>
      </c>
      <c r="L50" s="13">
        <f t="shared" ca="1" si="6"/>
        <v>615</v>
      </c>
      <c r="M50" s="7">
        <f t="shared" ca="1" si="7"/>
        <v>385</v>
      </c>
      <c r="N50" s="26">
        <f t="shared" ca="1" si="8"/>
        <v>2</v>
      </c>
      <c r="O50" s="44">
        <f t="shared" ca="1" si="9"/>
        <v>1.5762319669595739</v>
      </c>
      <c r="P50" s="44">
        <f t="shared" ca="1" si="10"/>
        <v>15.762319669595739</v>
      </c>
      <c r="Q50" s="44">
        <f t="shared" ca="1" si="11"/>
        <v>15.762319669595739</v>
      </c>
      <c r="R50" s="44">
        <f t="shared" ca="1" si="12"/>
        <v>1.5762319669595739</v>
      </c>
      <c r="S50" s="44">
        <f t="shared" ca="1" si="13"/>
        <v>1.5762319669595737</v>
      </c>
      <c r="T50" s="4">
        <f t="shared" ca="1" si="14"/>
        <v>0</v>
      </c>
      <c r="U50" s="120">
        <f t="shared" ca="1" si="15"/>
        <v>1538.885248288175</v>
      </c>
      <c r="V50" s="4">
        <f t="shared" ca="1" si="16"/>
        <v>0</v>
      </c>
      <c r="W50" s="13">
        <f t="shared" ca="1" si="17"/>
        <v>40973.706000000006</v>
      </c>
      <c r="X50" s="4">
        <f t="shared" ca="1" si="18"/>
        <v>0</v>
      </c>
      <c r="Y50" s="4">
        <f t="shared" si="19"/>
        <v>0</v>
      </c>
      <c r="Z50" s="13">
        <f t="shared" ca="1" si="20"/>
        <v>40973.706000000006</v>
      </c>
      <c r="AA50" s="4">
        <f t="shared" ca="1" si="21"/>
        <v>0</v>
      </c>
      <c r="AE50" s="4"/>
    </row>
    <row r="51" spans="1:31">
      <c r="A51">
        <v>0</v>
      </c>
      <c r="B51">
        <v>1</v>
      </c>
      <c r="C51">
        <f t="shared" ca="1" si="0"/>
        <v>2</v>
      </c>
      <c r="D51">
        <f t="shared" ca="1" si="1"/>
        <v>1</v>
      </c>
      <c r="E51">
        <f t="shared" ca="1" si="2"/>
        <v>0</v>
      </c>
      <c r="F51" s="110">
        <f t="shared" ca="1" si="3"/>
        <v>0</v>
      </c>
      <c r="G51">
        <v>1</v>
      </c>
      <c r="H51">
        <v>1</v>
      </c>
      <c r="I51">
        <v>6</v>
      </c>
      <c r="J51" s="1">
        <f t="shared" ca="1" si="4"/>
        <v>0</v>
      </c>
      <c r="K51" s="1">
        <f t="shared" ca="1" si="5"/>
        <v>0</v>
      </c>
      <c r="L51" s="13">
        <f t="shared" ca="1" si="6"/>
        <v>596</v>
      </c>
      <c r="M51" s="7">
        <f t="shared" ca="1" si="7"/>
        <v>404</v>
      </c>
      <c r="N51" s="26">
        <f t="shared" ca="1" si="8"/>
        <v>2</v>
      </c>
      <c r="O51" s="44">
        <f t="shared" ca="1" si="9"/>
        <v>1.5762319669595739</v>
      </c>
      <c r="P51" s="44">
        <f t="shared" ca="1" si="10"/>
        <v>15.762319669595739</v>
      </c>
      <c r="Q51" s="44">
        <f t="shared" ca="1" si="11"/>
        <v>15.762319669595739</v>
      </c>
      <c r="R51" s="44">
        <f t="shared" ca="1" si="12"/>
        <v>1.5762319669595739</v>
      </c>
      <c r="S51" s="44">
        <f t="shared" ca="1" si="13"/>
        <v>1.5762319669595737</v>
      </c>
      <c r="T51" s="4">
        <f t="shared" ca="1" si="14"/>
        <v>0</v>
      </c>
      <c r="U51" s="120">
        <f t="shared" ca="1" si="15"/>
        <v>1519.885248288175</v>
      </c>
      <c r="V51" s="4">
        <f t="shared" ca="1" si="16"/>
        <v>0</v>
      </c>
      <c r="W51" s="13">
        <f t="shared" ca="1" si="17"/>
        <v>38632.806000000004</v>
      </c>
      <c r="X51" s="4">
        <f t="shared" ca="1" si="18"/>
        <v>0</v>
      </c>
      <c r="Y51" s="4">
        <f t="shared" si="19"/>
        <v>0</v>
      </c>
      <c r="Z51" s="13">
        <f t="shared" ca="1" si="20"/>
        <v>38632.806000000004</v>
      </c>
      <c r="AA51" s="4">
        <f t="shared" ca="1" si="21"/>
        <v>0</v>
      </c>
      <c r="AE51" s="4"/>
    </row>
    <row r="52" spans="1:31">
      <c r="A52">
        <v>0</v>
      </c>
      <c r="B52">
        <v>1</v>
      </c>
      <c r="C52">
        <f t="shared" ca="1" si="0"/>
        <v>2</v>
      </c>
      <c r="D52">
        <f t="shared" ca="1" si="1"/>
        <v>1</v>
      </c>
      <c r="E52">
        <f t="shared" ca="1" si="2"/>
        <v>0</v>
      </c>
      <c r="F52" s="110">
        <f t="shared" ca="1" si="3"/>
        <v>0</v>
      </c>
      <c r="G52">
        <v>1</v>
      </c>
      <c r="H52">
        <v>1</v>
      </c>
      <c r="I52">
        <v>5</v>
      </c>
      <c r="J52" s="1">
        <f t="shared" ca="1" si="4"/>
        <v>0</v>
      </c>
      <c r="K52" s="1">
        <f t="shared" ca="1" si="5"/>
        <v>0</v>
      </c>
      <c r="L52" s="13">
        <f t="shared" ca="1" si="6"/>
        <v>577</v>
      </c>
      <c r="M52" s="7">
        <f t="shared" ca="1" si="7"/>
        <v>423</v>
      </c>
      <c r="N52" s="26">
        <f t="shared" ca="1" si="8"/>
        <v>2</v>
      </c>
      <c r="O52" s="44">
        <f t="shared" ca="1" si="9"/>
        <v>1.5762319669595739</v>
      </c>
      <c r="P52" s="44">
        <f t="shared" ca="1" si="10"/>
        <v>15.762319669595739</v>
      </c>
      <c r="Q52" s="44">
        <f t="shared" ca="1" si="11"/>
        <v>15.762319669595739</v>
      </c>
      <c r="R52" s="44">
        <f t="shared" ca="1" si="12"/>
        <v>1.5762319669595739</v>
      </c>
      <c r="S52" s="44">
        <f t="shared" ca="1" si="13"/>
        <v>1.5762319669595737</v>
      </c>
      <c r="T52" s="4">
        <f t="shared" ca="1" si="14"/>
        <v>0</v>
      </c>
      <c r="U52" s="120">
        <f t="shared" ca="1" si="15"/>
        <v>1500.885248288175</v>
      </c>
      <c r="V52" s="4">
        <f t="shared" ca="1" si="16"/>
        <v>0</v>
      </c>
      <c r="W52" s="13">
        <f t="shared" ca="1" si="17"/>
        <v>36291.906000000003</v>
      </c>
      <c r="X52" s="4">
        <f t="shared" ca="1" si="18"/>
        <v>0</v>
      </c>
      <c r="Y52" s="4">
        <f t="shared" si="19"/>
        <v>0</v>
      </c>
      <c r="Z52" s="13">
        <f t="shared" ca="1" si="20"/>
        <v>36291.906000000003</v>
      </c>
      <c r="AA52" s="4">
        <f t="shared" ca="1" si="21"/>
        <v>0</v>
      </c>
      <c r="AE52" s="4"/>
    </row>
    <row r="53" spans="1:31">
      <c r="A53">
        <v>0</v>
      </c>
      <c r="B53">
        <v>1</v>
      </c>
      <c r="C53">
        <f t="shared" ca="1" si="0"/>
        <v>2</v>
      </c>
      <c r="D53">
        <f t="shared" ca="1" si="1"/>
        <v>1</v>
      </c>
      <c r="E53">
        <f t="shared" ca="1" si="2"/>
        <v>0</v>
      </c>
      <c r="F53" s="110">
        <f t="shared" ca="1" si="3"/>
        <v>0</v>
      </c>
      <c r="G53">
        <v>1</v>
      </c>
      <c r="H53">
        <v>1</v>
      </c>
      <c r="I53">
        <v>4</v>
      </c>
      <c r="J53" s="1">
        <f t="shared" ca="1" si="4"/>
        <v>0</v>
      </c>
      <c r="K53" s="1">
        <f t="shared" ca="1" si="5"/>
        <v>0</v>
      </c>
      <c r="L53" s="13">
        <f t="shared" ca="1" si="6"/>
        <v>558</v>
      </c>
      <c r="M53" s="7">
        <f t="shared" ca="1" si="7"/>
        <v>442</v>
      </c>
      <c r="N53" s="26">
        <f t="shared" ca="1" si="8"/>
        <v>2</v>
      </c>
      <c r="O53" s="44">
        <f t="shared" ca="1" si="9"/>
        <v>1.5762319669595739</v>
      </c>
      <c r="P53" s="44">
        <f t="shared" ca="1" si="10"/>
        <v>15.762319669595739</v>
      </c>
      <c r="Q53" s="44">
        <f t="shared" ca="1" si="11"/>
        <v>15.762319669595739</v>
      </c>
      <c r="R53" s="44">
        <f t="shared" ca="1" si="12"/>
        <v>1.5762319669595739</v>
      </c>
      <c r="S53" s="44">
        <f t="shared" ca="1" si="13"/>
        <v>1.5762319669595737</v>
      </c>
      <c r="T53" s="4">
        <f t="shared" ca="1" si="14"/>
        <v>0</v>
      </c>
      <c r="U53" s="120">
        <f t="shared" ca="1" si="15"/>
        <v>1481.885248288175</v>
      </c>
      <c r="V53" s="4">
        <f t="shared" ca="1" si="16"/>
        <v>0</v>
      </c>
      <c r="W53" s="13">
        <f t="shared" ca="1" si="17"/>
        <v>33951.006000000001</v>
      </c>
      <c r="X53" s="4">
        <f t="shared" ca="1" si="18"/>
        <v>0</v>
      </c>
      <c r="Y53" s="4">
        <f t="shared" si="19"/>
        <v>0</v>
      </c>
      <c r="Z53" s="13">
        <f t="shared" ca="1" si="20"/>
        <v>33951.006000000001</v>
      </c>
      <c r="AA53" s="4">
        <f t="shared" ca="1" si="21"/>
        <v>0</v>
      </c>
      <c r="AE53" s="4"/>
    </row>
    <row r="54" spans="1:31">
      <c r="A54">
        <v>0</v>
      </c>
      <c r="B54">
        <v>1</v>
      </c>
      <c r="C54">
        <f t="shared" ca="1" si="0"/>
        <v>2</v>
      </c>
      <c r="D54">
        <f t="shared" ca="1" si="1"/>
        <v>1</v>
      </c>
      <c r="E54">
        <f t="shared" ca="1" si="2"/>
        <v>0</v>
      </c>
      <c r="F54" s="110">
        <f t="shared" ca="1" si="3"/>
        <v>0</v>
      </c>
      <c r="G54">
        <v>1</v>
      </c>
      <c r="H54">
        <v>1</v>
      </c>
      <c r="I54">
        <v>3</v>
      </c>
      <c r="J54" s="1">
        <f t="shared" ca="1" si="4"/>
        <v>0</v>
      </c>
      <c r="K54" s="1">
        <f t="shared" ca="1" si="5"/>
        <v>0</v>
      </c>
      <c r="L54" s="13">
        <f t="shared" ca="1" si="6"/>
        <v>539</v>
      </c>
      <c r="M54" s="7">
        <f t="shared" ca="1" si="7"/>
        <v>461</v>
      </c>
      <c r="N54" s="26">
        <f t="shared" ca="1" si="8"/>
        <v>2</v>
      </c>
      <c r="O54" s="44">
        <f t="shared" ca="1" si="9"/>
        <v>1.5762319669595739</v>
      </c>
      <c r="P54" s="44">
        <f t="shared" ca="1" si="10"/>
        <v>15.762319669595739</v>
      </c>
      <c r="Q54" s="44">
        <f t="shared" ca="1" si="11"/>
        <v>15.762319669595739</v>
      </c>
      <c r="R54" s="44">
        <f t="shared" ca="1" si="12"/>
        <v>1.5762319669595739</v>
      </c>
      <c r="S54" s="44">
        <f t="shared" ca="1" si="13"/>
        <v>1.5762319669595737</v>
      </c>
      <c r="T54" s="4">
        <f t="shared" ca="1" si="14"/>
        <v>0</v>
      </c>
      <c r="U54" s="120">
        <f t="shared" ca="1" si="15"/>
        <v>1462.885248288175</v>
      </c>
      <c r="V54" s="4">
        <f t="shared" ca="1" si="16"/>
        <v>0</v>
      </c>
      <c r="W54" s="13">
        <f t="shared" ca="1" si="17"/>
        <v>31610.106000000003</v>
      </c>
      <c r="X54" s="4">
        <f t="shared" ca="1" si="18"/>
        <v>0</v>
      </c>
      <c r="Y54" s="4">
        <f t="shared" si="19"/>
        <v>0</v>
      </c>
      <c r="Z54" s="13">
        <f t="shared" ca="1" si="20"/>
        <v>31610.106000000003</v>
      </c>
      <c r="AA54" s="4">
        <f t="shared" ca="1" si="21"/>
        <v>0</v>
      </c>
      <c r="AE54" s="4"/>
    </row>
    <row r="55" spans="1:31">
      <c r="A55">
        <v>0</v>
      </c>
      <c r="B55">
        <v>1</v>
      </c>
      <c r="C55">
        <f t="shared" ca="1" si="0"/>
        <v>2</v>
      </c>
      <c r="D55">
        <f t="shared" ca="1" si="1"/>
        <v>1</v>
      </c>
      <c r="E55">
        <f t="shared" ca="1" si="2"/>
        <v>0</v>
      </c>
      <c r="F55" s="110">
        <f t="shared" ca="1" si="3"/>
        <v>0</v>
      </c>
      <c r="G55">
        <v>1</v>
      </c>
      <c r="H55">
        <v>1</v>
      </c>
      <c r="I55">
        <v>2</v>
      </c>
      <c r="J55" s="1">
        <f t="shared" ca="1" si="4"/>
        <v>0</v>
      </c>
      <c r="K55" s="1">
        <f t="shared" ca="1" si="5"/>
        <v>0</v>
      </c>
      <c r="L55" s="13">
        <f t="shared" ca="1" si="6"/>
        <v>520</v>
      </c>
      <c r="M55" s="7">
        <f t="shared" ca="1" si="7"/>
        <v>480</v>
      </c>
      <c r="N55" s="26">
        <f t="shared" ca="1" si="8"/>
        <v>2</v>
      </c>
      <c r="O55" s="44">
        <f t="shared" ca="1" si="9"/>
        <v>1.5762319669595739</v>
      </c>
      <c r="P55" s="44">
        <f t="shared" ca="1" si="10"/>
        <v>15.762319669595739</v>
      </c>
      <c r="Q55" s="44">
        <f t="shared" ca="1" si="11"/>
        <v>15.762319669595739</v>
      </c>
      <c r="R55" s="44">
        <f t="shared" ca="1" si="12"/>
        <v>1.5762319669595739</v>
      </c>
      <c r="S55" s="44">
        <f t="shared" ca="1" si="13"/>
        <v>1.5762319669595737</v>
      </c>
      <c r="T55" s="4">
        <f t="shared" ca="1" si="14"/>
        <v>0</v>
      </c>
      <c r="U55" s="120">
        <f t="shared" ca="1" si="15"/>
        <v>1443.885248288175</v>
      </c>
      <c r="V55" s="4">
        <f t="shared" ca="1" si="16"/>
        <v>0</v>
      </c>
      <c r="W55" s="13">
        <f t="shared" ca="1" si="17"/>
        <v>29269.206000000002</v>
      </c>
      <c r="X55" s="4">
        <f t="shared" ca="1" si="18"/>
        <v>0</v>
      </c>
      <c r="Y55" s="4">
        <f t="shared" si="19"/>
        <v>0</v>
      </c>
      <c r="Z55" s="13">
        <f t="shared" ca="1" si="20"/>
        <v>29269.206000000002</v>
      </c>
      <c r="AA55" s="4">
        <f t="shared" ca="1" si="21"/>
        <v>0</v>
      </c>
      <c r="AE55" s="4"/>
    </row>
    <row r="56" spans="1:31">
      <c r="A56">
        <v>0</v>
      </c>
      <c r="B56">
        <v>1</v>
      </c>
      <c r="C56">
        <f t="shared" ca="1" si="0"/>
        <v>2</v>
      </c>
      <c r="D56">
        <f t="shared" ca="1" si="1"/>
        <v>1</v>
      </c>
      <c r="E56">
        <f t="shared" ca="1" si="2"/>
        <v>0</v>
      </c>
      <c r="F56" s="110">
        <f t="shared" ca="1" si="3"/>
        <v>0</v>
      </c>
      <c r="G56">
        <v>1</v>
      </c>
      <c r="H56">
        <v>1</v>
      </c>
      <c r="I56">
        <v>1</v>
      </c>
      <c r="J56" s="1">
        <f t="shared" ca="1" si="4"/>
        <v>0</v>
      </c>
      <c r="K56" s="1">
        <f t="shared" ca="1" si="5"/>
        <v>0</v>
      </c>
      <c r="L56" s="13">
        <f t="shared" ca="1" si="6"/>
        <v>501</v>
      </c>
      <c r="M56" s="7">
        <f t="shared" ca="1" si="7"/>
        <v>499</v>
      </c>
      <c r="N56" s="26">
        <f t="shared" ca="1" si="8"/>
        <v>2</v>
      </c>
      <c r="O56" s="44">
        <f t="shared" ca="1" si="9"/>
        <v>1.5762319669595739</v>
      </c>
      <c r="P56" s="44">
        <f t="shared" ca="1" si="10"/>
        <v>15.762319669595739</v>
      </c>
      <c r="Q56" s="44">
        <f t="shared" ca="1" si="11"/>
        <v>15.762319669595739</v>
      </c>
      <c r="R56" s="44">
        <f t="shared" ca="1" si="12"/>
        <v>1.5762319669595739</v>
      </c>
      <c r="S56" s="44">
        <f t="shared" ca="1" si="13"/>
        <v>1.5762319669595737</v>
      </c>
      <c r="T56" s="4">
        <f t="shared" ca="1" si="14"/>
        <v>0</v>
      </c>
      <c r="U56" s="120">
        <f t="shared" ca="1" si="15"/>
        <v>1424.885248288175</v>
      </c>
      <c r="V56" s="4">
        <f t="shared" ca="1" si="16"/>
        <v>0</v>
      </c>
      <c r="W56" s="13">
        <f t="shared" ca="1" si="17"/>
        <v>26928.306000000004</v>
      </c>
      <c r="X56" s="4">
        <f t="shared" ca="1" si="18"/>
        <v>0</v>
      </c>
      <c r="Y56" s="4">
        <f t="shared" si="19"/>
        <v>0</v>
      </c>
      <c r="Z56" s="13">
        <f t="shared" ca="1" si="20"/>
        <v>26928.306000000004</v>
      </c>
      <c r="AA56" s="4">
        <f t="shared" ca="1" si="21"/>
        <v>0</v>
      </c>
      <c r="AE56" s="4"/>
    </row>
    <row r="57" spans="1:31">
      <c r="A57">
        <v>0</v>
      </c>
      <c r="B57">
        <v>1</v>
      </c>
      <c r="C57">
        <f t="shared" ca="1" si="0"/>
        <v>2</v>
      </c>
      <c r="D57">
        <f t="shared" ca="1" si="1"/>
        <v>1</v>
      </c>
      <c r="E57">
        <f t="shared" ca="1" si="2"/>
        <v>0</v>
      </c>
      <c r="F57" s="110">
        <f t="shared" ca="1" si="3"/>
        <v>0</v>
      </c>
      <c r="G57">
        <v>1</v>
      </c>
      <c r="H57">
        <v>1</v>
      </c>
      <c r="I57">
        <v>0</v>
      </c>
      <c r="J57" s="1">
        <f t="shared" ca="1" si="4"/>
        <v>0</v>
      </c>
      <c r="K57" s="1">
        <f t="shared" ca="1" si="5"/>
        <v>0</v>
      </c>
      <c r="L57" s="13">
        <f t="shared" ca="1" si="6"/>
        <v>482</v>
      </c>
      <c r="M57" s="7">
        <f t="shared" ca="1" si="7"/>
        <v>518</v>
      </c>
      <c r="N57" s="26">
        <f t="shared" ca="1" si="8"/>
        <v>2</v>
      </c>
      <c r="O57" s="44">
        <f t="shared" ca="1" si="9"/>
        <v>1.5762319669595739</v>
      </c>
      <c r="P57" s="44">
        <f t="shared" ca="1" si="10"/>
        <v>15.762319669595739</v>
      </c>
      <c r="Q57" s="44">
        <f t="shared" ca="1" si="11"/>
        <v>15.762319669595739</v>
      </c>
      <c r="R57" s="44">
        <f t="shared" ca="1" si="12"/>
        <v>1.5762319669595739</v>
      </c>
      <c r="S57" s="44">
        <f t="shared" ca="1" si="13"/>
        <v>1.5762319669595737</v>
      </c>
      <c r="T57" s="4">
        <f t="shared" ca="1" si="14"/>
        <v>0</v>
      </c>
      <c r="U57" s="120">
        <f t="shared" ca="1" si="15"/>
        <v>1405.885248288175</v>
      </c>
      <c r="V57" s="4">
        <f t="shared" ca="1" si="16"/>
        <v>0</v>
      </c>
      <c r="W57" s="13">
        <f t="shared" ca="1" si="17"/>
        <v>24587.406000000003</v>
      </c>
      <c r="X57" s="4">
        <f t="shared" ca="1" si="18"/>
        <v>0</v>
      </c>
      <c r="Y57" s="4">
        <f t="shared" si="19"/>
        <v>0</v>
      </c>
      <c r="Z57" s="13">
        <f t="shared" ca="1" si="20"/>
        <v>24587.406000000003</v>
      </c>
      <c r="AA57" s="4">
        <f t="shared" ca="1" si="21"/>
        <v>0</v>
      </c>
      <c r="AE57" s="4"/>
    </row>
    <row r="58" spans="1:31">
      <c r="A58">
        <v>0</v>
      </c>
      <c r="B58">
        <v>1</v>
      </c>
      <c r="C58">
        <f t="shared" ca="1" si="0"/>
        <v>2</v>
      </c>
      <c r="D58">
        <f t="shared" ca="1" si="1"/>
        <v>1</v>
      </c>
      <c r="E58">
        <f t="shared" ca="1" si="2"/>
        <v>0</v>
      </c>
      <c r="F58" s="110">
        <f t="shared" ca="1" si="3"/>
        <v>0</v>
      </c>
      <c r="G58">
        <v>1</v>
      </c>
      <c r="H58">
        <v>0</v>
      </c>
      <c r="I58">
        <v>7</v>
      </c>
      <c r="J58" s="1">
        <f t="shared" ca="1" si="4"/>
        <v>0</v>
      </c>
      <c r="K58" s="1">
        <f t="shared" ca="1" si="5"/>
        <v>0</v>
      </c>
      <c r="L58" s="13">
        <f t="shared" ca="1" si="6"/>
        <v>374</v>
      </c>
      <c r="M58" s="7">
        <f t="shared" ca="1" si="7"/>
        <v>626</v>
      </c>
      <c r="N58" s="26">
        <f t="shared" ca="1" si="8"/>
        <v>3</v>
      </c>
      <c r="O58" s="44">
        <f t="shared" ca="1" si="9"/>
        <v>2.2442427272544552</v>
      </c>
      <c r="P58" s="44">
        <f t="shared" ca="1" si="10"/>
        <v>22.442427272544553</v>
      </c>
      <c r="Q58" s="44">
        <f t="shared" ca="1" si="11"/>
        <v>22.442427272544553</v>
      </c>
      <c r="R58" s="44">
        <f t="shared" ca="1" si="12"/>
        <v>2.2442427272544552</v>
      </c>
      <c r="S58" s="44">
        <f t="shared" ca="1" si="13"/>
        <v>2.2442427272544552</v>
      </c>
      <c r="T58" s="4">
        <f t="shared" ca="1" si="14"/>
        <v>0</v>
      </c>
      <c r="U58" s="120">
        <f t="shared" ca="1" si="15"/>
        <v>1594.901337549361</v>
      </c>
      <c r="V58" s="4">
        <f t="shared" ca="1" si="16"/>
        <v>0</v>
      </c>
      <c r="W58" s="13">
        <f t="shared" ca="1" si="17"/>
        <v>40973.706000000006</v>
      </c>
      <c r="X58" s="4">
        <f t="shared" ca="1" si="18"/>
        <v>0</v>
      </c>
      <c r="Y58" s="4">
        <f t="shared" si="19"/>
        <v>0</v>
      </c>
      <c r="Z58" s="13">
        <f t="shared" ca="1" si="20"/>
        <v>40973.706000000006</v>
      </c>
      <c r="AA58" s="4">
        <f t="shared" ca="1" si="21"/>
        <v>0</v>
      </c>
      <c r="AE58" s="4"/>
    </row>
    <row r="59" spans="1:31">
      <c r="A59">
        <v>0</v>
      </c>
      <c r="B59">
        <v>1</v>
      </c>
      <c r="C59">
        <f t="shared" ca="1" si="0"/>
        <v>2</v>
      </c>
      <c r="D59">
        <f t="shared" ca="1" si="1"/>
        <v>1</v>
      </c>
      <c r="E59">
        <f t="shared" ca="1" si="2"/>
        <v>0</v>
      </c>
      <c r="F59" s="110">
        <f t="shared" ca="1" si="3"/>
        <v>0</v>
      </c>
      <c r="G59">
        <v>1</v>
      </c>
      <c r="H59">
        <v>0</v>
      </c>
      <c r="I59">
        <v>6</v>
      </c>
      <c r="J59" s="1">
        <f t="shared" ca="1" si="4"/>
        <v>0</v>
      </c>
      <c r="K59" s="1">
        <f t="shared" ca="1" si="5"/>
        <v>0</v>
      </c>
      <c r="L59" s="13">
        <f t="shared" ca="1" si="6"/>
        <v>355</v>
      </c>
      <c r="M59" s="7">
        <f t="shared" ca="1" si="7"/>
        <v>645</v>
      </c>
      <c r="N59" s="26">
        <f t="shared" ca="1" si="8"/>
        <v>3</v>
      </c>
      <c r="O59" s="44">
        <f t="shared" ca="1" si="9"/>
        <v>2.2442427272544552</v>
      </c>
      <c r="P59" s="44">
        <f t="shared" ca="1" si="10"/>
        <v>22.442427272544553</v>
      </c>
      <c r="Q59" s="44">
        <f t="shared" ca="1" si="11"/>
        <v>22.442427272544553</v>
      </c>
      <c r="R59" s="44">
        <f t="shared" ca="1" si="12"/>
        <v>2.2442427272544552</v>
      </c>
      <c r="S59" s="44">
        <f t="shared" ca="1" si="13"/>
        <v>2.2442427272544552</v>
      </c>
      <c r="T59" s="4">
        <f t="shared" ca="1" si="14"/>
        <v>0</v>
      </c>
      <c r="U59" s="120">
        <f t="shared" ca="1" si="15"/>
        <v>1575.901337549361</v>
      </c>
      <c r="V59" s="4">
        <f t="shared" ca="1" si="16"/>
        <v>0</v>
      </c>
      <c r="W59" s="13">
        <f t="shared" ca="1" si="17"/>
        <v>38632.806000000004</v>
      </c>
      <c r="X59" s="4">
        <f t="shared" ca="1" si="18"/>
        <v>0</v>
      </c>
      <c r="Y59" s="4">
        <f t="shared" si="19"/>
        <v>0</v>
      </c>
      <c r="Z59" s="13">
        <f t="shared" ca="1" si="20"/>
        <v>38632.806000000004</v>
      </c>
      <c r="AA59" s="4">
        <f t="shared" ca="1" si="21"/>
        <v>0</v>
      </c>
      <c r="AE59" s="4"/>
    </row>
    <row r="60" spans="1:31">
      <c r="A60">
        <v>0</v>
      </c>
      <c r="B60">
        <v>1</v>
      </c>
      <c r="C60">
        <f t="shared" ca="1" si="0"/>
        <v>2</v>
      </c>
      <c r="D60">
        <f t="shared" ca="1" si="1"/>
        <v>1</v>
      </c>
      <c r="E60">
        <f t="shared" ca="1" si="2"/>
        <v>0</v>
      </c>
      <c r="F60" s="110">
        <f t="shared" ca="1" si="3"/>
        <v>0</v>
      </c>
      <c r="G60">
        <v>1</v>
      </c>
      <c r="H60">
        <v>0</v>
      </c>
      <c r="I60">
        <v>5</v>
      </c>
      <c r="J60" s="1">
        <f t="shared" ca="1" si="4"/>
        <v>0</v>
      </c>
      <c r="K60" s="1">
        <f t="shared" ca="1" si="5"/>
        <v>0</v>
      </c>
      <c r="L60" s="13">
        <f t="shared" ca="1" si="6"/>
        <v>336</v>
      </c>
      <c r="M60" s="7">
        <f t="shared" ca="1" si="7"/>
        <v>664</v>
      </c>
      <c r="N60" s="26">
        <f t="shared" ca="1" si="8"/>
        <v>3</v>
      </c>
      <c r="O60" s="44">
        <f t="shared" ca="1" si="9"/>
        <v>2.2442427272544552</v>
      </c>
      <c r="P60" s="44">
        <f t="shared" ca="1" si="10"/>
        <v>22.442427272544553</v>
      </c>
      <c r="Q60" s="44">
        <f t="shared" ca="1" si="11"/>
        <v>22.442427272544553</v>
      </c>
      <c r="R60" s="44">
        <f t="shared" ca="1" si="12"/>
        <v>2.2442427272544552</v>
      </c>
      <c r="S60" s="44">
        <f t="shared" ca="1" si="13"/>
        <v>2.2442427272544552</v>
      </c>
      <c r="T60" s="4">
        <f t="shared" ca="1" si="14"/>
        <v>0</v>
      </c>
      <c r="U60" s="120">
        <f t="shared" ca="1" si="15"/>
        <v>1556.901337549361</v>
      </c>
      <c r="V60" s="4">
        <f t="shared" ca="1" si="16"/>
        <v>0</v>
      </c>
      <c r="W60" s="13">
        <f t="shared" ca="1" si="17"/>
        <v>36291.906000000003</v>
      </c>
      <c r="X60" s="4">
        <f t="shared" ca="1" si="18"/>
        <v>0</v>
      </c>
      <c r="Y60" s="4">
        <f t="shared" si="19"/>
        <v>0</v>
      </c>
      <c r="Z60" s="13">
        <f t="shared" ca="1" si="20"/>
        <v>36291.906000000003</v>
      </c>
      <c r="AA60" s="4">
        <f t="shared" ca="1" si="21"/>
        <v>0</v>
      </c>
      <c r="AE60" s="4"/>
    </row>
    <row r="61" spans="1:31">
      <c r="A61">
        <v>0</v>
      </c>
      <c r="B61">
        <v>1</v>
      </c>
      <c r="C61">
        <f t="shared" ca="1" si="0"/>
        <v>2</v>
      </c>
      <c r="D61">
        <f t="shared" ca="1" si="1"/>
        <v>1</v>
      </c>
      <c r="E61">
        <f t="shared" ca="1" si="2"/>
        <v>0</v>
      </c>
      <c r="F61" s="110">
        <f t="shared" ca="1" si="3"/>
        <v>0</v>
      </c>
      <c r="G61">
        <v>1</v>
      </c>
      <c r="H61">
        <v>0</v>
      </c>
      <c r="I61">
        <v>4</v>
      </c>
      <c r="J61" s="1">
        <f t="shared" ca="1" si="4"/>
        <v>0</v>
      </c>
      <c r="K61" s="1">
        <f t="shared" ca="1" si="5"/>
        <v>0</v>
      </c>
      <c r="L61" s="13">
        <f t="shared" ca="1" si="6"/>
        <v>317</v>
      </c>
      <c r="M61" s="7">
        <f t="shared" ca="1" si="7"/>
        <v>683</v>
      </c>
      <c r="N61" s="26">
        <f t="shared" ca="1" si="8"/>
        <v>3</v>
      </c>
      <c r="O61" s="44">
        <f t="shared" ca="1" si="9"/>
        <v>2.2442427272544552</v>
      </c>
      <c r="P61" s="44">
        <f t="shared" ca="1" si="10"/>
        <v>22.442427272544553</v>
      </c>
      <c r="Q61" s="44">
        <f t="shared" ca="1" si="11"/>
        <v>22.442427272544553</v>
      </c>
      <c r="R61" s="44">
        <f t="shared" ca="1" si="12"/>
        <v>2.2442427272544552</v>
      </c>
      <c r="S61" s="44">
        <f t="shared" ca="1" si="13"/>
        <v>2.2442427272544552</v>
      </c>
      <c r="T61" s="4">
        <f t="shared" ca="1" si="14"/>
        <v>0</v>
      </c>
      <c r="U61" s="120">
        <f t="shared" ca="1" si="15"/>
        <v>1537.901337549361</v>
      </c>
      <c r="V61" s="4">
        <f t="shared" ca="1" si="16"/>
        <v>0</v>
      </c>
      <c r="W61" s="13">
        <f t="shared" ca="1" si="17"/>
        <v>33951.006000000001</v>
      </c>
      <c r="X61" s="4">
        <f t="shared" ca="1" si="18"/>
        <v>0</v>
      </c>
      <c r="Y61" s="4">
        <f t="shared" si="19"/>
        <v>0</v>
      </c>
      <c r="Z61" s="13">
        <f t="shared" ca="1" si="20"/>
        <v>33951.006000000001</v>
      </c>
      <c r="AA61" s="4">
        <f t="shared" ca="1" si="21"/>
        <v>0</v>
      </c>
      <c r="AE61" s="4"/>
    </row>
    <row r="62" spans="1:31">
      <c r="A62">
        <v>0</v>
      </c>
      <c r="B62">
        <v>1</v>
      </c>
      <c r="C62">
        <f t="shared" ca="1" si="0"/>
        <v>2</v>
      </c>
      <c r="D62">
        <f t="shared" ca="1" si="1"/>
        <v>1</v>
      </c>
      <c r="E62">
        <f t="shared" ca="1" si="2"/>
        <v>0</v>
      </c>
      <c r="F62" s="110">
        <f t="shared" ca="1" si="3"/>
        <v>0</v>
      </c>
      <c r="G62">
        <v>1</v>
      </c>
      <c r="H62">
        <v>0</v>
      </c>
      <c r="I62">
        <v>3</v>
      </c>
      <c r="J62" s="1">
        <f t="shared" ca="1" si="4"/>
        <v>0</v>
      </c>
      <c r="K62" s="1">
        <f t="shared" ca="1" si="5"/>
        <v>0</v>
      </c>
      <c r="L62" s="13">
        <f t="shared" ca="1" si="6"/>
        <v>298</v>
      </c>
      <c r="M62" s="7">
        <f t="shared" ca="1" si="7"/>
        <v>702</v>
      </c>
      <c r="N62" s="26">
        <f t="shared" ca="1" si="8"/>
        <v>3</v>
      </c>
      <c r="O62" s="44">
        <f t="shared" ca="1" si="9"/>
        <v>2.2442427272544552</v>
      </c>
      <c r="P62" s="44">
        <f t="shared" ca="1" si="10"/>
        <v>22.442427272544553</v>
      </c>
      <c r="Q62" s="44">
        <f t="shared" ca="1" si="11"/>
        <v>22.442427272544553</v>
      </c>
      <c r="R62" s="44">
        <f t="shared" ca="1" si="12"/>
        <v>2.2442427272544552</v>
      </c>
      <c r="S62" s="44">
        <f t="shared" ca="1" si="13"/>
        <v>2.2442427272544552</v>
      </c>
      <c r="T62" s="4">
        <f t="shared" ca="1" si="14"/>
        <v>0</v>
      </c>
      <c r="U62" s="120">
        <f t="shared" ca="1" si="15"/>
        <v>1518.901337549361</v>
      </c>
      <c r="V62" s="4">
        <f t="shared" ca="1" si="16"/>
        <v>0</v>
      </c>
      <c r="W62" s="13">
        <f t="shared" ca="1" si="17"/>
        <v>31610.106000000003</v>
      </c>
      <c r="X62" s="4">
        <f t="shared" ca="1" si="18"/>
        <v>0</v>
      </c>
      <c r="Y62" s="4">
        <f t="shared" si="19"/>
        <v>0</v>
      </c>
      <c r="Z62" s="13">
        <f t="shared" ca="1" si="20"/>
        <v>31610.106000000003</v>
      </c>
      <c r="AA62" s="4">
        <f t="shared" ca="1" si="21"/>
        <v>0</v>
      </c>
      <c r="AE62" s="4"/>
    </row>
    <row r="63" spans="1:31">
      <c r="A63">
        <v>0</v>
      </c>
      <c r="B63">
        <v>1</v>
      </c>
      <c r="C63">
        <f t="shared" ca="1" si="0"/>
        <v>2</v>
      </c>
      <c r="D63">
        <f t="shared" ca="1" si="1"/>
        <v>1</v>
      </c>
      <c r="E63">
        <f t="shared" ca="1" si="2"/>
        <v>0</v>
      </c>
      <c r="F63" s="110">
        <f t="shared" ca="1" si="3"/>
        <v>0</v>
      </c>
      <c r="G63">
        <v>1</v>
      </c>
      <c r="H63">
        <v>0</v>
      </c>
      <c r="I63">
        <v>2</v>
      </c>
      <c r="J63" s="1">
        <f t="shared" ca="1" si="4"/>
        <v>0</v>
      </c>
      <c r="K63" s="1">
        <f t="shared" ca="1" si="5"/>
        <v>0</v>
      </c>
      <c r="L63" s="13">
        <f t="shared" ca="1" si="6"/>
        <v>279</v>
      </c>
      <c r="M63" s="7">
        <f t="shared" ca="1" si="7"/>
        <v>721</v>
      </c>
      <c r="N63" s="26">
        <f t="shared" ca="1" si="8"/>
        <v>3</v>
      </c>
      <c r="O63" s="44">
        <f t="shared" ca="1" si="9"/>
        <v>2.2442427272544552</v>
      </c>
      <c r="P63" s="44">
        <f t="shared" ca="1" si="10"/>
        <v>22.442427272544553</v>
      </c>
      <c r="Q63" s="44">
        <f t="shared" ca="1" si="11"/>
        <v>22.442427272544553</v>
      </c>
      <c r="R63" s="44">
        <f t="shared" ca="1" si="12"/>
        <v>2.2442427272544552</v>
      </c>
      <c r="S63" s="44">
        <f t="shared" ca="1" si="13"/>
        <v>2.2442427272544552</v>
      </c>
      <c r="T63" s="4">
        <f t="shared" ca="1" si="14"/>
        <v>0</v>
      </c>
      <c r="U63" s="120">
        <f t="shared" ca="1" si="15"/>
        <v>1499.901337549361</v>
      </c>
      <c r="V63" s="4">
        <f t="shared" ca="1" si="16"/>
        <v>0</v>
      </c>
      <c r="W63" s="13">
        <f t="shared" ca="1" si="17"/>
        <v>29269.206000000002</v>
      </c>
      <c r="X63" s="4">
        <f t="shared" ca="1" si="18"/>
        <v>0</v>
      </c>
      <c r="Y63" s="4">
        <f t="shared" si="19"/>
        <v>0</v>
      </c>
      <c r="Z63" s="13">
        <f t="shared" ca="1" si="20"/>
        <v>29269.206000000002</v>
      </c>
      <c r="AA63" s="4">
        <f t="shared" ca="1" si="21"/>
        <v>0</v>
      </c>
      <c r="AE63" s="4"/>
    </row>
    <row r="64" spans="1:31">
      <c r="A64">
        <v>0</v>
      </c>
      <c r="B64">
        <v>1</v>
      </c>
      <c r="C64">
        <f t="shared" ca="1" si="0"/>
        <v>2</v>
      </c>
      <c r="D64">
        <f t="shared" ca="1" si="1"/>
        <v>1</v>
      </c>
      <c r="E64">
        <f t="shared" ca="1" si="2"/>
        <v>0</v>
      </c>
      <c r="F64" s="110">
        <f t="shared" ca="1" si="3"/>
        <v>0</v>
      </c>
      <c r="G64">
        <v>1</v>
      </c>
      <c r="H64">
        <v>0</v>
      </c>
      <c r="I64">
        <v>1</v>
      </c>
      <c r="J64" s="1">
        <f t="shared" ca="1" si="4"/>
        <v>0.83124999999999993</v>
      </c>
      <c r="K64" s="1">
        <f t="shared" ca="1" si="5"/>
        <v>0</v>
      </c>
      <c r="L64" s="13">
        <f t="shared" ca="1" si="6"/>
        <v>260</v>
      </c>
      <c r="M64" s="7">
        <f t="shared" ca="1" si="7"/>
        <v>740</v>
      </c>
      <c r="N64" s="26">
        <f t="shared" ca="1" si="8"/>
        <v>3</v>
      </c>
      <c r="O64" s="44">
        <f t="shared" ca="1" si="9"/>
        <v>2.2442427272544552</v>
      </c>
      <c r="P64" s="44">
        <f t="shared" ca="1" si="10"/>
        <v>22.442427272544553</v>
      </c>
      <c r="Q64" s="44">
        <f t="shared" ca="1" si="11"/>
        <v>22.442427272544553</v>
      </c>
      <c r="R64" s="44">
        <f t="shared" ca="1" si="12"/>
        <v>2.2442427272544552</v>
      </c>
      <c r="S64" s="44">
        <f t="shared" ca="1" si="13"/>
        <v>2.2442427272544552</v>
      </c>
      <c r="T64" s="4">
        <f t="shared" ca="1" si="14"/>
        <v>0</v>
      </c>
      <c r="U64" s="120">
        <f t="shared" ca="1" si="15"/>
        <v>1480.901337549361</v>
      </c>
      <c r="V64" s="4">
        <f t="shared" ca="1" si="16"/>
        <v>0</v>
      </c>
      <c r="W64" s="13">
        <f t="shared" ca="1" si="17"/>
        <v>26928.306000000004</v>
      </c>
      <c r="X64" s="4">
        <f t="shared" ca="1" si="18"/>
        <v>0</v>
      </c>
      <c r="Y64" s="4">
        <f t="shared" si="19"/>
        <v>0</v>
      </c>
      <c r="Z64" s="13">
        <f t="shared" ca="1" si="20"/>
        <v>26928.306000000004</v>
      </c>
      <c r="AA64" s="4">
        <f t="shared" ca="1" si="21"/>
        <v>0</v>
      </c>
      <c r="AE64" s="4"/>
    </row>
    <row r="65" spans="1:31">
      <c r="A65">
        <v>0</v>
      </c>
      <c r="B65">
        <v>1</v>
      </c>
      <c r="C65">
        <f t="shared" ca="1" si="0"/>
        <v>2</v>
      </c>
      <c r="D65">
        <f t="shared" ca="1" si="1"/>
        <v>1</v>
      </c>
      <c r="E65">
        <f t="shared" ca="1" si="2"/>
        <v>0</v>
      </c>
      <c r="F65" s="110">
        <f t="shared" ca="1" si="3"/>
        <v>0</v>
      </c>
      <c r="G65">
        <v>1</v>
      </c>
      <c r="H65">
        <v>0</v>
      </c>
      <c r="I65">
        <v>0</v>
      </c>
      <c r="J65" s="1">
        <f t="shared" ca="1" si="4"/>
        <v>0.11874999999999999</v>
      </c>
      <c r="K65" s="1">
        <f t="shared" ca="1" si="5"/>
        <v>0</v>
      </c>
      <c r="L65" s="13">
        <f t="shared" ca="1" si="6"/>
        <v>241</v>
      </c>
      <c r="M65" s="7">
        <f t="shared" ca="1" si="7"/>
        <v>759</v>
      </c>
      <c r="N65" s="26">
        <f t="shared" ca="1" si="8"/>
        <v>3</v>
      </c>
      <c r="O65" s="44">
        <f t="shared" ca="1" si="9"/>
        <v>2.2442427272544552</v>
      </c>
      <c r="P65" s="44">
        <f t="shared" ca="1" si="10"/>
        <v>22.442427272544553</v>
      </c>
      <c r="Q65" s="44">
        <f t="shared" ca="1" si="11"/>
        <v>22.442427272544553</v>
      </c>
      <c r="R65" s="44">
        <f t="shared" ca="1" si="12"/>
        <v>2.2442427272544552</v>
      </c>
      <c r="S65" s="44">
        <f t="shared" ca="1" si="13"/>
        <v>2.2442427272544552</v>
      </c>
      <c r="T65" s="4">
        <f t="shared" ca="1" si="14"/>
        <v>0</v>
      </c>
      <c r="U65" s="120">
        <f t="shared" ca="1" si="15"/>
        <v>1461.901337549361</v>
      </c>
      <c r="V65" s="4">
        <f t="shared" ca="1" si="16"/>
        <v>0</v>
      </c>
      <c r="W65" s="13">
        <f t="shared" ca="1" si="17"/>
        <v>24587.406000000003</v>
      </c>
      <c r="X65" s="4">
        <f t="shared" ca="1" si="18"/>
        <v>0</v>
      </c>
      <c r="Y65" s="4">
        <f t="shared" si="19"/>
        <v>0</v>
      </c>
      <c r="Z65" s="13">
        <f t="shared" ca="1" si="20"/>
        <v>24587.406000000003</v>
      </c>
      <c r="AA65" s="4">
        <f t="shared" ca="1" si="21"/>
        <v>0</v>
      </c>
      <c r="AE65" s="4"/>
    </row>
    <row r="66" spans="1:31">
      <c r="A66">
        <v>0</v>
      </c>
      <c r="B66">
        <v>1</v>
      </c>
      <c r="C66">
        <f t="shared" ca="1" si="0"/>
        <v>2</v>
      </c>
      <c r="D66">
        <f t="shared" ca="1" si="1"/>
        <v>1</v>
      </c>
      <c r="E66">
        <f t="shared" ca="1" si="2"/>
        <v>0</v>
      </c>
      <c r="F66" s="110">
        <f t="shared" ca="1" si="3"/>
        <v>0</v>
      </c>
      <c r="G66">
        <v>0</v>
      </c>
      <c r="H66">
        <v>1</v>
      </c>
      <c r="I66">
        <v>7</v>
      </c>
      <c r="J66" s="1">
        <f t="shared" ca="1" si="4"/>
        <v>0</v>
      </c>
      <c r="K66" s="1">
        <f t="shared" ca="1" si="5"/>
        <v>0</v>
      </c>
      <c r="L66" s="13">
        <f t="shared" ca="1" si="6"/>
        <v>374</v>
      </c>
      <c r="M66" s="7">
        <f t="shared" ca="1" si="7"/>
        <v>626</v>
      </c>
      <c r="N66" s="26">
        <f t="shared" ca="1" si="8"/>
        <v>3</v>
      </c>
      <c r="O66" s="44">
        <f t="shared" ca="1" si="9"/>
        <v>2.2442427272544552</v>
      </c>
      <c r="P66" s="44">
        <f t="shared" ca="1" si="10"/>
        <v>22.442427272544553</v>
      </c>
      <c r="Q66" s="44">
        <f t="shared" ca="1" si="11"/>
        <v>22.442427272544553</v>
      </c>
      <c r="R66" s="44">
        <f t="shared" ca="1" si="12"/>
        <v>2.2442427272544552</v>
      </c>
      <c r="S66" s="44">
        <f t="shared" ca="1" si="13"/>
        <v>2.2442427272544552</v>
      </c>
      <c r="T66" s="4">
        <f t="shared" ca="1" si="14"/>
        <v>0</v>
      </c>
      <c r="U66" s="120">
        <f t="shared" ca="1" si="15"/>
        <v>1594.901337549361</v>
      </c>
      <c r="V66" s="4">
        <f t="shared" ca="1" si="16"/>
        <v>0</v>
      </c>
      <c r="W66" s="13">
        <f t="shared" ca="1" si="17"/>
        <v>16386.3</v>
      </c>
      <c r="X66" s="4">
        <f t="shared" ca="1" si="18"/>
        <v>0</v>
      </c>
      <c r="Y66" s="4">
        <f t="shared" si="19"/>
        <v>0</v>
      </c>
      <c r="Z66" s="13">
        <f t="shared" ca="1" si="20"/>
        <v>16386.3</v>
      </c>
      <c r="AA66" s="4">
        <f t="shared" ca="1" si="21"/>
        <v>0</v>
      </c>
      <c r="AE66" s="4"/>
    </row>
    <row r="67" spans="1:31">
      <c r="A67">
        <v>0</v>
      </c>
      <c r="B67">
        <v>1</v>
      </c>
      <c r="C67">
        <f t="shared" ca="1" si="0"/>
        <v>2</v>
      </c>
      <c r="D67">
        <f t="shared" ca="1" si="1"/>
        <v>1</v>
      </c>
      <c r="E67">
        <f t="shared" ca="1" si="2"/>
        <v>0</v>
      </c>
      <c r="F67" s="110">
        <f t="shared" ca="1" si="3"/>
        <v>0</v>
      </c>
      <c r="G67">
        <v>0</v>
      </c>
      <c r="H67">
        <v>1</v>
      </c>
      <c r="I67">
        <v>6</v>
      </c>
      <c r="J67" s="1">
        <f t="shared" ca="1" si="4"/>
        <v>0</v>
      </c>
      <c r="K67" s="1">
        <f t="shared" ca="1" si="5"/>
        <v>0</v>
      </c>
      <c r="L67" s="13">
        <f t="shared" ca="1" si="6"/>
        <v>355</v>
      </c>
      <c r="M67" s="7">
        <f t="shared" ca="1" si="7"/>
        <v>645</v>
      </c>
      <c r="N67" s="26">
        <f t="shared" ca="1" si="8"/>
        <v>3</v>
      </c>
      <c r="O67" s="44">
        <f t="shared" ca="1" si="9"/>
        <v>2.2442427272544552</v>
      </c>
      <c r="P67" s="44">
        <f t="shared" ca="1" si="10"/>
        <v>22.442427272544553</v>
      </c>
      <c r="Q67" s="44">
        <f t="shared" ca="1" si="11"/>
        <v>22.442427272544553</v>
      </c>
      <c r="R67" s="44">
        <f t="shared" ca="1" si="12"/>
        <v>2.2442427272544552</v>
      </c>
      <c r="S67" s="44">
        <f t="shared" ca="1" si="13"/>
        <v>2.2442427272544552</v>
      </c>
      <c r="T67" s="4">
        <f t="shared" ca="1" si="14"/>
        <v>0</v>
      </c>
      <c r="U67" s="120">
        <f t="shared" ca="1" si="15"/>
        <v>1575.901337549361</v>
      </c>
      <c r="V67" s="4">
        <f t="shared" ca="1" si="16"/>
        <v>0</v>
      </c>
      <c r="W67" s="13">
        <f t="shared" ca="1" si="17"/>
        <v>14045.400000000001</v>
      </c>
      <c r="X67" s="4">
        <f t="shared" ca="1" si="18"/>
        <v>0</v>
      </c>
      <c r="Y67" s="4">
        <f t="shared" si="19"/>
        <v>0</v>
      </c>
      <c r="Z67" s="13">
        <f t="shared" ca="1" si="20"/>
        <v>14045.400000000001</v>
      </c>
      <c r="AA67" s="4">
        <f t="shared" ca="1" si="21"/>
        <v>0</v>
      </c>
      <c r="AE67" s="4"/>
    </row>
    <row r="68" spans="1:31">
      <c r="A68">
        <v>0</v>
      </c>
      <c r="B68">
        <v>1</v>
      </c>
      <c r="C68">
        <f t="shared" ca="1" si="0"/>
        <v>2</v>
      </c>
      <c r="D68">
        <f t="shared" ca="1" si="1"/>
        <v>1</v>
      </c>
      <c r="E68">
        <f t="shared" ca="1" si="2"/>
        <v>0</v>
      </c>
      <c r="F68" s="110">
        <f t="shared" ca="1" si="3"/>
        <v>0</v>
      </c>
      <c r="G68">
        <v>0</v>
      </c>
      <c r="H68">
        <v>1</v>
      </c>
      <c r="I68">
        <v>5</v>
      </c>
      <c r="J68" s="1">
        <f t="shared" ca="1" si="4"/>
        <v>0</v>
      </c>
      <c r="K68" s="1">
        <f t="shared" ca="1" si="5"/>
        <v>0</v>
      </c>
      <c r="L68" s="13">
        <f t="shared" ca="1" si="6"/>
        <v>336</v>
      </c>
      <c r="M68" s="7">
        <f t="shared" ca="1" si="7"/>
        <v>664</v>
      </c>
      <c r="N68" s="26">
        <f t="shared" ca="1" si="8"/>
        <v>3</v>
      </c>
      <c r="O68" s="44">
        <f t="shared" ca="1" si="9"/>
        <v>2.2442427272544552</v>
      </c>
      <c r="P68" s="44">
        <f t="shared" ca="1" si="10"/>
        <v>22.442427272544553</v>
      </c>
      <c r="Q68" s="44">
        <f t="shared" ca="1" si="11"/>
        <v>22.442427272544553</v>
      </c>
      <c r="R68" s="44">
        <f t="shared" ca="1" si="12"/>
        <v>2.2442427272544552</v>
      </c>
      <c r="S68" s="44">
        <f t="shared" ca="1" si="13"/>
        <v>2.2442427272544552</v>
      </c>
      <c r="T68" s="4">
        <f t="shared" ca="1" si="14"/>
        <v>0</v>
      </c>
      <c r="U68" s="120">
        <f t="shared" ca="1" si="15"/>
        <v>1556.901337549361</v>
      </c>
      <c r="V68" s="4">
        <f t="shared" ca="1" si="16"/>
        <v>0</v>
      </c>
      <c r="W68" s="13">
        <f t="shared" ca="1" si="17"/>
        <v>11704.5</v>
      </c>
      <c r="X68" s="4">
        <f t="shared" ca="1" si="18"/>
        <v>0</v>
      </c>
      <c r="Y68" s="4">
        <f t="shared" si="19"/>
        <v>0</v>
      </c>
      <c r="Z68" s="13">
        <f t="shared" ca="1" si="20"/>
        <v>11704.5</v>
      </c>
      <c r="AA68" s="4">
        <f t="shared" ca="1" si="21"/>
        <v>0</v>
      </c>
      <c r="AE68" s="4"/>
    </row>
    <row r="69" spans="1:31">
      <c r="A69">
        <v>0</v>
      </c>
      <c r="B69">
        <v>1</v>
      </c>
      <c r="C69">
        <f t="shared" ca="1" si="0"/>
        <v>2</v>
      </c>
      <c r="D69">
        <f t="shared" ca="1" si="1"/>
        <v>1</v>
      </c>
      <c r="E69">
        <f t="shared" ca="1" si="2"/>
        <v>0</v>
      </c>
      <c r="F69" s="110">
        <f t="shared" ca="1" si="3"/>
        <v>0</v>
      </c>
      <c r="G69">
        <v>0</v>
      </c>
      <c r="H69">
        <v>1</v>
      </c>
      <c r="I69">
        <v>4</v>
      </c>
      <c r="J69" s="1">
        <f t="shared" ca="1" si="4"/>
        <v>0</v>
      </c>
      <c r="K69" s="1">
        <f t="shared" ca="1" si="5"/>
        <v>0</v>
      </c>
      <c r="L69" s="13">
        <f t="shared" ca="1" si="6"/>
        <v>317</v>
      </c>
      <c r="M69" s="7">
        <f t="shared" ca="1" si="7"/>
        <v>683</v>
      </c>
      <c r="N69" s="26">
        <f t="shared" ca="1" si="8"/>
        <v>3</v>
      </c>
      <c r="O69" s="44">
        <f t="shared" ca="1" si="9"/>
        <v>2.2442427272544552</v>
      </c>
      <c r="P69" s="44">
        <f t="shared" ca="1" si="10"/>
        <v>22.442427272544553</v>
      </c>
      <c r="Q69" s="44">
        <f t="shared" ca="1" si="11"/>
        <v>22.442427272544553</v>
      </c>
      <c r="R69" s="44">
        <f t="shared" ca="1" si="12"/>
        <v>2.2442427272544552</v>
      </c>
      <c r="S69" s="44">
        <f t="shared" ca="1" si="13"/>
        <v>2.2442427272544552</v>
      </c>
      <c r="T69" s="4">
        <f t="shared" ca="1" si="14"/>
        <v>0</v>
      </c>
      <c r="U69" s="120">
        <f t="shared" ca="1" si="15"/>
        <v>1537.901337549361</v>
      </c>
      <c r="V69" s="4">
        <f t="shared" ca="1" si="16"/>
        <v>0</v>
      </c>
      <c r="W69" s="13">
        <f t="shared" ca="1" si="17"/>
        <v>9363.6</v>
      </c>
      <c r="X69" s="4">
        <f t="shared" ca="1" si="18"/>
        <v>0</v>
      </c>
      <c r="Y69" s="4">
        <f t="shared" si="19"/>
        <v>0</v>
      </c>
      <c r="Z69" s="13">
        <f t="shared" ca="1" si="20"/>
        <v>9363.6</v>
      </c>
      <c r="AA69" s="4">
        <f t="shared" ca="1" si="21"/>
        <v>0</v>
      </c>
      <c r="AE69" s="4"/>
    </row>
    <row r="70" spans="1:31">
      <c r="A70">
        <v>0</v>
      </c>
      <c r="B70">
        <v>1</v>
      </c>
      <c r="C70">
        <f t="shared" ca="1" si="0"/>
        <v>2</v>
      </c>
      <c r="D70">
        <f t="shared" ca="1" si="1"/>
        <v>1</v>
      </c>
      <c r="E70">
        <f t="shared" ca="1" si="2"/>
        <v>0</v>
      </c>
      <c r="F70" s="110">
        <f t="shared" ca="1" si="3"/>
        <v>0</v>
      </c>
      <c r="G70">
        <v>0</v>
      </c>
      <c r="H70">
        <v>1</v>
      </c>
      <c r="I70">
        <v>3</v>
      </c>
      <c r="J70" s="1">
        <f t="shared" ca="1" si="4"/>
        <v>0</v>
      </c>
      <c r="K70" s="1">
        <f t="shared" ca="1" si="5"/>
        <v>0</v>
      </c>
      <c r="L70" s="13">
        <f t="shared" ca="1" si="6"/>
        <v>298</v>
      </c>
      <c r="M70" s="7">
        <f t="shared" ca="1" si="7"/>
        <v>702</v>
      </c>
      <c r="N70" s="26">
        <f t="shared" ca="1" si="8"/>
        <v>3</v>
      </c>
      <c r="O70" s="44">
        <f t="shared" ca="1" si="9"/>
        <v>2.2442427272544552</v>
      </c>
      <c r="P70" s="44">
        <f t="shared" ca="1" si="10"/>
        <v>22.442427272544553</v>
      </c>
      <c r="Q70" s="44">
        <f t="shared" ca="1" si="11"/>
        <v>22.442427272544553</v>
      </c>
      <c r="R70" s="44">
        <f t="shared" ca="1" si="12"/>
        <v>2.2442427272544552</v>
      </c>
      <c r="S70" s="44">
        <f t="shared" ca="1" si="13"/>
        <v>2.2442427272544552</v>
      </c>
      <c r="T70" s="4">
        <f t="shared" ca="1" si="14"/>
        <v>0</v>
      </c>
      <c r="U70" s="120">
        <f t="shared" ca="1" si="15"/>
        <v>1518.901337549361</v>
      </c>
      <c r="V70" s="4">
        <f t="shared" ca="1" si="16"/>
        <v>0</v>
      </c>
      <c r="W70" s="13">
        <f t="shared" ca="1" si="17"/>
        <v>7022.7000000000007</v>
      </c>
      <c r="X70" s="4">
        <f t="shared" ca="1" si="18"/>
        <v>0</v>
      </c>
      <c r="Y70" s="4">
        <f t="shared" si="19"/>
        <v>0</v>
      </c>
      <c r="Z70" s="13">
        <f t="shared" ca="1" si="20"/>
        <v>7022.7000000000007</v>
      </c>
      <c r="AA70" s="4">
        <f t="shared" ca="1" si="21"/>
        <v>0</v>
      </c>
      <c r="AE70" s="4"/>
    </row>
    <row r="71" spans="1:31">
      <c r="A71">
        <v>0</v>
      </c>
      <c r="B71">
        <v>1</v>
      </c>
      <c r="C71">
        <f t="shared" ca="1" si="0"/>
        <v>2</v>
      </c>
      <c r="D71">
        <f t="shared" ca="1" si="1"/>
        <v>1</v>
      </c>
      <c r="E71">
        <f t="shared" ca="1" si="2"/>
        <v>0</v>
      </c>
      <c r="F71" s="110">
        <f t="shared" ca="1" si="3"/>
        <v>0</v>
      </c>
      <c r="G71">
        <v>0</v>
      </c>
      <c r="H71">
        <v>1</v>
      </c>
      <c r="I71">
        <v>2</v>
      </c>
      <c r="J71" s="1">
        <f t="shared" ca="1" si="4"/>
        <v>0</v>
      </c>
      <c r="K71" s="1">
        <f t="shared" ca="1" si="5"/>
        <v>0</v>
      </c>
      <c r="L71" s="13">
        <f t="shared" ca="1" si="6"/>
        <v>279</v>
      </c>
      <c r="M71" s="7">
        <f t="shared" ca="1" si="7"/>
        <v>721</v>
      </c>
      <c r="N71" s="26">
        <f t="shared" ca="1" si="8"/>
        <v>3</v>
      </c>
      <c r="O71" s="44">
        <f t="shared" ca="1" si="9"/>
        <v>2.2442427272544552</v>
      </c>
      <c r="P71" s="44">
        <f t="shared" ca="1" si="10"/>
        <v>22.442427272544553</v>
      </c>
      <c r="Q71" s="44">
        <f t="shared" ca="1" si="11"/>
        <v>22.442427272544553</v>
      </c>
      <c r="R71" s="44">
        <f t="shared" ca="1" si="12"/>
        <v>2.2442427272544552</v>
      </c>
      <c r="S71" s="44">
        <f t="shared" ca="1" si="13"/>
        <v>2.2442427272544552</v>
      </c>
      <c r="T71" s="4">
        <f t="shared" ca="1" si="14"/>
        <v>0</v>
      </c>
      <c r="U71" s="120">
        <f t="shared" ca="1" si="15"/>
        <v>1499.901337549361</v>
      </c>
      <c r="V71" s="4">
        <f t="shared" ca="1" si="16"/>
        <v>0</v>
      </c>
      <c r="W71" s="13">
        <f t="shared" ca="1" si="17"/>
        <v>4681.8</v>
      </c>
      <c r="X71" s="4">
        <f t="shared" ca="1" si="18"/>
        <v>0</v>
      </c>
      <c r="Y71" s="4">
        <f t="shared" si="19"/>
        <v>0</v>
      </c>
      <c r="Z71" s="13">
        <f t="shared" ca="1" si="20"/>
        <v>4681.8</v>
      </c>
      <c r="AA71" s="4">
        <f t="shared" ca="1" si="21"/>
        <v>0</v>
      </c>
      <c r="AE71" s="4"/>
    </row>
    <row r="72" spans="1:31">
      <c r="A72">
        <v>0</v>
      </c>
      <c r="B72">
        <v>1</v>
      </c>
      <c r="C72">
        <f t="shared" ca="1" si="0"/>
        <v>2</v>
      </c>
      <c r="D72">
        <f t="shared" ca="1" si="1"/>
        <v>1</v>
      </c>
      <c r="E72">
        <f t="shared" ca="1" si="2"/>
        <v>0</v>
      </c>
      <c r="F72" s="110">
        <f t="shared" ca="1" si="3"/>
        <v>0</v>
      </c>
      <c r="G72">
        <v>0</v>
      </c>
      <c r="H72">
        <v>1</v>
      </c>
      <c r="I72">
        <v>1</v>
      </c>
      <c r="J72" s="1">
        <f t="shared" ca="1" si="4"/>
        <v>0</v>
      </c>
      <c r="K72" s="1">
        <f t="shared" ca="1" si="5"/>
        <v>0</v>
      </c>
      <c r="L72" s="13">
        <f t="shared" ca="1" si="6"/>
        <v>260</v>
      </c>
      <c r="M72" s="7">
        <f t="shared" ca="1" si="7"/>
        <v>740</v>
      </c>
      <c r="N72" s="26">
        <f t="shared" ca="1" si="8"/>
        <v>3</v>
      </c>
      <c r="O72" s="44">
        <f t="shared" ca="1" si="9"/>
        <v>2.2442427272544552</v>
      </c>
      <c r="P72" s="44">
        <f t="shared" ca="1" si="10"/>
        <v>22.442427272544553</v>
      </c>
      <c r="Q72" s="44">
        <f t="shared" ca="1" si="11"/>
        <v>22.442427272544553</v>
      </c>
      <c r="R72" s="44">
        <f t="shared" ca="1" si="12"/>
        <v>2.2442427272544552</v>
      </c>
      <c r="S72" s="44">
        <f t="shared" ca="1" si="13"/>
        <v>2.2442427272544552</v>
      </c>
      <c r="T72" s="4">
        <f t="shared" ca="1" si="14"/>
        <v>0</v>
      </c>
      <c r="U72" s="120">
        <f t="shared" ca="1" si="15"/>
        <v>1480.901337549361</v>
      </c>
      <c r="V72" s="4">
        <f t="shared" ca="1" si="16"/>
        <v>0</v>
      </c>
      <c r="W72" s="13">
        <f t="shared" ca="1" si="17"/>
        <v>2340.9</v>
      </c>
      <c r="X72" s="4">
        <f t="shared" ca="1" si="18"/>
        <v>0</v>
      </c>
      <c r="Y72" s="4">
        <f t="shared" si="19"/>
        <v>0</v>
      </c>
      <c r="Z72" s="13">
        <f t="shared" ca="1" si="20"/>
        <v>2340.9</v>
      </c>
      <c r="AA72" s="4">
        <f t="shared" ca="1" si="21"/>
        <v>0</v>
      </c>
      <c r="AE72" s="4"/>
    </row>
    <row r="73" spans="1:31">
      <c r="A73">
        <v>0</v>
      </c>
      <c r="B73">
        <v>1</v>
      </c>
      <c r="C73">
        <f t="shared" ca="1" si="0"/>
        <v>2</v>
      </c>
      <c r="D73">
        <f t="shared" ca="1" si="1"/>
        <v>1</v>
      </c>
      <c r="E73">
        <f t="shared" ca="1" si="2"/>
        <v>0</v>
      </c>
      <c r="F73" s="110">
        <f t="shared" ca="1" si="3"/>
        <v>0</v>
      </c>
      <c r="G73">
        <v>0</v>
      </c>
      <c r="H73">
        <v>1</v>
      </c>
      <c r="I73">
        <v>0</v>
      </c>
      <c r="J73" s="1">
        <f t="shared" ca="1" si="4"/>
        <v>0</v>
      </c>
      <c r="K73" s="1">
        <f t="shared" ca="1" si="5"/>
        <v>0</v>
      </c>
      <c r="L73" s="13">
        <f t="shared" ca="1" si="6"/>
        <v>241</v>
      </c>
      <c r="M73" s="7">
        <f t="shared" ca="1" si="7"/>
        <v>759</v>
      </c>
      <c r="N73" s="26">
        <f t="shared" ca="1" si="8"/>
        <v>3</v>
      </c>
      <c r="O73" s="44">
        <f t="shared" ca="1" si="9"/>
        <v>2.2442427272544552</v>
      </c>
      <c r="P73" s="44">
        <f t="shared" ca="1" si="10"/>
        <v>22.442427272544553</v>
      </c>
      <c r="Q73" s="44">
        <f t="shared" ca="1" si="11"/>
        <v>22.442427272544553</v>
      </c>
      <c r="R73" s="44">
        <f t="shared" ca="1" si="12"/>
        <v>2.2442427272544552</v>
      </c>
      <c r="S73" s="44">
        <f t="shared" ca="1" si="13"/>
        <v>2.2442427272544552</v>
      </c>
      <c r="T73" s="4">
        <f t="shared" ca="1" si="14"/>
        <v>0</v>
      </c>
      <c r="U73" s="120">
        <f t="shared" ca="1" si="15"/>
        <v>1461.901337549361</v>
      </c>
      <c r="V73" s="4">
        <f t="shared" ca="1" si="16"/>
        <v>0</v>
      </c>
      <c r="W73" s="13">
        <f t="shared" ca="1" si="17"/>
        <v>0</v>
      </c>
      <c r="X73" s="4">
        <f t="shared" ca="1" si="18"/>
        <v>0</v>
      </c>
      <c r="Y73" s="4">
        <f t="shared" si="19"/>
        <v>0</v>
      </c>
      <c r="Z73" s="13">
        <f t="shared" ca="1" si="20"/>
        <v>0</v>
      </c>
      <c r="AA73" s="4">
        <f t="shared" ca="1" si="21"/>
        <v>0</v>
      </c>
      <c r="AE73" s="4"/>
    </row>
    <row r="74" spans="1:31">
      <c r="A74">
        <v>0</v>
      </c>
      <c r="B74">
        <v>1</v>
      </c>
      <c r="C74">
        <f t="shared" ca="1" si="0"/>
        <v>2</v>
      </c>
      <c r="D74">
        <f t="shared" ca="1" si="1"/>
        <v>1</v>
      </c>
      <c r="E74">
        <f t="shared" ca="1" si="2"/>
        <v>0</v>
      </c>
      <c r="F74" s="110">
        <f t="shared" ca="1" si="3"/>
        <v>0</v>
      </c>
      <c r="G74">
        <v>0</v>
      </c>
      <c r="H74">
        <v>0</v>
      </c>
      <c r="I74">
        <v>7</v>
      </c>
      <c r="J74" s="1">
        <f t="shared" ca="1" si="4"/>
        <v>0</v>
      </c>
      <c r="K74" s="1">
        <f t="shared" ca="1" si="5"/>
        <v>0</v>
      </c>
      <c r="L74" s="13">
        <f t="shared" ca="1" si="6"/>
        <v>133</v>
      </c>
      <c r="M74" s="7">
        <f t="shared" ca="1" si="7"/>
        <v>867</v>
      </c>
      <c r="N74" s="26">
        <f t="shared" ca="1" si="8"/>
        <v>4</v>
      </c>
      <c r="O74" s="44">
        <f t="shared" ca="1" si="9"/>
        <v>2.8621467101781541</v>
      </c>
      <c r="P74" s="44">
        <f t="shared" ca="1" si="10"/>
        <v>28.621467101781548</v>
      </c>
      <c r="Q74" s="44">
        <f t="shared" ca="1" si="11"/>
        <v>24.914043204239348</v>
      </c>
      <c r="R74" s="44">
        <f t="shared" ca="1" si="12"/>
        <v>2.6767755153010446</v>
      </c>
      <c r="S74" s="44">
        <f t="shared" ca="1" si="13"/>
        <v>2.8491707265367565</v>
      </c>
      <c r="T74" s="4">
        <f t="shared" ca="1" si="14"/>
        <v>0</v>
      </c>
      <c r="U74" s="120">
        <f t="shared" ca="1" si="15"/>
        <v>1622.8690837457082</v>
      </c>
      <c r="V74" s="4">
        <f t="shared" ca="1" si="16"/>
        <v>0</v>
      </c>
      <c r="W74" s="13">
        <f t="shared" ca="1" si="17"/>
        <v>16386.3</v>
      </c>
      <c r="X74" s="4">
        <f t="shared" ca="1" si="18"/>
        <v>0</v>
      </c>
      <c r="Y74" s="4">
        <f t="shared" si="19"/>
        <v>0</v>
      </c>
      <c r="Z74" s="13">
        <f t="shared" ca="1" si="20"/>
        <v>16386.3</v>
      </c>
      <c r="AA74" s="4">
        <f t="shared" ca="1" si="21"/>
        <v>0</v>
      </c>
      <c r="AE74" s="4"/>
    </row>
    <row r="75" spans="1:31">
      <c r="A75">
        <v>0</v>
      </c>
      <c r="B75">
        <v>1</v>
      </c>
      <c r="C75">
        <f t="shared" ca="1" si="0"/>
        <v>2</v>
      </c>
      <c r="D75">
        <f t="shared" ca="1" si="1"/>
        <v>1</v>
      </c>
      <c r="E75">
        <f t="shared" ca="1" si="2"/>
        <v>0</v>
      </c>
      <c r="F75" s="110">
        <f t="shared" ca="1" si="3"/>
        <v>0</v>
      </c>
      <c r="G75">
        <v>0</v>
      </c>
      <c r="H75">
        <v>0</v>
      </c>
      <c r="I75">
        <v>6</v>
      </c>
      <c r="J75" s="1">
        <f t="shared" ca="1" si="4"/>
        <v>0</v>
      </c>
      <c r="K75" s="1">
        <f t="shared" ca="1" si="5"/>
        <v>0</v>
      </c>
      <c r="L75" s="13">
        <f t="shared" ca="1" si="6"/>
        <v>114</v>
      </c>
      <c r="M75" s="7">
        <f t="shared" ca="1" si="7"/>
        <v>886</v>
      </c>
      <c r="N75" s="26">
        <f t="shared" ca="1" si="8"/>
        <v>4</v>
      </c>
      <c r="O75" s="44">
        <f t="shared" ca="1" si="9"/>
        <v>2.8621467101781541</v>
      </c>
      <c r="P75" s="44">
        <f t="shared" ca="1" si="10"/>
        <v>28.621467101781548</v>
      </c>
      <c r="Q75" s="44">
        <f t="shared" ca="1" si="11"/>
        <v>28.621467101781548</v>
      </c>
      <c r="R75" s="44">
        <f t="shared" ca="1" si="12"/>
        <v>2.8621467101781546</v>
      </c>
      <c r="S75" s="44">
        <f t="shared" ca="1" si="13"/>
        <v>2.8621467101781541</v>
      </c>
      <c r="T75" s="4">
        <f t="shared" ca="1" si="14"/>
        <v>0</v>
      </c>
      <c r="U75" s="120">
        <f t="shared" ca="1" si="15"/>
        <v>1609.6385655333725</v>
      </c>
      <c r="V75" s="4">
        <f t="shared" ca="1" si="16"/>
        <v>0</v>
      </c>
      <c r="W75" s="13">
        <f t="shared" ca="1" si="17"/>
        <v>14045.400000000001</v>
      </c>
      <c r="X75" s="4">
        <f t="shared" ca="1" si="18"/>
        <v>0</v>
      </c>
      <c r="Y75" s="4">
        <f t="shared" si="19"/>
        <v>0</v>
      </c>
      <c r="Z75" s="13">
        <f t="shared" ca="1" si="20"/>
        <v>14045.400000000001</v>
      </c>
      <c r="AA75" s="4">
        <f t="shared" ca="1" si="21"/>
        <v>0</v>
      </c>
      <c r="AE75" s="4"/>
    </row>
    <row r="76" spans="1:31">
      <c r="A76">
        <v>0</v>
      </c>
      <c r="B76">
        <v>1</v>
      </c>
      <c r="C76">
        <f t="shared" ca="1" si="0"/>
        <v>2</v>
      </c>
      <c r="D76">
        <f t="shared" ca="1" si="1"/>
        <v>1</v>
      </c>
      <c r="E76">
        <f t="shared" ca="1" si="2"/>
        <v>0</v>
      </c>
      <c r="F76" s="110">
        <f t="shared" ca="1" si="3"/>
        <v>0</v>
      </c>
      <c r="G76">
        <v>0</v>
      </c>
      <c r="H76">
        <v>0</v>
      </c>
      <c r="I76">
        <v>5</v>
      </c>
      <c r="J76" s="1">
        <f t="shared" ca="1" si="4"/>
        <v>0</v>
      </c>
      <c r="K76" s="1">
        <f t="shared" ca="1" si="5"/>
        <v>0</v>
      </c>
      <c r="L76" s="13">
        <f t="shared" ca="1" si="6"/>
        <v>95</v>
      </c>
      <c r="M76" s="7">
        <f t="shared" ca="1" si="7"/>
        <v>905</v>
      </c>
      <c r="N76" s="26">
        <f t="shared" ca="1" si="8"/>
        <v>4</v>
      </c>
      <c r="O76" s="44">
        <f t="shared" ca="1" si="9"/>
        <v>2.8621467101781541</v>
      </c>
      <c r="P76" s="44">
        <f t="shared" ca="1" si="10"/>
        <v>28.621467101781548</v>
      </c>
      <c r="Q76" s="44">
        <f t="shared" ca="1" si="11"/>
        <v>28.621467101781548</v>
      </c>
      <c r="R76" s="44">
        <f t="shared" ca="1" si="12"/>
        <v>2.8621467101781546</v>
      </c>
      <c r="S76" s="44">
        <f t="shared" ca="1" si="13"/>
        <v>2.8621467101781541</v>
      </c>
      <c r="T76" s="4">
        <f t="shared" ca="1" si="14"/>
        <v>0</v>
      </c>
      <c r="U76" s="120">
        <f t="shared" ca="1" si="15"/>
        <v>1590.6385655333725</v>
      </c>
      <c r="V76" s="4">
        <f t="shared" ca="1" si="16"/>
        <v>0</v>
      </c>
      <c r="W76" s="13">
        <f t="shared" ca="1" si="17"/>
        <v>11704.5</v>
      </c>
      <c r="X76" s="4">
        <f t="shared" ca="1" si="18"/>
        <v>0</v>
      </c>
      <c r="Y76" s="4">
        <f t="shared" si="19"/>
        <v>0</v>
      </c>
      <c r="Z76" s="13">
        <f t="shared" ca="1" si="20"/>
        <v>11704.5</v>
      </c>
      <c r="AA76" s="4">
        <f t="shared" ca="1" si="21"/>
        <v>0</v>
      </c>
      <c r="AE76" s="4"/>
    </row>
    <row r="77" spans="1:31">
      <c r="A77">
        <v>0</v>
      </c>
      <c r="B77">
        <v>1</v>
      </c>
      <c r="C77">
        <f t="shared" ca="1" si="0"/>
        <v>2</v>
      </c>
      <c r="D77">
        <f t="shared" ca="1" si="1"/>
        <v>1</v>
      </c>
      <c r="E77">
        <f t="shared" ca="1" si="2"/>
        <v>0</v>
      </c>
      <c r="F77" s="110">
        <f t="shared" ca="1" si="3"/>
        <v>0</v>
      </c>
      <c r="G77">
        <v>0</v>
      </c>
      <c r="H77">
        <v>0</v>
      </c>
      <c r="I77">
        <v>4</v>
      </c>
      <c r="J77" s="1">
        <f t="shared" ca="1" si="4"/>
        <v>0</v>
      </c>
      <c r="K77" s="1">
        <f t="shared" ca="1" si="5"/>
        <v>0</v>
      </c>
      <c r="L77" s="13">
        <f t="shared" ca="1" si="6"/>
        <v>76</v>
      </c>
      <c r="M77" s="7">
        <f t="shared" ca="1" si="7"/>
        <v>924</v>
      </c>
      <c r="N77" s="26">
        <f t="shared" ca="1" si="8"/>
        <v>4</v>
      </c>
      <c r="O77" s="44">
        <f t="shared" ca="1" si="9"/>
        <v>2.8621467101781541</v>
      </c>
      <c r="P77" s="44">
        <f t="shared" ca="1" si="10"/>
        <v>28.621467101781548</v>
      </c>
      <c r="Q77" s="44">
        <f t="shared" ca="1" si="11"/>
        <v>28.621467101781548</v>
      </c>
      <c r="R77" s="44">
        <f t="shared" ca="1" si="12"/>
        <v>2.8621467101781546</v>
      </c>
      <c r="S77" s="44">
        <f t="shared" ca="1" si="13"/>
        <v>2.8621467101781541</v>
      </c>
      <c r="T77" s="4">
        <f t="shared" ca="1" si="14"/>
        <v>0</v>
      </c>
      <c r="U77" s="120">
        <f t="shared" ca="1" si="15"/>
        <v>1571.6385655333725</v>
      </c>
      <c r="V77" s="4">
        <f t="shared" ca="1" si="16"/>
        <v>0</v>
      </c>
      <c r="W77" s="13">
        <f t="shared" ca="1" si="17"/>
        <v>9363.6</v>
      </c>
      <c r="X77" s="4">
        <f t="shared" ca="1" si="18"/>
        <v>0</v>
      </c>
      <c r="Y77" s="4">
        <f t="shared" si="19"/>
        <v>0</v>
      </c>
      <c r="Z77" s="13">
        <f t="shared" ca="1" si="20"/>
        <v>9363.6</v>
      </c>
      <c r="AA77" s="4">
        <f t="shared" ca="1" si="21"/>
        <v>0</v>
      </c>
      <c r="AE77" s="4"/>
    </row>
    <row r="78" spans="1:31">
      <c r="A78">
        <v>0</v>
      </c>
      <c r="B78">
        <v>1</v>
      </c>
      <c r="C78">
        <f t="shared" ca="1" si="0"/>
        <v>2</v>
      </c>
      <c r="D78">
        <f t="shared" ca="1" si="1"/>
        <v>1</v>
      </c>
      <c r="E78">
        <f t="shared" ca="1" si="2"/>
        <v>0</v>
      </c>
      <c r="F78" s="110">
        <f t="shared" ca="1" si="3"/>
        <v>0</v>
      </c>
      <c r="G78">
        <v>0</v>
      </c>
      <c r="H78">
        <v>0</v>
      </c>
      <c r="I78">
        <v>3</v>
      </c>
      <c r="J78" s="1">
        <f t="shared" ca="1" si="4"/>
        <v>0</v>
      </c>
      <c r="K78" s="1">
        <f t="shared" ca="1" si="5"/>
        <v>0</v>
      </c>
      <c r="L78" s="13">
        <f t="shared" ca="1" si="6"/>
        <v>57</v>
      </c>
      <c r="M78" s="7">
        <f t="shared" ca="1" si="7"/>
        <v>943</v>
      </c>
      <c r="N78" s="26">
        <f t="shared" ca="1" si="8"/>
        <v>4</v>
      </c>
      <c r="O78" s="44">
        <f t="shared" ca="1" si="9"/>
        <v>2.8621467101781541</v>
      </c>
      <c r="P78" s="44">
        <f t="shared" ca="1" si="10"/>
        <v>28.621467101781548</v>
      </c>
      <c r="Q78" s="44">
        <f t="shared" ca="1" si="11"/>
        <v>28.621467101781548</v>
      </c>
      <c r="R78" s="44">
        <f t="shared" ca="1" si="12"/>
        <v>2.8621467101781546</v>
      </c>
      <c r="S78" s="44">
        <f t="shared" ca="1" si="13"/>
        <v>2.8621467101781541</v>
      </c>
      <c r="T78" s="4">
        <f t="shared" ca="1" si="14"/>
        <v>0</v>
      </c>
      <c r="U78" s="120">
        <f t="shared" ca="1" si="15"/>
        <v>1552.6385655333725</v>
      </c>
      <c r="V78" s="4">
        <f t="shared" ca="1" si="16"/>
        <v>0</v>
      </c>
      <c r="W78" s="13">
        <f t="shared" ca="1" si="17"/>
        <v>7022.7000000000007</v>
      </c>
      <c r="X78" s="4">
        <f t="shared" ca="1" si="18"/>
        <v>0</v>
      </c>
      <c r="Y78" s="4">
        <f t="shared" si="19"/>
        <v>0</v>
      </c>
      <c r="Z78" s="13">
        <f t="shared" ca="1" si="20"/>
        <v>7022.7000000000007</v>
      </c>
      <c r="AA78" s="4">
        <f t="shared" ca="1" si="21"/>
        <v>0</v>
      </c>
      <c r="AE78" s="4"/>
    </row>
    <row r="79" spans="1:31">
      <c r="A79">
        <v>0</v>
      </c>
      <c r="B79">
        <v>1</v>
      </c>
      <c r="C79">
        <f t="shared" ca="1" si="0"/>
        <v>2</v>
      </c>
      <c r="D79">
        <f t="shared" ca="1" si="1"/>
        <v>1</v>
      </c>
      <c r="E79">
        <f t="shared" ca="1" si="2"/>
        <v>0</v>
      </c>
      <c r="F79" s="110">
        <f t="shared" ca="1" si="3"/>
        <v>0</v>
      </c>
      <c r="G79">
        <v>0</v>
      </c>
      <c r="H79">
        <v>0</v>
      </c>
      <c r="I79">
        <v>2</v>
      </c>
      <c r="J79" s="1">
        <f t="shared" ca="1" si="4"/>
        <v>0</v>
      </c>
      <c r="K79" s="1">
        <f t="shared" ca="1" si="5"/>
        <v>0</v>
      </c>
      <c r="L79" s="13">
        <f t="shared" ca="1" si="6"/>
        <v>38</v>
      </c>
      <c r="M79" s="7">
        <f t="shared" ca="1" si="7"/>
        <v>962</v>
      </c>
      <c r="N79" s="26">
        <f t="shared" ca="1" si="8"/>
        <v>4</v>
      </c>
      <c r="O79" s="44">
        <f t="shared" ca="1" si="9"/>
        <v>2.8621467101781541</v>
      </c>
      <c r="P79" s="44">
        <f t="shared" ca="1" si="10"/>
        <v>28.621467101781548</v>
      </c>
      <c r="Q79" s="44">
        <f t="shared" ca="1" si="11"/>
        <v>28.621467101781548</v>
      </c>
      <c r="R79" s="44">
        <f t="shared" ca="1" si="12"/>
        <v>2.8621467101781546</v>
      </c>
      <c r="S79" s="44">
        <f t="shared" ca="1" si="13"/>
        <v>2.8621467101781541</v>
      </c>
      <c r="T79" s="4">
        <f t="shared" ca="1" si="14"/>
        <v>0</v>
      </c>
      <c r="U79" s="120">
        <f t="shared" ca="1" si="15"/>
        <v>1533.6385655333725</v>
      </c>
      <c r="V79" s="4">
        <f t="shared" ca="1" si="16"/>
        <v>0</v>
      </c>
      <c r="W79" s="13">
        <f t="shared" ca="1" si="17"/>
        <v>4681.8</v>
      </c>
      <c r="X79" s="4">
        <f t="shared" ca="1" si="18"/>
        <v>0</v>
      </c>
      <c r="Y79" s="4">
        <f t="shared" si="19"/>
        <v>0</v>
      </c>
      <c r="Z79" s="13">
        <f t="shared" ca="1" si="20"/>
        <v>4681.8</v>
      </c>
      <c r="AA79" s="4">
        <f t="shared" ca="1" si="21"/>
        <v>0</v>
      </c>
      <c r="AE79" s="4"/>
    </row>
    <row r="80" spans="1:31">
      <c r="A80">
        <v>0</v>
      </c>
      <c r="B80">
        <v>1</v>
      </c>
      <c r="C80">
        <f t="shared" ca="1" si="0"/>
        <v>2</v>
      </c>
      <c r="D80">
        <f t="shared" ca="1" si="1"/>
        <v>1</v>
      </c>
      <c r="E80">
        <f t="shared" ca="1" si="2"/>
        <v>0</v>
      </c>
      <c r="F80" s="110">
        <f t="shared" ca="1" si="3"/>
        <v>0</v>
      </c>
      <c r="G80">
        <v>0</v>
      </c>
      <c r="H80">
        <v>0</v>
      </c>
      <c r="I80">
        <v>1</v>
      </c>
      <c r="J80" s="1">
        <f t="shared" ca="1" si="4"/>
        <v>4.3750000000000004E-2</v>
      </c>
      <c r="K80" s="1">
        <f t="shared" ca="1" si="5"/>
        <v>0</v>
      </c>
      <c r="L80" s="13">
        <f t="shared" ca="1" si="6"/>
        <v>19</v>
      </c>
      <c r="M80" s="7">
        <f t="shared" ca="1" si="7"/>
        <v>981</v>
      </c>
      <c r="N80" s="26">
        <f t="shared" ca="1" si="8"/>
        <v>4</v>
      </c>
      <c r="O80" s="44">
        <f t="shared" ca="1" si="9"/>
        <v>2.8621467101781541</v>
      </c>
      <c r="P80" s="44">
        <f t="shared" ca="1" si="10"/>
        <v>28.621467101781548</v>
      </c>
      <c r="Q80" s="44">
        <f t="shared" ca="1" si="11"/>
        <v>28.621467101781548</v>
      </c>
      <c r="R80" s="44">
        <f t="shared" ca="1" si="12"/>
        <v>2.8621467101781546</v>
      </c>
      <c r="S80" s="44">
        <f t="shared" ca="1" si="13"/>
        <v>2.8621467101781541</v>
      </c>
      <c r="T80" s="4">
        <f t="shared" ca="1" si="14"/>
        <v>0</v>
      </c>
      <c r="U80" s="120">
        <f t="shared" ca="1" si="15"/>
        <v>1514.6385655333725</v>
      </c>
      <c r="V80" s="4">
        <f t="shared" ca="1" si="16"/>
        <v>0</v>
      </c>
      <c r="W80" s="13">
        <f t="shared" ca="1" si="17"/>
        <v>2340.9</v>
      </c>
      <c r="X80" s="4">
        <f t="shared" ca="1" si="18"/>
        <v>0</v>
      </c>
      <c r="Y80" s="4">
        <f t="shared" si="19"/>
        <v>0</v>
      </c>
      <c r="Z80" s="13">
        <f t="shared" ca="1" si="20"/>
        <v>2340.9</v>
      </c>
      <c r="AA80" s="4">
        <f t="shared" ca="1" si="21"/>
        <v>0</v>
      </c>
      <c r="AE80" s="4"/>
    </row>
    <row r="81" spans="1:31">
      <c r="A81">
        <v>0</v>
      </c>
      <c r="B81">
        <v>1</v>
      </c>
      <c r="C81">
        <f t="shared" ca="1" si="0"/>
        <v>2</v>
      </c>
      <c r="D81">
        <f t="shared" ca="1" si="1"/>
        <v>1</v>
      </c>
      <c r="E81">
        <f t="shared" ca="1" si="2"/>
        <v>0</v>
      </c>
      <c r="F81" s="110">
        <f t="shared" ca="1" si="3"/>
        <v>0</v>
      </c>
      <c r="G81">
        <v>0</v>
      </c>
      <c r="H81">
        <v>0</v>
      </c>
      <c r="I81">
        <v>0</v>
      </c>
      <c r="J81" s="1">
        <f t="shared" ca="1" si="4"/>
        <v>6.2500000000000003E-3</v>
      </c>
      <c r="K81" s="1">
        <f t="shared" ca="1" si="5"/>
        <v>0</v>
      </c>
      <c r="L81" s="13">
        <f t="shared" ca="1" si="6"/>
        <v>0</v>
      </c>
      <c r="M81" s="7">
        <f t="shared" ca="1" si="7"/>
        <v>1000</v>
      </c>
      <c r="N81" s="26">
        <f t="shared" ca="1" si="8"/>
        <v>4</v>
      </c>
      <c r="O81" s="44">
        <f t="shared" ca="1" si="9"/>
        <v>2.8621467101781541</v>
      </c>
      <c r="P81" s="44">
        <f t="shared" ca="1" si="10"/>
        <v>28.621467101781548</v>
      </c>
      <c r="Q81" s="44">
        <f t="shared" ca="1" si="11"/>
        <v>28.621467101781548</v>
      </c>
      <c r="R81" s="44">
        <f t="shared" ca="1" si="12"/>
        <v>2.8621467101781546</v>
      </c>
      <c r="S81" s="44">
        <f t="shared" ca="1" si="13"/>
        <v>2.8621467101781541</v>
      </c>
      <c r="T81" s="4">
        <f t="shared" ca="1" si="14"/>
        <v>0</v>
      </c>
      <c r="U81" s="120">
        <f t="shared" ca="1" si="15"/>
        <v>1495.6385655333725</v>
      </c>
      <c r="V81" s="4">
        <f t="shared" ca="1" si="16"/>
        <v>0</v>
      </c>
      <c r="W81" s="13">
        <f t="shared" ca="1" si="17"/>
        <v>0</v>
      </c>
      <c r="X81" s="4">
        <f t="shared" ca="1" si="18"/>
        <v>0</v>
      </c>
      <c r="Y81" s="4">
        <f t="shared" si="19"/>
        <v>0</v>
      </c>
      <c r="Z81" s="13">
        <f t="shared" ca="1" si="20"/>
        <v>0</v>
      </c>
      <c r="AA81" s="4">
        <f t="shared" ca="1" si="21"/>
        <v>0</v>
      </c>
      <c r="AE81" s="4"/>
    </row>
    <row r="82" spans="1:31">
      <c r="A82">
        <v>0</v>
      </c>
      <c r="B82">
        <v>2</v>
      </c>
      <c r="C82">
        <f t="shared" ref="C82:C145" ca="1" si="22">MIN(8, 1+$B$10+$B$9+A82+B82)</f>
        <v>3</v>
      </c>
      <c r="D82">
        <f t="shared" ref="D82:D145" ca="1" si="23">C82-(1+$B$10)</f>
        <v>2</v>
      </c>
      <c r="E82">
        <f t="shared" ref="E82:E145" ca="1" si="24">MIN(A82, C82-(1+$B$10+$B$9))</f>
        <v>0</v>
      </c>
      <c r="F82" s="110">
        <f t="shared" ref="F82:F145" ca="1" si="25">IF(A82=3, Set1QA, IF(A82=2, (1-Set1QA)*Set1TA + (1-Set1QA)*(1-Set1TA)*(1-Set1DA)*Set1AM3*Set1AM33, IF(A82=1, (1-Set1QA)*(1-Set1TA)*Set1DA + (1-Set1QA)*(1-Set1TA)*(1-Set1DA)*Set1AM3*Set1AM32, (1-Set1QA)*(1-Set1TA)*(1-Set1DA)*(1-Set1AM3)))) * IF($B$9+$B$10&gt;0, IF(B82=3, Set1QA, IF(B82=2, (1-Set1QA)*Set1TA, IF(B82=1, (1-Set1QA)*(1-Set1TA)*Set1DA, (1-Set1QA)*(1-Set1TA)*(1-Set1DA)))), IF(B82=0, 1, 0))</f>
        <v>0</v>
      </c>
      <c r="G82">
        <v>1</v>
      </c>
      <c r="H82">
        <v>1</v>
      </c>
      <c r="I82">
        <v>7</v>
      </c>
      <c r="J82" s="1">
        <f t="shared" ref="J82:J145" ca="1" si="26">POWER(95%,G82)*POWER(5%, 1-G82) * IF($B$10=0, IF(H82=0, 1, 0), POWER(Set1WSHitRate,H82)*POWER(1-Set1WSHitRate, 1-H82)) * IF(I82&lt;=D82, POWER(Set1WSHitRate, I82)*POWER(1-Set1WSHitRate, D82-I82)*COMBIN(D82,I82), 0)</f>
        <v>0</v>
      </c>
      <c r="K82" s="1">
        <f t="shared" ref="K82:K145" ca="1" si="27">F82*J82</f>
        <v>0</v>
      </c>
      <c r="L82" s="13">
        <f t="shared" ref="L82:L145" ca="1" si="28">MAX((G82+H82)*Set1WSTP + I82*$B$6, Set1SaveTP)</f>
        <v>615</v>
      </c>
      <c r="M82" s="7">
        <f t="shared" ref="M82:M145" ca="1" si="29">MAX(Set1MinTP-(L82+Set1Regain), 0)</f>
        <v>385</v>
      </c>
      <c r="N82" s="26">
        <f t="shared" ref="N82:N145" ca="1" si="30">CEILING(M82/Set1MeleeTP, 1)</f>
        <v>2</v>
      </c>
      <c r="O82" s="44">
        <f t="shared" ref="O82:O145" ca="1" si="31">VLOOKUP(N82,AvgRoundsSet1,2)</f>
        <v>1.5762319669595739</v>
      </c>
      <c r="P82" s="44">
        <f t="shared" ref="P82:P145" ca="1" si="32">VLOOKUP(CEILING(MAX(M82-1, 0)/Set1MeleeTP, 1), AvgRoundsSet1, 2) + VLOOKUP(CEILING(MAX(M82-2, 0)/Set1MeleeTP, 1), AvgRoundsSet1, 2) + VLOOKUP(CEILING(MAX(M82-3, 0)/Set1MeleeTP, 1), AvgRoundsSet1, 2) + VLOOKUP(CEILING(MAX(M82-4, 0)/Set1MeleeTP, 1), AvgRoundsSet1, 2) + VLOOKUP(CEILING(MAX(M82-5, 0)/Set1MeleeTP, 1), AvgRoundsSet1, 2) + VLOOKUP(CEILING(MAX(M82-6, 0)/Set1MeleeTP, 1), AvgRoundsSet1, 2) + VLOOKUP(CEILING(MAX(M82-7, 0)/Set1MeleeTP, 1), AvgRoundsSet1, 2) + VLOOKUP(CEILING(MAX(M82-8, 0)/Set1MeleeTP, 1), AvgRoundsSet1, 2) + VLOOKUP(CEILING(MAX(M82-9, 0)/Set1MeleeTP, 1), AvgRoundsSet1, 2) + VLOOKUP(CEILING(MAX(M82-10, 0)/Set1MeleeTP, 1), AvgRoundsSet1, 2)</f>
        <v>15.762319669595739</v>
      </c>
      <c r="Q82" s="44">
        <f t="shared" ref="Q82:Q145" ca="1" si="33">VLOOKUP(CEILING(MAX(M82-11, 0)/Set1MeleeTP, 1), AvgRoundsSet1, 2) + VLOOKUP(CEILING(MAX(M82-12, 0)/Set1MeleeTP, 1), AvgRoundsSet1, 2) + VLOOKUP(CEILING(MAX(M82-13, 0)/Set1MeleeTP, 1), AvgRoundsSet1, 2) + VLOOKUP(CEILING(MAX(M82-14, 0)/Set1MeleeTP, 1), AvgRoundsSet1, 2) + VLOOKUP(CEILING(MAX(M82-15, 0)/Set1MeleeTP, 1), AvgRoundsSet1, 2) + VLOOKUP(CEILING(MAX(M82-16, 0)/Set1MeleeTP, 1), AvgRoundsSet1, 2) + VLOOKUP(CEILING(MAX(M82-17, 0)/Set1MeleeTP, 1), AvgRoundsSet1, 2) + VLOOKUP(CEILING(MAX(M82-18, 0)/Set1MeleeTP, 1), AvgRoundsSet1, 2) + VLOOKUP(CEILING(MAX(M82-19, 0)/Set1MeleeTP, 1), AvgRoundsSet1, 2) + VLOOKUP(CEILING(MAX(M82-20, 0)/Set1MeleeTP, 1), AvgRoundsSet1, 2)</f>
        <v>15.762319669595739</v>
      </c>
      <c r="R82" s="44">
        <f t="shared" ref="R82:R145" ca="1" si="34">(P82+Q82)/20</f>
        <v>1.5762319669595739</v>
      </c>
      <c r="S82" s="44">
        <f t="shared" ref="S82:S145" ca="1" si="35">R82*Set1ConserveTP + O82*(1-Set1ConserveTP)</f>
        <v>1.5762319669595737</v>
      </c>
      <c r="T82" s="4">
        <f t="shared" ref="T82:T145" ca="1" si="36">K82*S82</f>
        <v>0</v>
      </c>
      <c r="U82" s="120">
        <f t="shared" ref="U82:U145" ca="1" si="37">MIN(L82+(S82+Set1OverTP)*AvgHitsPerRound1*Set1MeleeTP + Set1Regain + 10.5*Set1ConserveTP, 3000)</f>
        <v>1538.885248288175</v>
      </c>
      <c r="V82" s="4">
        <f t="shared" ref="V82:V145" ca="1" si="38">U82*K82</f>
        <v>0</v>
      </c>
      <c r="W82" s="13">
        <f t="shared" ref="W82:W145" ca="1" si="39">G82*$K$10*((1-$L$10)*$L$14 + $L$10*$M$14*$M$10)*Set1WSDmg + H82*$K$13*((1-$L$13)*$L$15 + $L$13*$M$15*$M$11) + I82*$K$11*((1-$L$11)*$L$14 + $L$11*$M$14*$M$11) + E82*$K$12*$L$12*$M$10</f>
        <v>40973.706000000006</v>
      </c>
      <c r="X82" s="4">
        <f t="shared" ref="X82:X145" ca="1" si="40">K82*W82</f>
        <v>0</v>
      </c>
      <c r="Y82" s="4">
        <f t="shared" ref="Y82:Y145" si="41">IF($B$12=1, (VLOOKUP(C82, IF($B$13=10%,Souleater10,Souleater12), 6, FALSE) * $B$14), 0)</f>
        <v>0</v>
      </c>
      <c r="Z82" s="13">
        <f t="shared" ca="1" si="20"/>
        <v>40973.706000000006</v>
      </c>
      <c r="AA82" s="4">
        <f t="shared" ca="1" si="21"/>
        <v>0</v>
      </c>
      <c r="AE82" s="4"/>
    </row>
    <row r="83" spans="1:31">
      <c r="A83">
        <v>0</v>
      </c>
      <c r="B83">
        <v>2</v>
      </c>
      <c r="C83">
        <f t="shared" ca="1" si="22"/>
        <v>3</v>
      </c>
      <c r="D83">
        <f t="shared" ca="1" si="23"/>
        <v>2</v>
      </c>
      <c r="E83">
        <f t="shared" ca="1" si="24"/>
        <v>0</v>
      </c>
      <c r="F83" s="110">
        <f t="shared" ca="1" si="25"/>
        <v>0</v>
      </c>
      <c r="G83">
        <v>1</v>
      </c>
      <c r="H83">
        <v>1</v>
      </c>
      <c r="I83">
        <v>6</v>
      </c>
      <c r="J83" s="1">
        <f t="shared" ca="1" si="26"/>
        <v>0</v>
      </c>
      <c r="K83" s="1">
        <f t="shared" ca="1" si="27"/>
        <v>0</v>
      </c>
      <c r="L83" s="13">
        <f t="shared" ca="1" si="28"/>
        <v>596</v>
      </c>
      <c r="M83" s="7">
        <f t="shared" ca="1" si="29"/>
        <v>404</v>
      </c>
      <c r="N83" s="26">
        <f t="shared" ca="1" si="30"/>
        <v>2</v>
      </c>
      <c r="O83" s="44">
        <f t="shared" ca="1" si="31"/>
        <v>1.5762319669595739</v>
      </c>
      <c r="P83" s="44">
        <f t="shared" ca="1" si="32"/>
        <v>15.762319669595739</v>
      </c>
      <c r="Q83" s="44">
        <f t="shared" ca="1" si="33"/>
        <v>15.762319669595739</v>
      </c>
      <c r="R83" s="44">
        <f t="shared" ca="1" si="34"/>
        <v>1.5762319669595739</v>
      </c>
      <c r="S83" s="44">
        <f t="shared" ca="1" si="35"/>
        <v>1.5762319669595737</v>
      </c>
      <c r="T83" s="4">
        <f t="shared" ca="1" si="36"/>
        <v>0</v>
      </c>
      <c r="U83" s="120">
        <f t="shared" ca="1" si="37"/>
        <v>1519.885248288175</v>
      </c>
      <c r="V83" s="4">
        <f t="shared" ca="1" si="38"/>
        <v>0</v>
      </c>
      <c r="W83" s="13">
        <f t="shared" ca="1" si="39"/>
        <v>38632.806000000004</v>
      </c>
      <c r="X83" s="4">
        <f t="shared" ca="1" si="40"/>
        <v>0</v>
      </c>
      <c r="Y83" s="4">
        <f t="shared" si="41"/>
        <v>0</v>
      </c>
      <c r="Z83" s="13">
        <f t="shared" ref="Z83:Z146" ca="1" si="42">Y83+W83</f>
        <v>38632.806000000004</v>
      </c>
      <c r="AA83" s="4">
        <f t="shared" ref="AA83:AA146" ca="1" si="43">Z83*K83</f>
        <v>0</v>
      </c>
      <c r="AE83" s="4"/>
    </row>
    <row r="84" spans="1:31">
      <c r="A84">
        <v>0</v>
      </c>
      <c r="B84">
        <v>2</v>
      </c>
      <c r="C84">
        <f t="shared" ca="1" si="22"/>
        <v>3</v>
      </c>
      <c r="D84">
        <f t="shared" ca="1" si="23"/>
        <v>2</v>
      </c>
      <c r="E84">
        <f t="shared" ca="1" si="24"/>
        <v>0</v>
      </c>
      <c r="F84" s="110">
        <f t="shared" ca="1" si="25"/>
        <v>0</v>
      </c>
      <c r="G84">
        <v>1</v>
      </c>
      <c r="H84">
        <v>1</v>
      </c>
      <c r="I84">
        <v>5</v>
      </c>
      <c r="J84" s="1">
        <f t="shared" ca="1" si="26"/>
        <v>0</v>
      </c>
      <c r="K84" s="1">
        <f t="shared" ca="1" si="27"/>
        <v>0</v>
      </c>
      <c r="L84" s="13">
        <f t="shared" ca="1" si="28"/>
        <v>577</v>
      </c>
      <c r="M84" s="7">
        <f t="shared" ca="1" si="29"/>
        <v>423</v>
      </c>
      <c r="N84" s="26">
        <f t="shared" ca="1" si="30"/>
        <v>2</v>
      </c>
      <c r="O84" s="44">
        <f t="shared" ca="1" si="31"/>
        <v>1.5762319669595739</v>
      </c>
      <c r="P84" s="44">
        <f t="shared" ca="1" si="32"/>
        <v>15.762319669595739</v>
      </c>
      <c r="Q84" s="44">
        <f t="shared" ca="1" si="33"/>
        <v>15.762319669595739</v>
      </c>
      <c r="R84" s="44">
        <f t="shared" ca="1" si="34"/>
        <v>1.5762319669595739</v>
      </c>
      <c r="S84" s="44">
        <f t="shared" ca="1" si="35"/>
        <v>1.5762319669595737</v>
      </c>
      <c r="T84" s="4">
        <f t="shared" ca="1" si="36"/>
        <v>0</v>
      </c>
      <c r="U84" s="120">
        <f t="shared" ca="1" si="37"/>
        <v>1500.885248288175</v>
      </c>
      <c r="V84" s="4">
        <f t="shared" ca="1" si="38"/>
        <v>0</v>
      </c>
      <c r="W84" s="13">
        <f t="shared" ca="1" si="39"/>
        <v>36291.906000000003</v>
      </c>
      <c r="X84" s="4">
        <f t="shared" ca="1" si="40"/>
        <v>0</v>
      </c>
      <c r="Y84" s="4">
        <f t="shared" si="41"/>
        <v>0</v>
      </c>
      <c r="Z84" s="13">
        <f t="shared" ca="1" si="42"/>
        <v>36291.906000000003</v>
      </c>
      <c r="AA84" s="4">
        <f t="shared" ca="1" si="43"/>
        <v>0</v>
      </c>
      <c r="AE84" s="4"/>
    </row>
    <row r="85" spans="1:31">
      <c r="A85">
        <v>0</v>
      </c>
      <c r="B85">
        <v>2</v>
      </c>
      <c r="C85">
        <f t="shared" ca="1" si="22"/>
        <v>3</v>
      </c>
      <c r="D85">
        <f t="shared" ca="1" si="23"/>
        <v>2</v>
      </c>
      <c r="E85">
        <f t="shared" ca="1" si="24"/>
        <v>0</v>
      </c>
      <c r="F85" s="110">
        <f t="shared" ca="1" si="25"/>
        <v>0</v>
      </c>
      <c r="G85">
        <v>1</v>
      </c>
      <c r="H85">
        <v>1</v>
      </c>
      <c r="I85">
        <v>4</v>
      </c>
      <c r="J85" s="1">
        <f t="shared" ca="1" si="26"/>
        <v>0</v>
      </c>
      <c r="K85" s="1">
        <f t="shared" ca="1" si="27"/>
        <v>0</v>
      </c>
      <c r="L85" s="13">
        <f t="shared" ca="1" si="28"/>
        <v>558</v>
      </c>
      <c r="M85" s="7">
        <f t="shared" ca="1" si="29"/>
        <v>442</v>
      </c>
      <c r="N85" s="26">
        <f t="shared" ca="1" si="30"/>
        <v>2</v>
      </c>
      <c r="O85" s="44">
        <f t="shared" ca="1" si="31"/>
        <v>1.5762319669595739</v>
      </c>
      <c r="P85" s="44">
        <f t="shared" ca="1" si="32"/>
        <v>15.762319669595739</v>
      </c>
      <c r="Q85" s="44">
        <f t="shared" ca="1" si="33"/>
        <v>15.762319669595739</v>
      </c>
      <c r="R85" s="44">
        <f t="shared" ca="1" si="34"/>
        <v>1.5762319669595739</v>
      </c>
      <c r="S85" s="44">
        <f t="shared" ca="1" si="35"/>
        <v>1.5762319669595737</v>
      </c>
      <c r="T85" s="4">
        <f t="shared" ca="1" si="36"/>
        <v>0</v>
      </c>
      <c r="U85" s="120">
        <f t="shared" ca="1" si="37"/>
        <v>1481.885248288175</v>
      </c>
      <c r="V85" s="4">
        <f t="shared" ca="1" si="38"/>
        <v>0</v>
      </c>
      <c r="W85" s="13">
        <f t="shared" ca="1" si="39"/>
        <v>33951.006000000001</v>
      </c>
      <c r="X85" s="4">
        <f t="shared" ca="1" si="40"/>
        <v>0</v>
      </c>
      <c r="Y85" s="4">
        <f t="shared" si="41"/>
        <v>0</v>
      </c>
      <c r="Z85" s="13">
        <f t="shared" ca="1" si="42"/>
        <v>33951.006000000001</v>
      </c>
      <c r="AA85" s="4">
        <f t="shared" ca="1" si="43"/>
        <v>0</v>
      </c>
      <c r="AE85" s="4"/>
    </row>
    <row r="86" spans="1:31">
      <c r="A86">
        <v>0</v>
      </c>
      <c r="B86">
        <v>2</v>
      </c>
      <c r="C86">
        <f t="shared" ca="1" si="22"/>
        <v>3</v>
      </c>
      <c r="D86">
        <f t="shared" ca="1" si="23"/>
        <v>2</v>
      </c>
      <c r="E86">
        <f t="shared" ca="1" si="24"/>
        <v>0</v>
      </c>
      <c r="F86" s="110">
        <f t="shared" ca="1" si="25"/>
        <v>0</v>
      </c>
      <c r="G86">
        <v>1</v>
      </c>
      <c r="H86">
        <v>1</v>
      </c>
      <c r="I86">
        <v>3</v>
      </c>
      <c r="J86" s="1">
        <f t="shared" ca="1" si="26"/>
        <v>0</v>
      </c>
      <c r="K86" s="1">
        <f t="shared" ca="1" si="27"/>
        <v>0</v>
      </c>
      <c r="L86" s="13">
        <f t="shared" ca="1" si="28"/>
        <v>539</v>
      </c>
      <c r="M86" s="7">
        <f t="shared" ca="1" si="29"/>
        <v>461</v>
      </c>
      <c r="N86" s="26">
        <f t="shared" ca="1" si="30"/>
        <v>2</v>
      </c>
      <c r="O86" s="44">
        <f t="shared" ca="1" si="31"/>
        <v>1.5762319669595739</v>
      </c>
      <c r="P86" s="44">
        <f t="shared" ca="1" si="32"/>
        <v>15.762319669595739</v>
      </c>
      <c r="Q86" s="44">
        <f t="shared" ca="1" si="33"/>
        <v>15.762319669595739</v>
      </c>
      <c r="R86" s="44">
        <f t="shared" ca="1" si="34"/>
        <v>1.5762319669595739</v>
      </c>
      <c r="S86" s="44">
        <f t="shared" ca="1" si="35"/>
        <v>1.5762319669595737</v>
      </c>
      <c r="T86" s="4">
        <f t="shared" ca="1" si="36"/>
        <v>0</v>
      </c>
      <c r="U86" s="120">
        <f t="shared" ca="1" si="37"/>
        <v>1462.885248288175</v>
      </c>
      <c r="V86" s="4">
        <f t="shared" ca="1" si="38"/>
        <v>0</v>
      </c>
      <c r="W86" s="13">
        <f t="shared" ca="1" si="39"/>
        <v>31610.106000000003</v>
      </c>
      <c r="X86" s="4">
        <f t="shared" ca="1" si="40"/>
        <v>0</v>
      </c>
      <c r="Y86" s="4">
        <f t="shared" si="41"/>
        <v>0</v>
      </c>
      <c r="Z86" s="13">
        <f t="shared" ca="1" si="42"/>
        <v>31610.106000000003</v>
      </c>
      <c r="AA86" s="4">
        <f t="shared" ca="1" si="43"/>
        <v>0</v>
      </c>
      <c r="AE86" s="4"/>
    </row>
    <row r="87" spans="1:31">
      <c r="A87">
        <v>0</v>
      </c>
      <c r="B87">
        <v>2</v>
      </c>
      <c r="C87">
        <f t="shared" ca="1" si="22"/>
        <v>3</v>
      </c>
      <c r="D87">
        <f t="shared" ca="1" si="23"/>
        <v>2</v>
      </c>
      <c r="E87">
        <f t="shared" ca="1" si="24"/>
        <v>0</v>
      </c>
      <c r="F87" s="110">
        <f t="shared" ca="1" si="25"/>
        <v>0</v>
      </c>
      <c r="G87">
        <v>1</v>
      </c>
      <c r="H87">
        <v>1</v>
      </c>
      <c r="I87">
        <v>2</v>
      </c>
      <c r="J87" s="1">
        <f t="shared" ca="1" si="26"/>
        <v>0</v>
      </c>
      <c r="K87" s="1">
        <f t="shared" ca="1" si="27"/>
        <v>0</v>
      </c>
      <c r="L87" s="13">
        <f t="shared" ca="1" si="28"/>
        <v>520</v>
      </c>
      <c r="M87" s="7">
        <f t="shared" ca="1" si="29"/>
        <v>480</v>
      </c>
      <c r="N87" s="26">
        <f t="shared" ca="1" si="30"/>
        <v>2</v>
      </c>
      <c r="O87" s="44">
        <f t="shared" ca="1" si="31"/>
        <v>1.5762319669595739</v>
      </c>
      <c r="P87" s="44">
        <f t="shared" ca="1" si="32"/>
        <v>15.762319669595739</v>
      </c>
      <c r="Q87" s="44">
        <f t="shared" ca="1" si="33"/>
        <v>15.762319669595739</v>
      </c>
      <c r="R87" s="44">
        <f t="shared" ca="1" si="34"/>
        <v>1.5762319669595739</v>
      </c>
      <c r="S87" s="44">
        <f t="shared" ca="1" si="35"/>
        <v>1.5762319669595737</v>
      </c>
      <c r="T87" s="4">
        <f t="shared" ca="1" si="36"/>
        <v>0</v>
      </c>
      <c r="U87" s="120">
        <f t="shared" ca="1" si="37"/>
        <v>1443.885248288175</v>
      </c>
      <c r="V87" s="4">
        <f t="shared" ca="1" si="38"/>
        <v>0</v>
      </c>
      <c r="W87" s="13">
        <f t="shared" ca="1" si="39"/>
        <v>29269.206000000002</v>
      </c>
      <c r="X87" s="4">
        <f t="shared" ca="1" si="40"/>
        <v>0</v>
      </c>
      <c r="Y87" s="4">
        <f t="shared" si="41"/>
        <v>0</v>
      </c>
      <c r="Z87" s="13">
        <f t="shared" ca="1" si="42"/>
        <v>29269.206000000002</v>
      </c>
      <c r="AA87" s="4">
        <f t="shared" ca="1" si="43"/>
        <v>0</v>
      </c>
      <c r="AE87" s="4"/>
    </row>
    <row r="88" spans="1:31">
      <c r="A88">
        <v>0</v>
      </c>
      <c r="B88">
        <v>2</v>
      </c>
      <c r="C88">
        <f t="shared" ca="1" si="22"/>
        <v>3</v>
      </c>
      <c r="D88">
        <f t="shared" ca="1" si="23"/>
        <v>2</v>
      </c>
      <c r="E88">
        <f t="shared" ca="1" si="24"/>
        <v>0</v>
      </c>
      <c r="F88" s="110">
        <f t="shared" ca="1" si="25"/>
        <v>0</v>
      </c>
      <c r="G88">
        <v>1</v>
      </c>
      <c r="H88">
        <v>1</v>
      </c>
      <c r="I88">
        <v>1</v>
      </c>
      <c r="J88" s="1">
        <f t="shared" ca="1" si="26"/>
        <v>0</v>
      </c>
      <c r="K88" s="1">
        <f t="shared" ca="1" si="27"/>
        <v>0</v>
      </c>
      <c r="L88" s="13">
        <f t="shared" ca="1" si="28"/>
        <v>501</v>
      </c>
      <c r="M88" s="7">
        <f t="shared" ca="1" si="29"/>
        <v>499</v>
      </c>
      <c r="N88" s="26">
        <f t="shared" ca="1" si="30"/>
        <v>2</v>
      </c>
      <c r="O88" s="44">
        <f t="shared" ca="1" si="31"/>
        <v>1.5762319669595739</v>
      </c>
      <c r="P88" s="44">
        <f t="shared" ca="1" si="32"/>
        <v>15.762319669595739</v>
      </c>
      <c r="Q88" s="44">
        <f t="shared" ca="1" si="33"/>
        <v>15.762319669595739</v>
      </c>
      <c r="R88" s="44">
        <f t="shared" ca="1" si="34"/>
        <v>1.5762319669595739</v>
      </c>
      <c r="S88" s="44">
        <f t="shared" ca="1" si="35"/>
        <v>1.5762319669595737</v>
      </c>
      <c r="T88" s="4">
        <f t="shared" ca="1" si="36"/>
        <v>0</v>
      </c>
      <c r="U88" s="120">
        <f t="shared" ca="1" si="37"/>
        <v>1424.885248288175</v>
      </c>
      <c r="V88" s="4">
        <f t="shared" ca="1" si="38"/>
        <v>0</v>
      </c>
      <c r="W88" s="13">
        <f t="shared" ca="1" si="39"/>
        <v>26928.306000000004</v>
      </c>
      <c r="X88" s="4">
        <f t="shared" ca="1" si="40"/>
        <v>0</v>
      </c>
      <c r="Y88" s="4">
        <f t="shared" si="41"/>
        <v>0</v>
      </c>
      <c r="Z88" s="13">
        <f t="shared" ca="1" si="42"/>
        <v>26928.306000000004</v>
      </c>
      <c r="AA88" s="4">
        <f t="shared" ca="1" si="43"/>
        <v>0</v>
      </c>
      <c r="AE88" s="4"/>
    </row>
    <row r="89" spans="1:31">
      <c r="A89">
        <v>0</v>
      </c>
      <c r="B89">
        <v>2</v>
      </c>
      <c r="C89">
        <f t="shared" ca="1" si="22"/>
        <v>3</v>
      </c>
      <c r="D89">
        <f t="shared" ca="1" si="23"/>
        <v>2</v>
      </c>
      <c r="E89">
        <f t="shared" ca="1" si="24"/>
        <v>0</v>
      </c>
      <c r="F89" s="110">
        <f t="shared" ca="1" si="25"/>
        <v>0</v>
      </c>
      <c r="G89">
        <v>1</v>
      </c>
      <c r="H89">
        <v>1</v>
      </c>
      <c r="I89">
        <v>0</v>
      </c>
      <c r="J89" s="1">
        <f t="shared" ca="1" si="26"/>
        <v>0</v>
      </c>
      <c r="K89" s="1">
        <f t="shared" ca="1" si="27"/>
        <v>0</v>
      </c>
      <c r="L89" s="13">
        <f t="shared" ca="1" si="28"/>
        <v>482</v>
      </c>
      <c r="M89" s="7">
        <f t="shared" ca="1" si="29"/>
        <v>518</v>
      </c>
      <c r="N89" s="26">
        <f t="shared" ca="1" si="30"/>
        <v>2</v>
      </c>
      <c r="O89" s="44">
        <f t="shared" ca="1" si="31"/>
        <v>1.5762319669595739</v>
      </c>
      <c r="P89" s="44">
        <f t="shared" ca="1" si="32"/>
        <v>15.762319669595739</v>
      </c>
      <c r="Q89" s="44">
        <f t="shared" ca="1" si="33"/>
        <v>15.762319669595739</v>
      </c>
      <c r="R89" s="44">
        <f t="shared" ca="1" si="34"/>
        <v>1.5762319669595739</v>
      </c>
      <c r="S89" s="44">
        <f t="shared" ca="1" si="35"/>
        <v>1.5762319669595737</v>
      </c>
      <c r="T89" s="4">
        <f t="shared" ca="1" si="36"/>
        <v>0</v>
      </c>
      <c r="U89" s="120">
        <f t="shared" ca="1" si="37"/>
        <v>1405.885248288175</v>
      </c>
      <c r="V89" s="4">
        <f t="shared" ca="1" si="38"/>
        <v>0</v>
      </c>
      <c r="W89" s="13">
        <f t="shared" ca="1" si="39"/>
        <v>24587.406000000003</v>
      </c>
      <c r="X89" s="4">
        <f t="shared" ca="1" si="40"/>
        <v>0</v>
      </c>
      <c r="Y89" s="4">
        <f t="shared" si="41"/>
        <v>0</v>
      </c>
      <c r="Z89" s="13">
        <f t="shared" ca="1" si="42"/>
        <v>24587.406000000003</v>
      </c>
      <c r="AA89" s="4">
        <f t="shared" ca="1" si="43"/>
        <v>0</v>
      </c>
      <c r="AE89" s="4"/>
    </row>
    <row r="90" spans="1:31">
      <c r="A90">
        <v>0</v>
      </c>
      <c r="B90">
        <v>2</v>
      </c>
      <c r="C90">
        <f t="shared" ca="1" si="22"/>
        <v>3</v>
      </c>
      <c r="D90">
        <f t="shared" ca="1" si="23"/>
        <v>2</v>
      </c>
      <c r="E90">
        <f t="shared" ca="1" si="24"/>
        <v>0</v>
      </c>
      <c r="F90" s="110">
        <f t="shared" ca="1" si="25"/>
        <v>0</v>
      </c>
      <c r="G90">
        <v>1</v>
      </c>
      <c r="H90">
        <v>0</v>
      </c>
      <c r="I90">
        <v>7</v>
      </c>
      <c r="J90" s="1">
        <f t="shared" ca="1" si="26"/>
        <v>0</v>
      </c>
      <c r="K90" s="1">
        <f t="shared" ca="1" si="27"/>
        <v>0</v>
      </c>
      <c r="L90" s="13">
        <f t="shared" ca="1" si="28"/>
        <v>374</v>
      </c>
      <c r="M90" s="7">
        <f t="shared" ca="1" si="29"/>
        <v>626</v>
      </c>
      <c r="N90" s="26">
        <f t="shared" ca="1" si="30"/>
        <v>3</v>
      </c>
      <c r="O90" s="44">
        <f t="shared" ca="1" si="31"/>
        <v>2.2442427272544552</v>
      </c>
      <c r="P90" s="44">
        <f t="shared" ca="1" si="32"/>
        <v>22.442427272544553</v>
      </c>
      <c r="Q90" s="44">
        <f t="shared" ca="1" si="33"/>
        <v>22.442427272544553</v>
      </c>
      <c r="R90" s="44">
        <f t="shared" ca="1" si="34"/>
        <v>2.2442427272544552</v>
      </c>
      <c r="S90" s="44">
        <f t="shared" ca="1" si="35"/>
        <v>2.2442427272544552</v>
      </c>
      <c r="T90" s="4">
        <f t="shared" ca="1" si="36"/>
        <v>0</v>
      </c>
      <c r="U90" s="120">
        <f t="shared" ca="1" si="37"/>
        <v>1594.901337549361</v>
      </c>
      <c r="V90" s="4">
        <f t="shared" ca="1" si="38"/>
        <v>0</v>
      </c>
      <c r="W90" s="13">
        <f t="shared" ca="1" si="39"/>
        <v>40973.706000000006</v>
      </c>
      <c r="X90" s="4">
        <f t="shared" ca="1" si="40"/>
        <v>0</v>
      </c>
      <c r="Y90" s="4">
        <f t="shared" si="41"/>
        <v>0</v>
      </c>
      <c r="Z90" s="13">
        <f t="shared" ca="1" si="42"/>
        <v>40973.706000000006</v>
      </c>
      <c r="AA90" s="4">
        <f t="shared" ca="1" si="43"/>
        <v>0</v>
      </c>
      <c r="AE90" s="4"/>
    </row>
    <row r="91" spans="1:31">
      <c r="A91">
        <v>0</v>
      </c>
      <c r="B91">
        <v>2</v>
      </c>
      <c r="C91">
        <f t="shared" ca="1" si="22"/>
        <v>3</v>
      </c>
      <c r="D91">
        <f t="shared" ca="1" si="23"/>
        <v>2</v>
      </c>
      <c r="E91">
        <f t="shared" ca="1" si="24"/>
        <v>0</v>
      </c>
      <c r="F91" s="110">
        <f t="shared" ca="1" si="25"/>
        <v>0</v>
      </c>
      <c r="G91">
        <v>1</v>
      </c>
      <c r="H91">
        <v>0</v>
      </c>
      <c r="I91">
        <v>6</v>
      </c>
      <c r="J91" s="1">
        <f t="shared" ca="1" si="26"/>
        <v>0</v>
      </c>
      <c r="K91" s="1">
        <f t="shared" ca="1" si="27"/>
        <v>0</v>
      </c>
      <c r="L91" s="13">
        <f t="shared" ca="1" si="28"/>
        <v>355</v>
      </c>
      <c r="M91" s="7">
        <f t="shared" ca="1" si="29"/>
        <v>645</v>
      </c>
      <c r="N91" s="26">
        <f t="shared" ca="1" si="30"/>
        <v>3</v>
      </c>
      <c r="O91" s="44">
        <f t="shared" ca="1" si="31"/>
        <v>2.2442427272544552</v>
      </c>
      <c r="P91" s="44">
        <f t="shared" ca="1" si="32"/>
        <v>22.442427272544553</v>
      </c>
      <c r="Q91" s="44">
        <f t="shared" ca="1" si="33"/>
        <v>22.442427272544553</v>
      </c>
      <c r="R91" s="44">
        <f t="shared" ca="1" si="34"/>
        <v>2.2442427272544552</v>
      </c>
      <c r="S91" s="44">
        <f t="shared" ca="1" si="35"/>
        <v>2.2442427272544552</v>
      </c>
      <c r="T91" s="4">
        <f t="shared" ca="1" si="36"/>
        <v>0</v>
      </c>
      <c r="U91" s="120">
        <f t="shared" ca="1" si="37"/>
        <v>1575.901337549361</v>
      </c>
      <c r="V91" s="4">
        <f t="shared" ca="1" si="38"/>
        <v>0</v>
      </c>
      <c r="W91" s="13">
        <f t="shared" ca="1" si="39"/>
        <v>38632.806000000004</v>
      </c>
      <c r="X91" s="4">
        <f t="shared" ca="1" si="40"/>
        <v>0</v>
      </c>
      <c r="Y91" s="4">
        <f t="shared" si="41"/>
        <v>0</v>
      </c>
      <c r="Z91" s="13">
        <f t="shared" ca="1" si="42"/>
        <v>38632.806000000004</v>
      </c>
      <c r="AA91" s="4">
        <f t="shared" ca="1" si="43"/>
        <v>0</v>
      </c>
      <c r="AE91" s="4"/>
    </row>
    <row r="92" spans="1:31">
      <c r="A92">
        <v>0</v>
      </c>
      <c r="B92">
        <v>2</v>
      </c>
      <c r="C92">
        <f t="shared" ca="1" si="22"/>
        <v>3</v>
      </c>
      <c r="D92">
        <f t="shared" ca="1" si="23"/>
        <v>2</v>
      </c>
      <c r="E92">
        <f t="shared" ca="1" si="24"/>
        <v>0</v>
      </c>
      <c r="F92" s="110">
        <f t="shared" ca="1" si="25"/>
        <v>0</v>
      </c>
      <c r="G92">
        <v>1</v>
      </c>
      <c r="H92">
        <v>0</v>
      </c>
      <c r="I92">
        <v>5</v>
      </c>
      <c r="J92" s="1">
        <f t="shared" ca="1" si="26"/>
        <v>0</v>
      </c>
      <c r="K92" s="1">
        <f t="shared" ca="1" si="27"/>
        <v>0</v>
      </c>
      <c r="L92" s="13">
        <f t="shared" ca="1" si="28"/>
        <v>336</v>
      </c>
      <c r="M92" s="7">
        <f t="shared" ca="1" si="29"/>
        <v>664</v>
      </c>
      <c r="N92" s="26">
        <f t="shared" ca="1" si="30"/>
        <v>3</v>
      </c>
      <c r="O92" s="44">
        <f t="shared" ca="1" si="31"/>
        <v>2.2442427272544552</v>
      </c>
      <c r="P92" s="44">
        <f t="shared" ca="1" si="32"/>
        <v>22.442427272544553</v>
      </c>
      <c r="Q92" s="44">
        <f t="shared" ca="1" si="33"/>
        <v>22.442427272544553</v>
      </c>
      <c r="R92" s="44">
        <f t="shared" ca="1" si="34"/>
        <v>2.2442427272544552</v>
      </c>
      <c r="S92" s="44">
        <f t="shared" ca="1" si="35"/>
        <v>2.2442427272544552</v>
      </c>
      <c r="T92" s="4">
        <f t="shared" ca="1" si="36"/>
        <v>0</v>
      </c>
      <c r="U92" s="120">
        <f t="shared" ca="1" si="37"/>
        <v>1556.901337549361</v>
      </c>
      <c r="V92" s="4">
        <f t="shared" ca="1" si="38"/>
        <v>0</v>
      </c>
      <c r="W92" s="13">
        <f t="shared" ca="1" si="39"/>
        <v>36291.906000000003</v>
      </c>
      <c r="X92" s="4">
        <f t="shared" ca="1" si="40"/>
        <v>0</v>
      </c>
      <c r="Y92" s="4">
        <f t="shared" si="41"/>
        <v>0</v>
      </c>
      <c r="Z92" s="13">
        <f t="shared" ca="1" si="42"/>
        <v>36291.906000000003</v>
      </c>
      <c r="AA92" s="4">
        <f t="shared" ca="1" si="43"/>
        <v>0</v>
      </c>
      <c r="AE92" s="4"/>
    </row>
    <row r="93" spans="1:31">
      <c r="A93">
        <v>0</v>
      </c>
      <c r="B93">
        <v>2</v>
      </c>
      <c r="C93">
        <f t="shared" ca="1" si="22"/>
        <v>3</v>
      </c>
      <c r="D93">
        <f t="shared" ca="1" si="23"/>
        <v>2</v>
      </c>
      <c r="E93">
        <f t="shared" ca="1" si="24"/>
        <v>0</v>
      </c>
      <c r="F93" s="110">
        <f t="shared" ca="1" si="25"/>
        <v>0</v>
      </c>
      <c r="G93">
        <v>1</v>
      </c>
      <c r="H93">
        <v>0</v>
      </c>
      <c r="I93">
        <v>4</v>
      </c>
      <c r="J93" s="1">
        <f t="shared" ca="1" si="26"/>
        <v>0</v>
      </c>
      <c r="K93" s="1">
        <f t="shared" ca="1" si="27"/>
        <v>0</v>
      </c>
      <c r="L93" s="13">
        <f t="shared" ca="1" si="28"/>
        <v>317</v>
      </c>
      <c r="M93" s="7">
        <f t="shared" ca="1" si="29"/>
        <v>683</v>
      </c>
      <c r="N93" s="26">
        <f t="shared" ca="1" si="30"/>
        <v>3</v>
      </c>
      <c r="O93" s="44">
        <f t="shared" ca="1" si="31"/>
        <v>2.2442427272544552</v>
      </c>
      <c r="P93" s="44">
        <f t="shared" ca="1" si="32"/>
        <v>22.442427272544553</v>
      </c>
      <c r="Q93" s="44">
        <f t="shared" ca="1" si="33"/>
        <v>22.442427272544553</v>
      </c>
      <c r="R93" s="44">
        <f t="shared" ca="1" si="34"/>
        <v>2.2442427272544552</v>
      </c>
      <c r="S93" s="44">
        <f t="shared" ca="1" si="35"/>
        <v>2.2442427272544552</v>
      </c>
      <c r="T93" s="4">
        <f t="shared" ca="1" si="36"/>
        <v>0</v>
      </c>
      <c r="U93" s="120">
        <f t="shared" ca="1" si="37"/>
        <v>1537.901337549361</v>
      </c>
      <c r="V93" s="4">
        <f t="shared" ca="1" si="38"/>
        <v>0</v>
      </c>
      <c r="W93" s="13">
        <f t="shared" ca="1" si="39"/>
        <v>33951.006000000001</v>
      </c>
      <c r="X93" s="4">
        <f t="shared" ca="1" si="40"/>
        <v>0</v>
      </c>
      <c r="Y93" s="4">
        <f t="shared" si="41"/>
        <v>0</v>
      </c>
      <c r="Z93" s="13">
        <f t="shared" ca="1" si="42"/>
        <v>33951.006000000001</v>
      </c>
      <c r="AA93" s="4">
        <f t="shared" ca="1" si="43"/>
        <v>0</v>
      </c>
      <c r="AE93" s="4"/>
    </row>
    <row r="94" spans="1:31">
      <c r="A94">
        <v>0</v>
      </c>
      <c r="B94">
        <v>2</v>
      </c>
      <c r="C94">
        <f t="shared" ca="1" si="22"/>
        <v>3</v>
      </c>
      <c r="D94">
        <f t="shared" ca="1" si="23"/>
        <v>2</v>
      </c>
      <c r="E94">
        <f t="shared" ca="1" si="24"/>
        <v>0</v>
      </c>
      <c r="F94" s="110">
        <f t="shared" ca="1" si="25"/>
        <v>0</v>
      </c>
      <c r="G94">
        <v>1</v>
      </c>
      <c r="H94">
        <v>0</v>
      </c>
      <c r="I94">
        <v>3</v>
      </c>
      <c r="J94" s="1">
        <f t="shared" ca="1" si="26"/>
        <v>0</v>
      </c>
      <c r="K94" s="1">
        <f t="shared" ca="1" si="27"/>
        <v>0</v>
      </c>
      <c r="L94" s="13">
        <f t="shared" ca="1" si="28"/>
        <v>298</v>
      </c>
      <c r="M94" s="7">
        <f t="shared" ca="1" si="29"/>
        <v>702</v>
      </c>
      <c r="N94" s="26">
        <f t="shared" ca="1" si="30"/>
        <v>3</v>
      </c>
      <c r="O94" s="44">
        <f t="shared" ca="1" si="31"/>
        <v>2.2442427272544552</v>
      </c>
      <c r="P94" s="44">
        <f t="shared" ca="1" si="32"/>
        <v>22.442427272544553</v>
      </c>
      <c r="Q94" s="44">
        <f t="shared" ca="1" si="33"/>
        <v>22.442427272544553</v>
      </c>
      <c r="R94" s="44">
        <f t="shared" ca="1" si="34"/>
        <v>2.2442427272544552</v>
      </c>
      <c r="S94" s="44">
        <f t="shared" ca="1" si="35"/>
        <v>2.2442427272544552</v>
      </c>
      <c r="T94" s="4">
        <f t="shared" ca="1" si="36"/>
        <v>0</v>
      </c>
      <c r="U94" s="120">
        <f t="shared" ca="1" si="37"/>
        <v>1518.901337549361</v>
      </c>
      <c r="V94" s="4">
        <f t="shared" ca="1" si="38"/>
        <v>0</v>
      </c>
      <c r="W94" s="13">
        <f t="shared" ca="1" si="39"/>
        <v>31610.106000000003</v>
      </c>
      <c r="X94" s="4">
        <f t="shared" ca="1" si="40"/>
        <v>0</v>
      </c>
      <c r="Y94" s="4">
        <f t="shared" si="41"/>
        <v>0</v>
      </c>
      <c r="Z94" s="13">
        <f t="shared" ca="1" si="42"/>
        <v>31610.106000000003</v>
      </c>
      <c r="AA94" s="4">
        <f t="shared" ca="1" si="43"/>
        <v>0</v>
      </c>
      <c r="AE94" s="4"/>
    </row>
    <row r="95" spans="1:31">
      <c r="A95">
        <v>0</v>
      </c>
      <c r="B95">
        <v>2</v>
      </c>
      <c r="C95">
        <f t="shared" ca="1" si="22"/>
        <v>3</v>
      </c>
      <c r="D95">
        <f t="shared" ca="1" si="23"/>
        <v>2</v>
      </c>
      <c r="E95">
        <f t="shared" ca="1" si="24"/>
        <v>0</v>
      </c>
      <c r="F95" s="110">
        <f t="shared" ca="1" si="25"/>
        <v>0</v>
      </c>
      <c r="G95">
        <v>1</v>
      </c>
      <c r="H95">
        <v>0</v>
      </c>
      <c r="I95">
        <v>2</v>
      </c>
      <c r="J95" s="1">
        <f t="shared" ca="1" si="26"/>
        <v>0.72734374999999996</v>
      </c>
      <c r="K95" s="1">
        <f t="shared" ca="1" si="27"/>
        <v>0</v>
      </c>
      <c r="L95" s="13">
        <f t="shared" ca="1" si="28"/>
        <v>279</v>
      </c>
      <c r="M95" s="7">
        <f t="shared" ca="1" si="29"/>
        <v>721</v>
      </c>
      <c r="N95" s="26">
        <f t="shared" ca="1" si="30"/>
        <v>3</v>
      </c>
      <c r="O95" s="44">
        <f t="shared" ca="1" si="31"/>
        <v>2.2442427272544552</v>
      </c>
      <c r="P95" s="44">
        <f t="shared" ca="1" si="32"/>
        <v>22.442427272544553</v>
      </c>
      <c r="Q95" s="44">
        <f t="shared" ca="1" si="33"/>
        <v>22.442427272544553</v>
      </c>
      <c r="R95" s="44">
        <f t="shared" ca="1" si="34"/>
        <v>2.2442427272544552</v>
      </c>
      <c r="S95" s="44">
        <f t="shared" ca="1" si="35"/>
        <v>2.2442427272544552</v>
      </c>
      <c r="T95" s="4">
        <f t="shared" ca="1" si="36"/>
        <v>0</v>
      </c>
      <c r="U95" s="120">
        <f t="shared" ca="1" si="37"/>
        <v>1499.901337549361</v>
      </c>
      <c r="V95" s="4">
        <f t="shared" ca="1" si="38"/>
        <v>0</v>
      </c>
      <c r="W95" s="13">
        <f t="shared" ca="1" si="39"/>
        <v>29269.206000000002</v>
      </c>
      <c r="X95" s="4">
        <f t="shared" ca="1" si="40"/>
        <v>0</v>
      </c>
      <c r="Y95" s="4">
        <f t="shared" si="41"/>
        <v>0</v>
      </c>
      <c r="Z95" s="13">
        <f t="shared" ca="1" si="42"/>
        <v>29269.206000000002</v>
      </c>
      <c r="AA95" s="4">
        <f t="shared" ca="1" si="43"/>
        <v>0</v>
      </c>
      <c r="AE95" s="4"/>
    </row>
    <row r="96" spans="1:31">
      <c r="A96">
        <v>0</v>
      </c>
      <c r="B96">
        <v>2</v>
      </c>
      <c r="C96">
        <f t="shared" ca="1" si="22"/>
        <v>3</v>
      </c>
      <c r="D96">
        <f t="shared" ca="1" si="23"/>
        <v>2</v>
      </c>
      <c r="E96">
        <f t="shared" ca="1" si="24"/>
        <v>0</v>
      </c>
      <c r="F96" s="110">
        <f t="shared" ca="1" si="25"/>
        <v>0</v>
      </c>
      <c r="G96">
        <v>1</v>
      </c>
      <c r="H96">
        <v>0</v>
      </c>
      <c r="I96">
        <v>1</v>
      </c>
      <c r="J96" s="1">
        <f t="shared" ca="1" si="26"/>
        <v>0.20781249999999998</v>
      </c>
      <c r="K96" s="1">
        <f t="shared" ca="1" si="27"/>
        <v>0</v>
      </c>
      <c r="L96" s="13">
        <f t="shared" ca="1" si="28"/>
        <v>260</v>
      </c>
      <c r="M96" s="7">
        <f t="shared" ca="1" si="29"/>
        <v>740</v>
      </c>
      <c r="N96" s="26">
        <f t="shared" ca="1" si="30"/>
        <v>3</v>
      </c>
      <c r="O96" s="44">
        <f t="shared" ca="1" si="31"/>
        <v>2.2442427272544552</v>
      </c>
      <c r="P96" s="44">
        <f t="shared" ca="1" si="32"/>
        <v>22.442427272544553</v>
      </c>
      <c r="Q96" s="44">
        <f t="shared" ca="1" si="33"/>
        <v>22.442427272544553</v>
      </c>
      <c r="R96" s="44">
        <f t="shared" ca="1" si="34"/>
        <v>2.2442427272544552</v>
      </c>
      <c r="S96" s="44">
        <f t="shared" ca="1" si="35"/>
        <v>2.2442427272544552</v>
      </c>
      <c r="T96" s="4">
        <f t="shared" ca="1" si="36"/>
        <v>0</v>
      </c>
      <c r="U96" s="120">
        <f t="shared" ca="1" si="37"/>
        <v>1480.901337549361</v>
      </c>
      <c r="V96" s="4">
        <f t="shared" ca="1" si="38"/>
        <v>0</v>
      </c>
      <c r="W96" s="13">
        <f t="shared" ca="1" si="39"/>
        <v>26928.306000000004</v>
      </c>
      <c r="X96" s="4">
        <f t="shared" ca="1" si="40"/>
        <v>0</v>
      </c>
      <c r="Y96" s="4">
        <f t="shared" si="41"/>
        <v>0</v>
      </c>
      <c r="Z96" s="13">
        <f t="shared" ca="1" si="42"/>
        <v>26928.306000000004</v>
      </c>
      <c r="AA96" s="4">
        <f t="shared" ca="1" si="43"/>
        <v>0</v>
      </c>
      <c r="AE96" s="4"/>
    </row>
    <row r="97" spans="1:31">
      <c r="A97">
        <v>0</v>
      </c>
      <c r="B97">
        <v>2</v>
      </c>
      <c r="C97">
        <f t="shared" ca="1" si="22"/>
        <v>3</v>
      </c>
      <c r="D97">
        <f t="shared" ca="1" si="23"/>
        <v>2</v>
      </c>
      <c r="E97">
        <f t="shared" ca="1" si="24"/>
        <v>0</v>
      </c>
      <c r="F97" s="110">
        <f t="shared" ca="1" si="25"/>
        <v>0</v>
      </c>
      <c r="G97">
        <v>1</v>
      </c>
      <c r="H97">
        <v>0</v>
      </c>
      <c r="I97">
        <v>0</v>
      </c>
      <c r="J97" s="1">
        <f t="shared" ca="1" si="26"/>
        <v>1.4843749999999999E-2</v>
      </c>
      <c r="K97" s="1">
        <f t="shared" ca="1" si="27"/>
        <v>0</v>
      </c>
      <c r="L97" s="13">
        <f t="shared" ca="1" si="28"/>
        <v>241</v>
      </c>
      <c r="M97" s="7">
        <f t="shared" ca="1" si="29"/>
        <v>759</v>
      </c>
      <c r="N97" s="26">
        <f t="shared" ca="1" si="30"/>
        <v>3</v>
      </c>
      <c r="O97" s="44">
        <f t="shared" ca="1" si="31"/>
        <v>2.2442427272544552</v>
      </c>
      <c r="P97" s="44">
        <f t="shared" ca="1" si="32"/>
        <v>22.442427272544553</v>
      </c>
      <c r="Q97" s="44">
        <f t="shared" ca="1" si="33"/>
        <v>22.442427272544553</v>
      </c>
      <c r="R97" s="44">
        <f t="shared" ca="1" si="34"/>
        <v>2.2442427272544552</v>
      </c>
      <c r="S97" s="44">
        <f t="shared" ca="1" si="35"/>
        <v>2.2442427272544552</v>
      </c>
      <c r="T97" s="4">
        <f t="shared" ca="1" si="36"/>
        <v>0</v>
      </c>
      <c r="U97" s="120">
        <f t="shared" ca="1" si="37"/>
        <v>1461.901337549361</v>
      </c>
      <c r="V97" s="4">
        <f t="shared" ca="1" si="38"/>
        <v>0</v>
      </c>
      <c r="W97" s="13">
        <f t="shared" ca="1" si="39"/>
        <v>24587.406000000003</v>
      </c>
      <c r="X97" s="4">
        <f t="shared" ca="1" si="40"/>
        <v>0</v>
      </c>
      <c r="Y97" s="4">
        <f t="shared" si="41"/>
        <v>0</v>
      </c>
      <c r="Z97" s="13">
        <f t="shared" ca="1" si="42"/>
        <v>24587.406000000003</v>
      </c>
      <c r="AA97" s="4">
        <f t="shared" ca="1" si="43"/>
        <v>0</v>
      </c>
      <c r="AE97" s="4"/>
    </row>
    <row r="98" spans="1:31">
      <c r="A98">
        <v>0</v>
      </c>
      <c r="B98">
        <v>2</v>
      </c>
      <c r="C98">
        <f t="shared" ca="1" si="22"/>
        <v>3</v>
      </c>
      <c r="D98">
        <f t="shared" ca="1" si="23"/>
        <v>2</v>
      </c>
      <c r="E98">
        <f t="shared" ca="1" si="24"/>
        <v>0</v>
      </c>
      <c r="F98" s="110">
        <f t="shared" ca="1" si="25"/>
        <v>0</v>
      </c>
      <c r="G98">
        <v>0</v>
      </c>
      <c r="H98">
        <v>1</v>
      </c>
      <c r="I98">
        <v>7</v>
      </c>
      <c r="J98" s="1">
        <f t="shared" ca="1" si="26"/>
        <v>0</v>
      </c>
      <c r="K98" s="1">
        <f t="shared" ca="1" si="27"/>
        <v>0</v>
      </c>
      <c r="L98" s="13">
        <f t="shared" ca="1" si="28"/>
        <v>374</v>
      </c>
      <c r="M98" s="7">
        <f t="shared" ca="1" si="29"/>
        <v>626</v>
      </c>
      <c r="N98" s="26">
        <f t="shared" ca="1" si="30"/>
        <v>3</v>
      </c>
      <c r="O98" s="44">
        <f t="shared" ca="1" si="31"/>
        <v>2.2442427272544552</v>
      </c>
      <c r="P98" s="44">
        <f t="shared" ca="1" si="32"/>
        <v>22.442427272544553</v>
      </c>
      <c r="Q98" s="44">
        <f t="shared" ca="1" si="33"/>
        <v>22.442427272544553</v>
      </c>
      <c r="R98" s="44">
        <f t="shared" ca="1" si="34"/>
        <v>2.2442427272544552</v>
      </c>
      <c r="S98" s="44">
        <f t="shared" ca="1" si="35"/>
        <v>2.2442427272544552</v>
      </c>
      <c r="T98" s="4">
        <f t="shared" ca="1" si="36"/>
        <v>0</v>
      </c>
      <c r="U98" s="120">
        <f t="shared" ca="1" si="37"/>
        <v>1594.901337549361</v>
      </c>
      <c r="V98" s="4">
        <f t="shared" ca="1" si="38"/>
        <v>0</v>
      </c>
      <c r="W98" s="13">
        <f t="shared" ca="1" si="39"/>
        <v>16386.3</v>
      </c>
      <c r="X98" s="4">
        <f t="shared" ca="1" si="40"/>
        <v>0</v>
      </c>
      <c r="Y98" s="4">
        <f t="shared" si="41"/>
        <v>0</v>
      </c>
      <c r="Z98" s="13">
        <f t="shared" ca="1" si="42"/>
        <v>16386.3</v>
      </c>
      <c r="AA98" s="4">
        <f t="shared" ca="1" si="43"/>
        <v>0</v>
      </c>
      <c r="AE98" s="4"/>
    </row>
    <row r="99" spans="1:31">
      <c r="A99">
        <v>0</v>
      </c>
      <c r="B99">
        <v>2</v>
      </c>
      <c r="C99">
        <f t="shared" ca="1" si="22"/>
        <v>3</v>
      </c>
      <c r="D99">
        <f t="shared" ca="1" si="23"/>
        <v>2</v>
      </c>
      <c r="E99">
        <f t="shared" ca="1" si="24"/>
        <v>0</v>
      </c>
      <c r="F99" s="110">
        <f t="shared" ca="1" si="25"/>
        <v>0</v>
      </c>
      <c r="G99">
        <v>0</v>
      </c>
      <c r="H99">
        <v>1</v>
      </c>
      <c r="I99">
        <v>6</v>
      </c>
      <c r="J99" s="1">
        <f t="shared" ca="1" si="26"/>
        <v>0</v>
      </c>
      <c r="K99" s="1">
        <f t="shared" ca="1" si="27"/>
        <v>0</v>
      </c>
      <c r="L99" s="13">
        <f t="shared" ca="1" si="28"/>
        <v>355</v>
      </c>
      <c r="M99" s="7">
        <f t="shared" ca="1" si="29"/>
        <v>645</v>
      </c>
      <c r="N99" s="26">
        <f t="shared" ca="1" si="30"/>
        <v>3</v>
      </c>
      <c r="O99" s="44">
        <f t="shared" ca="1" si="31"/>
        <v>2.2442427272544552</v>
      </c>
      <c r="P99" s="44">
        <f t="shared" ca="1" si="32"/>
        <v>22.442427272544553</v>
      </c>
      <c r="Q99" s="44">
        <f t="shared" ca="1" si="33"/>
        <v>22.442427272544553</v>
      </c>
      <c r="R99" s="44">
        <f t="shared" ca="1" si="34"/>
        <v>2.2442427272544552</v>
      </c>
      <c r="S99" s="44">
        <f t="shared" ca="1" si="35"/>
        <v>2.2442427272544552</v>
      </c>
      <c r="T99" s="4">
        <f t="shared" ca="1" si="36"/>
        <v>0</v>
      </c>
      <c r="U99" s="120">
        <f t="shared" ca="1" si="37"/>
        <v>1575.901337549361</v>
      </c>
      <c r="V99" s="4">
        <f t="shared" ca="1" si="38"/>
        <v>0</v>
      </c>
      <c r="W99" s="13">
        <f t="shared" ca="1" si="39"/>
        <v>14045.400000000001</v>
      </c>
      <c r="X99" s="4">
        <f t="shared" ca="1" si="40"/>
        <v>0</v>
      </c>
      <c r="Y99" s="4">
        <f t="shared" si="41"/>
        <v>0</v>
      </c>
      <c r="Z99" s="13">
        <f t="shared" ca="1" si="42"/>
        <v>14045.400000000001</v>
      </c>
      <c r="AA99" s="4">
        <f t="shared" ca="1" si="43"/>
        <v>0</v>
      </c>
      <c r="AE99" s="4"/>
    </row>
    <row r="100" spans="1:31">
      <c r="A100">
        <v>0</v>
      </c>
      <c r="B100">
        <v>2</v>
      </c>
      <c r="C100">
        <f t="shared" ca="1" si="22"/>
        <v>3</v>
      </c>
      <c r="D100">
        <f t="shared" ca="1" si="23"/>
        <v>2</v>
      </c>
      <c r="E100">
        <f t="shared" ca="1" si="24"/>
        <v>0</v>
      </c>
      <c r="F100" s="110">
        <f t="shared" ca="1" si="25"/>
        <v>0</v>
      </c>
      <c r="G100">
        <v>0</v>
      </c>
      <c r="H100">
        <v>1</v>
      </c>
      <c r="I100">
        <v>5</v>
      </c>
      <c r="J100" s="1">
        <f t="shared" ca="1" si="26"/>
        <v>0</v>
      </c>
      <c r="K100" s="1">
        <f t="shared" ca="1" si="27"/>
        <v>0</v>
      </c>
      <c r="L100" s="13">
        <f t="shared" ca="1" si="28"/>
        <v>336</v>
      </c>
      <c r="M100" s="7">
        <f t="shared" ca="1" si="29"/>
        <v>664</v>
      </c>
      <c r="N100" s="26">
        <f t="shared" ca="1" si="30"/>
        <v>3</v>
      </c>
      <c r="O100" s="44">
        <f t="shared" ca="1" si="31"/>
        <v>2.2442427272544552</v>
      </c>
      <c r="P100" s="44">
        <f t="shared" ca="1" si="32"/>
        <v>22.442427272544553</v>
      </c>
      <c r="Q100" s="44">
        <f t="shared" ca="1" si="33"/>
        <v>22.442427272544553</v>
      </c>
      <c r="R100" s="44">
        <f t="shared" ca="1" si="34"/>
        <v>2.2442427272544552</v>
      </c>
      <c r="S100" s="44">
        <f t="shared" ca="1" si="35"/>
        <v>2.2442427272544552</v>
      </c>
      <c r="T100" s="4">
        <f t="shared" ca="1" si="36"/>
        <v>0</v>
      </c>
      <c r="U100" s="120">
        <f t="shared" ca="1" si="37"/>
        <v>1556.901337549361</v>
      </c>
      <c r="V100" s="4">
        <f t="shared" ca="1" si="38"/>
        <v>0</v>
      </c>
      <c r="W100" s="13">
        <f t="shared" ca="1" si="39"/>
        <v>11704.5</v>
      </c>
      <c r="X100" s="4">
        <f t="shared" ca="1" si="40"/>
        <v>0</v>
      </c>
      <c r="Y100" s="4">
        <f t="shared" si="41"/>
        <v>0</v>
      </c>
      <c r="Z100" s="13">
        <f t="shared" ca="1" si="42"/>
        <v>11704.5</v>
      </c>
      <c r="AA100" s="4">
        <f t="shared" ca="1" si="43"/>
        <v>0</v>
      </c>
      <c r="AE100" s="4"/>
    </row>
    <row r="101" spans="1:31">
      <c r="A101">
        <v>0</v>
      </c>
      <c r="B101">
        <v>2</v>
      </c>
      <c r="C101">
        <f t="shared" ca="1" si="22"/>
        <v>3</v>
      </c>
      <c r="D101">
        <f t="shared" ca="1" si="23"/>
        <v>2</v>
      </c>
      <c r="E101">
        <f t="shared" ca="1" si="24"/>
        <v>0</v>
      </c>
      <c r="F101" s="110">
        <f t="shared" ca="1" si="25"/>
        <v>0</v>
      </c>
      <c r="G101">
        <v>0</v>
      </c>
      <c r="H101">
        <v>1</v>
      </c>
      <c r="I101">
        <v>4</v>
      </c>
      <c r="J101" s="1">
        <f t="shared" ca="1" si="26"/>
        <v>0</v>
      </c>
      <c r="K101" s="1">
        <f t="shared" ca="1" si="27"/>
        <v>0</v>
      </c>
      <c r="L101" s="13">
        <f t="shared" ca="1" si="28"/>
        <v>317</v>
      </c>
      <c r="M101" s="7">
        <f t="shared" ca="1" si="29"/>
        <v>683</v>
      </c>
      <c r="N101" s="26">
        <f t="shared" ca="1" si="30"/>
        <v>3</v>
      </c>
      <c r="O101" s="44">
        <f t="shared" ca="1" si="31"/>
        <v>2.2442427272544552</v>
      </c>
      <c r="P101" s="44">
        <f t="shared" ca="1" si="32"/>
        <v>22.442427272544553</v>
      </c>
      <c r="Q101" s="44">
        <f t="shared" ca="1" si="33"/>
        <v>22.442427272544553</v>
      </c>
      <c r="R101" s="44">
        <f t="shared" ca="1" si="34"/>
        <v>2.2442427272544552</v>
      </c>
      <c r="S101" s="44">
        <f t="shared" ca="1" si="35"/>
        <v>2.2442427272544552</v>
      </c>
      <c r="T101" s="4">
        <f t="shared" ca="1" si="36"/>
        <v>0</v>
      </c>
      <c r="U101" s="120">
        <f t="shared" ca="1" si="37"/>
        <v>1537.901337549361</v>
      </c>
      <c r="V101" s="4">
        <f t="shared" ca="1" si="38"/>
        <v>0</v>
      </c>
      <c r="W101" s="13">
        <f t="shared" ca="1" si="39"/>
        <v>9363.6</v>
      </c>
      <c r="X101" s="4">
        <f t="shared" ca="1" si="40"/>
        <v>0</v>
      </c>
      <c r="Y101" s="4">
        <f t="shared" si="41"/>
        <v>0</v>
      </c>
      <c r="Z101" s="13">
        <f t="shared" ca="1" si="42"/>
        <v>9363.6</v>
      </c>
      <c r="AA101" s="4">
        <f t="shared" ca="1" si="43"/>
        <v>0</v>
      </c>
      <c r="AE101" s="4"/>
    </row>
    <row r="102" spans="1:31">
      <c r="A102">
        <v>0</v>
      </c>
      <c r="B102">
        <v>2</v>
      </c>
      <c r="C102">
        <f t="shared" ca="1" si="22"/>
        <v>3</v>
      </c>
      <c r="D102">
        <f t="shared" ca="1" si="23"/>
        <v>2</v>
      </c>
      <c r="E102">
        <f t="shared" ca="1" si="24"/>
        <v>0</v>
      </c>
      <c r="F102" s="110">
        <f t="shared" ca="1" si="25"/>
        <v>0</v>
      </c>
      <c r="G102">
        <v>0</v>
      </c>
      <c r="H102">
        <v>1</v>
      </c>
      <c r="I102">
        <v>3</v>
      </c>
      <c r="J102" s="1">
        <f t="shared" ca="1" si="26"/>
        <v>0</v>
      </c>
      <c r="K102" s="1">
        <f t="shared" ca="1" si="27"/>
        <v>0</v>
      </c>
      <c r="L102" s="13">
        <f t="shared" ca="1" si="28"/>
        <v>298</v>
      </c>
      <c r="M102" s="7">
        <f t="shared" ca="1" si="29"/>
        <v>702</v>
      </c>
      <c r="N102" s="26">
        <f t="shared" ca="1" si="30"/>
        <v>3</v>
      </c>
      <c r="O102" s="44">
        <f t="shared" ca="1" si="31"/>
        <v>2.2442427272544552</v>
      </c>
      <c r="P102" s="44">
        <f t="shared" ca="1" si="32"/>
        <v>22.442427272544553</v>
      </c>
      <c r="Q102" s="44">
        <f t="shared" ca="1" si="33"/>
        <v>22.442427272544553</v>
      </c>
      <c r="R102" s="44">
        <f t="shared" ca="1" si="34"/>
        <v>2.2442427272544552</v>
      </c>
      <c r="S102" s="44">
        <f t="shared" ca="1" si="35"/>
        <v>2.2442427272544552</v>
      </c>
      <c r="T102" s="4">
        <f t="shared" ca="1" si="36"/>
        <v>0</v>
      </c>
      <c r="U102" s="120">
        <f t="shared" ca="1" si="37"/>
        <v>1518.901337549361</v>
      </c>
      <c r="V102" s="4">
        <f t="shared" ca="1" si="38"/>
        <v>0</v>
      </c>
      <c r="W102" s="13">
        <f t="shared" ca="1" si="39"/>
        <v>7022.7000000000007</v>
      </c>
      <c r="X102" s="4">
        <f t="shared" ca="1" si="40"/>
        <v>0</v>
      </c>
      <c r="Y102" s="4">
        <f t="shared" si="41"/>
        <v>0</v>
      </c>
      <c r="Z102" s="13">
        <f t="shared" ca="1" si="42"/>
        <v>7022.7000000000007</v>
      </c>
      <c r="AA102" s="4">
        <f t="shared" ca="1" si="43"/>
        <v>0</v>
      </c>
      <c r="AE102" s="4"/>
    </row>
    <row r="103" spans="1:31">
      <c r="A103">
        <v>0</v>
      </c>
      <c r="B103">
        <v>2</v>
      </c>
      <c r="C103">
        <f t="shared" ca="1" si="22"/>
        <v>3</v>
      </c>
      <c r="D103">
        <f t="shared" ca="1" si="23"/>
        <v>2</v>
      </c>
      <c r="E103">
        <f t="shared" ca="1" si="24"/>
        <v>0</v>
      </c>
      <c r="F103" s="110">
        <f t="shared" ca="1" si="25"/>
        <v>0</v>
      </c>
      <c r="G103">
        <v>0</v>
      </c>
      <c r="H103">
        <v>1</v>
      </c>
      <c r="I103">
        <v>2</v>
      </c>
      <c r="J103" s="1">
        <f t="shared" ca="1" si="26"/>
        <v>0</v>
      </c>
      <c r="K103" s="1">
        <f t="shared" ca="1" si="27"/>
        <v>0</v>
      </c>
      <c r="L103" s="13">
        <f t="shared" ca="1" si="28"/>
        <v>279</v>
      </c>
      <c r="M103" s="7">
        <f t="shared" ca="1" si="29"/>
        <v>721</v>
      </c>
      <c r="N103" s="26">
        <f t="shared" ca="1" si="30"/>
        <v>3</v>
      </c>
      <c r="O103" s="44">
        <f t="shared" ca="1" si="31"/>
        <v>2.2442427272544552</v>
      </c>
      <c r="P103" s="44">
        <f t="shared" ca="1" si="32"/>
        <v>22.442427272544553</v>
      </c>
      <c r="Q103" s="44">
        <f t="shared" ca="1" si="33"/>
        <v>22.442427272544553</v>
      </c>
      <c r="R103" s="44">
        <f t="shared" ca="1" si="34"/>
        <v>2.2442427272544552</v>
      </c>
      <c r="S103" s="44">
        <f t="shared" ca="1" si="35"/>
        <v>2.2442427272544552</v>
      </c>
      <c r="T103" s="4">
        <f t="shared" ca="1" si="36"/>
        <v>0</v>
      </c>
      <c r="U103" s="120">
        <f t="shared" ca="1" si="37"/>
        <v>1499.901337549361</v>
      </c>
      <c r="V103" s="4">
        <f t="shared" ca="1" si="38"/>
        <v>0</v>
      </c>
      <c r="W103" s="13">
        <f t="shared" ca="1" si="39"/>
        <v>4681.8</v>
      </c>
      <c r="X103" s="4">
        <f t="shared" ca="1" si="40"/>
        <v>0</v>
      </c>
      <c r="Y103" s="4">
        <f t="shared" si="41"/>
        <v>0</v>
      </c>
      <c r="Z103" s="13">
        <f t="shared" ca="1" si="42"/>
        <v>4681.8</v>
      </c>
      <c r="AA103" s="4">
        <f t="shared" ca="1" si="43"/>
        <v>0</v>
      </c>
      <c r="AE103" s="4"/>
    </row>
    <row r="104" spans="1:31">
      <c r="A104">
        <v>0</v>
      </c>
      <c r="B104">
        <v>2</v>
      </c>
      <c r="C104">
        <f t="shared" ca="1" si="22"/>
        <v>3</v>
      </c>
      <c r="D104">
        <f t="shared" ca="1" si="23"/>
        <v>2</v>
      </c>
      <c r="E104">
        <f t="shared" ca="1" si="24"/>
        <v>0</v>
      </c>
      <c r="F104" s="110">
        <f t="shared" ca="1" si="25"/>
        <v>0</v>
      </c>
      <c r="G104">
        <v>0</v>
      </c>
      <c r="H104">
        <v>1</v>
      </c>
      <c r="I104">
        <v>1</v>
      </c>
      <c r="J104" s="1">
        <f t="shared" ca="1" si="26"/>
        <v>0</v>
      </c>
      <c r="K104" s="1">
        <f t="shared" ca="1" si="27"/>
        <v>0</v>
      </c>
      <c r="L104" s="13">
        <f t="shared" ca="1" si="28"/>
        <v>260</v>
      </c>
      <c r="M104" s="7">
        <f t="shared" ca="1" si="29"/>
        <v>740</v>
      </c>
      <c r="N104" s="26">
        <f t="shared" ca="1" si="30"/>
        <v>3</v>
      </c>
      <c r="O104" s="44">
        <f t="shared" ca="1" si="31"/>
        <v>2.2442427272544552</v>
      </c>
      <c r="P104" s="44">
        <f t="shared" ca="1" si="32"/>
        <v>22.442427272544553</v>
      </c>
      <c r="Q104" s="44">
        <f t="shared" ca="1" si="33"/>
        <v>22.442427272544553</v>
      </c>
      <c r="R104" s="44">
        <f t="shared" ca="1" si="34"/>
        <v>2.2442427272544552</v>
      </c>
      <c r="S104" s="44">
        <f t="shared" ca="1" si="35"/>
        <v>2.2442427272544552</v>
      </c>
      <c r="T104" s="4">
        <f t="shared" ca="1" si="36"/>
        <v>0</v>
      </c>
      <c r="U104" s="120">
        <f t="shared" ca="1" si="37"/>
        <v>1480.901337549361</v>
      </c>
      <c r="V104" s="4">
        <f t="shared" ca="1" si="38"/>
        <v>0</v>
      </c>
      <c r="W104" s="13">
        <f t="shared" ca="1" si="39"/>
        <v>2340.9</v>
      </c>
      <c r="X104" s="4">
        <f t="shared" ca="1" si="40"/>
        <v>0</v>
      </c>
      <c r="Y104" s="4">
        <f t="shared" si="41"/>
        <v>0</v>
      </c>
      <c r="Z104" s="13">
        <f t="shared" ca="1" si="42"/>
        <v>2340.9</v>
      </c>
      <c r="AA104" s="4">
        <f t="shared" ca="1" si="43"/>
        <v>0</v>
      </c>
      <c r="AE104" s="4"/>
    </row>
    <row r="105" spans="1:31">
      <c r="A105">
        <v>0</v>
      </c>
      <c r="B105">
        <v>2</v>
      </c>
      <c r="C105">
        <f t="shared" ca="1" si="22"/>
        <v>3</v>
      </c>
      <c r="D105">
        <f t="shared" ca="1" si="23"/>
        <v>2</v>
      </c>
      <c r="E105">
        <f t="shared" ca="1" si="24"/>
        <v>0</v>
      </c>
      <c r="F105" s="110">
        <f t="shared" ca="1" si="25"/>
        <v>0</v>
      </c>
      <c r="G105">
        <v>0</v>
      </c>
      <c r="H105">
        <v>1</v>
      </c>
      <c r="I105">
        <v>0</v>
      </c>
      <c r="J105" s="1">
        <f t="shared" ca="1" si="26"/>
        <v>0</v>
      </c>
      <c r="K105" s="1">
        <f t="shared" ca="1" si="27"/>
        <v>0</v>
      </c>
      <c r="L105" s="13">
        <f t="shared" ca="1" si="28"/>
        <v>241</v>
      </c>
      <c r="M105" s="7">
        <f t="shared" ca="1" si="29"/>
        <v>759</v>
      </c>
      <c r="N105" s="26">
        <f t="shared" ca="1" si="30"/>
        <v>3</v>
      </c>
      <c r="O105" s="44">
        <f t="shared" ca="1" si="31"/>
        <v>2.2442427272544552</v>
      </c>
      <c r="P105" s="44">
        <f t="shared" ca="1" si="32"/>
        <v>22.442427272544553</v>
      </c>
      <c r="Q105" s="44">
        <f t="shared" ca="1" si="33"/>
        <v>22.442427272544553</v>
      </c>
      <c r="R105" s="44">
        <f t="shared" ca="1" si="34"/>
        <v>2.2442427272544552</v>
      </c>
      <c r="S105" s="44">
        <f t="shared" ca="1" si="35"/>
        <v>2.2442427272544552</v>
      </c>
      <c r="T105" s="4">
        <f t="shared" ca="1" si="36"/>
        <v>0</v>
      </c>
      <c r="U105" s="120">
        <f t="shared" ca="1" si="37"/>
        <v>1461.901337549361</v>
      </c>
      <c r="V105" s="4">
        <f t="shared" ca="1" si="38"/>
        <v>0</v>
      </c>
      <c r="W105" s="13">
        <f t="shared" ca="1" si="39"/>
        <v>0</v>
      </c>
      <c r="X105" s="4">
        <f t="shared" ca="1" si="40"/>
        <v>0</v>
      </c>
      <c r="Y105" s="4">
        <f t="shared" si="41"/>
        <v>0</v>
      </c>
      <c r="Z105" s="13">
        <f t="shared" ca="1" si="42"/>
        <v>0</v>
      </c>
      <c r="AA105" s="4">
        <f t="shared" ca="1" si="43"/>
        <v>0</v>
      </c>
      <c r="AE105" s="4"/>
    </row>
    <row r="106" spans="1:31">
      <c r="A106">
        <v>0</v>
      </c>
      <c r="B106">
        <v>2</v>
      </c>
      <c r="C106">
        <f t="shared" ca="1" si="22"/>
        <v>3</v>
      </c>
      <c r="D106">
        <f t="shared" ca="1" si="23"/>
        <v>2</v>
      </c>
      <c r="E106">
        <f t="shared" ca="1" si="24"/>
        <v>0</v>
      </c>
      <c r="F106" s="110">
        <f t="shared" ca="1" si="25"/>
        <v>0</v>
      </c>
      <c r="G106">
        <v>0</v>
      </c>
      <c r="H106">
        <v>0</v>
      </c>
      <c r="I106">
        <v>7</v>
      </c>
      <c r="J106" s="1">
        <f t="shared" ca="1" si="26"/>
        <v>0</v>
      </c>
      <c r="K106" s="1">
        <f t="shared" ca="1" si="27"/>
        <v>0</v>
      </c>
      <c r="L106" s="13">
        <f t="shared" ca="1" si="28"/>
        <v>133</v>
      </c>
      <c r="M106" s="7">
        <f t="shared" ca="1" si="29"/>
        <v>867</v>
      </c>
      <c r="N106" s="26">
        <f t="shared" ca="1" si="30"/>
        <v>4</v>
      </c>
      <c r="O106" s="44">
        <f t="shared" ca="1" si="31"/>
        <v>2.8621467101781541</v>
      </c>
      <c r="P106" s="44">
        <f t="shared" ca="1" si="32"/>
        <v>28.621467101781548</v>
      </c>
      <c r="Q106" s="44">
        <f t="shared" ca="1" si="33"/>
        <v>24.914043204239348</v>
      </c>
      <c r="R106" s="44">
        <f t="shared" ca="1" si="34"/>
        <v>2.6767755153010446</v>
      </c>
      <c r="S106" s="44">
        <f t="shared" ca="1" si="35"/>
        <v>2.8491707265367565</v>
      </c>
      <c r="T106" s="4">
        <f t="shared" ca="1" si="36"/>
        <v>0</v>
      </c>
      <c r="U106" s="120">
        <f t="shared" ca="1" si="37"/>
        <v>1622.8690837457082</v>
      </c>
      <c r="V106" s="4">
        <f t="shared" ca="1" si="38"/>
        <v>0</v>
      </c>
      <c r="W106" s="13">
        <f t="shared" ca="1" si="39"/>
        <v>16386.3</v>
      </c>
      <c r="X106" s="4">
        <f t="shared" ca="1" si="40"/>
        <v>0</v>
      </c>
      <c r="Y106" s="4">
        <f t="shared" si="41"/>
        <v>0</v>
      </c>
      <c r="Z106" s="13">
        <f t="shared" ca="1" si="42"/>
        <v>16386.3</v>
      </c>
      <c r="AA106" s="4">
        <f t="shared" ca="1" si="43"/>
        <v>0</v>
      </c>
      <c r="AE106" s="4"/>
    </row>
    <row r="107" spans="1:31">
      <c r="A107">
        <v>0</v>
      </c>
      <c r="B107">
        <v>2</v>
      </c>
      <c r="C107">
        <f t="shared" ca="1" si="22"/>
        <v>3</v>
      </c>
      <c r="D107">
        <f t="shared" ca="1" si="23"/>
        <v>2</v>
      </c>
      <c r="E107">
        <f t="shared" ca="1" si="24"/>
        <v>0</v>
      </c>
      <c r="F107" s="110">
        <f t="shared" ca="1" si="25"/>
        <v>0</v>
      </c>
      <c r="G107">
        <v>0</v>
      </c>
      <c r="H107">
        <v>0</v>
      </c>
      <c r="I107">
        <v>6</v>
      </c>
      <c r="J107" s="1">
        <f t="shared" ca="1" si="26"/>
        <v>0</v>
      </c>
      <c r="K107" s="1">
        <f t="shared" ca="1" si="27"/>
        <v>0</v>
      </c>
      <c r="L107" s="13">
        <f t="shared" ca="1" si="28"/>
        <v>114</v>
      </c>
      <c r="M107" s="7">
        <f t="shared" ca="1" si="29"/>
        <v>886</v>
      </c>
      <c r="N107" s="26">
        <f t="shared" ca="1" si="30"/>
        <v>4</v>
      </c>
      <c r="O107" s="44">
        <f t="shared" ca="1" si="31"/>
        <v>2.8621467101781541</v>
      </c>
      <c r="P107" s="44">
        <f t="shared" ca="1" si="32"/>
        <v>28.621467101781548</v>
      </c>
      <c r="Q107" s="44">
        <f t="shared" ca="1" si="33"/>
        <v>28.621467101781548</v>
      </c>
      <c r="R107" s="44">
        <f t="shared" ca="1" si="34"/>
        <v>2.8621467101781546</v>
      </c>
      <c r="S107" s="44">
        <f t="shared" ca="1" si="35"/>
        <v>2.8621467101781541</v>
      </c>
      <c r="T107" s="4">
        <f t="shared" ca="1" si="36"/>
        <v>0</v>
      </c>
      <c r="U107" s="120">
        <f t="shared" ca="1" si="37"/>
        <v>1609.6385655333725</v>
      </c>
      <c r="V107" s="4">
        <f t="shared" ca="1" si="38"/>
        <v>0</v>
      </c>
      <c r="W107" s="13">
        <f t="shared" ca="1" si="39"/>
        <v>14045.400000000001</v>
      </c>
      <c r="X107" s="4">
        <f t="shared" ca="1" si="40"/>
        <v>0</v>
      </c>
      <c r="Y107" s="4">
        <f t="shared" si="41"/>
        <v>0</v>
      </c>
      <c r="Z107" s="13">
        <f t="shared" ca="1" si="42"/>
        <v>14045.400000000001</v>
      </c>
      <c r="AA107" s="4">
        <f t="shared" ca="1" si="43"/>
        <v>0</v>
      </c>
      <c r="AE107" s="4"/>
    </row>
    <row r="108" spans="1:31">
      <c r="A108">
        <v>0</v>
      </c>
      <c r="B108">
        <v>2</v>
      </c>
      <c r="C108">
        <f t="shared" ca="1" si="22"/>
        <v>3</v>
      </c>
      <c r="D108">
        <f t="shared" ca="1" si="23"/>
        <v>2</v>
      </c>
      <c r="E108">
        <f t="shared" ca="1" si="24"/>
        <v>0</v>
      </c>
      <c r="F108" s="110">
        <f t="shared" ca="1" si="25"/>
        <v>0</v>
      </c>
      <c r="G108">
        <v>0</v>
      </c>
      <c r="H108">
        <v>0</v>
      </c>
      <c r="I108">
        <v>5</v>
      </c>
      <c r="J108" s="1">
        <f t="shared" ca="1" si="26"/>
        <v>0</v>
      </c>
      <c r="K108" s="1">
        <f t="shared" ca="1" si="27"/>
        <v>0</v>
      </c>
      <c r="L108" s="13">
        <f t="shared" ca="1" si="28"/>
        <v>95</v>
      </c>
      <c r="M108" s="7">
        <f t="shared" ca="1" si="29"/>
        <v>905</v>
      </c>
      <c r="N108" s="26">
        <f t="shared" ca="1" si="30"/>
        <v>4</v>
      </c>
      <c r="O108" s="44">
        <f t="shared" ca="1" si="31"/>
        <v>2.8621467101781541</v>
      </c>
      <c r="P108" s="44">
        <f t="shared" ca="1" si="32"/>
        <v>28.621467101781548</v>
      </c>
      <c r="Q108" s="44">
        <f t="shared" ca="1" si="33"/>
        <v>28.621467101781548</v>
      </c>
      <c r="R108" s="44">
        <f t="shared" ca="1" si="34"/>
        <v>2.8621467101781546</v>
      </c>
      <c r="S108" s="44">
        <f t="shared" ca="1" si="35"/>
        <v>2.8621467101781541</v>
      </c>
      <c r="T108" s="4">
        <f t="shared" ca="1" si="36"/>
        <v>0</v>
      </c>
      <c r="U108" s="120">
        <f t="shared" ca="1" si="37"/>
        <v>1590.6385655333725</v>
      </c>
      <c r="V108" s="4">
        <f t="shared" ca="1" si="38"/>
        <v>0</v>
      </c>
      <c r="W108" s="13">
        <f t="shared" ca="1" si="39"/>
        <v>11704.5</v>
      </c>
      <c r="X108" s="4">
        <f t="shared" ca="1" si="40"/>
        <v>0</v>
      </c>
      <c r="Y108" s="4">
        <f t="shared" si="41"/>
        <v>0</v>
      </c>
      <c r="Z108" s="13">
        <f t="shared" ca="1" si="42"/>
        <v>11704.5</v>
      </c>
      <c r="AA108" s="4">
        <f t="shared" ca="1" si="43"/>
        <v>0</v>
      </c>
      <c r="AE108" s="4"/>
    </row>
    <row r="109" spans="1:31">
      <c r="A109">
        <v>0</v>
      </c>
      <c r="B109">
        <v>2</v>
      </c>
      <c r="C109">
        <f t="shared" ca="1" si="22"/>
        <v>3</v>
      </c>
      <c r="D109">
        <f t="shared" ca="1" si="23"/>
        <v>2</v>
      </c>
      <c r="E109">
        <f t="shared" ca="1" si="24"/>
        <v>0</v>
      </c>
      <c r="F109" s="110">
        <f t="shared" ca="1" si="25"/>
        <v>0</v>
      </c>
      <c r="G109">
        <v>0</v>
      </c>
      <c r="H109">
        <v>0</v>
      </c>
      <c r="I109">
        <v>4</v>
      </c>
      <c r="J109" s="1">
        <f t="shared" ca="1" si="26"/>
        <v>0</v>
      </c>
      <c r="K109" s="1">
        <f t="shared" ca="1" si="27"/>
        <v>0</v>
      </c>
      <c r="L109" s="13">
        <f t="shared" ca="1" si="28"/>
        <v>76</v>
      </c>
      <c r="M109" s="7">
        <f t="shared" ca="1" si="29"/>
        <v>924</v>
      </c>
      <c r="N109" s="26">
        <f t="shared" ca="1" si="30"/>
        <v>4</v>
      </c>
      <c r="O109" s="44">
        <f t="shared" ca="1" si="31"/>
        <v>2.8621467101781541</v>
      </c>
      <c r="P109" s="44">
        <f t="shared" ca="1" si="32"/>
        <v>28.621467101781548</v>
      </c>
      <c r="Q109" s="44">
        <f t="shared" ca="1" si="33"/>
        <v>28.621467101781548</v>
      </c>
      <c r="R109" s="44">
        <f t="shared" ca="1" si="34"/>
        <v>2.8621467101781546</v>
      </c>
      <c r="S109" s="44">
        <f t="shared" ca="1" si="35"/>
        <v>2.8621467101781541</v>
      </c>
      <c r="T109" s="4">
        <f t="shared" ca="1" si="36"/>
        <v>0</v>
      </c>
      <c r="U109" s="120">
        <f t="shared" ca="1" si="37"/>
        <v>1571.6385655333725</v>
      </c>
      <c r="V109" s="4">
        <f t="shared" ca="1" si="38"/>
        <v>0</v>
      </c>
      <c r="W109" s="13">
        <f t="shared" ca="1" si="39"/>
        <v>9363.6</v>
      </c>
      <c r="X109" s="4">
        <f t="shared" ca="1" si="40"/>
        <v>0</v>
      </c>
      <c r="Y109" s="4">
        <f t="shared" si="41"/>
        <v>0</v>
      </c>
      <c r="Z109" s="13">
        <f t="shared" ca="1" si="42"/>
        <v>9363.6</v>
      </c>
      <c r="AA109" s="4">
        <f t="shared" ca="1" si="43"/>
        <v>0</v>
      </c>
      <c r="AE109" s="4"/>
    </row>
    <row r="110" spans="1:31">
      <c r="A110">
        <v>0</v>
      </c>
      <c r="B110">
        <v>2</v>
      </c>
      <c r="C110">
        <f t="shared" ca="1" si="22"/>
        <v>3</v>
      </c>
      <c r="D110">
        <f t="shared" ca="1" si="23"/>
        <v>2</v>
      </c>
      <c r="E110">
        <f t="shared" ca="1" si="24"/>
        <v>0</v>
      </c>
      <c r="F110" s="110">
        <f t="shared" ca="1" si="25"/>
        <v>0</v>
      </c>
      <c r="G110">
        <v>0</v>
      </c>
      <c r="H110">
        <v>0</v>
      </c>
      <c r="I110">
        <v>3</v>
      </c>
      <c r="J110" s="1">
        <f t="shared" ca="1" si="26"/>
        <v>0</v>
      </c>
      <c r="K110" s="1">
        <f t="shared" ca="1" si="27"/>
        <v>0</v>
      </c>
      <c r="L110" s="13">
        <f t="shared" ca="1" si="28"/>
        <v>57</v>
      </c>
      <c r="M110" s="7">
        <f t="shared" ca="1" si="29"/>
        <v>943</v>
      </c>
      <c r="N110" s="26">
        <f t="shared" ca="1" si="30"/>
        <v>4</v>
      </c>
      <c r="O110" s="44">
        <f t="shared" ca="1" si="31"/>
        <v>2.8621467101781541</v>
      </c>
      <c r="P110" s="44">
        <f t="shared" ca="1" si="32"/>
        <v>28.621467101781548</v>
      </c>
      <c r="Q110" s="44">
        <f t="shared" ca="1" si="33"/>
        <v>28.621467101781548</v>
      </c>
      <c r="R110" s="44">
        <f t="shared" ca="1" si="34"/>
        <v>2.8621467101781546</v>
      </c>
      <c r="S110" s="44">
        <f t="shared" ca="1" si="35"/>
        <v>2.8621467101781541</v>
      </c>
      <c r="T110" s="4">
        <f t="shared" ca="1" si="36"/>
        <v>0</v>
      </c>
      <c r="U110" s="120">
        <f t="shared" ca="1" si="37"/>
        <v>1552.6385655333725</v>
      </c>
      <c r="V110" s="4">
        <f t="shared" ca="1" si="38"/>
        <v>0</v>
      </c>
      <c r="W110" s="13">
        <f t="shared" ca="1" si="39"/>
        <v>7022.7000000000007</v>
      </c>
      <c r="X110" s="4">
        <f t="shared" ca="1" si="40"/>
        <v>0</v>
      </c>
      <c r="Y110" s="4">
        <f t="shared" si="41"/>
        <v>0</v>
      </c>
      <c r="Z110" s="13">
        <f t="shared" ca="1" si="42"/>
        <v>7022.7000000000007</v>
      </c>
      <c r="AA110" s="4">
        <f t="shared" ca="1" si="43"/>
        <v>0</v>
      </c>
      <c r="AE110" s="4"/>
    </row>
    <row r="111" spans="1:31">
      <c r="A111">
        <v>0</v>
      </c>
      <c r="B111">
        <v>2</v>
      </c>
      <c r="C111">
        <f t="shared" ca="1" si="22"/>
        <v>3</v>
      </c>
      <c r="D111">
        <f t="shared" ca="1" si="23"/>
        <v>2</v>
      </c>
      <c r="E111">
        <f t="shared" ca="1" si="24"/>
        <v>0</v>
      </c>
      <c r="F111" s="110">
        <f t="shared" ca="1" si="25"/>
        <v>0</v>
      </c>
      <c r="G111">
        <v>0</v>
      </c>
      <c r="H111">
        <v>0</v>
      </c>
      <c r="I111">
        <v>2</v>
      </c>
      <c r="J111" s="1">
        <f t="shared" ca="1" si="26"/>
        <v>3.8281250000000003E-2</v>
      </c>
      <c r="K111" s="1">
        <f t="shared" ca="1" si="27"/>
        <v>0</v>
      </c>
      <c r="L111" s="13">
        <f t="shared" ca="1" si="28"/>
        <v>38</v>
      </c>
      <c r="M111" s="7">
        <f t="shared" ca="1" si="29"/>
        <v>962</v>
      </c>
      <c r="N111" s="26">
        <f t="shared" ca="1" si="30"/>
        <v>4</v>
      </c>
      <c r="O111" s="44">
        <f t="shared" ca="1" si="31"/>
        <v>2.8621467101781541</v>
      </c>
      <c r="P111" s="44">
        <f t="shared" ca="1" si="32"/>
        <v>28.621467101781548</v>
      </c>
      <c r="Q111" s="44">
        <f t="shared" ca="1" si="33"/>
        <v>28.621467101781548</v>
      </c>
      <c r="R111" s="44">
        <f t="shared" ca="1" si="34"/>
        <v>2.8621467101781546</v>
      </c>
      <c r="S111" s="44">
        <f t="shared" ca="1" si="35"/>
        <v>2.8621467101781541</v>
      </c>
      <c r="T111" s="4">
        <f t="shared" ca="1" si="36"/>
        <v>0</v>
      </c>
      <c r="U111" s="120">
        <f t="shared" ca="1" si="37"/>
        <v>1533.6385655333725</v>
      </c>
      <c r="V111" s="4">
        <f t="shared" ca="1" si="38"/>
        <v>0</v>
      </c>
      <c r="W111" s="13">
        <f t="shared" ca="1" si="39"/>
        <v>4681.8</v>
      </c>
      <c r="X111" s="4">
        <f t="shared" ca="1" si="40"/>
        <v>0</v>
      </c>
      <c r="Y111" s="4">
        <f t="shared" si="41"/>
        <v>0</v>
      </c>
      <c r="Z111" s="13">
        <f t="shared" ca="1" si="42"/>
        <v>4681.8</v>
      </c>
      <c r="AA111" s="4">
        <f t="shared" ca="1" si="43"/>
        <v>0</v>
      </c>
      <c r="AE111" s="4"/>
    </row>
    <row r="112" spans="1:31">
      <c r="A112">
        <v>0</v>
      </c>
      <c r="B112">
        <v>2</v>
      </c>
      <c r="C112">
        <f t="shared" ca="1" si="22"/>
        <v>3</v>
      </c>
      <c r="D112">
        <f t="shared" ca="1" si="23"/>
        <v>2</v>
      </c>
      <c r="E112">
        <f t="shared" ca="1" si="24"/>
        <v>0</v>
      </c>
      <c r="F112" s="110">
        <f t="shared" ca="1" si="25"/>
        <v>0</v>
      </c>
      <c r="G112">
        <v>0</v>
      </c>
      <c r="H112">
        <v>0</v>
      </c>
      <c r="I112">
        <v>1</v>
      </c>
      <c r="J112" s="1">
        <f t="shared" ca="1" si="26"/>
        <v>1.0937500000000001E-2</v>
      </c>
      <c r="K112" s="1">
        <f t="shared" ca="1" si="27"/>
        <v>0</v>
      </c>
      <c r="L112" s="13">
        <f t="shared" ca="1" si="28"/>
        <v>19</v>
      </c>
      <c r="M112" s="7">
        <f t="shared" ca="1" si="29"/>
        <v>981</v>
      </c>
      <c r="N112" s="26">
        <f t="shared" ca="1" si="30"/>
        <v>4</v>
      </c>
      <c r="O112" s="44">
        <f t="shared" ca="1" si="31"/>
        <v>2.8621467101781541</v>
      </c>
      <c r="P112" s="44">
        <f t="shared" ca="1" si="32"/>
        <v>28.621467101781548</v>
      </c>
      <c r="Q112" s="44">
        <f t="shared" ca="1" si="33"/>
        <v>28.621467101781548</v>
      </c>
      <c r="R112" s="44">
        <f t="shared" ca="1" si="34"/>
        <v>2.8621467101781546</v>
      </c>
      <c r="S112" s="44">
        <f t="shared" ca="1" si="35"/>
        <v>2.8621467101781541</v>
      </c>
      <c r="T112" s="4">
        <f t="shared" ca="1" si="36"/>
        <v>0</v>
      </c>
      <c r="U112" s="120">
        <f t="shared" ca="1" si="37"/>
        <v>1514.6385655333725</v>
      </c>
      <c r="V112" s="4">
        <f t="shared" ca="1" si="38"/>
        <v>0</v>
      </c>
      <c r="W112" s="13">
        <f t="shared" ca="1" si="39"/>
        <v>2340.9</v>
      </c>
      <c r="X112" s="4">
        <f t="shared" ca="1" si="40"/>
        <v>0</v>
      </c>
      <c r="Y112" s="4">
        <f t="shared" si="41"/>
        <v>0</v>
      </c>
      <c r="Z112" s="13">
        <f t="shared" ca="1" si="42"/>
        <v>2340.9</v>
      </c>
      <c r="AA112" s="4">
        <f t="shared" ca="1" si="43"/>
        <v>0</v>
      </c>
      <c r="AE112" s="4"/>
    </row>
    <row r="113" spans="1:31">
      <c r="A113">
        <v>0</v>
      </c>
      <c r="B113">
        <v>2</v>
      </c>
      <c r="C113">
        <f t="shared" ca="1" si="22"/>
        <v>3</v>
      </c>
      <c r="D113">
        <f t="shared" ca="1" si="23"/>
        <v>2</v>
      </c>
      <c r="E113">
        <f t="shared" ca="1" si="24"/>
        <v>0</v>
      </c>
      <c r="F113" s="110">
        <f t="shared" ca="1" si="25"/>
        <v>0</v>
      </c>
      <c r="G113">
        <v>0</v>
      </c>
      <c r="H113">
        <v>0</v>
      </c>
      <c r="I113">
        <v>0</v>
      </c>
      <c r="J113" s="1">
        <f t="shared" ca="1" si="26"/>
        <v>7.8125000000000004E-4</v>
      </c>
      <c r="K113" s="1">
        <f t="shared" ca="1" si="27"/>
        <v>0</v>
      </c>
      <c r="L113" s="13">
        <f t="shared" ca="1" si="28"/>
        <v>0</v>
      </c>
      <c r="M113" s="7">
        <f t="shared" ca="1" si="29"/>
        <v>1000</v>
      </c>
      <c r="N113" s="26">
        <f t="shared" ca="1" si="30"/>
        <v>4</v>
      </c>
      <c r="O113" s="44">
        <f t="shared" ca="1" si="31"/>
        <v>2.8621467101781541</v>
      </c>
      <c r="P113" s="44">
        <f t="shared" ca="1" si="32"/>
        <v>28.621467101781548</v>
      </c>
      <c r="Q113" s="44">
        <f t="shared" ca="1" si="33"/>
        <v>28.621467101781548</v>
      </c>
      <c r="R113" s="44">
        <f t="shared" ca="1" si="34"/>
        <v>2.8621467101781546</v>
      </c>
      <c r="S113" s="44">
        <f t="shared" ca="1" si="35"/>
        <v>2.8621467101781541</v>
      </c>
      <c r="T113" s="4">
        <f t="shared" ca="1" si="36"/>
        <v>0</v>
      </c>
      <c r="U113" s="120">
        <f t="shared" ca="1" si="37"/>
        <v>1495.6385655333725</v>
      </c>
      <c r="V113" s="4">
        <f t="shared" ca="1" si="38"/>
        <v>0</v>
      </c>
      <c r="W113" s="13">
        <f t="shared" ca="1" si="39"/>
        <v>0</v>
      </c>
      <c r="X113" s="4">
        <f t="shared" ca="1" si="40"/>
        <v>0</v>
      </c>
      <c r="Y113" s="4">
        <f t="shared" si="41"/>
        <v>0</v>
      </c>
      <c r="Z113" s="13">
        <f t="shared" ca="1" si="42"/>
        <v>0</v>
      </c>
      <c r="AA113" s="4">
        <f t="shared" ca="1" si="43"/>
        <v>0</v>
      </c>
      <c r="AE113" s="4"/>
    </row>
    <row r="114" spans="1:31">
      <c r="A114">
        <v>0</v>
      </c>
      <c r="B114">
        <v>3</v>
      </c>
      <c r="C114">
        <f t="shared" ca="1" si="22"/>
        <v>4</v>
      </c>
      <c r="D114">
        <f t="shared" ca="1" si="23"/>
        <v>3</v>
      </c>
      <c r="E114">
        <f t="shared" ca="1" si="24"/>
        <v>0</v>
      </c>
      <c r="F114" s="110">
        <f t="shared" ca="1" si="25"/>
        <v>0</v>
      </c>
      <c r="G114">
        <v>1</v>
      </c>
      <c r="H114">
        <v>1</v>
      </c>
      <c r="I114">
        <v>7</v>
      </c>
      <c r="J114" s="1">
        <f t="shared" ca="1" si="26"/>
        <v>0</v>
      </c>
      <c r="K114" s="1">
        <f t="shared" ca="1" si="27"/>
        <v>0</v>
      </c>
      <c r="L114" s="13">
        <f t="shared" ca="1" si="28"/>
        <v>615</v>
      </c>
      <c r="M114" s="7">
        <f t="shared" ca="1" si="29"/>
        <v>385</v>
      </c>
      <c r="N114" s="26">
        <f t="shared" ca="1" si="30"/>
        <v>2</v>
      </c>
      <c r="O114" s="44">
        <f t="shared" ca="1" si="31"/>
        <v>1.5762319669595739</v>
      </c>
      <c r="P114" s="44">
        <f t="shared" ca="1" si="32"/>
        <v>15.762319669595739</v>
      </c>
      <c r="Q114" s="44">
        <f t="shared" ca="1" si="33"/>
        <v>15.762319669595739</v>
      </c>
      <c r="R114" s="44">
        <f t="shared" ca="1" si="34"/>
        <v>1.5762319669595739</v>
      </c>
      <c r="S114" s="44">
        <f t="shared" ca="1" si="35"/>
        <v>1.5762319669595737</v>
      </c>
      <c r="T114" s="4">
        <f t="shared" ca="1" si="36"/>
        <v>0</v>
      </c>
      <c r="U114" s="120">
        <f t="shared" ca="1" si="37"/>
        <v>1538.885248288175</v>
      </c>
      <c r="V114" s="4">
        <f t="shared" ca="1" si="38"/>
        <v>0</v>
      </c>
      <c r="W114" s="13">
        <f t="shared" ca="1" si="39"/>
        <v>40973.706000000006</v>
      </c>
      <c r="X114" s="4">
        <f t="shared" ca="1" si="40"/>
        <v>0</v>
      </c>
      <c r="Y114" s="4">
        <f t="shared" si="41"/>
        <v>0</v>
      </c>
      <c r="Z114" s="13">
        <f t="shared" ca="1" si="42"/>
        <v>40973.706000000006</v>
      </c>
      <c r="AA114" s="4">
        <f t="shared" ca="1" si="43"/>
        <v>0</v>
      </c>
      <c r="AE114" s="4"/>
    </row>
    <row r="115" spans="1:31">
      <c r="A115">
        <v>0</v>
      </c>
      <c r="B115">
        <v>3</v>
      </c>
      <c r="C115">
        <f t="shared" ca="1" si="22"/>
        <v>4</v>
      </c>
      <c r="D115">
        <f t="shared" ca="1" si="23"/>
        <v>3</v>
      </c>
      <c r="E115">
        <f t="shared" ca="1" si="24"/>
        <v>0</v>
      </c>
      <c r="F115" s="110">
        <f t="shared" ca="1" si="25"/>
        <v>0</v>
      </c>
      <c r="G115">
        <v>1</v>
      </c>
      <c r="H115">
        <v>1</v>
      </c>
      <c r="I115">
        <v>6</v>
      </c>
      <c r="J115" s="1">
        <f t="shared" ca="1" si="26"/>
        <v>0</v>
      </c>
      <c r="K115" s="1">
        <f t="shared" ca="1" si="27"/>
        <v>0</v>
      </c>
      <c r="L115" s="13">
        <f t="shared" ca="1" si="28"/>
        <v>596</v>
      </c>
      <c r="M115" s="7">
        <f t="shared" ca="1" si="29"/>
        <v>404</v>
      </c>
      <c r="N115" s="26">
        <f t="shared" ca="1" si="30"/>
        <v>2</v>
      </c>
      <c r="O115" s="44">
        <f t="shared" ca="1" si="31"/>
        <v>1.5762319669595739</v>
      </c>
      <c r="P115" s="44">
        <f t="shared" ca="1" si="32"/>
        <v>15.762319669595739</v>
      </c>
      <c r="Q115" s="44">
        <f t="shared" ca="1" si="33"/>
        <v>15.762319669595739</v>
      </c>
      <c r="R115" s="44">
        <f t="shared" ca="1" si="34"/>
        <v>1.5762319669595739</v>
      </c>
      <c r="S115" s="44">
        <f t="shared" ca="1" si="35"/>
        <v>1.5762319669595737</v>
      </c>
      <c r="T115" s="4">
        <f t="shared" ca="1" si="36"/>
        <v>0</v>
      </c>
      <c r="U115" s="120">
        <f t="shared" ca="1" si="37"/>
        <v>1519.885248288175</v>
      </c>
      <c r="V115" s="4">
        <f t="shared" ca="1" si="38"/>
        <v>0</v>
      </c>
      <c r="W115" s="13">
        <f t="shared" ca="1" si="39"/>
        <v>38632.806000000004</v>
      </c>
      <c r="X115" s="4">
        <f t="shared" ca="1" si="40"/>
        <v>0</v>
      </c>
      <c r="Y115" s="4">
        <f t="shared" si="41"/>
        <v>0</v>
      </c>
      <c r="Z115" s="13">
        <f t="shared" ca="1" si="42"/>
        <v>38632.806000000004</v>
      </c>
      <c r="AA115" s="4">
        <f t="shared" ca="1" si="43"/>
        <v>0</v>
      </c>
      <c r="AE115" s="4"/>
    </row>
    <row r="116" spans="1:31">
      <c r="A116">
        <v>0</v>
      </c>
      <c r="B116">
        <v>3</v>
      </c>
      <c r="C116">
        <f t="shared" ca="1" si="22"/>
        <v>4</v>
      </c>
      <c r="D116">
        <f t="shared" ca="1" si="23"/>
        <v>3</v>
      </c>
      <c r="E116">
        <f t="shared" ca="1" si="24"/>
        <v>0</v>
      </c>
      <c r="F116" s="110">
        <f t="shared" ca="1" si="25"/>
        <v>0</v>
      </c>
      <c r="G116">
        <v>1</v>
      </c>
      <c r="H116">
        <v>1</v>
      </c>
      <c r="I116">
        <v>5</v>
      </c>
      <c r="J116" s="1">
        <f t="shared" ca="1" si="26"/>
        <v>0</v>
      </c>
      <c r="K116" s="1">
        <f t="shared" ca="1" si="27"/>
        <v>0</v>
      </c>
      <c r="L116" s="13">
        <f t="shared" ca="1" si="28"/>
        <v>577</v>
      </c>
      <c r="M116" s="7">
        <f t="shared" ca="1" si="29"/>
        <v>423</v>
      </c>
      <c r="N116" s="26">
        <f t="shared" ca="1" si="30"/>
        <v>2</v>
      </c>
      <c r="O116" s="44">
        <f t="shared" ca="1" si="31"/>
        <v>1.5762319669595739</v>
      </c>
      <c r="P116" s="44">
        <f t="shared" ca="1" si="32"/>
        <v>15.762319669595739</v>
      </c>
      <c r="Q116" s="44">
        <f t="shared" ca="1" si="33"/>
        <v>15.762319669595739</v>
      </c>
      <c r="R116" s="44">
        <f t="shared" ca="1" si="34"/>
        <v>1.5762319669595739</v>
      </c>
      <c r="S116" s="44">
        <f t="shared" ca="1" si="35"/>
        <v>1.5762319669595737</v>
      </c>
      <c r="T116" s="4">
        <f t="shared" ca="1" si="36"/>
        <v>0</v>
      </c>
      <c r="U116" s="120">
        <f t="shared" ca="1" si="37"/>
        <v>1500.885248288175</v>
      </c>
      <c r="V116" s="4">
        <f t="shared" ca="1" si="38"/>
        <v>0</v>
      </c>
      <c r="W116" s="13">
        <f t="shared" ca="1" si="39"/>
        <v>36291.906000000003</v>
      </c>
      <c r="X116" s="4">
        <f t="shared" ca="1" si="40"/>
        <v>0</v>
      </c>
      <c r="Y116" s="4">
        <f t="shared" si="41"/>
        <v>0</v>
      </c>
      <c r="Z116" s="13">
        <f t="shared" ca="1" si="42"/>
        <v>36291.906000000003</v>
      </c>
      <c r="AA116" s="4">
        <f t="shared" ca="1" si="43"/>
        <v>0</v>
      </c>
      <c r="AE116" s="4"/>
    </row>
    <row r="117" spans="1:31">
      <c r="A117">
        <v>0</v>
      </c>
      <c r="B117">
        <v>3</v>
      </c>
      <c r="C117">
        <f t="shared" ca="1" si="22"/>
        <v>4</v>
      </c>
      <c r="D117">
        <f t="shared" ca="1" si="23"/>
        <v>3</v>
      </c>
      <c r="E117">
        <f t="shared" ca="1" si="24"/>
        <v>0</v>
      </c>
      <c r="F117" s="110">
        <f t="shared" ca="1" si="25"/>
        <v>0</v>
      </c>
      <c r="G117">
        <v>1</v>
      </c>
      <c r="H117">
        <v>1</v>
      </c>
      <c r="I117">
        <v>4</v>
      </c>
      <c r="J117" s="1">
        <f t="shared" ca="1" si="26"/>
        <v>0</v>
      </c>
      <c r="K117" s="1">
        <f t="shared" ca="1" si="27"/>
        <v>0</v>
      </c>
      <c r="L117" s="13">
        <f t="shared" ca="1" si="28"/>
        <v>558</v>
      </c>
      <c r="M117" s="7">
        <f t="shared" ca="1" si="29"/>
        <v>442</v>
      </c>
      <c r="N117" s="26">
        <f t="shared" ca="1" si="30"/>
        <v>2</v>
      </c>
      <c r="O117" s="44">
        <f t="shared" ca="1" si="31"/>
        <v>1.5762319669595739</v>
      </c>
      <c r="P117" s="44">
        <f t="shared" ca="1" si="32"/>
        <v>15.762319669595739</v>
      </c>
      <c r="Q117" s="44">
        <f t="shared" ca="1" si="33"/>
        <v>15.762319669595739</v>
      </c>
      <c r="R117" s="44">
        <f t="shared" ca="1" si="34"/>
        <v>1.5762319669595739</v>
      </c>
      <c r="S117" s="44">
        <f t="shared" ca="1" si="35"/>
        <v>1.5762319669595737</v>
      </c>
      <c r="T117" s="4">
        <f t="shared" ca="1" si="36"/>
        <v>0</v>
      </c>
      <c r="U117" s="120">
        <f t="shared" ca="1" si="37"/>
        <v>1481.885248288175</v>
      </c>
      <c r="V117" s="4">
        <f t="shared" ca="1" si="38"/>
        <v>0</v>
      </c>
      <c r="W117" s="13">
        <f t="shared" ca="1" si="39"/>
        <v>33951.006000000001</v>
      </c>
      <c r="X117" s="4">
        <f t="shared" ca="1" si="40"/>
        <v>0</v>
      </c>
      <c r="Y117" s="4">
        <f t="shared" si="41"/>
        <v>0</v>
      </c>
      <c r="Z117" s="13">
        <f t="shared" ca="1" si="42"/>
        <v>33951.006000000001</v>
      </c>
      <c r="AA117" s="4">
        <f t="shared" ca="1" si="43"/>
        <v>0</v>
      </c>
      <c r="AE117" s="4"/>
    </row>
    <row r="118" spans="1:31">
      <c r="A118">
        <v>0</v>
      </c>
      <c r="B118">
        <v>3</v>
      </c>
      <c r="C118">
        <f t="shared" ca="1" si="22"/>
        <v>4</v>
      </c>
      <c r="D118">
        <f t="shared" ca="1" si="23"/>
        <v>3</v>
      </c>
      <c r="E118">
        <f t="shared" ca="1" si="24"/>
        <v>0</v>
      </c>
      <c r="F118" s="110">
        <f t="shared" ca="1" si="25"/>
        <v>0</v>
      </c>
      <c r="G118">
        <v>1</v>
      </c>
      <c r="H118">
        <v>1</v>
      </c>
      <c r="I118">
        <v>3</v>
      </c>
      <c r="J118" s="1">
        <f t="shared" ca="1" si="26"/>
        <v>0</v>
      </c>
      <c r="K118" s="1">
        <f t="shared" ca="1" si="27"/>
        <v>0</v>
      </c>
      <c r="L118" s="13">
        <f t="shared" ca="1" si="28"/>
        <v>539</v>
      </c>
      <c r="M118" s="7">
        <f t="shared" ca="1" si="29"/>
        <v>461</v>
      </c>
      <c r="N118" s="26">
        <f t="shared" ca="1" si="30"/>
        <v>2</v>
      </c>
      <c r="O118" s="44">
        <f t="shared" ca="1" si="31"/>
        <v>1.5762319669595739</v>
      </c>
      <c r="P118" s="44">
        <f t="shared" ca="1" si="32"/>
        <v>15.762319669595739</v>
      </c>
      <c r="Q118" s="44">
        <f t="shared" ca="1" si="33"/>
        <v>15.762319669595739</v>
      </c>
      <c r="R118" s="44">
        <f t="shared" ca="1" si="34"/>
        <v>1.5762319669595739</v>
      </c>
      <c r="S118" s="44">
        <f t="shared" ca="1" si="35"/>
        <v>1.5762319669595737</v>
      </c>
      <c r="T118" s="4">
        <f t="shared" ca="1" si="36"/>
        <v>0</v>
      </c>
      <c r="U118" s="120">
        <f t="shared" ca="1" si="37"/>
        <v>1462.885248288175</v>
      </c>
      <c r="V118" s="4">
        <f t="shared" ca="1" si="38"/>
        <v>0</v>
      </c>
      <c r="W118" s="13">
        <f t="shared" ca="1" si="39"/>
        <v>31610.106000000003</v>
      </c>
      <c r="X118" s="4">
        <f t="shared" ca="1" si="40"/>
        <v>0</v>
      </c>
      <c r="Y118" s="4">
        <f t="shared" si="41"/>
        <v>0</v>
      </c>
      <c r="Z118" s="13">
        <f t="shared" ca="1" si="42"/>
        <v>31610.106000000003</v>
      </c>
      <c r="AA118" s="4">
        <f t="shared" ca="1" si="43"/>
        <v>0</v>
      </c>
      <c r="AE118" s="4"/>
    </row>
    <row r="119" spans="1:31">
      <c r="A119">
        <v>0</v>
      </c>
      <c r="B119">
        <v>3</v>
      </c>
      <c r="C119">
        <f t="shared" ca="1" si="22"/>
        <v>4</v>
      </c>
      <c r="D119">
        <f t="shared" ca="1" si="23"/>
        <v>3</v>
      </c>
      <c r="E119">
        <f t="shared" ca="1" si="24"/>
        <v>0</v>
      </c>
      <c r="F119" s="110">
        <f t="shared" ca="1" si="25"/>
        <v>0</v>
      </c>
      <c r="G119">
        <v>1</v>
      </c>
      <c r="H119">
        <v>1</v>
      </c>
      <c r="I119">
        <v>2</v>
      </c>
      <c r="J119" s="1">
        <f t="shared" ca="1" si="26"/>
        <v>0</v>
      </c>
      <c r="K119" s="1">
        <f t="shared" ca="1" si="27"/>
        <v>0</v>
      </c>
      <c r="L119" s="13">
        <f t="shared" ca="1" si="28"/>
        <v>520</v>
      </c>
      <c r="M119" s="7">
        <f t="shared" ca="1" si="29"/>
        <v>480</v>
      </c>
      <c r="N119" s="26">
        <f t="shared" ca="1" si="30"/>
        <v>2</v>
      </c>
      <c r="O119" s="44">
        <f t="shared" ca="1" si="31"/>
        <v>1.5762319669595739</v>
      </c>
      <c r="P119" s="44">
        <f t="shared" ca="1" si="32"/>
        <v>15.762319669595739</v>
      </c>
      <c r="Q119" s="44">
        <f t="shared" ca="1" si="33"/>
        <v>15.762319669595739</v>
      </c>
      <c r="R119" s="44">
        <f t="shared" ca="1" si="34"/>
        <v>1.5762319669595739</v>
      </c>
      <c r="S119" s="44">
        <f t="shared" ca="1" si="35"/>
        <v>1.5762319669595737</v>
      </c>
      <c r="T119" s="4">
        <f t="shared" ca="1" si="36"/>
        <v>0</v>
      </c>
      <c r="U119" s="120">
        <f t="shared" ca="1" si="37"/>
        <v>1443.885248288175</v>
      </c>
      <c r="V119" s="4">
        <f t="shared" ca="1" si="38"/>
        <v>0</v>
      </c>
      <c r="W119" s="13">
        <f t="shared" ca="1" si="39"/>
        <v>29269.206000000002</v>
      </c>
      <c r="X119" s="4">
        <f t="shared" ca="1" si="40"/>
        <v>0</v>
      </c>
      <c r="Y119" s="4">
        <f t="shared" si="41"/>
        <v>0</v>
      </c>
      <c r="Z119" s="13">
        <f t="shared" ca="1" si="42"/>
        <v>29269.206000000002</v>
      </c>
      <c r="AA119" s="4">
        <f t="shared" ca="1" si="43"/>
        <v>0</v>
      </c>
      <c r="AE119" s="4"/>
    </row>
    <row r="120" spans="1:31">
      <c r="A120">
        <v>0</v>
      </c>
      <c r="B120">
        <v>3</v>
      </c>
      <c r="C120">
        <f t="shared" ca="1" si="22"/>
        <v>4</v>
      </c>
      <c r="D120">
        <f t="shared" ca="1" si="23"/>
        <v>3</v>
      </c>
      <c r="E120">
        <f t="shared" ca="1" si="24"/>
        <v>0</v>
      </c>
      <c r="F120" s="110">
        <f t="shared" ca="1" si="25"/>
        <v>0</v>
      </c>
      <c r="G120">
        <v>1</v>
      </c>
      <c r="H120">
        <v>1</v>
      </c>
      <c r="I120">
        <v>1</v>
      </c>
      <c r="J120" s="1">
        <f t="shared" ca="1" si="26"/>
        <v>0</v>
      </c>
      <c r="K120" s="1">
        <f t="shared" ca="1" si="27"/>
        <v>0</v>
      </c>
      <c r="L120" s="13">
        <f t="shared" ca="1" si="28"/>
        <v>501</v>
      </c>
      <c r="M120" s="7">
        <f t="shared" ca="1" si="29"/>
        <v>499</v>
      </c>
      <c r="N120" s="26">
        <f t="shared" ca="1" si="30"/>
        <v>2</v>
      </c>
      <c r="O120" s="44">
        <f t="shared" ca="1" si="31"/>
        <v>1.5762319669595739</v>
      </c>
      <c r="P120" s="44">
        <f t="shared" ca="1" si="32"/>
        <v>15.762319669595739</v>
      </c>
      <c r="Q120" s="44">
        <f t="shared" ca="1" si="33"/>
        <v>15.762319669595739</v>
      </c>
      <c r="R120" s="44">
        <f t="shared" ca="1" si="34"/>
        <v>1.5762319669595739</v>
      </c>
      <c r="S120" s="44">
        <f t="shared" ca="1" si="35"/>
        <v>1.5762319669595737</v>
      </c>
      <c r="T120" s="4">
        <f t="shared" ca="1" si="36"/>
        <v>0</v>
      </c>
      <c r="U120" s="120">
        <f t="shared" ca="1" si="37"/>
        <v>1424.885248288175</v>
      </c>
      <c r="V120" s="4">
        <f t="shared" ca="1" si="38"/>
        <v>0</v>
      </c>
      <c r="W120" s="13">
        <f t="shared" ca="1" si="39"/>
        <v>26928.306000000004</v>
      </c>
      <c r="X120" s="4">
        <f t="shared" ca="1" si="40"/>
        <v>0</v>
      </c>
      <c r="Y120" s="4">
        <f t="shared" si="41"/>
        <v>0</v>
      </c>
      <c r="Z120" s="13">
        <f t="shared" ca="1" si="42"/>
        <v>26928.306000000004</v>
      </c>
      <c r="AA120" s="4">
        <f t="shared" ca="1" si="43"/>
        <v>0</v>
      </c>
      <c r="AE120" s="4"/>
    </row>
    <row r="121" spans="1:31">
      <c r="A121">
        <v>0</v>
      </c>
      <c r="B121">
        <v>3</v>
      </c>
      <c r="C121">
        <f t="shared" ca="1" si="22"/>
        <v>4</v>
      </c>
      <c r="D121">
        <f t="shared" ca="1" si="23"/>
        <v>3</v>
      </c>
      <c r="E121">
        <f t="shared" ca="1" si="24"/>
        <v>0</v>
      </c>
      <c r="F121" s="110">
        <f t="shared" ca="1" si="25"/>
        <v>0</v>
      </c>
      <c r="G121">
        <v>1</v>
      </c>
      <c r="H121">
        <v>1</v>
      </c>
      <c r="I121">
        <v>0</v>
      </c>
      <c r="J121" s="1">
        <f t="shared" ca="1" si="26"/>
        <v>0</v>
      </c>
      <c r="K121" s="1">
        <f t="shared" ca="1" si="27"/>
        <v>0</v>
      </c>
      <c r="L121" s="13">
        <f t="shared" ca="1" si="28"/>
        <v>482</v>
      </c>
      <c r="M121" s="7">
        <f t="shared" ca="1" si="29"/>
        <v>518</v>
      </c>
      <c r="N121" s="26">
        <f t="shared" ca="1" si="30"/>
        <v>2</v>
      </c>
      <c r="O121" s="44">
        <f t="shared" ca="1" si="31"/>
        <v>1.5762319669595739</v>
      </c>
      <c r="P121" s="44">
        <f t="shared" ca="1" si="32"/>
        <v>15.762319669595739</v>
      </c>
      <c r="Q121" s="44">
        <f t="shared" ca="1" si="33"/>
        <v>15.762319669595739</v>
      </c>
      <c r="R121" s="44">
        <f t="shared" ca="1" si="34"/>
        <v>1.5762319669595739</v>
      </c>
      <c r="S121" s="44">
        <f t="shared" ca="1" si="35"/>
        <v>1.5762319669595737</v>
      </c>
      <c r="T121" s="4">
        <f t="shared" ca="1" si="36"/>
        <v>0</v>
      </c>
      <c r="U121" s="120">
        <f t="shared" ca="1" si="37"/>
        <v>1405.885248288175</v>
      </c>
      <c r="V121" s="4">
        <f t="shared" ca="1" si="38"/>
        <v>0</v>
      </c>
      <c r="W121" s="13">
        <f t="shared" ca="1" si="39"/>
        <v>24587.406000000003</v>
      </c>
      <c r="X121" s="4">
        <f t="shared" ca="1" si="40"/>
        <v>0</v>
      </c>
      <c r="Y121" s="4">
        <f t="shared" si="41"/>
        <v>0</v>
      </c>
      <c r="Z121" s="13">
        <f t="shared" ca="1" si="42"/>
        <v>24587.406000000003</v>
      </c>
      <c r="AA121" s="4">
        <f t="shared" ca="1" si="43"/>
        <v>0</v>
      </c>
      <c r="AE121" s="4"/>
    </row>
    <row r="122" spans="1:31">
      <c r="A122">
        <v>0</v>
      </c>
      <c r="B122">
        <v>3</v>
      </c>
      <c r="C122">
        <f t="shared" ca="1" si="22"/>
        <v>4</v>
      </c>
      <c r="D122">
        <f t="shared" ca="1" si="23"/>
        <v>3</v>
      </c>
      <c r="E122">
        <f t="shared" ca="1" si="24"/>
        <v>0</v>
      </c>
      <c r="F122" s="110">
        <f t="shared" ca="1" si="25"/>
        <v>0</v>
      </c>
      <c r="G122">
        <v>1</v>
      </c>
      <c r="H122">
        <v>0</v>
      </c>
      <c r="I122">
        <v>7</v>
      </c>
      <c r="J122" s="1">
        <f t="shared" ca="1" si="26"/>
        <v>0</v>
      </c>
      <c r="K122" s="1">
        <f t="shared" ca="1" si="27"/>
        <v>0</v>
      </c>
      <c r="L122" s="13">
        <f t="shared" ca="1" si="28"/>
        <v>374</v>
      </c>
      <c r="M122" s="7">
        <f t="shared" ca="1" si="29"/>
        <v>626</v>
      </c>
      <c r="N122" s="26">
        <f t="shared" ca="1" si="30"/>
        <v>3</v>
      </c>
      <c r="O122" s="44">
        <f t="shared" ca="1" si="31"/>
        <v>2.2442427272544552</v>
      </c>
      <c r="P122" s="44">
        <f t="shared" ca="1" si="32"/>
        <v>22.442427272544553</v>
      </c>
      <c r="Q122" s="44">
        <f t="shared" ca="1" si="33"/>
        <v>22.442427272544553</v>
      </c>
      <c r="R122" s="44">
        <f t="shared" ca="1" si="34"/>
        <v>2.2442427272544552</v>
      </c>
      <c r="S122" s="44">
        <f t="shared" ca="1" si="35"/>
        <v>2.2442427272544552</v>
      </c>
      <c r="T122" s="4">
        <f t="shared" ca="1" si="36"/>
        <v>0</v>
      </c>
      <c r="U122" s="120">
        <f t="shared" ca="1" si="37"/>
        <v>1594.901337549361</v>
      </c>
      <c r="V122" s="4">
        <f t="shared" ca="1" si="38"/>
        <v>0</v>
      </c>
      <c r="W122" s="13">
        <f t="shared" ca="1" si="39"/>
        <v>40973.706000000006</v>
      </c>
      <c r="X122" s="4">
        <f t="shared" ca="1" si="40"/>
        <v>0</v>
      </c>
      <c r="Y122" s="4">
        <f t="shared" si="41"/>
        <v>0</v>
      </c>
      <c r="Z122" s="13">
        <f t="shared" ca="1" si="42"/>
        <v>40973.706000000006</v>
      </c>
      <c r="AA122" s="4">
        <f t="shared" ca="1" si="43"/>
        <v>0</v>
      </c>
      <c r="AE122" s="4"/>
    </row>
    <row r="123" spans="1:31">
      <c r="A123">
        <v>0</v>
      </c>
      <c r="B123">
        <v>3</v>
      </c>
      <c r="C123">
        <f t="shared" ca="1" si="22"/>
        <v>4</v>
      </c>
      <c r="D123">
        <f t="shared" ca="1" si="23"/>
        <v>3</v>
      </c>
      <c r="E123">
        <f t="shared" ca="1" si="24"/>
        <v>0</v>
      </c>
      <c r="F123" s="110">
        <f t="shared" ca="1" si="25"/>
        <v>0</v>
      </c>
      <c r="G123">
        <v>1</v>
      </c>
      <c r="H123">
        <v>0</v>
      </c>
      <c r="I123">
        <v>6</v>
      </c>
      <c r="J123" s="1">
        <f t="shared" ca="1" si="26"/>
        <v>0</v>
      </c>
      <c r="K123" s="1">
        <f t="shared" ca="1" si="27"/>
        <v>0</v>
      </c>
      <c r="L123" s="13">
        <f t="shared" ca="1" si="28"/>
        <v>355</v>
      </c>
      <c r="M123" s="7">
        <f t="shared" ca="1" si="29"/>
        <v>645</v>
      </c>
      <c r="N123" s="26">
        <f t="shared" ca="1" si="30"/>
        <v>3</v>
      </c>
      <c r="O123" s="44">
        <f t="shared" ca="1" si="31"/>
        <v>2.2442427272544552</v>
      </c>
      <c r="P123" s="44">
        <f t="shared" ca="1" si="32"/>
        <v>22.442427272544553</v>
      </c>
      <c r="Q123" s="44">
        <f t="shared" ca="1" si="33"/>
        <v>22.442427272544553</v>
      </c>
      <c r="R123" s="44">
        <f t="shared" ca="1" si="34"/>
        <v>2.2442427272544552</v>
      </c>
      <c r="S123" s="44">
        <f t="shared" ca="1" si="35"/>
        <v>2.2442427272544552</v>
      </c>
      <c r="T123" s="4">
        <f t="shared" ca="1" si="36"/>
        <v>0</v>
      </c>
      <c r="U123" s="120">
        <f t="shared" ca="1" si="37"/>
        <v>1575.901337549361</v>
      </c>
      <c r="V123" s="4">
        <f t="shared" ca="1" si="38"/>
        <v>0</v>
      </c>
      <c r="W123" s="13">
        <f t="shared" ca="1" si="39"/>
        <v>38632.806000000004</v>
      </c>
      <c r="X123" s="4">
        <f t="shared" ca="1" si="40"/>
        <v>0</v>
      </c>
      <c r="Y123" s="4">
        <f t="shared" si="41"/>
        <v>0</v>
      </c>
      <c r="Z123" s="13">
        <f t="shared" ca="1" si="42"/>
        <v>38632.806000000004</v>
      </c>
      <c r="AA123" s="4">
        <f t="shared" ca="1" si="43"/>
        <v>0</v>
      </c>
      <c r="AE123" s="4"/>
    </row>
    <row r="124" spans="1:31">
      <c r="A124">
        <v>0</v>
      </c>
      <c r="B124">
        <v>3</v>
      </c>
      <c r="C124">
        <f t="shared" ca="1" si="22"/>
        <v>4</v>
      </c>
      <c r="D124">
        <f t="shared" ca="1" si="23"/>
        <v>3</v>
      </c>
      <c r="E124">
        <f t="shared" ca="1" si="24"/>
        <v>0</v>
      </c>
      <c r="F124" s="110">
        <f t="shared" ca="1" si="25"/>
        <v>0</v>
      </c>
      <c r="G124">
        <v>1</v>
      </c>
      <c r="H124">
        <v>0</v>
      </c>
      <c r="I124">
        <v>5</v>
      </c>
      <c r="J124" s="1">
        <f t="shared" ca="1" si="26"/>
        <v>0</v>
      </c>
      <c r="K124" s="1">
        <f t="shared" ca="1" si="27"/>
        <v>0</v>
      </c>
      <c r="L124" s="13">
        <f t="shared" ca="1" si="28"/>
        <v>336</v>
      </c>
      <c r="M124" s="7">
        <f t="shared" ca="1" si="29"/>
        <v>664</v>
      </c>
      <c r="N124" s="26">
        <f t="shared" ca="1" si="30"/>
        <v>3</v>
      </c>
      <c r="O124" s="44">
        <f t="shared" ca="1" si="31"/>
        <v>2.2442427272544552</v>
      </c>
      <c r="P124" s="44">
        <f t="shared" ca="1" si="32"/>
        <v>22.442427272544553</v>
      </c>
      <c r="Q124" s="44">
        <f t="shared" ca="1" si="33"/>
        <v>22.442427272544553</v>
      </c>
      <c r="R124" s="44">
        <f t="shared" ca="1" si="34"/>
        <v>2.2442427272544552</v>
      </c>
      <c r="S124" s="44">
        <f t="shared" ca="1" si="35"/>
        <v>2.2442427272544552</v>
      </c>
      <c r="T124" s="4">
        <f t="shared" ca="1" si="36"/>
        <v>0</v>
      </c>
      <c r="U124" s="120">
        <f t="shared" ca="1" si="37"/>
        <v>1556.901337549361</v>
      </c>
      <c r="V124" s="4">
        <f t="shared" ca="1" si="38"/>
        <v>0</v>
      </c>
      <c r="W124" s="13">
        <f t="shared" ca="1" si="39"/>
        <v>36291.906000000003</v>
      </c>
      <c r="X124" s="4">
        <f t="shared" ca="1" si="40"/>
        <v>0</v>
      </c>
      <c r="Y124" s="4">
        <f t="shared" si="41"/>
        <v>0</v>
      </c>
      <c r="Z124" s="13">
        <f t="shared" ca="1" si="42"/>
        <v>36291.906000000003</v>
      </c>
      <c r="AA124" s="4">
        <f t="shared" ca="1" si="43"/>
        <v>0</v>
      </c>
      <c r="AE124" s="4"/>
    </row>
    <row r="125" spans="1:31">
      <c r="A125">
        <v>0</v>
      </c>
      <c r="B125">
        <v>3</v>
      </c>
      <c r="C125">
        <f t="shared" ca="1" si="22"/>
        <v>4</v>
      </c>
      <c r="D125">
        <f t="shared" ca="1" si="23"/>
        <v>3</v>
      </c>
      <c r="E125">
        <f t="shared" ca="1" si="24"/>
        <v>0</v>
      </c>
      <c r="F125" s="110">
        <f t="shared" ca="1" si="25"/>
        <v>0</v>
      </c>
      <c r="G125">
        <v>1</v>
      </c>
      <c r="H125">
        <v>0</v>
      </c>
      <c r="I125">
        <v>4</v>
      </c>
      <c r="J125" s="1">
        <f t="shared" ca="1" si="26"/>
        <v>0</v>
      </c>
      <c r="K125" s="1">
        <f t="shared" ca="1" si="27"/>
        <v>0</v>
      </c>
      <c r="L125" s="13">
        <f t="shared" ca="1" si="28"/>
        <v>317</v>
      </c>
      <c r="M125" s="7">
        <f t="shared" ca="1" si="29"/>
        <v>683</v>
      </c>
      <c r="N125" s="26">
        <f t="shared" ca="1" si="30"/>
        <v>3</v>
      </c>
      <c r="O125" s="44">
        <f t="shared" ca="1" si="31"/>
        <v>2.2442427272544552</v>
      </c>
      <c r="P125" s="44">
        <f t="shared" ca="1" si="32"/>
        <v>22.442427272544553</v>
      </c>
      <c r="Q125" s="44">
        <f t="shared" ca="1" si="33"/>
        <v>22.442427272544553</v>
      </c>
      <c r="R125" s="44">
        <f t="shared" ca="1" si="34"/>
        <v>2.2442427272544552</v>
      </c>
      <c r="S125" s="44">
        <f t="shared" ca="1" si="35"/>
        <v>2.2442427272544552</v>
      </c>
      <c r="T125" s="4">
        <f t="shared" ca="1" si="36"/>
        <v>0</v>
      </c>
      <c r="U125" s="120">
        <f t="shared" ca="1" si="37"/>
        <v>1537.901337549361</v>
      </c>
      <c r="V125" s="4">
        <f t="shared" ca="1" si="38"/>
        <v>0</v>
      </c>
      <c r="W125" s="13">
        <f t="shared" ca="1" si="39"/>
        <v>33951.006000000001</v>
      </c>
      <c r="X125" s="4">
        <f t="shared" ca="1" si="40"/>
        <v>0</v>
      </c>
      <c r="Y125" s="4">
        <f t="shared" si="41"/>
        <v>0</v>
      </c>
      <c r="Z125" s="13">
        <f t="shared" ca="1" si="42"/>
        <v>33951.006000000001</v>
      </c>
      <c r="AA125" s="4">
        <f t="shared" ca="1" si="43"/>
        <v>0</v>
      </c>
      <c r="AE125" s="4"/>
    </row>
    <row r="126" spans="1:31">
      <c r="A126">
        <v>0</v>
      </c>
      <c r="B126">
        <v>3</v>
      </c>
      <c r="C126">
        <f t="shared" ca="1" si="22"/>
        <v>4</v>
      </c>
      <c r="D126">
        <f t="shared" ca="1" si="23"/>
        <v>3</v>
      </c>
      <c r="E126">
        <f t="shared" ca="1" si="24"/>
        <v>0</v>
      </c>
      <c r="F126" s="110">
        <f t="shared" ca="1" si="25"/>
        <v>0</v>
      </c>
      <c r="G126">
        <v>1</v>
      </c>
      <c r="H126">
        <v>0</v>
      </c>
      <c r="I126">
        <v>3</v>
      </c>
      <c r="J126" s="1">
        <f t="shared" ca="1" si="26"/>
        <v>0.63642578124999993</v>
      </c>
      <c r="K126" s="1">
        <f t="shared" ca="1" si="27"/>
        <v>0</v>
      </c>
      <c r="L126" s="13">
        <f t="shared" ca="1" si="28"/>
        <v>298</v>
      </c>
      <c r="M126" s="7">
        <f t="shared" ca="1" si="29"/>
        <v>702</v>
      </c>
      <c r="N126" s="26">
        <f t="shared" ca="1" si="30"/>
        <v>3</v>
      </c>
      <c r="O126" s="44">
        <f t="shared" ca="1" si="31"/>
        <v>2.2442427272544552</v>
      </c>
      <c r="P126" s="44">
        <f t="shared" ca="1" si="32"/>
        <v>22.442427272544553</v>
      </c>
      <c r="Q126" s="44">
        <f t="shared" ca="1" si="33"/>
        <v>22.442427272544553</v>
      </c>
      <c r="R126" s="44">
        <f t="shared" ca="1" si="34"/>
        <v>2.2442427272544552</v>
      </c>
      <c r="S126" s="44">
        <f t="shared" ca="1" si="35"/>
        <v>2.2442427272544552</v>
      </c>
      <c r="T126" s="4">
        <f t="shared" ca="1" si="36"/>
        <v>0</v>
      </c>
      <c r="U126" s="120">
        <f t="shared" ca="1" si="37"/>
        <v>1518.901337549361</v>
      </c>
      <c r="V126" s="4">
        <f t="shared" ca="1" si="38"/>
        <v>0</v>
      </c>
      <c r="W126" s="13">
        <f t="shared" ca="1" si="39"/>
        <v>31610.106000000003</v>
      </c>
      <c r="X126" s="4">
        <f t="shared" ca="1" si="40"/>
        <v>0</v>
      </c>
      <c r="Y126" s="4">
        <f t="shared" si="41"/>
        <v>0</v>
      </c>
      <c r="Z126" s="13">
        <f t="shared" ca="1" si="42"/>
        <v>31610.106000000003</v>
      </c>
      <c r="AA126" s="4">
        <f t="shared" ca="1" si="43"/>
        <v>0</v>
      </c>
      <c r="AE126" s="4"/>
    </row>
    <row r="127" spans="1:31">
      <c r="A127">
        <v>0</v>
      </c>
      <c r="B127">
        <v>3</v>
      </c>
      <c r="C127">
        <f t="shared" ca="1" si="22"/>
        <v>4</v>
      </c>
      <c r="D127">
        <f t="shared" ca="1" si="23"/>
        <v>3</v>
      </c>
      <c r="E127">
        <f t="shared" ca="1" si="24"/>
        <v>0</v>
      </c>
      <c r="F127" s="110">
        <f t="shared" ca="1" si="25"/>
        <v>0</v>
      </c>
      <c r="G127">
        <v>1</v>
      </c>
      <c r="H127">
        <v>0</v>
      </c>
      <c r="I127">
        <v>2</v>
      </c>
      <c r="J127" s="1">
        <f t="shared" ca="1" si="26"/>
        <v>0.27275390625000001</v>
      </c>
      <c r="K127" s="1">
        <f t="shared" ca="1" si="27"/>
        <v>0</v>
      </c>
      <c r="L127" s="13">
        <f t="shared" ca="1" si="28"/>
        <v>279</v>
      </c>
      <c r="M127" s="7">
        <f t="shared" ca="1" si="29"/>
        <v>721</v>
      </c>
      <c r="N127" s="26">
        <f t="shared" ca="1" si="30"/>
        <v>3</v>
      </c>
      <c r="O127" s="44">
        <f t="shared" ca="1" si="31"/>
        <v>2.2442427272544552</v>
      </c>
      <c r="P127" s="44">
        <f t="shared" ca="1" si="32"/>
        <v>22.442427272544553</v>
      </c>
      <c r="Q127" s="44">
        <f t="shared" ca="1" si="33"/>
        <v>22.442427272544553</v>
      </c>
      <c r="R127" s="44">
        <f t="shared" ca="1" si="34"/>
        <v>2.2442427272544552</v>
      </c>
      <c r="S127" s="44">
        <f t="shared" ca="1" si="35"/>
        <v>2.2442427272544552</v>
      </c>
      <c r="T127" s="4">
        <f t="shared" ca="1" si="36"/>
        <v>0</v>
      </c>
      <c r="U127" s="120">
        <f t="shared" ca="1" si="37"/>
        <v>1499.901337549361</v>
      </c>
      <c r="V127" s="4">
        <f t="shared" ca="1" si="38"/>
        <v>0</v>
      </c>
      <c r="W127" s="13">
        <f t="shared" ca="1" si="39"/>
        <v>29269.206000000002</v>
      </c>
      <c r="X127" s="4">
        <f t="shared" ca="1" si="40"/>
        <v>0</v>
      </c>
      <c r="Y127" s="4">
        <f t="shared" si="41"/>
        <v>0</v>
      </c>
      <c r="Z127" s="13">
        <f t="shared" ca="1" si="42"/>
        <v>29269.206000000002</v>
      </c>
      <c r="AA127" s="4">
        <f t="shared" ca="1" si="43"/>
        <v>0</v>
      </c>
      <c r="AE127" s="4"/>
    </row>
    <row r="128" spans="1:31">
      <c r="A128">
        <v>0</v>
      </c>
      <c r="B128">
        <v>3</v>
      </c>
      <c r="C128">
        <f t="shared" ca="1" si="22"/>
        <v>4</v>
      </c>
      <c r="D128">
        <f t="shared" ca="1" si="23"/>
        <v>3</v>
      </c>
      <c r="E128">
        <f t="shared" ca="1" si="24"/>
        <v>0</v>
      </c>
      <c r="F128" s="110">
        <f t="shared" ca="1" si="25"/>
        <v>0</v>
      </c>
      <c r="G128">
        <v>1</v>
      </c>
      <c r="H128">
        <v>0</v>
      </c>
      <c r="I128">
        <v>1</v>
      </c>
      <c r="J128" s="1">
        <f t="shared" ca="1" si="26"/>
        <v>3.8964843749999999E-2</v>
      </c>
      <c r="K128" s="1">
        <f t="shared" ca="1" si="27"/>
        <v>0</v>
      </c>
      <c r="L128" s="13">
        <f t="shared" ca="1" si="28"/>
        <v>260</v>
      </c>
      <c r="M128" s="7">
        <f t="shared" ca="1" si="29"/>
        <v>740</v>
      </c>
      <c r="N128" s="26">
        <f t="shared" ca="1" si="30"/>
        <v>3</v>
      </c>
      <c r="O128" s="44">
        <f t="shared" ca="1" si="31"/>
        <v>2.2442427272544552</v>
      </c>
      <c r="P128" s="44">
        <f t="shared" ca="1" si="32"/>
        <v>22.442427272544553</v>
      </c>
      <c r="Q128" s="44">
        <f t="shared" ca="1" si="33"/>
        <v>22.442427272544553</v>
      </c>
      <c r="R128" s="44">
        <f t="shared" ca="1" si="34"/>
        <v>2.2442427272544552</v>
      </c>
      <c r="S128" s="44">
        <f t="shared" ca="1" si="35"/>
        <v>2.2442427272544552</v>
      </c>
      <c r="T128" s="4">
        <f t="shared" ca="1" si="36"/>
        <v>0</v>
      </c>
      <c r="U128" s="120">
        <f t="shared" ca="1" si="37"/>
        <v>1480.901337549361</v>
      </c>
      <c r="V128" s="4">
        <f t="shared" ca="1" si="38"/>
        <v>0</v>
      </c>
      <c r="W128" s="13">
        <f t="shared" ca="1" si="39"/>
        <v>26928.306000000004</v>
      </c>
      <c r="X128" s="4">
        <f t="shared" ca="1" si="40"/>
        <v>0</v>
      </c>
      <c r="Y128" s="4">
        <f t="shared" si="41"/>
        <v>0</v>
      </c>
      <c r="Z128" s="13">
        <f t="shared" ca="1" si="42"/>
        <v>26928.306000000004</v>
      </c>
      <c r="AA128" s="4">
        <f t="shared" ca="1" si="43"/>
        <v>0</v>
      </c>
      <c r="AE128" s="4"/>
    </row>
    <row r="129" spans="1:31">
      <c r="A129">
        <v>0</v>
      </c>
      <c r="B129">
        <v>3</v>
      </c>
      <c r="C129">
        <f t="shared" ca="1" si="22"/>
        <v>4</v>
      </c>
      <c r="D129">
        <f t="shared" ca="1" si="23"/>
        <v>3</v>
      </c>
      <c r="E129">
        <f t="shared" ca="1" si="24"/>
        <v>0</v>
      </c>
      <c r="F129" s="110">
        <f t="shared" ca="1" si="25"/>
        <v>0</v>
      </c>
      <c r="G129">
        <v>1</v>
      </c>
      <c r="H129">
        <v>0</v>
      </c>
      <c r="I129">
        <v>0</v>
      </c>
      <c r="J129" s="1">
        <f t="shared" ca="1" si="26"/>
        <v>1.8554687499999999E-3</v>
      </c>
      <c r="K129" s="1">
        <f t="shared" ca="1" si="27"/>
        <v>0</v>
      </c>
      <c r="L129" s="13">
        <f t="shared" ca="1" si="28"/>
        <v>241</v>
      </c>
      <c r="M129" s="7">
        <f t="shared" ca="1" si="29"/>
        <v>759</v>
      </c>
      <c r="N129" s="26">
        <f t="shared" ca="1" si="30"/>
        <v>3</v>
      </c>
      <c r="O129" s="44">
        <f t="shared" ca="1" si="31"/>
        <v>2.2442427272544552</v>
      </c>
      <c r="P129" s="44">
        <f t="shared" ca="1" si="32"/>
        <v>22.442427272544553</v>
      </c>
      <c r="Q129" s="44">
        <f t="shared" ca="1" si="33"/>
        <v>22.442427272544553</v>
      </c>
      <c r="R129" s="44">
        <f t="shared" ca="1" si="34"/>
        <v>2.2442427272544552</v>
      </c>
      <c r="S129" s="44">
        <f t="shared" ca="1" si="35"/>
        <v>2.2442427272544552</v>
      </c>
      <c r="T129" s="4">
        <f t="shared" ca="1" si="36"/>
        <v>0</v>
      </c>
      <c r="U129" s="120">
        <f t="shared" ca="1" si="37"/>
        <v>1461.901337549361</v>
      </c>
      <c r="V129" s="4">
        <f t="shared" ca="1" si="38"/>
        <v>0</v>
      </c>
      <c r="W129" s="13">
        <f t="shared" ca="1" si="39"/>
        <v>24587.406000000003</v>
      </c>
      <c r="X129" s="4">
        <f t="shared" ca="1" si="40"/>
        <v>0</v>
      </c>
      <c r="Y129" s="4">
        <f t="shared" si="41"/>
        <v>0</v>
      </c>
      <c r="Z129" s="13">
        <f t="shared" ca="1" si="42"/>
        <v>24587.406000000003</v>
      </c>
      <c r="AA129" s="4">
        <f t="shared" ca="1" si="43"/>
        <v>0</v>
      </c>
      <c r="AE129" s="4"/>
    </row>
    <row r="130" spans="1:31">
      <c r="A130">
        <v>0</v>
      </c>
      <c r="B130">
        <v>3</v>
      </c>
      <c r="C130">
        <f t="shared" ca="1" si="22"/>
        <v>4</v>
      </c>
      <c r="D130">
        <f t="shared" ca="1" si="23"/>
        <v>3</v>
      </c>
      <c r="E130">
        <f t="shared" ca="1" si="24"/>
        <v>0</v>
      </c>
      <c r="F130" s="110">
        <f t="shared" ca="1" si="25"/>
        <v>0</v>
      </c>
      <c r="G130">
        <v>0</v>
      </c>
      <c r="H130">
        <v>1</v>
      </c>
      <c r="I130">
        <v>7</v>
      </c>
      <c r="J130" s="1">
        <f t="shared" ca="1" si="26"/>
        <v>0</v>
      </c>
      <c r="K130" s="1">
        <f t="shared" ca="1" si="27"/>
        <v>0</v>
      </c>
      <c r="L130" s="13">
        <f t="shared" ca="1" si="28"/>
        <v>374</v>
      </c>
      <c r="M130" s="7">
        <f t="shared" ca="1" si="29"/>
        <v>626</v>
      </c>
      <c r="N130" s="26">
        <f t="shared" ca="1" si="30"/>
        <v>3</v>
      </c>
      <c r="O130" s="44">
        <f t="shared" ca="1" si="31"/>
        <v>2.2442427272544552</v>
      </c>
      <c r="P130" s="44">
        <f t="shared" ca="1" si="32"/>
        <v>22.442427272544553</v>
      </c>
      <c r="Q130" s="44">
        <f t="shared" ca="1" si="33"/>
        <v>22.442427272544553</v>
      </c>
      <c r="R130" s="44">
        <f t="shared" ca="1" si="34"/>
        <v>2.2442427272544552</v>
      </c>
      <c r="S130" s="44">
        <f t="shared" ca="1" si="35"/>
        <v>2.2442427272544552</v>
      </c>
      <c r="T130" s="4">
        <f t="shared" ca="1" si="36"/>
        <v>0</v>
      </c>
      <c r="U130" s="120">
        <f t="shared" ca="1" si="37"/>
        <v>1594.901337549361</v>
      </c>
      <c r="V130" s="4">
        <f t="shared" ca="1" si="38"/>
        <v>0</v>
      </c>
      <c r="W130" s="13">
        <f t="shared" ca="1" si="39"/>
        <v>16386.3</v>
      </c>
      <c r="X130" s="4">
        <f t="shared" ca="1" si="40"/>
        <v>0</v>
      </c>
      <c r="Y130" s="4">
        <f t="shared" si="41"/>
        <v>0</v>
      </c>
      <c r="Z130" s="13">
        <f t="shared" ca="1" si="42"/>
        <v>16386.3</v>
      </c>
      <c r="AA130" s="4">
        <f t="shared" ca="1" si="43"/>
        <v>0</v>
      </c>
      <c r="AE130" s="4"/>
    </row>
    <row r="131" spans="1:31">
      <c r="A131">
        <v>0</v>
      </c>
      <c r="B131">
        <v>3</v>
      </c>
      <c r="C131">
        <f t="shared" ca="1" si="22"/>
        <v>4</v>
      </c>
      <c r="D131">
        <f t="shared" ca="1" si="23"/>
        <v>3</v>
      </c>
      <c r="E131">
        <f t="shared" ca="1" si="24"/>
        <v>0</v>
      </c>
      <c r="F131" s="110">
        <f t="shared" ca="1" si="25"/>
        <v>0</v>
      </c>
      <c r="G131">
        <v>0</v>
      </c>
      <c r="H131">
        <v>1</v>
      </c>
      <c r="I131">
        <v>6</v>
      </c>
      <c r="J131" s="1">
        <f t="shared" ca="1" si="26"/>
        <v>0</v>
      </c>
      <c r="K131" s="1">
        <f t="shared" ca="1" si="27"/>
        <v>0</v>
      </c>
      <c r="L131" s="13">
        <f t="shared" ca="1" si="28"/>
        <v>355</v>
      </c>
      <c r="M131" s="7">
        <f t="shared" ca="1" si="29"/>
        <v>645</v>
      </c>
      <c r="N131" s="26">
        <f t="shared" ca="1" si="30"/>
        <v>3</v>
      </c>
      <c r="O131" s="44">
        <f t="shared" ca="1" si="31"/>
        <v>2.2442427272544552</v>
      </c>
      <c r="P131" s="44">
        <f t="shared" ca="1" si="32"/>
        <v>22.442427272544553</v>
      </c>
      <c r="Q131" s="44">
        <f t="shared" ca="1" si="33"/>
        <v>22.442427272544553</v>
      </c>
      <c r="R131" s="44">
        <f t="shared" ca="1" si="34"/>
        <v>2.2442427272544552</v>
      </c>
      <c r="S131" s="44">
        <f t="shared" ca="1" si="35"/>
        <v>2.2442427272544552</v>
      </c>
      <c r="T131" s="4">
        <f t="shared" ca="1" si="36"/>
        <v>0</v>
      </c>
      <c r="U131" s="120">
        <f t="shared" ca="1" si="37"/>
        <v>1575.901337549361</v>
      </c>
      <c r="V131" s="4">
        <f t="shared" ca="1" si="38"/>
        <v>0</v>
      </c>
      <c r="W131" s="13">
        <f t="shared" ca="1" si="39"/>
        <v>14045.400000000001</v>
      </c>
      <c r="X131" s="4">
        <f t="shared" ca="1" si="40"/>
        <v>0</v>
      </c>
      <c r="Y131" s="4">
        <f t="shared" si="41"/>
        <v>0</v>
      </c>
      <c r="Z131" s="13">
        <f t="shared" ca="1" si="42"/>
        <v>14045.400000000001</v>
      </c>
      <c r="AA131" s="4">
        <f t="shared" ca="1" si="43"/>
        <v>0</v>
      </c>
      <c r="AE131" s="4"/>
    </row>
    <row r="132" spans="1:31">
      <c r="A132">
        <v>0</v>
      </c>
      <c r="B132">
        <v>3</v>
      </c>
      <c r="C132">
        <f t="shared" ca="1" si="22"/>
        <v>4</v>
      </c>
      <c r="D132">
        <f t="shared" ca="1" si="23"/>
        <v>3</v>
      </c>
      <c r="E132">
        <f t="shared" ca="1" si="24"/>
        <v>0</v>
      </c>
      <c r="F132" s="110">
        <f t="shared" ca="1" si="25"/>
        <v>0</v>
      </c>
      <c r="G132">
        <v>0</v>
      </c>
      <c r="H132">
        <v>1</v>
      </c>
      <c r="I132">
        <v>5</v>
      </c>
      <c r="J132" s="1">
        <f t="shared" ca="1" si="26"/>
        <v>0</v>
      </c>
      <c r="K132" s="1">
        <f t="shared" ca="1" si="27"/>
        <v>0</v>
      </c>
      <c r="L132" s="13">
        <f t="shared" ca="1" si="28"/>
        <v>336</v>
      </c>
      <c r="M132" s="7">
        <f t="shared" ca="1" si="29"/>
        <v>664</v>
      </c>
      <c r="N132" s="26">
        <f t="shared" ca="1" si="30"/>
        <v>3</v>
      </c>
      <c r="O132" s="44">
        <f t="shared" ca="1" si="31"/>
        <v>2.2442427272544552</v>
      </c>
      <c r="P132" s="44">
        <f t="shared" ca="1" si="32"/>
        <v>22.442427272544553</v>
      </c>
      <c r="Q132" s="44">
        <f t="shared" ca="1" si="33"/>
        <v>22.442427272544553</v>
      </c>
      <c r="R132" s="44">
        <f t="shared" ca="1" si="34"/>
        <v>2.2442427272544552</v>
      </c>
      <c r="S132" s="44">
        <f t="shared" ca="1" si="35"/>
        <v>2.2442427272544552</v>
      </c>
      <c r="T132" s="4">
        <f t="shared" ca="1" si="36"/>
        <v>0</v>
      </c>
      <c r="U132" s="120">
        <f t="shared" ca="1" si="37"/>
        <v>1556.901337549361</v>
      </c>
      <c r="V132" s="4">
        <f t="shared" ca="1" si="38"/>
        <v>0</v>
      </c>
      <c r="W132" s="13">
        <f t="shared" ca="1" si="39"/>
        <v>11704.5</v>
      </c>
      <c r="X132" s="4">
        <f t="shared" ca="1" si="40"/>
        <v>0</v>
      </c>
      <c r="Y132" s="4">
        <f t="shared" si="41"/>
        <v>0</v>
      </c>
      <c r="Z132" s="13">
        <f t="shared" ca="1" si="42"/>
        <v>11704.5</v>
      </c>
      <c r="AA132" s="4">
        <f t="shared" ca="1" si="43"/>
        <v>0</v>
      </c>
      <c r="AE132" s="4"/>
    </row>
    <row r="133" spans="1:31">
      <c r="A133">
        <v>0</v>
      </c>
      <c r="B133">
        <v>3</v>
      </c>
      <c r="C133">
        <f t="shared" ca="1" si="22"/>
        <v>4</v>
      </c>
      <c r="D133">
        <f t="shared" ca="1" si="23"/>
        <v>3</v>
      </c>
      <c r="E133">
        <f t="shared" ca="1" si="24"/>
        <v>0</v>
      </c>
      <c r="F133" s="110">
        <f t="shared" ca="1" si="25"/>
        <v>0</v>
      </c>
      <c r="G133">
        <v>0</v>
      </c>
      <c r="H133">
        <v>1</v>
      </c>
      <c r="I133">
        <v>4</v>
      </c>
      <c r="J133" s="1">
        <f t="shared" ca="1" si="26"/>
        <v>0</v>
      </c>
      <c r="K133" s="1">
        <f t="shared" ca="1" si="27"/>
        <v>0</v>
      </c>
      <c r="L133" s="13">
        <f t="shared" ca="1" si="28"/>
        <v>317</v>
      </c>
      <c r="M133" s="7">
        <f t="shared" ca="1" si="29"/>
        <v>683</v>
      </c>
      <c r="N133" s="26">
        <f t="shared" ca="1" si="30"/>
        <v>3</v>
      </c>
      <c r="O133" s="44">
        <f t="shared" ca="1" si="31"/>
        <v>2.2442427272544552</v>
      </c>
      <c r="P133" s="44">
        <f t="shared" ca="1" si="32"/>
        <v>22.442427272544553</v>
      </c>
      <c r="Q133" s="44">
        <f t="shared" ca="1" si="33"/>
        <v>22.442427272544553</v>
      </c>
      <c r="R133" s="44">
        <f t="shared" ca="1" si="34"/>
        <v>2.2442427272544552</v>
      </c>
      <c r="S133" s="44">
        <f t="shared" ca="1" si="35"/>
        <v>2.2442427272544552</v>
      </c>
      <c r="T133" s="4">
        <f t="shared" ca="1" si="36"/>
        <v>0</v>
      </c>
      <c r="U133" s="120">
        <f t="shared" ca="1" si="37"/>
        <v>1537.901337549361</v>
      </c>
      <c r="V133" s="4">
        <f t="shared" ca="1" si="38"/>
        <v>0</v>
      </c>
      <c r="W133" s="13">
        <f t="shared" ca="1" si="39"/>
        <v>9363.6</v>
      </c>
      <c r="X133" s="4">
        <f t="shared" ca="1" si="40"/>
        <v>0</v>
      </c>
      <c r="Y133" s="4">
        <f t="shared" si="41"/>
        <v>0</v>
      </c>
      <c r="Z133" s="13">
        <f t="shared" ca="1" si="42"/>
        <v>9363.6</v>
      </c>
      <c r="AA133" s="4">
        <f t="shared" ca="1" si="43"/>
        <v>0</v>
      </c>
      <c r="AE133" s="4"/>
    </row>
    <row r="134" spans="1:31">
      <c r="A134">
        <v>0</v>
      </c>
      <c r="B134">
        <v>3</v>
      </c>
      <c r="C134">
        <f t="shared" ca="1" si="22"/>
        <v>4</v>
      </c>
      <c r="D134">
        <f t="shared" ca="1" si="23"/>
        <v>3</v>
      </c>
      <c r="E134">
        <f t="shared" ca="1" si="24"/>
        <v>0</v>
      </c>
      <c r="F134" s="110">
        <f t="shared" ca="1" si="25"/>
        <v>0</v>
      </c>
      <c r="G134">
        <v>0</v>
      </c>
      <c r="H134">
        <v>1</v>
      </c>
      <c r="I134">
        <v>3</v>
      </c>
      <c r="J134" s="1">
        <f t="shared" ca="1" si="26"/>
        <v>0</v>
      </c>
      <c r="K134" s="1">
        <f t="shared" ca="1" si="27"/>
        <v>0</v>
      </c>
      <c r="L134" s="13">
        <f t="shared" ca="1" si="28"/>
        <v>298</v>
      </c>
      <c r="M134" s="7">
        <f t="shared" ca="1" si="29"/>
        <v>702</v>
      </c>
      <c r="N134" s="26">
        <f t="shared" ca="1" si="30"/>
        <v>3</v>
      </c>
      <c r="O134" s="44">
        <f t="shared" ca="1" si="31"/>
        <v>2.2442427272544552</v>
      </c>
      <c r="P134" s="44">
        <f t="shared" ca="1" si="32"/>
        <v>22.442427272544553</v>
      </c>
      <c r="Q134" s="44">
        <f t="shared" ca="1" si="33"/>
        <v>22.442427272544553</v>
      </c>
      <c r="R134" s="44">
        <f t="shared" ca="1" si="34"/>
        <v>2.2442427272544552</v>
      </c>
      <c r="S134" s="44">
        <f t="shared" ca="1" si="35"/>
        <v>2.2442427272544552</v>
      </c>
      <c r="T134" s="4">
        <f t="shared" ca="1" si="36"/>
        <v>0</v>
      </c>
      <c r="U134" s="120">
        <f t="shared" ca="1" si="37"/>
        <v>1518.901337549361</v>
      </c>
      <c r="V134" s="4">
        <f t="shared" ca="1" si="38"/>
        <v>0</v>
      </c>
      <c r="W134" s="13">
        <f t="shared" ca="1" si="39"/>
        <v>7022.7000000000007</v>
      </c>
      <c r="X134" s="4">
        <f t="shared" ca="1" si="40"/>
        <v>0</v>
      </c>
      <c r="Y134" s="4">
        <f t="shared" si="41"/>
        <v>0</v>
      </c>
      <c r="Z134" s="13">
        <f t="shared" ca="1" si="42"/>
        <v>7022.7000000000007</v>
      </c>
      <c r="AA134" s="4">
        <f t="shared" ca="1" si="43"/>
        <v>0</v>
      </c>
      <c r="AE134" s="4"/>
    </row>
    <row r="135" spans="1:31">
      <c r="A135">
        <v>0</v>
      </c>
      <c r="B135">
        <v>3</v>
      </c>
      <c r="C135">
        <f t="shared" ca="1" si="22"/>
        <v>4</v>
      </c>
      <c r="D135">
        <f t="shared" ca="1" si="23"/>
        <v>3</v>
      </c>
      <c r="E135">
        <f t="shared" ca="1" si="24"/>
        <v>0</v>
      </c>
      <c r="F135" s="110">
        <f t="shared" ca="1" si="25"/>
        <v>0</v>
      </c>
      <c r="G135">
        <v>0</v>
      </c>
      <c r="H135">
        <v>1</v>
      </c>
      <c r="I135">
        <v>2</v>
      </c>
      <c r="J135" s="1">
        <f t="shared" ca="1" si="26"/>
        <v>0</v>
      </c>
      <c r="K135" s="1">
        <f t="shared" ca="1" si="27"/>
        <v>0</v>
      </c>
      <c r="L135" s="13">
        <f t="shared" ca="1" si="28"/>
        <v>279</v>
      </c>
      <c r="M135" s="7">
        <f t="shared" ca="1" si="29"/>
        <v>721</v>
      </c>
      <c r="N135" s="26">
        <f t="shared" ca="1" si="30"/>
        <v>3</v>
      </c>
      <c r="O135" s="44">
        <f t="shared" ca="1" si="31"/>
        <v>2.2442427272544552</v>
      </c>
      <c r="P135" s="44">
        <f t="shared" ca="1" si="32"/>
        <v>22.442427272544553</v>
      </c>
      <c r="Q135" s="44">
        <f t="shared" ca="1" si="33"/>
        <v>22.442427272544553</v>
      </c>
      <c r="R135" s="44">
        <f t="shared" ca="1" si="34"/>
        <v>2.2442427272544552</v>
      </c>
      <c r="S135" s="44">
        <f t="shared" ca="1" si="35"/>
        <v>2.2442427272544552</v>
      </c>
      <c r="T135" s="4">
        <f t="shared" ca="1" si="36"/>
        <v>0</v>
      </c>
      <c r="U135" s="120">
        <f t="shared" ca="1" si="37"/>
        <v>1499.901337549361</v>
      </c>
      <c r="V135" s="4">
        <f t="shared" ca="1" si="38"/>
        <v>0</v>
      </c>
      <c r="W135" s="13">
        <f t="shared" ca="1" si="39"/>
        <v>4681.8</v>
      </c>
      <c r="X135" s="4">
        <f t="shared" ca="1" si="40"/>
        <v>0</v>
      </c>
      <c r="Y135" s="4">
        <f t="shared" si="41"/>
        <v>0</v>
      </c>
      <c r="Z135" s="13">
        <f t="shared" ca="1" si="42"/>
        <v>4681.8</v>
      </c>
      <c r="AA135" s="4">
        <f t="shared" ca="1" si="43"/>
        <v>0</v>
      </c>
      <c r="AE135" s="4"/>
    </row>
    <row r="136" spans="1:31">
      <c r="A136">
        <v>0</v>
      </c>
      <c r="B136">
        <v>3</v>
      </c>
      <c r="C136">
        <f t="shared" ca="1" si="22"/>
        <v>4</v>
      </c>
      <c r="D136">
        <f t="shared" ca="1" si="23"/>
        <v>3</v>
      </c>
      <c r="E136">
        <f t="shared" ca="1" si="24"/>
        <v>0</v>
      </c>
      <c r="F136" s="110">
        <f t="shared" ca="1" si="25"/>
        <v>0</v>
      </c>
      <c r="G136">
        <v>0</v>
      </c>
      <c r="H136">
        <v>1</v>
      </c>
      <c r="I136">
        <v>1</v>
      </c>
      <c r="J136" s="1">
        <f t="shared" ca="1" si="26"/>
        <v>0</v>
      </c>
      <c r="K136" s="1">
        <f t="shared" ca="1" si="27"/>
        <v>0</v>
      </c>
      <c r="L136" s="13">
        <f t="shared" ca="1" si="28"/>
        <v>260</v>
      </c>
      <c r="M136" s="7">
        <f t="shared" ca="1" si="29"/>
        <v>740</v>
      </c>
      <c r="N136" s="26">
        <f t="shared" ca="1" si="30"/>
        <v>3</v>
      </c>
      <c r="O136" s="44">
        <f t="shared" ca="1" si="31"/>
        <v>2.2442427272544552</v>
      </c>
      <c r="P136" s="44">
        <f t="shared" ca="1" si="32"/>
        <v>22.442427272544553</v>
      </c>
      <c r="Q136" s="44">
        <f t="shared" ca="1" si="33"/>
        <v>22.442427272544553</v>
      </c>
      <c r="R136" s="44">
        <f t="shared" ca="1" si="34"/>
        <v>2.2442427272544552</v>
      </c>
      <c r="S136" s="44">
        <f t="shared" ca="1" si="35"/>
        <v>2.2442427272544552</v>
      </c>
      <c r="T136" s="4">
        <f t="shared" ca="1" si="36"/>
        <v>0</v>
      </c>
      <c r="U136" s="120">
        <f t="shared" ca="1" si="37"/>
        <v>1480.901337549361</v>
      </c>
      <c r="V136" s="4">
        <f t="shared" ca="1" si="38"/>
        <v>0</v>
      </c>
      <c r="W136" s="13">
        <f t="shared" ca="1" si="39"/>
        <v>2340.9</v>
      </c>
      <c r="X136" s="4">
        <f t="shared" ca="1" si="40"/>
        <v>0</v>
      </c>
      <c r="Y136" s="4">
        <f t="shared" si="41"/>
        <v>0</v>
      </c>
      <c r="Z136" s="13">
        <f t="shared" ca="1" si="42"/>
        <v>2340.9</v>
      </c>
      <c r="AA136" s="4">
        <f t="shared" ca="1" si="43"/>
        <v>0</v>
      </c>
      <c r="AE136" s="4"/>
    </row>
    <row r="137" spans="1:31">
      <c r="A137">
        <v>0</v>
      </c>
      <c r="B137">
        <v>3</v>
      </c>
      <c r="C137">
        <f t="shared" ca="1" si="22"/>
        <v>4</v>
      </c>
      <c r="D137">
        <f t="shared" ca="1" si="23"/>
        <v>3</v>
      </c>
      <c r="E137">
        <f t="shared" ca="1" si="24"/>
        <v>0</v>
      </c>
      <c r="F137" s="110">
        <f t="shared" ca="1" si="25"/>
        <v>0</v>
      </c>
      <c r="G137">
        <v>0</v>
      </c>
      <c r="H137">
        <v>1</v>
      </c>
      <c r="I137">
        <v>0</v>
      </c>
      <c r="J137" s="1">
        <f t="shared" ca="1" si="26"/>
        <v>0</v>
      </c>
      <c r="K137" s="1">
        <f t="shared" ca="1" si="27"/>
        <v>0</v>
      </c>
      <c r="L137" s="13">
        <f t="shared" ca="1" si="28"/>
        <v>241</v>
      </c>
      <c r="M137" s="7">
        <f t="shared" ca="1" si="29"/>
        <v>759</v>
      </c>
      <c r="N137" s="26">
        <f t="shared" ca="1" si="30"/>
        <v>3</v>
      </c>
      <c r="O137" s="44">
        <f t="shared" ca="1" si="31"/>
        <v>2.2442427272544552</v>
      </c>
      <c r="P137" s="44">
        <f t="shared" ca="1" si="32"/>
        <v>22.442427272544553</v>
      </c>
      <c r="Q137" s="44">
        <f t="shared" ca="1" si="33"/>
        <v>22.442427272544553</v>
      </c>
      <c r="R137" s="44">
        <f t="shared" ca="1" si="34"/>
        <v>2.2442427272544552</v>
      </c>
      <c r="S137" s="44">
        <f t="shared" ca="1" si="35"/>
        <v>2.2442427272544552</v>
      </c>
      <c r="T137" s="4">
        <f t="shared" ca="1" si="36"/>
        <v>0</v>
      </c>
      <c r="U137" s="120">
        <f t="shared" ca="1" si="37"/>
        <v>1461.901337549361</v>
      </c>
      <c r="V137" s="4">
        <f t="shared" ca="1" si="38"/>
        <v>0</v>
      </c>
      <c r="W137" s="13">
        <f t="shared" ca="1" si="39"/>
        <v>0</v>
      </c>
      <c r="X137" s="4">
        <f t="shared" ca="1" si="40"/>
        <v>0</v>
      </c>
      <c r="Y137" s="4">
        <f t="shared" si="41"/>
        <v>0</v>
      </c>
      <c r="Z137" s="13">
        <f t="shared" ca="1" si="42"/>
        <v>0</v>
      </c>
      <c r="AA137" s="4">
        <f t="shared" ca="1" si="43"/>
        <v>0</v>
      </c>
      <c r="AE137" s="4"/>
    </row>
    <row r="138" spans="1:31">
      <c r="A138">
        <v>0</v>
      </c>
      <c r="B138">
        <v>3</v>
      </c>
      <c r="C138">
        <f t="shared" ca="1" si="22"/>
        <v>4</v>
      </c>
      <c r="D138">
        <f t="shared" ca="1" si="23"/>
        <v>3</v>
      </c>
      <c r="E138">
        <f t="shared" ca="1" si="24"/>
        <v>0</v>
      </c>
      <c r="F138" s="110">
        <f t="shared" ca="1" si="25"/>
        <v>0</v>
      </c>
      <c r="G138">
        <v>0</v>
      </c>
      <c r="H138">
        <v>0</v>
      </c>
      <c r="I138">
        <v>7</v>
      </c>
      <c r="J138" s="1">
        <f t="shared" ca="1" si="26"/>
        <v>0</v>
      </c>
      <c r="K138" s="1">
        <f t="shared" ca="1" si="27"/>
        <v>0</v>
      </c>
      <c r="L138" s="13">
        <f t="shared" ca="1" si="28"/>
        <v>133</v>
      </c>
      <c r="M138" s="7">
        <f t="shared" ca="1" si="29"/>
        <v>867</v>
      </c>
      <c r="N138" s="26">
        <f t="shared" ca="1" si="30"/>
        <v>4</v>
      </c>
      <c r="O138" s="44">
        <f t="shared" ca="1" si="31"/>
        <v>2.8621467101781541</v>
      </c>
      <c r="P138" s="44">
        <f t="shared" ca="1" si="32"/>
        <v>28.621467101781548</v>
      </c>
      <c r="Q138" s="44">
        <f t="shared" ca="1" si="33"/>
        <v>24.914043204239348</v>
      </c>
      <c r="R138" s="44">
        <f t="shared" ca="1" si="34"/>
        <v>2.6767755153010446</v>
      </c>
      <c r="S138" s="44">
        <f t="shared" ca="1" si="35"/>
        <v>2.8491707265367565</v>
      </c>
      <c r="T138" s="4">
        <f t="shared" ca="1" si="36"/>
        <v>0</v>
      </c>
      <c r="U138" s="120">
        <f t="shared" ca="1" si="37"/>
        <v>1622.8690837457082</v>
      </c>
      <c r="V138" s="4">
        <f t="shared" ca="1" si="38"/>
        <v>0</v>
      </c>
      <c r="W138" s="13">
        <f t="shared" ca="1" si="39"/>
        <v>16386.3</v>
      </c>
      <c r="X138" s="4">
        <f t="shared" ca="1" si="40"/>
        <v>0</v>
      </c>
      <c r="Y138" s="4">
        <f t="shared" si="41"/>
        <v>0</v>
      </c>
      <c r="Z138" s="13">
        <f t="shared" ca="1" si="42"/>
        <v>16386.3</v>
      </c>
      <c r="AA138" s="4">
        <f t="shared" ca="1" si="43"/>
        <v>0</v>
      </c>
      <c r="AE138" s="4"/>
    </row>
    <row r="139" spans="1:31">
      <c r="A139">
        <v>0</v>
      </c>
      <c r="B139">
        <v>3</v>
      </c>
      <c r="C139">
        <f t="shared" ca="1" si="22"/>
        <v>4</v>
      </c>
      <c r="D139">
        <f t="shared" ca="1" si="23"/>
        <v>3</v>
      </c>
      <c r="E139">
        <f t="shared" ca="1" si="24"/>
        <v>0</v>
      </c>
      <c r="F139" s="110">
        <f t="shared" ca="1" si="25"/>
        <v>0</v>
      </c>
      <c r="G139">
        <v>0</v>
      </c>
      <c r="H139">
        <v>0</v>
      </c>
      <c r="I139">
        <v>6</v>
      </c>
      <c r="J139" s="1">
        <f t="shared" ca="1" si="26"/>
        <v>0</v>
      </c>
      <c r="K139" s="1">
        <f t="shared" ca="1" si="27"/>
        <v>0</v>
      </c>
      <c r="L139" s="13">
        <f t="shared" ca="1" si="28"/>
        <v>114</v>
      </c>
      <c r="M139" s="7">
        <f t="shared" ca="1" si="29"/>
        <v>886</v>
      </c>
      <c r="N139" s="26">
        <f t="shared" ca="1" si="30"/>
        <v>4</v>
      </c>
      <c r="O139" s="44">
        <f t="shared" ca="1" si="31"/>
        <v>2.8621467101781541</v>
      </c>
      <c r="P139" s="44">
        <f t="shared" ca="1" si="32"/>
        <v>28.621467101781548</v>
      </c>
      <c r="Q139" s="44">
        <f t="shared" ca="1" si="33"/>
        <v>28.621467101781548</v>
      </c>
      <c r="R139" s="44">
        <f t="shared" ca="1" si="34"/>
        <v>2.8621467101781546</v>
      </c>
      <c r="S139" s="44">
        <f t="shared" ca="1" si="35"/>
        <v>2.8621467101781541</v>
      </c>
      <c r="T139" s="4">
        <f t="shared" ca="1" si="36"/>
        <v>0</v>
      </c>
      <c r="U139" s="120">
        <f t="shared" ca="1" si="37"/>
        <v>1609.6385655333725</v>
      </c>
      <c r="V139" s="4">
        <f t="shared" ca="1" si="38"/>
        <v>0</v>
      </c>
      <c r="W139" s="13">
        <f t="shared" ca="1" si="39"/>
        <v>14045.400000000001</v>
      </c>
      <c r="X139" s="4">
        <f t="shared" ca="1" si="40"/>
        <v>0</v>
      </c>
      <c r="Y139" s="4">
        <f t="shared" si="41"/>
        <v>0</v>
      </c>
      <c r="Z139" s="13">
        <f t="shared" ca="1" si="42"/>
        <v>14045.400000000001</v>
      </c>
      <c r="AA139" s="4">
        <f t="shared" ca="1" si="43"/>
        <v>0</v>
      </c>
      <c r="AE139" s="4"/>
    </row>
    <row r="140" spans="1:31">
      <c r="A140">
        <v>0</v>
      </c>
      <c r="B140">
        <v>3</v>
      </c>
      <c r="C140">
        <f t="shared" ca="1" si="22"/>
        <v>4</v>
      </c>
      <c r="D140">
        <f t="shared" ca="1" si="23"/>
        <v>3</v>
      </c>
      <c r="E140">
        <f t="shared" ca="1" si="24"/>
        <v>0</v>
      </c>
      <c r="F140" s="110">
        <f t="shared" ca="1" si="25"/>
        <v>0</v>
      </c>
      <c r="G140">
        <v>0</v>
      </c>
      <c r="H140">
        <v>0</v>
      </c>
      <c r="I140">
        <v>5</v>
      </c>
      <c r="J140" s="1">
        <f t="shared" ca="1" si="26"/>
        <v>0</v>
      </c>
      <c r="K140" s="1">
        <f t="shared" ca="1" si="27"/>
        <v>0</v>
      </c>
      <c r="L140" s="13">
        <f t="shared" ca="1" si="28"/>
        <v>95</v>
      </c>
      <c r="M140" s="7">
        <f t="shared" ca="1" si="29"/>
        <v>905</v>
      </c>
      <c r="N140" s="26">
        <f t="shared" ca="1" si="30"/>
        <v>4</v>
      </c>
      <c r="O140" s="44">
        <f t="shared" ca="1" si="31"/>
        <v>2.8621467101781541</v>
      </c>
      <c r="P140" s="44">
        <f t="shared" ca="1" si="32"/>
        <v>28.621467101781548</v>
      </c>
      <c r="Q140" s="44">
        <f t="shared" ca="1" si="33"/>
        <v>28.621467101781548</v>
      </c>
      <c r="R140" s="44">
        <f t="shared" ca="1" si="34"/>
        <v>2.8621467101781546</v>
      </c>
      <c r="S140" s="44">
        <f t="shared" ca="1" si="35"/>
        <v>2.8621467101781541</v>
      </c>
      <c r="T140" s="4">
        <f t="shared" ca="1" si="36"/>
        <v>0</v>
      </c>
      <c r="U140" s="120">
        <f t="shared" ca="1" si="37"/>
        <v>1590.6385655333725</v>
      </c>
      <c r="V140" s="4">
        <f t="shared" ca="1" si="38"/>
        <v>0</v>
      </c>
      <c r="W140" s="13">
        <f t="shared" ca="1" si="39"/>
        <v>11704.5</v>
      </c>
      <c r="X140" s="4">
        <f t="shared" ca="1" si="40"/>
        <v>0</v>
      </c>
      <c r="Y140" s="4">
        <f t="shared" si="41"/>
        <v>0</v>
      </c>
      <c r="Z140" s="13">
        <f t="shared" ca="1" si="42"/>
        <v>11704.5</v>
      </c>
      <c r="AA140" s="4">
        <f t="shared" ca="1" si="43"/>
        <v>0</v>
      </c>
      <c r="AE140" s="4"/>
    </row>
    <row r="141" spans="1:31">
      <c r="A141">
        <v>0</v>
      </c>
      <c r="B141">
        <v>3</v>
      </c>
      <c r="C141">
        <f t="shared" ca="1" si="22"/>
        <v>4</v>
      </c>
      <c r="D141">
        <f t="shared" ca="1" si="23"/>
        <v>3</v>
      </c>
      <c r="E141">
        <f t="shared" ca="1" si="24"/>
        <v>0</v>
      </c>
      <c r="F141" s="110">
        <f t="shared" ca="1" si="25"/>
        <v>0</v>
      </c>
      <c r="G141">
        <v>0</v>
      </c>
      <c r="H141">
        <v>0</v>
      </c>
      <c r="I141">
        <v>4</v>
      </c>
      <c r="J141" s="1">
        <f t="shared" ca="1" si="26"/>
        <v>0</v>
      </c>
      <c r="K141" s="1">
        <f t="shared" ca="1" si="27"/>
        <v>0</v>
      </c>
      <c r="L141" s="13">
        <f t="shared" ca="1" si="28"/>
        <v>76</v>
      </c>
      <c r="M141" s="7">
        <f t="shared" ca="1" si="29"/>
        <v>924</v>
      </c>
      <c r="N141" s="26">
        <f t="shared" ca="1" si="30"/>
        <v>4</v>
      </c>
      <c r="O141" s="44">
        <f t="shared" ca="1" si="31"/>
        <v>2.8621467101781541</v>
      </c>
      <c r="P141" s="44">
        <f t="shared" ca="1" si="32"/>
        <v>28.621467101781548</v>
      </c>
      <c r="Q141" s="44">
        <f t="shared" ca="1" si="33"/>
        <v>28.621467101781548</v>
      </c>
      <c r="R141" s="44">
        <f t="shared" ca="1" si="34"/>
        <v>2.8621467101781546</v>
      </c>
      <c r="S141" s="44">
        <f t="shared" ca="1" si="35"/>
        <v>2.8621467101781541</v>
      </c>
      <c r="T141" s="4">
        <f t="shared" ca="1" si="36"/>
        <v>0</v>
      </c>
      <c r="U141" s="120">
        <f t="shared" ca="1" si="37"/>
        <v>1571.6385655333725</v>
      </c>
      <c r="V141" s="4">
        <f t="shared" ca="1" si="38"/>
        <v>0</v>
      </c>
      <c r="W141" s="13">
        <f t="shared" ca="1" si="39"/>
        <v>9363.6</v>
      </c>
      <c r="X141" s="4">
        <f t="shared" ca="1" si="40"/>
        <v>0</v>
      </c>
      <c r="Y141" s="4">
        <f t="shared" si="41"/>
        <v>0</v>
      </c>
      <c r="Z141" s="13">
        <f t="shared" ca="1" si="42"/>
        <v>9363.6</v>
      </c>
      <c r="AA141" s="4">
        <f t="shared" ca="1" si="43"/>
        <v>0</v>
      </c>
      <c r="AE141" s="4"/>
    </row>
    <row r="142" spans="1:31">
      <c r="A142">
        <v>0</v>
      </c>
      <c r="B142">
        <v>3</v>
      </c>
      <c r="C142">
        <f t="shared" ca="1" si="22"/>
        <v>4</v>
      </c>
      <c r="D142">
        <f t="shared" ca="1" si="23"/>
        <v>3</v>
      </c>
      <c r="E142">
        <f t="shared" ca="1" si="24"/>
        <v>0</v>
      </c>
      <c r="F142" s="110">
        <f t="shared" ca="1" si="25"/>
        <v>0</v>
      </c>
      <c r="G142">
        <v>0</v>
      </c>
      <c r="H142">
        <v>0</v>
      </c>
      <c r="I142">
        <v>3</v>
      </c>
      <c r="J142" s="1">
        <f t="shared" ca="1" si="26"/>
        <v>3.3496093750000004E-2</v>
      </c>
      <c r="K142" s="1">
        <f t="shared" ca="1" si="27"/>
        <v>0</v>
      </c>
      <c r="L142" s="13">
        <f t="shared" ca="1" si="28"/>
        <v>57</v>
      </c>
      <c r="M142" s="7">
        <f t="shared" ca="1" si="29"/>
        <v>943</v>
      </c>
      <c r="N142" s="26">
        <f t="shared" ca="1" si="30"/>
        <v>4</v>
      </c>
      <c r="O142" s="44">
        <f t="shared" ca="1" si="31"/>
        <v>2.8621467101781541</v>
      </c>
      <c r="P142" s="44">
        <f t="shared" ca="1" si="32"/>
        <v>28.621467101781548</v>
      </c>
      <c r="Q142" s="44">
        <f t="shared" ca="1" si="33"/>
        <v>28.621467101781548</v>
      </c>
      <c r="R142" s="44">
        <f t="shared" ca="1" si="34"/>
        <v>2.8621467101781546</v>
      </c>
      <c r="S142" s="44">
        <f t="shared" ca="1" si="35"/>
        <v>2.8621467101781541</v>
      </c>
      <c r="T142" s="4">
        <f t="shared" ca="1" si="36"/>
        <v>0</v>
      </c>
      <c r="U142" s="120">
        <f t="shared" ca="1" si="37"/>
        <v>1552.6385655333725</v>
      </c>
      <c r="V142" s="4">
        <f t="shared" ca="1" si="38"/>
        <v>0</v>
      </c>
      <c r="W142" s="13">
        <f t="shared" ca="1" si="39"/>
        <v>7022.7000000000007</v>
      </c>
      <c r="X142" s="4">
        <f t="shared" ca="1" si="40"/>
        <v>0</v>
      </c>
      <c r="Y142" s="4">
        <f t="shared" si="41"/>
        <v>0</v>
      </c>
      <c r="Z142" s="13">
        <f t="shared" ca="1" si="42"/>
        <v>7022.7000000000007</v>
      </c>
      <c r="AA142" s="4">
        <f t="shared" ca="1" si="43"/>
        <v>0</v>
      </c>
      <c r="AE142" s="4"/>
    </row>
    <row r="143" spans="1:31">
      <c r="A143">
        <v>0</v>
      </c>
      <c r="B143">
        <v>3</v>
      </c>
      <c r="C143">
        <f t="shared" ca="1" si="22"/>
        <v>4</v>
      </c>
      <c r="D143">
        <f t="shared" ca="1" si="23"/>
        <v>3</v>
      </c>
      <c r="E143">
        <f t="shared" ca="1" si="24"/>
        <v>0</v>
      </c>
      <c r="F143" s="110">
        <f t="shared" ca="1" si="25"/>
        <v>0</v>
      </c>
      <c r="G143">
        <v>0</v>
      </c>
      <c r="H143">
        <v>0</v>
      </c>
      <c r="I143">
        <v>2</v>
      </c>
      <c r="J143" s="1">
        <f t="shared" ca="1" si="26"/>
        <v>1.4355468750000001E-2</v>
      </c>
      <c r="K143" s="1">
        <f t="shared" ca="1" si="27"/>
        <v>0</v>
      </c>
      <c r="L143" s="13">
        <f t="shared" ca="1" si="28"/>
        <v>38</v>
      </c>
      <c r="M143" s="7">
        <f t="shared" ca="1" si="29"/>
        <v>962</v>
      </c>
      <c r="N143" s="26">
        <f t="shared" ca="1" si="30"/>
        <v>4</v>
      </c>
      <c r="O143" s="44">
        <f t="shared" ca="1" si="31"/>
        <v>2.8621467101781541</v>
      </c>
      <c r="P143" s="44">
        <f t="shared" ca="1" si="32"/>
        <v>28.621467101781548</v>
      </c>
      <c r="Q143" s="44">
        <f t="shared" ca="1" si="33"/>
        <v>28.621467101781548</v>
      </c>
      <c r="R143" s="44">
        <f t="shared" ca="1" si="34"/>
        <v>2.8621467101781546</v>
      </c>
      <c r="S143" s="44">
        <f t="shared" ca="1" si="35"/>
        <v>2.8621467101781541</v>
      </c>
      <c r="T143" s="4">
        <f t="shared" ca="1" si="36"/>
        <v>0</v>
      </c>
      <c r="U143" s="120">
        <f t="shared" ca="1" si="37"/>
        <v>1533.6385655333725</v>
      </c>
      <c r="V143" s="4">
        <f t="shared" ca="1" si="38"/>
        <v>0</v>
      </c>
      <c r="W143" s="13">
        <f t="shared" ca="1" si="39"/>
        <v>4681.8</v>
      </c>
      <c r="X143" s="4">
        <f t="shared" ca="1" si="40"/>
        <v>0</v>
      </c>
      <c r="Y143" s="4">
        <f t="shared" si="41"/>
        <v>0</v>
      </c>
      <c r="Z143" s="13">
        <f t="shared" ca="1" si="42"/>
        <v>4681.8</v>
      </c>
      <c r="AA143" s="4">
        <f t="shared" ca="1" si="43"/>
        <v>0</v>
      </c>
      <c r="AE143" s="4"/>
    </row>
    <row r="144" spans="1:31">
      <c r="A144">
        <v>0</v>
      </c>
      <c r="B144">
        <v>3</v>
      </c>
      <c r="C144">
        <f t="shared" ca="1" si="22"/>
        <v>4</v>
      </c>
      <c r="D144">
        <f t="shared" ca="1" si="23"/>
        <v>3</v>
      </c>
      <c r="E144">
        <f t="shared" ca="1" si="24"/>
        <v>0</v>
      </c>
      <c r="F144" s="110">
        <f t="shared" ca="1" si="25"/>
        <v>0</v>
      </c>
      <c r="G144">
        <v>0</v>
      </c>
      <c r="H144">
        <v>0</v>
      </c>
      <c r="I144">
        <v>1</v>
      </c>
      <c r="J144" s="1">
        <f t="shared" ca="1" si="26"/>
        <v>2.0507812500000001E-3</v>
      </c>
      <c r="K144" s="1">
        <f t="shared" ca="1" si="27"/>
        <v>0</v>
      </c>
      <c r="L144" s="13">
        <f t="shared" ca="1" si="28"/>
        <v>19</v>
      </c>
      <c r="M144" s="7">
        <f t="shared" ca="1" si="29"/>
        <v>981</v>
      </c>
      <c r="N144" s="26">
        <f t="shared" ca="1" si="30"/>
        <v>4</v>
      </c>
      <c r="O144" s="44">
        <f t="shared" ca="1" si="31"/>
        <v>2.8621467101781541</v>
      </c>
      <c r="P144" s="44">
        <f t="shared" ca="1" si="32"/>
        <v>28.621467101781548</v>
      </c>
      <c r="Q144" s="44">
        <f t="shared" ca="1" si="33"/>
        <v>28.621467101781548</v>
      </c>
      <c r="R144" s="44">
        <f t="shared" ca="1" si="34"/>
        <v>2.8621467101781546</v>
      </c>
      <c r="S144" s="44">
        <f t="shared" ca="1" si="35"/>
        <v>2.8621467101781541</v>
      </c>
      <c r="T144" s="4">
        <f t="shared" ca="1" si="36"/>
        <v>0</v>
      </c>
      <c r="U144" s="120">
        <f t="shared" ca="1" si="37"/>
        <v>1514.6385655333725</v>
      </c>
      <c r="V144" s="4">
        <f t="shared" ca="1" si="38"/>
        <v>0</v>
      </c>
      <c r="W144" s="13">
        <f t="shared" ca="1" si="39"/>
        <v>2340.9</v>
      </c>
      <c r="X144" s="4">
        <f t="shared" ca="1" si="40"/>
        <v>0</v>
      </c>
      <c r="Y144" s="4">
        <f t="shared" si="41"/>
        <v>0</v>
      </c>
      <c r="Z144" s="13">
        <f t="shared" ca="1" si="42"/>
        <v>2340.9</v>
      </c>
      <c r="AA144" s="4">
        <f t="shared" ca="1" si="43"/>
        <v>0</v>
      </c>
      <c r="AE144" s="4"/>
    </row>
    <row r="145" spans="1:31">
      <c r="A145">
        <v>0</v>
      </c>
      <c r="B145">
        <v>3</v>
      </c>
      <c r="C145">
        <f t="shared" ca="1" si="22"/>
        <v>4</v>
      </c>
      <c r="D145">
        <f t="shared" ca="1" si="23"/>
        <v>3</v>
      </c>
      <c r="E145">
        <f t="shared" ca="1" si="24"/>
        <v>0</v>
      </c>
      <c r="F145" s="110">
        <f t="shared" ca="1" si="25"/>
        <v>0</v>
      </c>
      <c r="G145">
        <v>0</v>
      </c>
      <c r="H145">
        <v>0</v>
      </c>
      <c r="I145">
        <v>0</v>
      </c>
      <c r="J145" s="1">
        <f t="shared" ca="1" si="26"/>
        <v>9.7656250000000005E-5</v>
      </c>
      <c r="K145" s="1">
        <f t="shared" ca="1" si="27"/>
        <v>0</v>
      </c>
      <c r="L145" s="13">
        <f t="shared" ca="1" si="28"/>
        <v>0</v>
      </c>
      <c r="M145" s="7">
        <f t="shared" ca="1" si="29"/>
        <v>1000</v>
      </c>
      <c r="N145" s="26">
        <f t="shared" ca="1" si="30"/>
        <v>4</v>
      </c>
      <c r="O145" s="44">
        <f t="shared" ca="1" si="31"/>
        <v>2.8621467101781541</v>
      </c>
      <c r="P145" s="44">
        <f t="shared" ca="1" si="32"/>
        <v>28.621467101781548</v>
      </c>
      <c r="Q145" s="44">
        <f t="shared" ca="1" si="33"/>
        <v>28.621467101781548</v>
      </c>
      <c r="R145" s="44">
        <f t="shared" ca="1" si="34"/>
        <v>2.8621467101781546</v>
      </c>
      <c r="S145" s="44">
        <f t="shared" ca="1" si="35"/>
        <v>2.8621467101781541</v>
      </c>
      <c r="T145" s="4">
        <f t="shared" ca="1" si="36"/>
        <v>0</v>
      </c>
      <c r="U145" s="120">
        <f t="shared" ca="1" si="37"/>
        <v>1495.6385655333725</v>
      </c>
      <c r="V145" s="4">
        <f t="shared" ca="1" si="38"/>
        <v>0</v>
      </c>
      <c r="W145" s="13">
        <f t="shared" ca="1" si="39"/>
        <v>0</v>
      </c>
      <c r="X145" s="4">
        <f t="shared" ca="1" si="40"/>
        <v>0</v>
      </c>
      <c r="Y145" s="4">
        <f t="shared" si="41"/>
        <v>0</v>
      </c>
      <c r="Z145" s="13">
        <f t="shared" ca="1" si="42"/>
        <v>0</v>
      </c>
      <c r="AA145" s="4">
        <f t="shared" ca="1" si="43"/>
        <v>0</v>
      </c>
      <c r="AE145" s="4"/>
    </row>
    <row r="146" spans="1:31">
      <c r="A146">
        <v>1</v>
      </c>
      <c r="B146">
        <v>0</v>
      </c>
      <c r="C146">
        <f t="shared" ref="C146:C209" ca="1" si="44">MIN(8, 1+$B$10+$B$9+A146+B146)</f>
        <v>2</v>
      </c>
      <c r="D146">
        <f t="shared" ref="D146:D209" ca="1" si="45">C146-(1+$B$10)</f>
        <v>1</v>
      </c>
      <c r="E146">
        <f t="shared" ref="E146:E209" ca="1" si="46">MIN(A146, C146-(1+$B$10+$B$9))</f>
        <v>1</v>
      </c>
      <c r="F146" s="110">
        <f t="shared" ref="F146:F209" ca="1" si="47">IF(A146=3, Set1QA, IF(A146=2, (1-Set1QA)*Set1TA + (1-Set1QA)*(1-Set1TA)*(1-Set1DA)*Set1AM3*Set1AM33, IF(A146=1, (1-Set1QA)*(1-Set1TA)*Set1DA + (1-Set1QA)*(1-Set1TA)*(1-Set1DA)*Set1AM3*Set1AM32, (1-Set1QA)*(1-Set1TA)*(1-Set1DA)*(1-Set1AM3)))) * IF($B$9+$B$10&gt;0, IF(B146=3, Set1QA, IF(B146=2, (1-Set1QA)*Set1TA, IF(B146=1, (1-Set1QA)*(1-Set1TA)*Set1DA, (1-Set1QA)*(1-Set1TA)*(1-Set1DA)))), IF(B146=0, 1, 0))</f>
        <v>0.13</v>
      </c>
      <c r="G146">
        <v>1</v>
      </c>
      <c r="H146">
        <v>1</v>
      </c>
      <c r="I146">
        <v>7</v>
      </c>
      <c r="J146" s="1">
        <f t="shared" ref="J146:J209" ca="1" si="48">POWER(95%,G146)*POWER(5%, 1-G146) * IF($B$10=0, IF(H146=0, 1, 0), POWER(Set1WSHitRate,H146)*POWER(1-Set1WSHitRate, 1-H146)) * IF(I146&lt;=D146, POWER(Set1WSHitRate, I146)*POWER(1-Set1WSHitRate, D146-I146)*COMBIN(D146,I146), 0)</f>
        <v>0</v>
      </c>
      <c r="K146" s="1">
        <f t="shared" ref="K146:K209" ca="1" si="49">F146*J146</f>
        <v>0</v>
      </c>
      <c r="L146" s="13">
        <f t="shared" ref="L146:L209" ca="1" si="50">MAX((G146+H146)*Set1WSTP + I146*$B$6, Set1SaveTP)</f>
        <v>615</v>
      </c>
      <c r="M146" s="7">
        <f t="shared" ref="M146:M209" ca="1" si="51">MAX(Set1MinTP-(L146+Set1Regain), 0)</f>
        <v>385</v>
      </c>
      <c r="N146" s="26">
        <f t="shared" ref="N146:N209" ca="1" si="52">CEILING(M146/Set1MeleeTP, 1)</f>
        <v>2</v>
      </c>
      <c r="O146" s="44">
        <f t="shared" ref="O146:O209" ca="1" si="53">VLOOKUP(N146,AvgRoundsSet1,2)</f>
        <v>1.5762319669595739</v>
      </c>
      <c r="P146" s="44">
        <f t="shared" ref="P146:P209" ca="1" si="54">VLOOKUP(CEILING(MAX(M146-1, 0)/Set1MeleeTP, 1), AvgRoundsSet1, 2) + VLOOKUP(CEILING(MAX(M146-2, 0)/Set1MeleeTP, 1), AvgRoundsSet1, 2) + VLOOKUP(CEILING(MAX(M146-3, 0)/Set1MeleeTP, 1), AvgRoundsSet1, 2) + VLOOKUP(CEILING(MAX(M146-4, 0)/Set1MeleeTP, 1), AvgRoundsSet1, 2) + VLOOKUP(CEILING(MAX(M146-5, 0)/Set1MeleeTP, 1), AvgRoundsSet1, 2) + VLOOKUP(CEILING(MAX(M146-6, 0)/Set1MeleeTP, 1), AvgRoundsSet1, 2) + VLOOKUP(CEILING(MAX(M146-7, 0)/Set1MeleeTP, 1), AvgRoundsSet1, 2) + VLOOKUP(CEILING(MAX(M146-8, 0)/Set1MeleeTP, 1), AvgRoundsSet1, 2) + VLOOKUP(CEILING(MAX(M146-9, 0)/Set1MeleeTP, 1), AvgRoundsSet1, 2) + VLOOKUP(CEILING(MAX(M146-10, 0)/Set1MeleeTP, 1), AvgRoundsSet1, 2)</f>
        <v>15.762319669595739</v>
      </c>
      <c r="Q146" s="44">
        <f t="shared" ref="Q146:Q209" ca="1" si="55">VLOOKUP(CEILING(MAX(M146-11, 0)/Set1MeleeTP, 1), AvgRoundsSet1, 2) + VLOOKUP(CEILING(MAX(M146-12, 0)/Set1MeleeTP, 1), AvgRoundsSet1, 2) + VLOOKUP(CEILING(MAX(M146-13, 0)/Set1MeleeTP, 1), AvgRoundsSet1, 2) + VLOOKUP(CEILING(MAX(M146-14, 0)/Set1MeleeTP, 1), AvgRoundsSet1, 2) + VLOOKUP(CEILING(MAX(M146-15, 0)/Set1MeleeTP, 1), AvgRoundsSet1, 2) + VLOOKUP(CEILING(MAX(M146-16, 0)/Set1MeleeTP, 1), AvgRoundsSet1, 2) + VLOOKUP(CEILING(MAX(M146-17, 0)/Set1MeleeTP, 1), AvgRoundsSet1, 2) + VLOOKUP(CEILING(MAX(M146-18, 0)/Set1MeleeTP, 1), AvgRoundsSet1, 2) + VLOOKUP(CEILING(MAX(M146-19, 0)/Set1MeleeTP, 1), AvgRoundsSet1, 2) + VLOOKUP(CEILING(MAX(M146-20, 0)/Set1MeleeTP, 1), AvgRoundsSet1, 2)</f>
        <v>15.762319669595739</v>
      </c>
      <c r="R146" s="44">
        <f t="shared" ref="R146:R209" ca="1" si="56">(P146+Q146)/20</f>
        <v>1.5762319669595739</v>
      </c>
      <c r="S146" s="44">
        <f t="shared" ref="S146:S209" ca="1" si="57">R146*Set1ConserveTP + O146*(1-Set1ConserveTP)</f>
        <v>1.5762319669595737</v>
      </c>
      <c r="T146" s="4">
        <f t="shared" ref="T146:T209" ca="1" si="58">K146*S146</f>
        <v>0</v>
      </c>
      <c r="U146" s="120">
        <f t="shared" ref="U146:U209" ca="1" si="59">MIN(L146+(S146+Set1OverTP)*AvgHitsPerRound1*Set1MeleeTP + Set1Regain + 10.5*Set1ConserveTP, 3000)</f>
        <v>1538.885248288175</v>
      </c>
      <c r="V146" s="4">
        <f t="shared" ref="V146:V209" ca="1" si="60">U146*K146</f>
        <v>0</v>
      </c>
      <c r="W146" s="13">
        <f t="shared" ref="W146:W209" ca="1" si="61">G146*$K$10*((1-$L$10)*$L$14 + $L$10*$M$14*$M$10)*Set1WSDmg + H146*$K$13*((1-$L$13)*$L$15 + $L$13*$M$15*$M$11) + I146*$K$11*((1-$L$11)*$L$14 + $L$11*$M$14*$M$11) + E146*$K$12*$L$12*$M$10</f>
        <v>40973.706000000006</v>
      </c>
      <c r="X146" s="4">
        <f t="shared" ref="X146:X209" ca="1" si="62">K146*W146</f>
        <v>0</v>
      </c>
      <c r="Y146" s="4">
        <f t="shared" ref="Y146:Y209" si="63">IF($B$12=1, (VLOOKUP(C146, IF($B$13=10%,Souleater10,Souleater12), 6, FALSE) * $B$14), 0)</f>
        <v>0</v>
      </c>
      <c r="Z146" s="13">
        <f t="shared" ca="1" si="42"/>
        <v>40973.706000000006</v>
      </c>
      <c r="AA146" s="4">
        <f t="shared" ca="1" si="43"/>
        <v>0</v>
      </c>
      <c r="AE146" s="4"/>
    </row>
    <row r="147" spans="1:31">
      <c r="A147">
        <v>1</v>
      </c>
      <c r="B147">
        <v>0</v>
      </c>
      <c r="C147">
        <f t="shared" ca="1" si="44"/>
        <v>2</v>
      </c>
      <c r="D147">
        <f t="shared" ca="1" si="45"/>
        <v>1</v>
      </c>
      <c r="E147">
        <f t="shared" ca="1" si="46"/>
        <v>1</v>
      </c>
      <c r="F147" s="110">
        <f t="shared" ca="1" si="47"/>
        <v>0.13</v>
      </c>
      <c r="G147">
        <v>1</v>
      </c>
      <c r="H147">
        <v>1</v>
      </c>
      <c r="I147">
        <v>6</v>
      </c>
      <c r="J147" s="1">
        <f t="shared" ca="1" si="48"/>
        <v>0</v>
      </c>
      <c r="K147" s="1">
        <f t="shared" ca="1" si="49"/>
        <v>0</v>
      </c>
      <c r="L147" s="13">
        <f t="shared" ca="1" si="50"/>
        <v>596</v>
      </c>
      <c r="M147" s="7">
        <f t="shared" ca="1" si="51"/>
        <v>404</v>
      </c>
      <c r="N147" s="26">
        <f t="shared" ca="1" si="52"/>
        <v>2</v>
      </c>
      <c r="O147" s="44">
        <f t="shared" ca="1" si="53"/>
        <v>1.5762319669595739</v>
      </c>
      <c r="P147" s="44">
        <f t="shared" ca="1" si="54"/>
        <v>15.762319669595739</v>
      </c>
      <c r="Q147" s="44">
        <f t="shared" ca="1" si="55"/>
        <v>15.762319669595739</v>
      </c>
      <c r="R147" s="44">
        <f t="shared" ca="1" si="56"/>
        <v>1.5762319669595739</v>
      </c>
      <c r="S147" s="44">
        <f t="shared" ca="1" si="57"/>
        <v>1.5762319669595737</v>
      </c>
      <c r="T147" s="4">
        <f t="shared" ca="1" si="58"/>
        <v>0</v>
      </c>
      <c r="U147" s="120">
        <f t="shared" ca="1" si="59"/>
        <v>1519.885248288175</v>
      </c>
      <c r="V147" s="4">
        <f t="shared" ca="1" si="60"/>
        <v>0</v>
      </c>
      <c r="W147" s="13">
        <f t="shared" ca="1" si="61"/>
        <v>38632.806000000004</v>
      </c>
      <c r="X147" s="4">
        <f t="shared" ca="1" si="62"/>
        <v>0</v>
      </c>
      <c r="Y147" s="4">
        <f t="shared" si="63"/>
        <v>0</v>
      </c>
      <c r="Z147" s="13">
        <f t="shared" ref="Z147:Z210" ca="1" si="64">Y147+W147</f>
        <v>38632.806000000004</v>
      </c>
      <c r="AA147" s="4">
        <f t="shared" ref="AA147:AA210" ca="1" si="65">Z147*K147</f>
        <v>0</v>
      </c>
      <c r="AE147" s="4"/>
    </row>
    <row r="148" spans="1:31">
      <c r="A148">
        <v>1</v>
      </c>
      <c r="B148">
        <v>0</v>
      </c>
      <c r="C148">
        <f t="shared" ca="1" si="44"/>
        <v>2</v>
      </c>
      <c r="D148">
        <f t="shared" ca="1" si="45"/>
        <v>1</v>
      </c>
      <c r="E148">
        <f t="shared" ca="1" si="46"/>
        <v>1</v>
      </c>
      <c r="F148" s="110">
        <f t="shared" ca="1" si="47"/>
        <v>0.13</v>
      </c>
      <c r="G148">
        <v>1</v>
      </c>
      <c r="H148">
        <v>1</v>
      </c>
      <c r="I148">
        <v>5</v>
      </c>
      <c r="J148" s="1">
        <f t="shared" ca="1" si="48"/>
        <v>0</v>
      </c>
      <c r="K148" s="1">
        <f t="shared" ca="1" si="49"/>
        <v>0</v>
      </c>
      <c r="L148" s="13">
        <f t="shared" ca="1" si="50"/>
        <v>577</v>
      </c>
      <c r="M148" s="7">
        <f t="shared" ca="1" si="51"/>
        <v>423</v>
      </c>
      <c r="N148" s="26">
        <f t="shared" ca="1" si="52"/>
        <v>2</v>
      </c>
      <c r="O148" s="44">
        <f t="shared" ca="1" si="53"/>
        <v>1.5762319669595739</v>
      </c>
      <c r="P148" s="44">
        <f t="shared" ca="1" si="54"/>
        <v>15.762319669595739</v>
      </c>
      <c r="Q148" s="44">
        <f t="shared" ca="1" si="55"/>
        <v>15.762319669595739</v>
      </c>
      <c r="R148" s="44">
        <f t="shared" ca="1" si="56"/>
        <v>1.5762319669595739</v>
      </c>
      <c r="S148" s="44">
        <f t="shared" ca="1" si="57"/>
        <v>1.5762319669595737</v>
      </c>
      <c r="T148" s="4">
        <f t="shared" ca="1" si="58"/>
        <v>0</v>
      </c>
      <c r="U148" s="120">
        <f t="shared" ca="1" si="59"/>
        <v>1500.885248288175</v>
      </c>
      <c r="V148" s="4">
        <f t="shared" ca="1" si="60"/>
        <v>0</v>
      </c>
      <c r="W148" s="13">
        <f t="shared" ca="1" si="61"/>
        <v>36291.906000000003</v>
      </c>
      <c r="X148" s="4">
        <f t="shared" ca="1" si="62"/>
        <v>0</v>
      </c>
      <c r="Y148" s="4">
        <f t="shared" si="63"/>
        <v>0</v>
      </c>
      <c r="Z148" s="13">
        <f t="shared" ca="1" si="64"/>
        <v>36291.906000000003</v>
      </c>
      <c r="AA148" s="4">
        <f t="shared" ca="1" si="65"/>
        <v>0</v>
      </c>
      <c r="AE148" s="4"/>
    </row>
    <row r="149" spans="1:31">
      <c r="A149">
        <v>1</v>
      </c>
      <c r="B149">
        <v>0</v>
      </c>
      <c r="C149">
        <f t="shared" ca="1" si="44"/>
        <v>2</v>
      </c>
      <c r="D149">
        <f t="shared" ca="1" si="45"/>
        <v>1</v>
      </c>
      <c r="E149">
        <f t="shared" ca="1" si="46"/>
        <v>1</v>
      </c>
      <c r="F149" s="110">
        <f t="shared" ca="1" si="47"/>
        <v>0.13</v>
      </c>
      <c r="G149">
        <v>1</v>
      </c>
      <c r="H149">
        <v>1</v>
      </c>
      <c r="I149">
        <v>4</v>
      </c>
      <c r="J149" s="1">
        <f t="shared" ca="1" si="48"/>
        <v>0</v>
      </c>
      <c r="K149" s="1">
        <f t="shared" ca="1" si="49"/>
        <v>0</v>
      </c>
      <c r="L149" s="13">
        <f t="shared" ca="1" si="50"/>
        <v>558</v>
      </c>
      <c r="M149" s="7">
        <f t="shared" ca="1" si="51"/>
        <v>442</v>
      </c>
      <c r="N149" s="26">
        <f t="shared" ca="1" si="52"/>
        <v>2</v>
      </c>
      <c r="O149" s="44">
        <f t="shared" ca="1" si="53"/>
        <v>1.5762319669595739</v>
      </c>
      <c r="P149" s="44">
        <f t="shared" ca="1" si="54"/>
        <v>15.762319669595739</v>
      </c>
      <c r="Q149" s="44">
        <f t="shared" ca="1" si="55"/>
        <v>15.762319669595739</v>
      </c>
      <c r="R149" s="44">
        <f t="shared" ca="1" si="56"/>
        <v>1.5762319669595739</v>
      </c>
      <c r="S149" s="44">
        <f t="shared" ca="1" si="57"/>
        <v>1.5762319669595737</v>
      </c>
      <c r="T149" s="4">
        <f t="shared" ca="1" si="58"/>
        <v>0</v>
      </c>
      <c r="U149" s="120">
        <f t="shared" ca="1" si="59"/>
        <v>1481.885248288175</v>
      </c>
      <c r="V149" s="4">
        <f t="shared" ca="1" si="60"/>
        <v>0</v>
      </c>
      <c r="W149" s="13">
        <f t="shared" ca="1" si="61"/>
        <v>33951.006000000001</v>
      </c>
      <c r="X149" s="4">
        <f t="shared" ca="1" si="62"/>
        <v>0</v>
      </c>
      <c r="Y149" s="4">
        <f t="shared" si="63"/>
        <v>0</v>
      </c>
      <c r="Z149" s="13">
        <f t="shared" ca="1" si="64"/>
        <v>33951.006000000001</v>
      </c>
      <c r="AA149" s="4">
        <f t="shared" ca="1" si="65"/>
        <v>0</v>
      </c>
      <c r="AE149" s="4"/>
    </row>
    <row r="150" spans="1:31">
      <c r="A150">
        <v>1</v>
      </c>
      <c r="B150">
        <v>0</v>
      </c>
      <c r="C150">
        <f t="shared" ca="1" si="44"/>
        <v>2</v>
      </c>
      <c r="D150">
        <f t="shared" ca="1" si="45"/>
        <v>1</v>
      </c>
      <c r="E150">
        <f t="shared" ca="1" si="46"/>
        <v>1</v>
      </c>
      <c r="F150" s="110">
        <f t="shared" ca="1" si="47"/>
        <v>0.13</v>
      </c>
      <c r="G150">
        <v>1</v>
      </c>
      <c r="H150">
        <v>1</v>
      </c>
      <c r="I150">
        <v>3</v>
      </c>
      <c r="J150" s="1">
        <f t="shared" ca="1" si="48"/>
        <v>0</v>
      </c>
      <c r="K150" s="1">
        <f t="shared" ca="1" si="49"/>
        <v>0</v>
      </c>
      <c r="L150" s="13">
        <f t="shared" ca="1" si="50"/>
        <v>539</v>
      </c>
      <c r="M150" s="7">
        <f t="shared" ca="1" si="51"/>
        <v>461</v>
      </c>
      <c r="N150" s="26">
        <f t="shared" ca="1" si="52"/>
        <v>2</v>
      </c>
      <c r="O150" s="44">
        <f t="shared" ca="1" si="53"/>
        <v>1.5762319669595739</v>
      </c>
      <c r="P150" s="44">
        <f t="shared" ca="1" si="54"/>
        <v>15.762319669595739</v>
      </c>
      <c r="Q150" s="44">
        <f t="shared" ca="1" si="55"/>
        <v>15.762319669595739</v>
      </c>
      <c r="R150" s="44">
        <f t="shared" ca="1" si="56"/>
        <v>1.5762319669595739</v>
      </c>
      <c r="S150" s="44">
        <f t="shared" ca="1" si="57"/>
        <v>1.5762319669595737</v>
      </c>
      <c r="T150" s="4">
        <f t="shared" ca="1" si="58"/>
        <v>0</v>
      </c>
      <c r="U150" s="120">
        <f t="shared" ca="1" si="59"/>
        <v>1462.885248288175</v>
      </c>
      <c r="V150" s="4">
        <f t="shared" ca="1" si="60"/>
        <v>0</v>
      </c>
      <c r="W150" s="13">
        <f t="shared" ca="1" si="61"/>
        <v>31610.106000000003</v>
      </c>
      <c r="X150" s="4">
        <f t="shared" ca="1" si="62"/>
        <v>0</v>
      </c>
      <c r="Y150" s="4">
        <f t="shared" si="63"/>
        <v>0</v>
      </c>
      <c r="Z150" s="13">
        <f t="shared" ca="1" si="64"/>
        <v>31610.106000000003</v>
      </c>
      <c r="AA150" s="4">
        <f t="shared" ca="1" si="65"/>
        <v>0</v>
      </c>
      <c r="AE150" s="4"/>
    </row>
    <row r="151" spans="1:31">
      <c r="A151">
        <v>1</v>
      </c>
      <c r="B151">
        <v>0</v>
      </c>
      <c r="C151">
        <f t="shared" ca="1" si="44"/>
        <v>2</v>
      </c>
      <c r="D151">
        <f t="shared" ca="1" si="45"/>
        <v>1</v>
      </c>
      <c r="E151">
        <f t="shared" ca="1" si="46"/>
        <v>1</v>
      </c>
      <c r="F151" s="110">
        <f t="shared" ca="1" si="47"/>
        <v>0.13</v>
      </c>
      <c r="G151">
        <v>1</v>
      </c>
      <c r="H151">
        <v>1</v>
      </c>
      <c r="I151">
        <v>2</v>
      </c>
      <c r="J151" s="1">
        <f t="shared" ca="1" si="48"/>
        <v>0</v>
      </c>
      <c r="K151" s="1">
        <f t="shared" ca="1" si="49"/>
        <v>0</v>
      </c>
      <c r="L151" s="13">
        <f t="shared" ca="1" si="50"/>
        <v>520</v>
      </c>
      <c r="M151" s="7">
        <f t="shared" ca="1" si="51"/>
        <v>480</v>
      </c>
      <c r="N151" s="26">
        <f t="shared" ca="1" si="52"/>
        <v>2</v>
      </c>
      <c r="O151" s="44">
        <f t="shared" ca="1" si="53"/>
        <v>1.5762319669595739</v>
      </c>
      <c r="P151" s="44">
        <f t="shared" ca="1" si="54"/>
        <v>15.762319669595739</v>
      </c>
      <c r="Q151" s="44">
        <f t="shared" ca="1" si="55"/>
        <v>15.762319669595739</v>
      </c>
      <c r="R151" s="44">
        <f t="shared" ca="1" si="56"/>
        <v>1.5762319669595739</v>
      </c>
      <c r="S151" s="44">
        <f t="shared" ca="1" si="57"/>
        <v>1.5762319669595737</v>
      </c>
      <c r="T151" s="4">
        <f t="shared" ca="1" si="58"/>
        <v>0</v>
      </c>
      <c r="U151" s="120">
        <f t="shared" ca="1" si="59"/>
        <v>1443.885248288175</v>
      </c>
      <c r="V151" s="4">
        <f t="shared" ca="1" si="60"/>
        <v>0</v>
      </c>
      <c r="W151" s="13">
        <f t="shared" ca="1" si="61"/>
        <v>29269.206000000002</v>
      </c>
      <c r="X151" s="4">
        <f t="shared" ca="1" si="62"/>
        <v>0</v>
      </c>
      <c r="Y151" s="4">
        <f t="shared" si="63"/>
        <v>0</v>
      </c>
      <c r="Z151" s="13">
        <f t="shared" ca="1" si="64"/>
        <v>29269.206000000002</v>
      </c>
      <c r="AA151" s="4">
        <f t="shared" ca="1" si="65"/>
        <v>0</v>
      </c>
      <c r="AE151" s="4"/>
    </row>
    <row r="152" spans="1:31">
      <c r="A152">
        <v>1</v>
      </c>
      <c r="B152">
        <v>0</v>
      </c>
      <c r="C152">
        <f t="shared" ca="1" si="44"/>
        <v>2</v>
      </c>
      <c r="D152">
        <f t="shared" ca="1" si="45"/>
        <v>1</v>
      </c>
      <c r="E152">
        <f t="shared" ca="1" si="46"/>
        <v>1</v>
      </c>
      <c r="F152" s="110">
        <f t="shared" ca="1" si="47"/>
        <v>0.13</v>
      </c>
      <c r="G152">
        <v>1</v>
      </c>
      <c r="H152">
        <v>1</v>
      </c>
      <c r="I152">
        <v>1</v>
      </c>
      <c r="J152" s="1">
        <f t="shared" ca="1" si="48"/>
        <v>0</v>
      </c>
      <c r="K152" s="1">
        <f t="shared" ca="1" si="49"/>
        <v>0</v>
      </c>
      <c r="L152" s="13">
        <f t="shared" ca="1" si="50"/>
        <v>501</v>
      </c>
      <c r="M152" s="7">
        <f t="shared" ca="1" si="51"/>
        <v>499</v>
      </c>
      <c r="N152" s="26">
        <f t="shared" ca="1" si="52"/>
        <v>2</v>
      </c>
      <c r="O152" s="44">
        <f t="shared" ca="1" si="53"/>
        <v>1.5762319669595739</v>
      </c>
      <c r="P152" s="44">
        <f t="shared" ca="1" si="54"/>
        <v>15.762319669595739</v>
      </c>
      <c r="Q152" s="44">
        <f t="shared" ca="1" si="55"/>
        <v>15.762319669595739</v>
      </c>
      <c r="R152" s="44">
        <f t="shared" ca="1" si="56"/>
        <v>1.5762319669595739</v>
      </c>
      <c r="S152" s="44">
        <f t="shared" ca="1" si="57"/>
        <v>1.5762319669595737</v>
      </c>
      <c r="T152" s="4">
        <f t="shared" ca="1" si="58"/>
        <v>0</v>
      </c>
      <c r="U152" s="120">
        <f t="shared" ca="1" si="59"/>
        <v>1424.885248288175</v>
      </c>
      <c r="V152" s="4">
        <f t="shared" ca="1" si="60"/>
        <v>0</v>
      </c>
      <c r="W152" s="13">
        <f t="shared" ca="1" si="61"/>
        <v>26928.306000000004</v>
      </c>
      <c r="X152" s="4">
        <f t="shared" ca="1" si="62"/>
        <v>0</v>
      </c>
      <c r="Y152" s="4">
        <f t="shared" si="63"/>
        <v>0</v>
      </c>
      <c r="Z152" s="13">
        <f t="shared" ca="1" si="64"/>
        <v>26928.306000000004</v>
      </c>
      <c r="AA152" s="4">
        <f t="shared" ca="1" si="65"/>
        <v>0</v>
      </c>
      <c r="AE152" s="4"/>
    </row>
    <row r="153" spans="1:31">
      <c r="A153">
        <v>1</v>
      </c>
      <c r="B153">
        <v>0</v>
      </c>
      <c r="C153">
        <f t="shared" ca="1" si="44"/>
        <v>2</v>
      </c>
      <c r="D153">
        <f t="shared" ca="1" si="45"/>
        <v>1</v>
      </c>
      <c r="E153">
        <f t="shared" ca="1" si="46"/>
        <v>1</v>
      </c>
      <c r="F153" s="110">
        <f t="shared" ca="1" si="47"/>
        <v>0.13</v>
      </c>
      <c r="G153">
        <v>1</v>
      </c>
      <c r="H153">
        <v>1</v>
      </c>
      <c r="I153">
        <v>0</v>
      </c>
      <c r="J153" s="1">
        <f t="shared" ca="1" si="48"/>
        <v>0</v>
      </c>
      <c r="K153" s="1">
        <f t="shared" ca="1" si="49"/>
        <v>0</v>
      </c>
      <c r="L153" s="13">
        <f t="shared" ca="1" si="50"/>
        <v>482</v>
      </c>
      <c r="M153" s="7">
        <f t="shared" ca="1" si="51"/>
        <v>518</v>
      </c>
      <c r="N153" s="26">
        <f t="shared" ca="1" si="52"/>
        <v>2</v>
      </c>
      <c r="O153" s="44">
        <f t="shared" ca="1" si="53"/>
        <v>1.5762319669595739</v>
      </c>
      <c r="P153" s="44">
        <f t="shared" ca="1" si="54"/>
        <v>15.762319669595739</v>
      </c>
      <c r="Q153" s="44">
        <f t="shared" ca="1" si="55"/>
        <v>15.762319669595739</v>
      </c>
      <c r="R153" s="44">
        <f t="shared" ca="1" si="56"/>
        <v>1.5762319669595739</v>
      </c>
      <c r="S153" s="44">
        <f t="shared" ca="1" si="57"/>
        <v>1.5762319669595737</v>
      </c>
      <c r="T153" s="4">
        <f t="shared" ca="1" si="58"/>
        <v>0</v>
      </c>
      <c r="U153" s="120">
        <f t="shared" ca="1" si="59"/>
        <v>1405.885248288175</v>
      </c>
      <c r="V153" s="4">
        <f t="shared" ca="1" si="60"/>
        <v>0</v>
      </c>
      <c r="W153" s="13">
        <f t="shared" ca="1" si="61"/>
        <v>24587.406000000003</v>
      </c>
      <c r="X153" s="4">
        <f t="shared" ca="1" si="62"/>
        <v>0</v>
      </c>
      <c r="Y153" s="4">
        <f t="shared" si="63"/>
        <v>0</v>
      </c>
      <c r="Z153" s="13">
        <f t="shared" ca="1" si="64"/>
        <v>24587.406000000003</v>
      </c>
      <c r="AA153" s="4">
        <f t="shared" ca="1" si="65"/>
        <v>0</v>
      </c>
      <c r="AE153" s="4"/>
    </row>
    <row r="154" spans="1:31">
      <c r="A154">
        <v>1</v>
      </c>
      <c r="B154">
        <v>0</v>
      </c>
      <c r="C154">
        <f t="shared" ca="1" si="44"/>
        <v>2</v>
      </c>
      <c r="D154">
        <f t="shared" ca="1" si="45"/>
        <v>1</v>
      </c>
      <c r="E154">
        <f t="shared" ca="1" si="46"/>
        <v>1</v>
      </c>
      <c r="F154" s="110">
        <f t="shared" ca="1" si="47"/>
        <v>0.13</v>
      </c>
      <c r="G154">
        <v>1</v>
      </c>
      <c r="H154">
        <v>0</v>
      </c>
      <c r="I154">
        <v>7</v>
      </c>
      <c r="J154" s="1">
        <f t="shared" ca="1" si="48"/>
        <v>0</v>
      </c>
      <c r="K154" s="1">
        <f t="shared" ca="1" si="49"/>
        <v>0</v>
      </c>
      <c r="L154" s="13">
        <f t="shared" ca="1" si="50"/>
        <v>374</v>
      </c>
      <c r="M154" s="7">
        <f t="shared" ca="1" si="51"/>
        <v>626</v>
      </c>
      <c r="N154" s="26">
        <f t="shared" ca="1" si="52"/>
        <v>3</v>
      </c>
      <c r="O154" s="44">
        <f t="shared" ca="1" si="53"/>
        <v>2.2442427272544552</v>
      </c>
      <c r="P154" s="44">
        <f t="shared" ca="1" si="54"/>
        <v>22.442427272544553</v>
      </c>
      <c r="Q154" s="44">
        <f t="shared" ca="1" si="55"/>
        <v>22.442427272544553</v>
      </c>
      <c r="R154" s="44">
        <f t="shared" ca="1" si="56"/>
        <v>2.2442427272544552</v>
      </c>
      <c r="S154" s="44">
        <f t="shared" ca="1" si="57"/>
        <v>2.2442427272544552</v>
      </c>
      <c r="T154" s="4">
        <f t="shared" ca="1" si="58"/>
        <v>0</v>
      </c>
      <c r="U154" s="120">
        <f t="shared" ca="1" si="59"/>
        <v>1594.901337549361</v>
      </c>
      <c r="V154" s="4">
        <f t="shared" ca="1" si="60"/>
        <v>0</v>
      </c>
      <c r="W154" s="13">
        <f t="shared" ca="1" si="61"/>
        <v>40973.706000000006</v>
      </c>
      <c r="X154" s="4">
        <f t="shared" ca="1" si="62"/>
        <v>0</v>
      </c>
      <c r="Y154" s="4">
        <f t="shared" si="63"/>
        <v>0</v>
      </c>
      <c r="Z154" s="13">
        <f t="shared" ca="1" si="64"/>
        <v>40973.706000000006</v>
      </c>
      <c r="AA154" s="4">
        <f t="shared" ca="1" si="65"/>
        <v>0</v>
      </c>
      <c r="AE154" s="4"/>
    </row>
    <row r="155" spans="1:31">
      <c r="A155">
        <v>1</v>
      </c>
      <c r="B155">
        <v>0</v>
      </c>
      <c r="C155">
        <f t="shared" ca="1" si="44"/>
        <v>2</v>
      </c>
      <c r="D155">
        <f t="shared" ca="1" si="45"/>
        <v>1</v>
      </c>
      <c r="E155">
        <f t="shared" ca="1" si="46"/>
        <v>1</v>
      </c>
      <c r="F155" s="110">
        <f t="shared" ca="1" si="47"/>
        <v>0.13</v>
      </c>
      <c r="G155">
        <v>1</v>
      </c>
      <c r="H155">
        <v>0</v>
      </c>
      <c r="I155">
        <v>6</v>
      </c>
      <c r="J155" s="1">
        <f t="shared" ca="1" si="48"/>
        <v>0</v>
      </c>
      <c r="K155" s="1">
        <f t="shared" ca="1" si="49"/>
        <v>0</v>
      </c>
      <c r="L155" s="13">
        <f t="shared" ca="1" si="50"/>
        <v>355</v>
      </c>
      <c r="M155" s="7">
        <f t="shared" ca="1" si="51"/>
        <v>645</v>
      </c>
      <c r="N155" s="26">
        <f t="shared" ca="1" si="52"/>
        <v>3</v>
      </c>
      <c r="O155" s="44">
        <f t="shared" ca="1" si="53"/>
        <v>2.2442427272544552</v>
      </c>
      <c r="P155" s="44">
        <f t="shared" ca="1" si="54"/>
        <v>22.442427272544553</v>
      </c>
      <c r="Q155" s="44">
        <f t="shared" ca="1" si="55"/>
        <v>22.442427272544553</v>
      </c>
      <c r="R155" s="44">
        <f t="shared" ca="1" si="56"/>
        <v>2.2442427272544552</v>
      </c>
      <c r="S155" s="44">
        <f t="shared" ca="1" si="57"/>
        <v>2.2442427272544552</v>
      </c>
      <c r="T155" s="4">
        <f t="shared" ca="1" si="58"/>
        <v>0</v>
      </c>
      <c r="U155" s="120">
        <f t="shared" ca="1" si="59"/>
        <v>1575.901337549361</v>
      </c>
      <c r="V155" s="4">
        <f t="shared" ca="1" si="60"/>
        <v>0</v>
      </c>
      <c r="W155" s="13">
        <f t="shared" ca="1" si="61"/>
        <v>38632.806000000004</v>
      </c>
      <c r="X155" s="4">
        <f t="shared" ca="1" si="62"/>
        <v>0</v>
      </c>
      <c r="Y155" s="4">
        <f t="shared" si="63"/>
        <v>0</v>
      </c>
      <c r="Z155" s="13">
        <f t="shared" ca="1" si="64"/>
        <v>38632.806000000004</v>
      </c>
      <c r="AA155" s="4">
        <f t="shared" ca="1" si="65"/>
        <v>0</v>
      </c>
      <c r="AE155" s="4"/>
    </row>
    <row r="156" spans="1:31">
      <c r="A156">
        <v>1</v>
      </c>
      <c r="B156">
        <v>0</v>
      </c>
      <c r="C156">
        <f t="shared" ca="1" si="44"/>
        <v>2</v>
      </c>
      <c r="D156">
        <f t="shared" ca="1" si="45"/>
        <v>1</v>
      </c>
      <c r="E156">
        <f t="shared" ca="1" si="46"/>
        <v>1</v>
      </c>
      <c r="F156" s="110">
        <f t="shared" ca="1" si="47"/>
        <v>0.13</v>
      </c>
      <c r="G156">
        <v>1</v>
      </c>
      <c r="H156">
        <v>0</v>
      </c>
      <c r="I156">
        <v>5</v>
      </c>
      <c r="J156" s="1">
        <f t="shared" ca="1" si="48"/>
        <v>0</v>
      </c>
      <c r="K156" s="1">
        <f t="shared" ca="1" si="49"/>
        <v>0</v>
      </c>
      <c r="L156" s="13">
        <f t="shared" ca="1" si="50"/>
        <v>336</v>
      </c>
      <c r="M156" s="7">
        <f t="shared" ca="1" si="51"/>
        <v>664</v>
      </c>
      <c r="N156" s="26">
        <f t="shared" ca="1" si="52"/>
        <v>3</v>
      </c>
      <c r="O156" s="44">
        <f t="shared" ca="1" si="53"/>
        <v>2.2442427272544552</v>
      </c>
      <c r="P156" s="44">
        <f t="shared" ca="1" si="54"/>
        <v>22.442427272544553</v>
      </c>
      <c r="Q156" s="44">
        <f t="shared" ca="1" si="55"/>
        <v>22.442427272544553</v>
      </c>
      <c r="R156" s="44">
        <f t="shared" ca="1" si="56"/>
        <v>2.2442427272544552</v>
      </c>
      <c r="S156" s="44">
        <f t="shared" ca="1" si="57"/>
        <v>2.2442427272544552</v>
      </c>
      <c r="T156" s="4">
        <f t="shared" ca="1" si="58"/>
        <v>0</v>
      </c>
      <c r="U156" s="120">
        <f t="shared" ca="1" si="59"/>
        <v>1556.901337549361</v>
      </c>
      <c r="V156" s="4">
        <f t="shared" ca="1" si="60"/>
        <v>0</v>
      </c>
      <c r="W156" s="13">
        <f t="shared" ca="1" si="61"/>
        <v>36291.906000000003</v>
      </c>
      <c r="X156" s="4">
        <f t="shared" ca="1" si="62"/>
        <v>0</v>
      </c>
      <c r="Y156" s="4">
        <f t="shared" si="63"/>
        <v>0</v>
      </c>
      <c r="Z156" s="13">
        <f t="shared" ca="1" si="64"/>
        <v>36291.906000000003</v>
      </c>
      <c r="AA156" s="4">
        <f t="shared" ca="1" si="65"/>
        <v>0</v>
      </c>
      <c r="AE156" s="4"/>
    </row>
    <row r="157" spans="1:31">
      <c r="A157">
        <v>1</v>
      </c>
      <c r="B157">
        <v>0</v>
      </c>
      <c r="C157">
        <f t="shared" ca="1" si="44"/>
        <v>2</v>
      </c>
      <c r="D157">
        <f t="shared" ca="1" si="45"/>
        <v>1</v>
      </c>
      <c r="E157">
        <f t="shared" ca="1" si="46"/>
        <v>1</v>
      </c>
      <c r="F157" s="110">
        <f t="shared" ca="1" si="47"/>
        <v>0.13</v>
      </c>
      <c r="G157">
        <v>1</v>
      </c>
      <c r="H157">
        <v>0</v>
      </c>
      <c r="I157">
        <v>4</v>
      </c>
      <c r="J157" s="1">
        <f t="shared" ca="1" si="48"/>
        <v>0</v>
      </c>
      <c r="K157" s="1">
        <f t="shared" ca="1" si="49"/>
        <v>0</v>
      </c>
      <c r="L157" s="13">
        <f t="shared" ca="1" si="50"/>
        <v>317</v>
      </c>
      <c r="M157" s="7">
        <f t="shared" ca="1" si="51"/>
        <v>683</v>
      </c>
      <c r="N157" s="26">
        <f t="shared" ca="1" si="52"/>
        <v>3</v>
      </c>
      <c r="O157" s="44">
        <f t="shared" ca="1" si="53"/>
        <v>2.2442427272544552</v>
      </c>
      <c r="P157" s="44">
        <f t="shared" ca="1" si="54"/>
        <v>22.442427272544553</v>
      </c>
      <c r="Q157" s="44">
        <f t="shared" ca="1" si="55"/>
        <v>22.442427272544553</v>
      </c>
      <c r="R157" s="44">
        <f t="shared" ca="1" si="56"/>
        <v>2.2442427272544552</v>
      </c>
      <c r="S157" s="44">
        <f t="shared" ca="1" si="57"/>
        <v>2.2442427272544552</v>
      </c>
      <c r="T157" s="4">
        <f t="shared" ca="1" si="58"/>
        <v>0</v>
      </c>
      <c r="U157" s="120">
        <f t="shared" ca="1" si="59"/>
        <v>1537.901337549361</v>
      </c>
      <c r="V157" s="4">
        <f t="shared" ca="1" si="60"/>
        <v>0</v>
      </c>
      <c r="W157" s="13">
        <f t="shared" ca="1" si="61"/>
        <v>33951.006000000001</v>
      </c>
      <c r="X157" s="4">
        <f t="shared" ca="1" si="62"/>
        <v>0</v>
      </c>
      <c r="Y157" s="4">
        <f t="shared" si="63"/>
        <v>0</v>
      </c>
      <c r="Z157" s="13">
        <f t="shared" ca="1" si="64"/>
        <v>33951.006000000001</v>
      </c>
      <c r="AA157" s="4">
        <f t="shared" ca="1" si="65"/>
        <v>0</v>
      </c>
      <c r="AE157" s="4"/>
    </row>
    <row r="158" spans="1:31">
      <c r="A158">
        <v>1</v>
      </c>
      <c r="B158">
        <v>0</v>
      </c>
      <c r="C158">
        <f t="shared" ca="1" si="44"/>
        <v>2</v>
      </c>
      <c r="D158">
        <f t="shared" ca="1" si="45"/>
        <v>1</v>
      </c>
      <c r="E158">
        <f t="shared" ca="1" si="46"/>
        <v>1</v>
      </c>
      <c r="F158" s="110">
        <f t="shared" ca="1" si="47"/>
        <v>0.13</v>
      </c>
      <c r="G158">
        <v>1</v>
      </c>
      <c r="H158">
        <v>0</v>
      </c>
      <c r="I158">
        <v>3</v>
      </c>
      <c r="J158" s="1">
        <f t="shared" ca="1" si="48"/>
        <v>0</v>
      </c>
      <c r="K158" s="1">
        <f t="shared" ca="1" si="49"/>
        <v>0</v>
      </c>
      <c r="L158" s="13">
        <f t="shared" ca="1" si="50"/>
        <v>298</v>
      </c>
      <c r="M158" s="7">
        <f t="shared" ca="1" si="51"/>
        <v>702</v>
      </c>
      <c r="N158" s="26">
        <f t="shared" ca="1" si="52"/>
        <v>3</v>
      </c>
      <c r="O158" s="44">
        <f t="shared" ca="1" si="53"/>
        <v>2.2442427272544552</v>
      </c>
      <c r="P158" s="44">
        <f t="shared" ca="1" si="54"/>
        <v>22.442427272544553</v>
      </c>
      <c r="Q158" s="44">
        <f t="shared" ca="1" si="55"/>
        <v>22.442427272544553</v>
      </c>
      <c r="R158" s="44">
        <f t="shared" ca="1" si="56"/>
        <v>2.2442427272544552</v>
      </c>
      <c r="S158" s="44">
        <f t="shared" ca="1" si="57"/>
        <v>2.2442427272544552</v>
      </c>
      <c r="T158" s="4">
        <f t="shared" ca="1" si="58"/>
        <v>0</v>
      </c>
      <c r="U158" s="120">
        <f t="shared" ca="1" si="59"/>
        <v>1518.901337549361</v>
      </c>
      <c r="V158" s="4">
        <f t="shared" ca="1" si="60"/>
        <v>0</v>
      </c>
      <c r="W158" s="13">
        <f t="shared" ca="1" si="61"/>
        <v>31610.106000000003</v>
      </c>
      <c r="X158" s="4">
        <f t="shared" ca="1" si="62"/>
        <v>0</v>
      </c>
      <c r="Y158" s="4">
        <f t="shared" si="63"/>
        <v>0</v>
      </c>
      <c r="Z158" s="13">
        <f t="shared" ca="1" si="64"/>
        <v>31610.106000000003</v>
      </c>
      <c r="AA158" s="4">
        <f t="shared" ca="1" si="65"/>
        <v>0</v>
      </c>
      <c r="AE158" s="4"/>
    </row>
    <row r="159" spans="1:31">
      <c r="A159">
        <v>1</v>
      </c>
      <c r="B159">
        <v>0</v>
      </c>
      <c r="C159">
        <f t="shared" ca="1" si="44"/>
        <v>2</v>
      </c>
      <c r="D159">
        <f t="shared" ca="1" si="45"/>
        <v>1</v>
      </c>
      <c r="E159">
        <f t="shared" ca="1" si="46"/>
        <v>1</v>
      </c>
      <c r="F159" s="110">
        <f t="shared" ca="1" si="47"/>
        <v>0.13</v>
      </c>
      <c r="G159">
        <v>1</v>
      </c>
      <c r="H159">
        <v>0</v>
      </c>
      <c r="I159">
        <v>2</v>
      </c>
      <c r="J159" s="1">
        <f t="shared" ca="1" si="48"/>
        <v>0</v>
      </c>
      <c r="K159" s="1">
        <f t="shared" ca="1" si="49"/>
        <v>0</v>
      </c>
      <c r="L159" s="13">
        <f t="shared" ca="1" si="50"/>
        <v>279</v>
      </c>
      <c r="M159" s="7">
        <f t="shared" ca="1" si="51"/>
        <v>721</v>
      </c>
      <c r="N159" s="26">
        <f t="shared" ca="1" si="52"/>
        <v>3</v>
      </c>
      <c r="O159" s="44">
        <f t="shared" ca="1" si="53"/>
        <v>2.2442427272544552</v>
      </c>
      <c r="P159" s="44">
        <f t="shared" ca="1" si="54"/>
        <v>22.442427272544553</v>
      </c>
      <c r="Q159" s="44">
        <f t="shared" ca="1" si="55"/>
        <v>22.442427272544553</v>
      </c>
      <c r="R159" s="44">
        <f t="shared" ca="1" si="56"/>
        <v>2.2442427272544552</v>
      </c>
      <c r="S159" s="44">
        <f t="shared" ca="1" si="57"/>
        <v>2.2442427272544552</v>
      </c>
      <c r="T159" s="4">
        <f t="shared" ca="1" si="58"/>
        <v>0</v>
      </c>
      <c r="U159" s="120">
        <f t="shared" ca="1" si="59"/>
        <v>1499.901337549361</v>
      </c>
      <c r="V159" s="4">
        <f t="shared" ca="1" si="60"/>
        <v>0</v>
      </c>
      <c r="W159" s="13">
        <f t="shared" ca="1" si="61"/>
        <v>29269.206000000002</v>
      </c>
      <c r="X159" s="4">
        <f t="shared" ca="1" si="62"/>
        <v>0</v>
      </c>
      <c r="Y159" s="4">
        <f t="shared" si="63"/>
        <v>0</v>
      </c>
      <c r="Z159" s="13">
        <f t="shared" ca="1" si="64"/>
        <v>29269.206000000002</v>
      </c>
      <c r="AA159" s="4">
        <f t="shared" ca="1" si="65"/>
        <v>0</v>
      </c>
      <c r="AE159" s="4"/>
    </row>
    <row r="160" spans="1:31">
      <c r="A160">
        <v>1</v>
      </c>
      <c r="B160">
        <v>0</v>
      </c>
      <c r="C160">
        <f t="shared" ca="1" si="44"/>
        <v>2</v>
      </c>
      <c r="D160">
        <f t="shared" ca="1" si="45"/>
        <v>1</v>
      </c>
      <c r="E160">
        <f t="shared" ca="1" si="46"/>
        <v>1</v>
      </c>
      <c r="F160" s="110">
        <f t="shared" ca="1" si="47"/>
        <v>0.13</v>
      </c>
      <c r="G160">
        <v>1</v>
      </c>
      <c r="H160">
        <v>0</v>
      </c>
      <c r="I160">
        <v>1</v>
      </c>
      <c r="J160" s="1">
        <f t="shared" ca="1" si="48"/>
        <v>0.83124999999999993</v>
      </c>
      <c r="K160" s="1">
        <f t="shared" ca="1" si="49"/>
        <v>0.10806249999999999</v>
      </c>
      <c r="L160" s="13">
        <f t="shared" ca="1" si="50"/>
        <v>260</v>
      </c>
      <c r="M160" s="7">
        <f t="shared" ca="1" si="51"/>
        <v>740</v>
      </c>
      <c r="N160" s="26">
        <f t="shared" ca="1" si="52"/>
        <v>3</v>
      </c>
      <c r="O160" s="44">
        <f t="shared" ca="1" si="53"/>
        <v>2.2442427272544552</v>
      </c>
      <c r="P160" s="44">
        <f t="shared" ca="1" si="54"/>
        <v>22.442427272544553</v>
      </c>
      <c r="Q160" s="44">
        <f t="shared" ca="1" si="55"/>
        <v>22.442427272544553</v>
      </c>
      <c r="R160" s="44">
        <f t="shared" ca="1" si="56"/>
        <v>2.2442427272544552</v>
      </c>
      <c r="S160" s="44">
        <f t="shared" ca="1" si="57"/>
        <v>2.2442427272544552</v>
      </c>
      <c r="T160" s="4">
        <f t="shared" ca="1" si="58"/>
        <v>0.24251847971393453</v>
      </c>
      <c r="U160" s="120">
        <f t="shared" ca="1" si="59"/>
        <v>1480.901337549361</v>
      </c>
      <c r="V160" s="4">
        <f t="shared" ca="1" si="60"/>
        <v>160.02990078892782</v>
      </c>
      <c r="W160" s="13">
        <f t="shared" ca="1" si="61"/>
        <v>26928.306000000004</v>
      </c>
      <c r="X160" s="4">
        <f t="shared" ca="1" si="62"/>
        <v>2909.940067125</v>
      </c>
      <c r="Y160" s="4">
        <f t="shared" si="63"/>
        <v>0</v>
      </c>
      <c r="Z160" s="13">
        <f t="shared" ca="1" si="64"/>
        <v>26928.306000000004</v>
      </c>
      <c r="AA160" s="4">
        <f t="shared" ca="1" si="65"/>
        <v>2909.940067125</v>
      </c>
      <c r="AE160" s="4"/>
    </row>
    <row r="161" spans="1:31">
      <c r="A161">
        <v>1</v>
      </c>
      <c r="B161">
        <v>0</v>
      </c>
      <c r="C161">
        <f t="shared" ca="1" si="44"/>
        <v>2</v>
      </c>
      <c r="D161">
        <f t="shared" ca="1" si="45"/>
        <v>1</v>
      </c>
      <c r="E161">
        <f t="shared" ca="1" si="46"/>
        <v>1</v>
      </c>
      <c r="F161" s="110">
        <f t="shared" ca="1" si="47"/>
        <v>0.13</v>
      </c>
      <c r="G161">
        <v>1</v>
      </c>
      <c r="H161">
        <v>0</v>
      </c>
      <c r="I161">
        <v>0</v>
      </c>
      <c r="J161" s="1">
        <f t="shared" ca="1" si="48"/>
        <v>0.11874999999999999</v>
      </c>
      <c r="K161" s="1">
        <f t="shared" ca="1" si="49"/>
        <v>1.54375E-2</v>
      </c>
      <c r="L161" s="13">
        <f t="shared" ca="1" si="50"/>
        <v>241</v>
      </c>
      <c r="M161" s="7">
        <f t="shared" ca="1" si="51"/>
        <v>759</v>
      </c>
      <c r="N161" s="26">
        <f t="shared" ca="1" si="52"/>
        <v>3</v>
      </c>
      <c r="O161" s="44">
        <f t="shared" ca="1" si="53"/>
        <v>2.2442427272544552</v>
      </c>
      <c r="P161" s="44">
        <f t="shared" ca="1" si="54"/>
        <v>22.442427272544553</v>
      </c>
      <c r="Q161" s="44">
        <f t="shared" ca="1" si="55"/>
        <v>22.442427272544553</v>
      </c>
      <c r="R161" s="44">
        <f t="shared" ca="1" si="56"/>
        <v>2.2442427272544552</v>
      </c>
      <c r="S161" s="44">
        <f t="shared" ca="1" si="57"/>
        <v>2.2442427272544552</v>
      </c>
      <c r="T161" s="4">
        <f t="shared" ca="1" si="58"/>
        <v>3.4645497101990649E-2</v>
      </c>
      <c r="U161" s="120">
        <f t="shared" ca="1" si="59"/>
        <v>1461.901337549361</v>
      </c>
      <c r="V161" s="4">
        <f t="shared" ca="1" si="60"/>
        <v>22.568101898418259</v>
      </c>
      <c r="W161" s="13">
        <f t="shared" ca="1" si="61"/>
        <v>24587.406000000003</v>
      </c>
      <c r="X161" s="4">
        <f t="shared" ca="1" si="62"/>
        <v>379.56808012500005</v>
      </c>
      <c r="Y161" s="4">
        <f t="shared" si="63"/>
        <v>0</v>
      </c>
      <c r="Z161" s="13">
        <f t="shared" ca="1" si="64"/>
        <v>24587.406000000003</v>
      </c>
      <c r="AA161" s="4">
        <f t="shared" ca="1" si="65"/>
        <v>379.56808012500005</v>
      </c>
      <c r="AE161" s="4"/>
    </row>
    <row r="162" spans="1:31">
      <c r="A162">
        <v>1</v>
      </c>
      <c r="B162">
        <v>0</v>
      </c>
      <c r="C162">
        <f t="shared" ca="1" si="44"/>
        <v>2</v>
      </c>
      <c r="D162">
        <f t="shared" ca="1" si="45"/>
        <v>1</v>
      </c>
      <c r="E162">
        <f t="shared" ca="1" si="46"/>
        <v>1</v>
      </c>
      <c r="F162" s="110">
        <f t="shared" ca="1" si="47"/>
        <v>0.13</v>
      </c>
      <c r="G162">
        <v>0</v>
      </c>
      <c r="H162">
        <v>1</v>
      </c>
      <c r="I162">
        <v>7</v>
      </c>
      <c r="J162" s="1">
        <f t="shared" ca="1" si="48"/>
        <v>0</v>
      </c>
      <c r="K162" s="1">
        <f t="shared" ca="1" si="49"/>
        <v>0</v>
      </c>
      <c r="L162" s="13">
        <f t="shared" ca="1" si="50"/>
        <v>374</v>
      </c>
      <c r="M162" s="7">
        <f t="shared" ca="1" si="51"/>
        <v>626</v>
      </c>
      <c r="N162" s="26">
        <f t="shared" ca="1" si="52"/>
        <v>3</v>
      </c>
      <c r="O162" s="44">
        <f t="shared" ca="1" si="53"/>
        <v>2.2442427272544552</v>
      </c>
      <c r="P162" s="44">
        <f t="shared" ca="1" si="54"/>
        <v>22.442427272544553</v>
      </c>
      <c r="Q162" s="44">
        <f t="shared" ca="1" si="55"/>
        <v>22.442427272544553</v>
      </c>
      <c r="R162" s="44">
        <f t="shared" ca="1" si="56"/>
        <v>2.2442427272544552</v>
      </c>
      <c r="S162" s="44">
        <f t="shared" ca="1" si="57"/>
        <v>2.2442427272544552</v>
      </c>
      <c r="T162" s="4">
        <f t="shared" ca="1" si="58"/>
        <v>0</v>
      </c>
      <c r="U162" s="120">
        <f t="shared" ca="1" si="59"/>
        <v>1594.901337549361</v>
      </c>
      <c r="V162" s="4">
        <f t="shared" ca="1" si="60"/>
        <v>0</v>
      </c>
      <c r="W162" s="13">
        <f t="shared" ca="1" si="61"/>
        <v>16386.3</v>
      </c>
      <c r="X162" s="4">
        <f t="shared" ca="1" si="62"/>
        <v>0</v>
      </c>
      <c r="Y162" s="4">
        <f t="shared" si="63"/>
        <v>0</v>
      </c>
      <c r="Z162" s="13">
        <f t="shared" ca="1" si="64"/>
        <v>16386.3</v>
      </c>
      <c r="AA162" s="4">
        <f t="shared" ca="1" si="65"/>
        <v>0</v>
      </c>
      <c r="AE162" s="4"/>
    </row>
    <row r="163" spans="1:31">
      <c r="A163">
        <v>1</v>
      </c>
      <c r="B163">
        <v>0</v>
      </c>
      <c r="C163">
        <f t="shared" ca="1" si="44"/>
        <v>2</v>
      </c>
      <c r="D163">
        <f t="shared" ca="1" si="45"/>
        <v>1</v>
      </c>
      <c r="E163">
        <f t="shared" ca="1" si="46"/>
        <v>1</v>
      </c>
      <c r="F163" s="110">
        <f t="shared" ca="1" si="47"/>
        <v>0.13</v>
      </c>
      <c r="G163">
        <v>0</v>
      </c>
      <c r="H163">
        <v>1</v>
      </c>
      <c r="I163">
        <v>6</v>
      </c>
      <c r="J163" s="1">
        <f t="shared" ca="1" si="48"/>
        <v>0</v>
      </c>
      <c r="K163" s="1">
        <f t="shared" ca="1" si="49"/>
        <v>0</v>
      </c>
      <c r="L163" s="13">
        <f t="shared" ca="1" si="50"/>
        <v>355</v>
      </c>
      <c r="M163" s="7">
        <f t="shared" ca="1" si="51"/>
        <v>645</v>
      </c>
      <c r="N163" s="26">
        <f t="shared" ca="1" si="52"/>
        <v>3</v>
      </c>
      <c r="O163" s="44">
        <f t="shared" ca="1" si="53"/>
        <v>2.2442427272544552</v>
      </c>
      <c r="P163" s="44">
        <f t="shared" ca="1" si="54"/>
        <v>22.442427272544553</v>
      </c>
      <c r="Q163" s="44">
        <f t="shared" ca="1" si="55"/>
        <v>22.442427272544553</v>
      </c>
      <c r="R163" s="44">
        <f t="shared" ca="1" si="56"/>
        <v>2.2442427272544552</v>
      </c>
      <c r="S163" s="44">
        <f t="shared" ca="1" si="57"/>
        <v>2.2442427272544552</v>
      </c>
      <c r="T163" s="4">
        <f t="shared" ca="1" si="58"/>
        <v>0</v>
      </c>
      <c r="U163" s="120">
        <f t="shared" ca="1" si="59"/>
        <v>1575.901337549361</v>
      </c>
      <c r="V163" s="4">
        <f t="shared" ca="1" si="60"/>
        <v>0</v>
      </c>
      <c r="W163" s="13">
        <f t="shared" ca="1" si="61"/>
        <v>14045.400000000001</v>
      </c>
      <c r="X163" s="4">
        <f t="shared" ca="1" si="62"/>
        <v>0</v>
      </c>
      <c r="Y163" s="4">
        <f t="shared" si="63"/>
        <v>0</v>
      </c>
      <c r="Z163" s="13">
        <f t="shared" ca="1" si="64"/>
        <v>14045.400000000001</v>
      </c>
      <c r="AA163" s="4">
        <f t="shared" ca="1" si="65"/>
        <v>0</v>
      </c>
      <c r="AE163" s="4"/>
    </row>
    <row r="164" spans="1:31">
      <c r="A164">
        <v>1</v>
      </c>
      <c r="B164">
        <v>0</v>
      </c>
      <c r="C164">
        <f t="shared" ca="1" si="44"/>
        <v>2</v>
      </c>
      <c r="D164">
        <f t="shared" ca="1" si="45"/>
        <v>1</v>
      </c>
      <c r="E164">
        <f t="shared" ca="1" si="46"/>
        <v>1</v>
      </c>
      <c r="F164" s="110">
        <f t="shared" ca="1" si="47"/>
        <v>0.13</v>
      </c>
      <c r="G164">
        <v>0</v>
      </c>
      <c r="H164">
        <v>1</v>
      </c>
      <c r="I164">
        <v>5</v>
      </c>
      <c r="J164" s="1">
        <f t="shared" ca="1" si="48"/>
        <v>0</v>
      </c>
      <c r="K164" s="1">
        <f t="shared" ca="1" si="49"/>
        <v>0</v>
      </c>
      <c r="L164" s="13">
        <f t="shared" ca="1" si="50"/>
        <v>336</v>
      </c>
      <c r="M164" s="7">
        <f t="shared" ca="1" si="51"/>
        <v>664</v>
      </c>
      <c r="N164" s="26">
        <f t="shared" ca="1" si="52"/>
        <v>3</v>
      </c>
      <c r="O164" s="44">
        <f t="shared" ca="1" si="53"/>
        <v>2.2442427272544552</v>
      </c>
      <c r="P164" s="44">
        <f t="shared" ca="1" si="54"/>
        <v>22.442427272544553</v>
      </c>
      <c r="Q164" s="44">
        <f t="shared" ca="1" si="55"/>
        <v>22.442427272544553</v>
      </c>
      <c r="R164" s="44">
        <f t="shared" ca="1" si="56"/>
        <v>2.2442427272544552</v>
      </c>
      <c r="S164" s="44">
        <f t="shared" ca="1" si="57"/>
        <v>2.2442427272544552</v>
      </c>
      <c r="T164" s="4">
        <f t="shared" ca="1" si="58"/>
        <v>0</v>
      </c>
      <c r="U164" s="120">
        <f t="shared" ca="1" si="59"/>
        <v>1556.901337549361</v>
      </c>
      <c r="V164" s="4">
        <f t="shared" ca="1" si="60"/>
        <v>0</v>
      </c>
      <c r="W164" s="13">
        <f t="shared" ca="1" si="61"/>
        <v>11704.5</v>
      </c>
      <c r="X164" s="4">
        <f t="shared" ca="1" si="62"/>
        <v>0</v>
      </c>
      <c r="Y164" s="4">
        <f t="shared" si="63"/>
        <v>0</v>
      </c>
      <c r="Z164" s="13">
        <f t="shared" ca="1" si="64"/>
        <v>11704.5</v>
      </c>
      <c r="AA164" s="4">
        <f t="shared" ca="1" si="65"/>
        <v>0</v>
      </c>
      <c r="AE164" s="4"/>
    </row>
    <row r="165" spans="1:31">
      <c r="A165">
        <v>1</v>
      </c>
      <c r="B165">
        <v>0</v>
      </c>
      <c r="C165">
        <f t="shared" ca="1" si="44"/>
        <v>2</v>
      </c>
      <c r="D165">
        <f t="shared" ca="1" si="45"/>
        <v>1</v>
      </c>
      <c r="E165">
        <f t="shared" ca="1" si="46"/>
        <v>1</v>
      </c>
      <c r="F165" s="110">
        <f t="shared" ca="1" si="47"/>
        <v>0.13</v>
      </c>
      <c r="G165">
        <v>0</v>
      </c>
      <c r="H165">
        <v>1</v>
      </c>
      <c r="I165">
        <v>4</v>
      </c>
      <c r="J165" s="1">
        <f t="shared" ca="1" si="48"/>
        <v>0</v>
      </c>
      <c r="K165" s="1">
        <f t="shared" ca="1" si="49"/>
        <v>0</v>
      </c>
      <c r="L165" s="13">
        <f t="shared" ca="1" si="50"/>
        <v>317</v>
      </c>
      <c r="M165" s="7">
        <f t="shared" ca="1" si="51"/>
        <v>683</v>
      </c>
      <c r="N165" s="26">
        <f t="shared" ca="1" si="52"/>
        <v>3</v>
      </c>
      <c r="O165" s="44">
        <f t="shared" ca="1" si="53"/>
        <v>2.2442427272544552</v>
      </c>
      <c r="P165" s="44">
        <f t="shared" ca="1" si="54"/>
        <v>22.442427272544553</v>
      </c>
      <c r="Q165" s="44">
        <f t="shared" ca="1" si="55"/>
        <v>22.442427272544553</v>
      </c>
      <c r="R165" s="44">
        <f t="shared" ca="1" si="56"/>
        <v>2.2442427272544552</v>
      </c>
      <c r="S165" s="44">
        <f t="shared" ca="1" si="57"/>
        <v>2.2442427272544552</v>
      </c>
      <c r="T165" s="4">
        <f t="shared" ca="1" si="58"/>
        <v>0</v>
      </c>
      <c r="U165" s="120">
        <f t="shared" ca="1" si="59"/>
        <v>1537.901337549361</v>
      </c>
      <c r="V165" s="4">
        <f t="shared" ca="1" si="60"/>
        <v>0</v>
      </c>
      <c r="W165" s="13">
        <f t="shared" ca="1" si="61"/>
        <v>9363.6</v>
      </c>
      <c r="X165" s="4">
        <f t="shared" ca="1" si="62"/>
        <v>0</v>
      </c>
      <c r="Y165" s="4">
        <f t="shared" si="63"/>
        <v>0</v>
      </c>
      <c r="Z165" s="13">
        <f t="shared" ca="1" si="64"/>
        <v>9363.6</v>
      </c>
      <c r="AA165" s="4">
        <f t="shared" ca="1" si="65"/>
        <v>0</v>
      </c>
      <c r="AE165" s="4"/>
    </row>
    <row r="166" spans="1:31">
      <c r="A166">
        <v>1</v>
      </c>
      <c r="B166">
        <v>0</v>
      </c>
      <c r="C166">
        <f t="shared" ca="1" si="44"/>
        <v>2</v>
      </c>
      <c r="D166">
        <f t="shared" ca="1" si="45"/>
        <v>1</v>
      </c>
      <c r="E166">
        <f t="shared" ca="1" si="46"/>
        <v>1</v>
      </c>
      <c r="F166" s="110">
        <f t="shared" ca="1" si="47"/>
        <v>0.13</v>
      </c>
      <c r="G166">
        <v>0</v>
      </c>
      <c r="H166">
        <v>1</v>
      </c>
      <c r="I166">
        <v>3</v>
      </c>
      <c r="J166" s="1">
        <f t="shared" ca="1" si="48"/>
        <v>0</v>
      </c>
      <c r="K166" s="1">
        <f t="shared" ca="1" si="49"/>
        <v>0</v>
      </c>
      <c r="L166" s="13">
        <f t="shared" ca="1" si="50"/>
        <v>298</v>
      </c>
      <c r="M166" s="7">
        <f t="shared" ca="1" si="51"/>
        <v>702</v>
      </c>
      <c r="N166" s="26">
        <f t="shared" ca="1" si="52"/>
        <v>3</v>
      </c>
      <c r="O166" s="44">
        <f t="shared" ca="1" si="53"/>
        <v>2.2442427272544552</v>
      </c>
      <c r="P166" s="44">
        <f t="shared" ca="1" si="54"/>
        <v>22.442427272544553</v>
      </c>
      <c r="Q166" s="44">
        <f t="shared" ca="1" si="55"/>
        <v>22.442427272544553</v>
      </c>
      <c r="R166" s="44">
        <f t="shared" ca="1" si="56"/>
        <v>2.2442427272544552</v>
      </c>
      <c r="S166" s="44">
        <f t="shared" ca="1" si="57"/>
        <v>2.2442427272544552</v>
      </c>
      <c r="T166" s="4">
        <f t="shared" ca="1" si="58"/>
        <v>0</v>
      </c>
      <c r="U166" s="120">
        <f t="shared" ca="1" si="59"/>
        <v>1518.901337549361</v>
      </c>
      <c r="V166" s="4">
        <f t="shared" ca="1" si="60"/>
        <v>0</v>
      </c>
      <c r="W166" s="13">
        <f t="shared" ca="1" si="61"/>
        <v>7022.7000000000007</v>
      </c>
      <c r="X166" s="4">
        <f t="shared" ca="1" si="62"/>
        <v>0</v>
      </c>
      <c r="Y166" s="4">
        <f t="shared" si="63"/>
        <v>0</v>
      </c>
      <c r="Z166" s="13">
        <f t="shared" ca="1" si="64"/>
        <v>7022.7000000000007</v>
      </c>
      <c r="AA166" s="4">
        <f t="shared" ca="1" si="65"/>
        <v>0</v>
      </c>
      <c r="AE166" s="4"/>
    </row>
    <row r="167" spans="1:31">
      <c r="A167">
        <v>1</v>
      </c>
      <c r="B167">
        <v>0</v>
      </c>
      <c r="C167">
        <f t="shared" ca="1" si="44"/>
        <v>2</v>
      </c>
      <c r="D167">
        <f t="shared" ca="1" si="45"/>
        <v>1</v>
      </c>
      <c r="E167">
        <f t="shared" ca="1" si="46"/>
        <v>1</v>
      </c>
      <c r="F167" s="110">
        <f t="shared" ca="1" si="47"/>
        <v>0.13</v>
      </c>
      <c r="G167">
        <v>0</v>
      </c>
      <c r="H167">
        <v>1</v>
      </c>
      <c r="I167">
        <v>2</v>
      </c>
      <c r="J167" s="1">
        <f t="shared" ca="1" si="48"/>
        <v>0</v>
      </c>
      <c r="K167" s="1">
        <f t="shared" ca="1" si="49"/>
        <v>0</v>
      </c>
      <c r="L167" s="13">
        <f t="shared" ca="1" si="50"/>
        <v>279</v>
      </c>
      <c r="M167" s="7">
        <f t="shared" ca="1" si="51"/>
        <v>721</v>
      </c>
      <c r="N167" s="26">
        <f t="shared" ca="1" si="52"/>
        <v>3</v>
      </c>
      <c r="O167" s="44">
        <f t="shared" ca="1" si="53"/>
        <v>2.2442427272544552</v>
      </c>
      <c r="P167" s="44">
        <f t="shared" ca="1" si="54"/>
        <v>22.442427272544553</v>
      </c>
      <c r="Q167" s="44">
        <f t="shared" ca="1" si="55"/>
        <v>22.442427272544553</v>
      </c>
      <c r="R167" s="44">
        <f t="shared" ca="1" si="56"/>
        <v>2.2442427272544552</v>
      </c>
      <c r="S167" s="44">
        <f t="shared" ca="1" si="57"/>
        <v>2.2442427272544552</v>
      </c>
      <c r="T167" s="4">
        <f t="shared" ca="1" si="58"/>
        <v>0</v>
      </c>
      <c r="U167" s="120">
        <f t="shared" ca="1" si="59"/>
        <v>1499.901337549361</v>
      </c>
      <c r="V167" s="4">
        <f t="shared" ca="1" si="60"/>
        <v>0</v>
      </c>
      <c r="W167" s="13">
        <f t="shared" ca="1" si="61"/>
        <v>4681.8</v>
      </c>
      <c r="X167" s="4">
        <f t="shared" ca="1" si="62"/>
        <v>0</v>
      </c>
      <c r="Y167" s="4">
        <f t="shared" si="63"/>
        <v>0</v>
      </c>
      <c r="Z167" s="13">
        <f t="shared" ca="1" si="64"/>
        <v>4681.8</v>
      </c>
      <c r="AA167" s="4">
        <f t="shared" ca="1" si="65"/>
        <v>0</v>
      </c>
      <c r="AE167" s="4"/>
    </row>
    <row r="168" spans="1:31">
      <c r="A168">
        <v>1</v>
      </c>
      <c r="B168">
        <v>0</v>
      </c>
      <c r="C168">
        <f t="shared" ca="1" si="44"/>
        <v>2</v>
      </c>
      <c r="D168">
        <f t="shared" ca="1" si="45"/>
        <v>1</v>
      </c>
      <c r="E168">
        <f t="shared" ca="1" si="46"/>
        <v>1</v>
      </c>
      <c r="F168" s="110">
        <f t="shared" ca="1" si="47"/>
        <v>0.13</v>
      </c>
      <c r="G168">
        <v>0</v>
      </c>
      <c r="H168">
        <v>1</v>
      </c>
      <c r="I168">
        <v>1</v>
      </c>
      <c r="J168" s="1">
        <f t="shared" ca="1" si="48"/>
        <v>0</v>
      </c>
      <c r="K168" s="1">
        <f t="shared" ca="1" si="49"/>
        <v>0</v>
      </c>
      <c r="L168" s="13">
        <f t="shared" ca="1" si="50"/>
        <v>260</v>
      </c>
      <c r="M168" s="7">
        <f t="shared" ca="1" si="51"/>
        <v>740</v>
      </c>
      <c r="N168" s="26">
        <f t="shared" ca="1" si="52"/>
        <v>3</v>
      </c>
      <c r="O168" s="44">
        <f t="shared" ca="1" si="53"/>
        <v>2.2442427272544552</v>
      </c>
      <c r="P168" s="44">
        <f t="shared" ca="1" si="54"/>
        <v>22.442427272544553</v>
      </c>
      <c r="Q168" s="44">
        <f t="shared" ca="1" si="55"/>
        <v>22.442427272544553</v>
      </c>
      <c r="R168" s="44">
        <f t="shared" ca="1" si="56"/>
        <v>2.2442427272544552</v>
      </c>
      <c r="S168" s="44">
        <f t="shared" ca="1" si="57"/>
        <v>2.2442427272544552</v>
      </c>
      <c r="T168" s="4">
        <f t="shared" ca="1" si="58"/>
        <v>0</v>
      </c>
      <c r="U168" s="120">
        <f t="shared" ca="1" si="59"/>
        <v>1480.901337549361</v>
      </c>
      <c r="V168" s="4">
        <f t="shared" ca="1" si="60"/>
        <v>0</v>
      </c>
      <c r="W168" s="13">
        <f t="shared" ca="1" si="61"/>
        <v>2340.9</v>
      </c>
      <c r="X168" s="4">
        <f t="shared" ca="1" si="62"/>
        <v>0</v>
      </c>
      <c r="Y168" s="4">
        <f t="shared" si="63"/>
        <v>0</v>
      </c>
      <c r="Z168" s="13">
        <f t="shared" ca="1" si="64"/>
        <v>2340.9</v>
      </c>
      <c r="AA168" s="4">
        <f t="shared" ca="1" si="65"/>
        <v>0</v>
      </c>
      <c r="AE168" s="4"/>
    </row>
    <row r="169" spans="1:31">
      <c r="A169">
        <v>1</v>
      </c>
      <c r="B169">
        <v>0</v>
      </c>
      <c r="C169">
        <f t="shared" ca="1" si="44"/>
        <v>2</v>
      </c>
      <c r="D169">
        <f t="shared" ca="1" si="45"/>
        <v>1</v>
      </c>
      <c r="E169">
        <f t="shared" ca="1" si="46"/>
        <v>1</v>
      </c>
      <c r="F169" s="110">
        <f t="shared" ca="1" si="47"/>
        <v>0.13</v>
      </c>
      <c r="G169">
        <v>0</v>
      </c>
      <c r="H169">
        <v>1</v>
      </c>
      <c r="I169">
        <v>0</v>
      </c>
      <c r="J169" s="1">
        <f t="shared" ca="1" si="48"/>
        <v>0</v>
      </c>
      <c r="K169" s="1">
        <f t="shared" ca="1" si="49"/>
        <v>0</v>
      </c>
      <c r="L169" s="13">
        <f t="shared" ca="1" si="50"/>
        <v>241</v>
      </c>
      <c r="M169" s="7">
        <f t="shared" ca="1" si="51"/>
        <v>759</v>
      </c>
      <c r="N169" s="26">
        <f t="shared" ca="1" si="52"/>
        <v>3</v>
      </c>
      <c r="O169" s="44">
        <f t="shared" ca="1" si="53"/>
        <v>2.2442427272544552</v>
      </c>
      <c r="P169" s="44">
        <f t="shared" ca="1" si="54"/>
        <v>22.442427272544553</v>
      </c>
      <c r="Q169" s="44">
        <f t="shared" ca="1" si="55"/>
        <v>22.442427272544553</v>
      </c>
      <c r="R169" s="44">
        <f t="shared" ca="1" si="56"/>
        <v>2.2442427272544552</v>
      </c>
      <c r="S169" s="44">
        <f t="shared" ca="1" si="57"/>
        <v>2.2442427272544552</v>
      </c>
      <c r="T169" s="4">
        <f t="shared" ca="1" si="58"/>
        <v>0</v>
      </c>
      <c r="U169" s="120">
        <f t="shared" ca="1" si="59"/>
        <v>1461.901337549361</v>
      </c>
      <c r="V169" s="4">
        <f t="shared" ca="1" si="60"/>
        <v>0</v>
      </c>
      <c r="W169" s="13">
        <f t="shared" ca="1" si="61"/>
        <v>0</v>
      </c>
      <c r="X169" s="4">
        <f t="shared" ca="1" si="62"/>
        <v>0</v>
      </c>
      <c r="Y169" s="4">
        <f t="shared" si="63"/>
        <v>0</v>
      </c>
      <c r="Z169" s="13">
        <f t="shared" ca="1" si="64"/>
        <v>0</v>
      </c>
      <c r="AA169" s="4">
        <f t="shared" ca="1" si="65"/>
        <v>0</v>
      </c>
      <c r="AE169" s="4"/>
    </row>
    <row r="170" spans="1:31">
      <c r="A170">
        <v>1</v>
      </c>
      <c r="B170">
        <v>0</v>
      </c>
      <c r="C170">
        <f t="shared" ca="1" si="44"/>
        <v>2</v>
      </c>
      <c r="D170">
        <f t="shared" ca="1" si="45"/>
        <v>1</v>
      </c>
      <c r="E170">
        <f t="shared" ca="1" si="46"/>
        <v>1</v>
      </c>
      <c r="F170" s="110">
        <f t="shared" ca="1" si="47"/>
        <v>0.13</v>
      </c>
      <c r="G170">
        <v>0</v>
      </c>
      <c r="H170">
        <v>0</v>
      </c>
      <c r="I170">
        <v>7</v>
      </c>
      <c r="J170" s="1">
        <f t="shared" ca="1" si="48"/>
        <v>0</v>
      </c>
      <c r="K170" s="1">
        <f t="shared" ca="1" si="49"/>
        <v>0</v>
      </c>
      <c r="L170" s="13">
        <f t="shared" ca="1" si="50"/>
        <v>133</v>
      </c>
      <c r="M170" s="7">
        <f t="shared" ca="1" si="51"/>
        <v>867</v>
      </c>
      <c r="N170" s="26">
        <f t="shared" ca="1" si="52"/>
        <v>4</v>
      </c>
      <c r="O170" s="44">
        <f t="shared" ca="1" si="53"/>
        <v>2.8621467101781541</v>
      </c>
      <c r="P170" s="44">
        <f t="shared" ca="1" si="54"/>
        <v>28.621467101781548</v>
      </c>
      <c r="Q170" s="44">
        <f t="shared" ca="1" si="55"/>
        <v>24.914043204239348</v>
      </c>
      <c r="R170" s="44">
        <f t="shared" ca="1" si="56"/>
        <v>2.6767755153010446</v>
      </c>
      <c r="S170" s="44">
        <f t="shared" ca="1" si="57"/>
        <v>2.8491707265367565</v>
      </c>
      <c r="T170" s="4">
        <f t="shared" ca="1" si="58"/>
        <v>0</v>
      </c>
      <c r="U170" s="120">
        <f t="shared" ca="1" si="59"/>
        <v>1622.8690837457082</v>
      </c>
      <c r="V170" s="4">
        <f t="shared" ca="1" si="60"/>
        <v>0</v>
      </c>
      <c r="W170" s="13">
        <f t="shared" ca="1" si="61"/>
        <v>16386.3</v>
      </c>
      <c r="X170" s="4">
        <f t="shared" ca="1" si="62"/>
        <v>0</v>
      </c>
      <c r="Y170" s="4">
        <f t="shared" si="63"/>
        <v>0</v>
      </c>
      <c r="Z170" s="13">
        <f t="shared" ca="1" si="64"/>
        <v>16386.3</v>
      </c>
      <c r="AA170" s="4">
        <f t="shared" ca="1" si="65"/>
        <v>0</v>
      </c>
      <c r="AE170" s="4"/>
    </row>
    <row r="171" spans="1:31">
      <c r="A171">
        <v>1</v>
      </c>
      <c r="B171">
        <v>0</v>
      </c>
      <c r="C171">
        <f t="shared" ca="1" si="44"/>
        <v>2</v>
      </c>
      <c r="D171">
        <f t="shared" ca="1" si="45"/>
        <v>1</v>
      </c>
      <c r="E171">
        <f t="shared" ca="1" si="46"/>
        <v>1</v>
      </c>
      <c r="F171" s="110">
        <f t="shared" ca="1" si="47"/>
        <v>0.13</v>
      </c>
      <c r="G171">
        <v>0</v>
      </c>
      <c r="H171">
        <v>0</v>
      </c>
      <c r="I171">
        <v>6</v>
      </c>
      <c r="J171" s="1">
        <f t="shared" ca="1" si="48"/>
        <v>0</v>
      </c>
      <c r="K171" s="1">
        <f t="shared" ca="1" si="49"/>
        <v>0</v>
      </c>
      <c r="L171" s="13">
        <f t="shared" ca="1" si="50"/>
        <v>114</v>
      </c>
      <c r="M171" s="7">
        <f t="shared" ca="1" si="51"/>
        <v>886</v>
      </c>
      <c r="N171" s="26">
        <f t="shared" ca="1" si="52"/>
        <v>4</v>
      </c>
      <c r="O171" s="44">
        <f t="shared" ca="1" si="53"/>
        <v>2.8621467101781541</v>
      </c>
      <c r="P171" s="44">
        <f t="shared" ca="1" si="54"/>
        <v>28.621467101781548</v>
      </c>
      <c r="Q171" s="44">
        <f t="shared" ca="1" si="55"/>
        <v>28.621467101781548</v>
      </c>
      <c r="R171" s="44">
        <f t="shared" ca="1" si="56"/>
        <v>2.8621467101781546</v>
      </c>
      <c r="S171" s="44">
        <f t="shared" ca="1" si="57"/>
        <v>2.8621467101781541</v>
      </c>
      <c r="T171" s="4">
        <f t="shared" ca="1" si="58"/>
        <v>0</v>
      </c>
      <c r="U171" s="120">
        <f t="shared" ca="1" si="59"/>
        <v>1609.6385655333725</v>
      </c>
      <c r="V171" s="4">
        <f t="shared" ca="1" si="60"/>
        <v>0</v>
      </c>
      <c r="W171" s="13">
        <f t="shared" ca="1" si="61"/>
        <v>14045.400000000001</v>
      </c>
      <c r="X171" s="4">
        <f t="shared" ca="1" si="62"/>
        <v>0</v>
      </c>
      <c r="Y171" s="4">
        <f t="shared" si="63"/>
        <v>0</v>
      </c>
      <c r="Z171" s="13">
        <f t="shared" ca="1" si="64"/>
        <v>14045.400000000001</v>
      </c>
      <c r="AA171" s="4">
        <f t="shared" ca="1" si="65"/>
        <v>0</v>
      </c>
      <c r="AE171" s="4"/>
    </row>
    <row r="172" spans="1:31">
      <c r="A172">
        <v>1</v>
      </c>
      <c r="B172">
        <v>0</v>
      </c>
      <c r="C172">
        <f t="shared" ca="1" si="44"/>
        <v>2</v>
      </c>
      <c r="D172">
        <f t="shared" ca="1" si="45"/>
        <v>1</v>
      </c>
      <c r="E172">
        <f t="shared" ca="1" si="46"/>
        <v>1</v>
      </c>
      <c r="F172" s="110">
        <f t="shared" ca="1" si="47"/>
        <v>0.13</v>
      </c>
      <c r="G172">
        <v>0</v>
      </c>
      <c r="H172">
        <v>0</v>
      </c>
      <c r="I172">
        <v>5</v>
      </c>
      <c r="J172" s="1">
        <f t="shared" ca="1" si="48"/>
        <v>0</v>
      </c>
      <c r="K172" s="1">
        <f t="shared" ca="1" si="49"/>
        <v>0</v>
      </c>
      <c r="L172" s="13">
        <f t="shared" ca="1" si="50"/>
        <v>95</v>
      </c>
      <c r="M172" s="7">
        <f t="shared" ca="1" si="51"/>
        <v>905</v>
      </c>
      <c r="N172" s="26">
        <f t="shared" ca="1" si="52"/>
        <v>4</v>
      </c>
      <c r="O172" s="44">
        <f t="shared" ca="1" si="53"/>
        <v>2.8621467101781541</v>
      </c>
      <c r="P172" s="44">
        <f t="shared" ca="1" si="54"/>
        <v>28.621467101781548</v>
      </c>
      <c r="Q172" s="44">
        <f t="shared" ca="1" si="55"/>
        <v>28.621467101781548</v>
      </c>
      <c r="R172" s="44">
        <f t="shared" ca="1" si="56"/>
        <v>2.8621467101781546</v>
      </c>
      <c r="S172" s="44">
        <f t="shared" ca="1" si="57"/>
        <v>2.8621467101781541</v>
      </c>
      <c r="T172" s="4">
        <f t="shared" ca="1" si="58"/>
        <v>0</v>
      </c>
      <c r="U172" s="120">
        <f t="shared" ca="1" si="59"/>
        <v>1590.6385655333725</v>
      </c>
      <c r="V172" s="4">
        <f t="shared" ca="1" si="60"/>
        <v>0</v>
      </c>
      <c r="W172" s="13">
        <f t="shared" ca="1" si="61"/>
        <v>11704.5</v>
      </c>
      <c r="X172" s="4">
        <f t="shared" ca="1" si="62"/>
        <v>0</v>
      </c>
      <c r="Y172" s="4">
        <f t="shared" si="63"/>
        <v>0</v>
      </c>
      <c r="Z172" s="13">
        <f t="shared" ca="1" si="64"/>
        <v>11704.5</v>
      </c>
      <c r="AA172" s="4">
        <f t="shared" ca="1" si="65"/>
        <v>0</v>
      </c>
      <c r="AE172" s="4"/>
    </row>
    <row r="173" spans="1:31">
      <c r="A173">
        <v>1</v>
      </c>
      <c r="B173">
        <v>0</v>
      </c>
      <c r="C173">
        <f t="shared" ca="1" si="44"/>
        <v>2</v>
      </c>
      <c r="D173">
        <f t="shared" ca="1" si="45"/>
        <v>1</v>
      </c>
      <c r="E173">
        <f t="shared" ca="1" si="46"/>
        <v>1</v>
      </c>
      <c r="F173" s="110">
        <f t="shared" ca="1" si="47"/>
        <v>0.13</v>
      </c>
      <c r="G173">
        <v>0</v>
      </c>
      <c r="H173">
        <v>0</v>
      </c>
      <c r="I173">
        <v>4</v>
      </c>
      <c r="J173" s="1">
        <f t="shared" ca="1" si="48"/>
        <v>0</v>
      </c>
      <c r="K173" s="1">
        <f t="shared" ca="1" si="49"/>
        <v>0</v>
      </c>
      <c r="L173" s="13">
        <f t="shared" ca="1" si="50"/>
        <v>76</v>
      </c>
      <c r="M173" s="7">
        <f t="shared" ca="1" si="51"/>
        <v>924</v>
      </c>
      <c r="N173" s="26">
        <f t="shared" ca="1" si="52"/>
        <v>4</v>
      </c>
      <c r="O173" s="44">
        <f t="shared" ca="1" si="53"/>
        <v>2.8621467101781541</v>
      </c>
      <c r="P173" s="44">
        <f t="shared" ca="1" si="54"/>
        <v>28.621467101781548</v>
      </c>
      <c r="Q173" s="44">
        <f t="shared" ca="1" si="55"/>
        <v>28.621467101781548</v>
      </c>
      <c r="R173" s="44">
        <f t="shared" ca="1" si="56"/>
        <v>2.8621467101781546</v>
      </c>
      <c r="S173" s="44">
        <f t="shared" ca="1" si="57"/>
        <v>2.8621467101781541</v>
      </c>
      <c r="T173" s="4">
        <f t="shared" ca="1" si="58"/>
        <v>0</v>
      </c>
      <c r="U173" s="120">
        <f t="shared" ca="1" si="59"/>
        <v>1571.6385655333725</v>
      </c>
      <c r="V173" s="4">
        <f t="shared" ca="1" si="60"/>
        <v>0</v>
      </c>
      <c r="W173" s="13">
        <f t="shared" ca="1" si="61"/>
        <v>9363.6</v>
      </c>
      <c r="X173" s="4">
        <f t="shared" ca="1" si="62"/>
        <v>0</v>
      </c>
      <c r="Y173" s="4">
        <f t="shared" si="63"/>
        <v>0</v>
      </c>
      <c r="Z173" s="13">
        <f t="shared" ca="1" si="64"/>
        <v>9363.6</v>
      </c>
      <c r="AA173" s="4">
        <f t="shared" ca="1" si="65"/>
        <v>0</v>
      </c>
      <c r="AE173" s="4"/>
    </row>
    <row r="174" spans="1:31">
      <c r="A174">
        <v>1</v>
      </c>
      <c r="B174">
        <v>0</v>
      </c>
      <c r="C174">
        <f t="shared" ca="1" si="44"/>
        <v>2</v>
      </c>
      <c r="D174">
        <f t="shared" ca="1" si="45"/>
        <v>1</v>
      </c>
      <c r="E174">
        <f t="shared" ca="1" si="46"/>
        <v>1</v>
      </c>
      <c r="F174" s="110">
        <f t="shared" ca="1" si="47"/>
        <v>0.13</v>
      </c>
      <c r="G174">
        <v>0</v>
      </c>
      <c r="H174">
        <v>0</v>
      </c>
      <c r="I174">
        <v>3</v>
      </c>
      <c r="J174" s="1">
        <f t="shared" ca="1" si="48"/>
        <v>0</v>
      </c>
      <c r="K174" s="1">
        <f t="shared" ca="1" si="49"/>
        <v>0</v>
      </c>
      <c r="L174" s="13">
        <f t="shared" ca="1" si="50"/>
        <v>57</v>
      </c>
      <c r="M174" s="7">
        <f t="shared" ca="1" si="51"/>
        <v>943</v>
      </c>
      <c r="N174" s="26">
        <f t="shared" ca="1" si="52"/>
        <v>4</v>
      </c>
      <c r="O174" s="44">
        <f t="shared" ca="1" si="53"/>
        <v>2.8621467101781541</v>
      </c>
      <c r="P174" s="44">
        <f t="shared" ca="1" si="54"/>
        <v>28.621467101781548</v>
      </c>
      <c r="Q174" s="44">
        <f t="shared" ca="1" si="55"/>
        <v>28.621467101781548</v>
      </c>
      <c r="R174" s="44">
        <f t="shared" ca="1" si="56"/>
        <v>2.8621467101781546</v>
      </c>
      <c r="S174" s="44">
        <f t="shared" ca="1" si="57"/>
        <v>2.8621467101781541</v>
      </c>
      <c r="T174" s="4">
        <f t="shared" ca="1" si="58"/>
        <v>0</v>
      </c>
      <c r="U174" s="120">
        <f t="shared" ca="1" si="59"/>
        <v>1552.6385655333725</v>
      </c>
      <c r="V174" s="4">
        <f t="shared" ca="1" si="60"/>
        <v>0</v>
      </c>
      <c r="W174" s="13">
        <f t="shared" ca="1" si="61"/>
        <v>7022.7000000000007</v>
      </c>
      <c r="X174" s="4">
        <f t="shared" ca="1" si="62"/>
        <v>0</v>
      </c>
      <c r="Y174" s="4">
        <f t="shared" si="63"/>
        <v>0</v>
      </c>
      <c r="Z174" s="13">
        <f t="shared" ca="1" si="64"/>
        <v>7022.7000000000007</v>
      </c>
      <c r="AA174" s="4">
        <f t="shared" ca="1" si="65"/>
        <v>0</v>
      </c>
      <c r="AE174" s="4"/>
    </row>
    <row r="175" spans="1:31">
      <c r="A175">
        <v>1</v>
      </c>
      <c r="B175">
        <v>0</v>
      </c>
      <c r="C175">
        <f t="shared" ca="1" si="44"/>
        <v>2</v>
      </c>
      <c r="D175">
        <f t="shared" ca="1" si="45"/>
        <v>1</v>
      </c>
      <c r="E175">
        <f t="shared" ca="1" si="46"/>
        <v>1</v>
      </c>
      <c r="F175" s="110">
        <f t="shared" ca="1" si="47"/>
        <v>0.13</v>
      </c>
      <c r="G175">
        <v>0</v>
      </c>
      <c r="H175">
        <v>0</v>
      </c>
      <c r="I175">
        <v>2</v>
      </c>
      <c r="J175" s="1">
        <f t="shared" ca="1" si="48"/>
        <v>0</v>
      </c>
      <c r="K175" s="1">
        <f t="shared" ca="1" si="49"/>
        <v>0</v>
      </c>
      <c r="L175" s="13">
        <f t="shared" ca="1" si="50"/>
        <v>38</v>
      </c>
      <c r="M175" s="7">
        <f t="shared" ca="1" si="51"/>
        <v>962</v>
      </c>
      <c r="N175" s="26">
        <f t="shared" ca="1" si="52"/>
        <v>4</v>
      </c>
      <c r="O175" s="44">
        <f t="shared" ca="1" si="53"/>
        <v>2.8621467101781541</v>
      </c>
      <c r="P175" s="44">
        <f t="shared" ca="1" si="54"/>
        <v>28.621467101781548</v>
      </c>
      <c r="Q175" s="44">
        <f t="shared" ca="1" si="55"/>
        <v>28.621467101781548</v>
      </c>
      <c r="R175" s="44">
        <f t="shared" ca="1" si="56"/>
        <v>2.8621467101781546</v>
      </c>
      <c r="S175" s="44">
        <f t="shared" ca="1" si="57"/>
        <v>2.8621467101781541</v>
      </c>
      <c r="T175" s="4">
        <f t="shared" ca="1" si="58"/>
        <v>0</v>
      </c>
      <c r="U175" s="120">
        <f t="shared" ca="1" si="59"/>
        <v>1533.6385655333725</v>
      </c>
      <c r="V175" s="4">
        <f t="shared" ca="1" si="60"/>
        <v>0</v>
      </c>
      <c r="W175" s="13">
        <f t="shared" ca="1" si="61"/>
        <v>4681.8</v>
      </c>
      <c r="X175" s="4">
        <f t="shared" ca="1" si="62"/>
        <v>0</v>
      </c>
      <c r="Y175" s="4">
        <f t="shared" si="63"/>
        <v>0</v>
      </c>
      <c r="Z175" s="13">
        <f t="shared" ca="1" si="64"/>
        <v>4681.8</v>
      </c>
      <c r="AA175" s="4">
        <f t="shared" ca="1" si="65"/>
        <v>0</v>
      </c>
      <c r="AE175" s="4"/>
    </row>
    <row r="176" spans="1:31">
      <c r="A176">
        <v>1</v>
      </c>
      <c r="B176">
        <v>0</v>
      </c>
      <c r="C176">
        <f t="shared" ca="1" si="44"/>
        <v>2</v>
      </c>
      <c r="D176">
        <f t="shared" ca="1" si="45"/>
        <v>1</v>
      </c>
      <c r="E176">
        <f t="shared" ca="1" si="46"/>
        <v>1</v>
      </c>
      <c r="F176" s="110">
        <f t="shared" ca="1" si="47"/>
        <v>0.13</v>
      </c>
      <c r="G176">
        <v>0</v>
      </c>
      <c r="H176">
        <v>0</v>
      </c>
      <c r="I176">
        <v>1</v>
      </c>
      <c r="J176" s="1">
        <f t="shared" ca="1" si="48"/>
        <v>4.3750000000000004E-2</v>
      </c>
      <c r="K176" s="1">
        <f t="shared" ca="1" si="49"/>
        <v>5.6875000000000007E-3</v>
      </c>
      <c r="L176" s="13">
        <f t="shared" ca="1" si="50"/>
        <v>19</v>
      </c>
      <c r="M176" s="7">
        <f t="shared" ca="1" si="51"/>
        <v>981</v>
      </c>
      <c r="N176" s="26">
        <f t="shared" ca="1" si="52"/>
        <v>4</v>
      </c>
      <c r="O176" s="44">
        <f t="shared" ca="1" si="53"/>
        <v>2.8621467101781541</v>
      </c>
      <c r="P176" s="44">
        <f t="shared" ca="1" si="54"/>
        <v>28.621467101781548</v>
      </c>
      <c r="Q176" s="44">
        <f t="shared" ca="1" si="55"/>
        <v>28.621467101781548</v>
      </c>
      <c r="R176" s="44">
        <f t="shared" ca="1" si="56"/>
        <v>2.8621467101781546</v>
      </c>
      <c r="S176" s="44">
        <f t="shared" ca="1" si="57"/>
        <v>2.8621467101781541</v>
      </c>
      <c r="T176" s="4">
        <f t="shared" ca="1" si="58"/>
        <v>1.6278459414138254E-2</v>
      </c>
      <c r="U176" s="120">
        <f t="shared" ca="1" si="59"/>
        <v>1514.6385655333725</v>
      </c>
      <c r="V176" s="4">
        <f t="shared" ca="1" si="60"/>
        <v>8.6145068414710568</v>
      </c>
      <c r="W176" s="13">
        <f t="shared" ca="1" si="61"/>
        <v>2340.9</v>
      </c>
      <c r="X176" s="4">
        <f t="shared" ca="1" si="62"/>
        <v>13.313868750000003</v>
      </c>
      <c r="Y176" s="4">
        <f t="shared" si="63"/>
        <v>0</v>
      </c>
      <c r="Z176" s="13">
        <f t="shared" ca="1" si="64"/>
        <v>2340.9</v>
      </c>
      <c r="AA176" s="4">
        <f t="shared" ca="1" si="65"/>
        <v>13.313868750000003</v>
      </c>
      <c r="AE176" s="4"/>
    </row>
    <row r="177" spans="1:31">
      <c r="A177">
        <v>1</v>
      </c>
      <c r="B177">
        <v>0</v>
      </c>
      <c r="C177">
        <f t="shared" ca="1" si="44"/>
        <v>2</v>
      </c>
      <c r="D177">
        <f t="shared" ca="1" si="45"/>
        <v>1</v>
      </c>
      <c r="E177">
        <f t="shared" ca="1" si="46"/>
        <v>1</v>
      </c>
      <c r="F177" s="110">
        <f t="shared" ca="1" si="47"/>
        <v>0.13</v>
      </c>
      <c r="G177">
        <v>0</v>
      </c>
      <c r="H177">
        <v>0</v>
      </c>
      <c r="I177">
        <v>0</v>
      </c>
      <c r="J177" s="1">
        <f t="shared" ca="1" si="48"/>
        <v>6.2500000000000003E-3</v>
      </c>
      <c r="K177" s="1">
        <f t="shared" ca="1" si="49"/>
        <v>8.1250000000000007E-4</v>
      </c>
      <c r="L177" s="13">
        <f t="shared" ca="1" si="50"/>
        <v>0</v>
      </c>
      <c r="M177" s="7">
        <f t="shared" ca="1" si="51"/>
        <v>1000</v>
      </c>
      <c r="N177" s="26">
        <f t="shared" ca="1" si="52"/>
        <v>4</v>
      </c>
      <c r="O177" s="44">
        <f t="shared" ca="1" si="53"/>
        <v>2.8621467101781541</v>
      </c>
      <c r="P177" s="44">
        <f t="shared" ca="1" si="54"/>
        <v>28.621467101781548</v>
      </c>
      <c r="Q177" s="44">
        <f t="shared" ca="1" si="55"/>
        <v>28.621467101781548</v>
      </c>
      <c r="R177" s="44">
        <f t="shared" ca="1" si="56"/>
        <v>2.8621467101781546</v>
      </c>
      <c r="S177" s="44">
        <f t="shared" ca="1" si="57"/>
        <v>2.8621467101781541</v>
      </c>
      <c r="T177" s="4">
        <f t="shared" ca="1" si="58"/>
        <v>2.3254942020197503E-3</v>
      </c>
      <c r="U177" s="120">
        <f t="shared" ca="1" si="59"/>
        <v>1495.6385655333725</v>
      </c>
      <c r="V177" s="4">
        <f t="shared" ca="1" si="60"/>
        <v>1.2152063344958652</v>
      </c>
      <c r="W177" s="13">
        <f t="shared" ca="1" si="61"/>
        <v>0</v>
      </c>
      <c r="X177" s="4">
        <f t="shared" ca="1" si="62"/>
        <v>0</v>
      </c>
      <c r="Y177" s="4">
        <f t="shared" si="63"/>
        <v>0</v>
      </c>
      <c r="Z177" s="13">
        <f t="shared" ca="1" si="64"/>
        <v>0</v>
      </c>
      <c r="AA177" s="4">
        <f t="shared" ca="1" si="65"/>
        <v>0</v>
      </c>
      <c r="AE177" s="4"/>
    </row>
    <row r="178" spans="1:31">
      <c r="A178">
        <v>1</v>
      </c>
      <c r="B178">
        <v>1</v>
      </c>
      <c r="C178">
        <f t="shared" ca="1" si="44"/>
        <v>3</v>
      </c>
      <c r="D178">
        <f t="shared" ca="1" si="45"/>
        <v>2</v>
      </c>
      <c r="E178">
        <f t="shared" ca="1" si="46"/>
        <v>1</v>
      </c>
      <c r="F178" s="110">
        <f t="shared" ca="1" si="47"/>
        <v>0</v>
      </c>
      <c r="G178">
        <v>1</v>
      </c>
      <c r="H178">
        <v>1</v>
      </c>
      <c r="I178">
        <v>7</v>
      </c>
      <c r="J178" s="1">
        <f t="shared" ca="1" si="48"/>
        <v>0</v>
      </c>
      <c r="K178" s="1">
        <f t="shared" ca="1" si="49"/>
        <v>0</v>
      </c>
      <c r="L178" s="13">
        <f t="shared" ca="1" si="50"/>
        <v>615</v>
      </c>
      <c r="M178" s="7">
        <f t="shared" ca="1" si="51"/>
        <v>385</v>
      </c>
      <c r="N178" s="26">
        <f t="shared" ca="1" si="52"/>
        <v>2</v>
      </c>
      <c r="O178" s="44">
        <f t="shared" ca="1" si="53"/>
        <v>1.5762319669595739</v>
      </c>
      <c r="P178" s="44">
        <f t="shared" ca="1" si="54"/>
        <v>15.762319669595739</v>
      </c>
      <c r="Q178" s="44">
        <f t="shared" ca="1" si="55"/>
        <v>15.762319669595739</v>
      </c>
      <c r="R178" s="44">
        <f t="shared" ca="1" si="56"/>
        <v>1.5762319669595739</v>
      </c>
      <c r="S178" s="44">
        <f t="shared" ca="1" si="57"/>
        <v>1.5762319669595737</v>
      </c>
      <c r="T178" s="4">
        <f t="shared" ca="1" si="58"/>
        <v>0</v>
      </c>
      <c r="U178" s="120">
        <f t="shared" ca="1" si="59"/>
        <v>1538.885248288175</v>
      </c>
      <c r="V178" s="4">
        <f t="shared" ca="1" si="60"/>
        <v>0</v>
      </c>
      <c r="W178" s="13">
        <f t="shared" ca="1" si="61"/>
        <v>40973.706000000006</v>
      </c>
      <c r="X178" s="4">
        <f t="shared" ca="1" si="62"/>
        <v>0</v>
      </c>
      <c r="Y178" s="4">
        <f t="shared" si="63"/>
        <v>0</v>
      </c>
      <c r="Z178" s="13">
        <f t="shared" ca="1" si="64"/>
        <v>40973.706000000006</v>
      </c>
      <c r="AA178" s="4">
        <f t="shared" ca="1" si="65"/>
        <v>0</v>
      </c>
      <c r="AE178" s="4"/>
    </row>
    <row r="179" spans="1:31">
      <c r="A179">
        <v>1</v>
      </c>
      <c r="B179">
        <v>1</v>
      </c>
      <c r="C179">
        <f t="shared" ca="1" si="44"/>
        <v>3</v>
      </c>
      <c r="D179">
        <f t="shared" ca="1" si="45"/>
        <v>2</v>
      </c>
      <c r="E179">
        <f t="shared" ca="1" si="46"/>
        <v>1</v>
      </c>
      <c r="F179" s="110">
        <f t="shared" ca="1" si="47"/>
        <v>0</v>
      </c>
      <c r="G179">
        <v>1</v>
      </c>
      <c r="H179">
        <v>1</v>
      </c>
      <c r="I179">
        <v>6</v>
      </c>
      <c r="J179" s="1">
        <f t="shared" ca="1" si="48"/>
        <v>0</v>
      </c>
      <c r="K179" s="1">
        <f t="shared" ca="1" si="49"/>
        <v>0</v>
      </c>
      <c r="L179" s="13">
        <f t="shared" ca="1" si="50"/>
        <v>596</v>
      </c>
      <c r="M179" s="7">
        <f t="shared" ca="1" si="51"/>
        <v>404</v>
      </c>
      <c r="N179" s="26">
        <f t="shared" ca="1" si="52"/>
        <v>2</v>
      </c>
      <c r="O179" s="44">
        <f t="shared" ca="1" si="53"/>
        <v>1.5762319669595739</v>
      </c>
      <c r="P179" s="44">
        <f t="shared" ca="1" si="54"/>
        <v>15.762319669595739</v>
      </c>
      <c r="Q179" s="44">
        <f t="shared" ca="1" si="55"/>
        <v>15.762319669595739</v>
      </c>
      <c r="R179" s="44">
        <f t="shared" ca="1" si="56"/>
        <v>1.5762319669595739</v>
      </c>
      <c r="S179" s="44">
        <f t="shared" ca="1" si="57"/>
        <v>1.5762319669595737</v>
      </c>
      <c r="T179" s="4">
        <f t="shared" ca="1" si="58"/>
        <v>0</v>
      </c>
      <c r="U179" s="120">
        <f t="shared" ca="1" si="59"/>
        <v>1519.885248288175</v>
      </c>
      <c r="V179" s="4">
        <f t="shared" ca="1" si="60"/>
        <v>0</v>
      </c>
      <c r="W179" s="13">
        <f t="shared" ca="1" si="61"/>
        <v>38632.806000000004</v>
      </c>
      <c r="X179" s="4">
        <f t="shared" ca="1" si="62"/>
        <v>0</v>
      </c>
      <c r="Y179" s="4">
        <f t="shared" si="63"/>
        <v>0</v>
      </c>
      <c r="Z179" s="13">
        <f t="shared" ca="1" si="64"/>
        <v>38632.806000000004</v>
      </c>
      <c r="AA179" s="4">
        <f t="shared" ca="1" si="65"/>
        <v>0</v>
      </c>
      <c r="AE179" s="4"/>
    </row>
    <row r="180" spans="1:31">
      <c r="A180">
        <v>1</v>
      </c>
      <c r="B180">
        <v>1</v>
      </c>
      <c r="C180">
        <f t="shared" ca="1" si="44"/>
        <v>3</v>
      </c>
      <c r="D180">
        <f t="shared" ca="1" si="45"/>
        <v>2</v>
      </c>
      <c r="E180">
        <f t="shared" ca="1" si="46"/>
        <v>1</v>
      </c>
      <c r="F180" s="110">
        <f t="shared" ca="1" si="47"/>
        <v>0</v>
      </c>
      <c r="G180">
        <v>1</v>
      </c>
      <c r="H180">
        <v>1</v>
      </c>
      <c r="I180">
        <v>5</v>
      </c>
      <c r="J180" s="1">
        <f t="shared" ca="1" si="48"/>
        <v>0</v>
      </c>
      <c r="K180" s="1">
        <f t="shared" ca="1" si="49"/>
        <v>0</v>
      </c>
      <c r="L180" s="13">
        <f t="shared" ca="1" si="50"/>
        <v>577</v>
      </c>
      <c r="M180" s="7">
        <f t="shared" ca="1" si="51"/>
        <v>423</v>
      </c>
      <c r="N180" s="26">
        <f t="shared" ca="1" si="52"/>
        <v>2</v>
      </c>
      <c r="O180" s="44">
        <f t="shared" ca="1" si="53"/>
        <v>1.5762319669595739</v>
      </c>
      <c r="P180" s="44">
        <f t="shared" ca="1" si="54"/>
        <v>15.762319669595739</v>
      </c>
      <c r="Q180" s="44">
        <f t="shared" ca="1" si="55"/>
        <v>15.762319669595739</v>
      </c>
      <c r="R180" s="44">
        <f t="shared" ca="1" si="56"/>
        <v>1.5762319669595739</v>
      </c>
      <c r="S180" s="44">
        <f t="shared" ca="1" si="57"/>
        <v>1.5762319669595737</v>
      </c>
      <c r="T180" s="4">
        <f t="shared" ca="1" si="58"/>
        <v>0</v>
      </c>
      <c r="U180" s="120">
        <f t="shared" ca="1" si="59"/>
        <v>1500.885248288175</v>
      </c>
      <c r="V180" s="4">
        <f t="shared" ca="1" si="60"/>
        <v>0</v>
      </c>
      <c r="W180" s="13">
        <f t="shared" ca="1" si="61"/>
        <v>36291.906000000003</v>
      </c>
      <c r="X180" s="4">
        <f t="shared" ca="1" si="62"/>
        <v>0</v>
      </c>
      <c r="Y180" s="4">
        <f t="shared" si="63"/>
        <v>0</v>
      </c>
      <c r="Z180" s="13">
        <f t="shared" ca="1" si="64"/>
        <v>36291.906000000003</v>
      </c>
      <c r="AA180" s="4">
        <f t="shared" ca="1" si="65"/>
        <v>0</v>
      </c>
      <c r="AE180" s="4"/>
    </row>
    <row r="181" spans="1:31">
      <c r="A181">
        <v>1</v>
      </c>
      <c r="B181">
        <v>1</v>
      </c>
      <c r="C181">
        <f t="shared" ca="1" si="44"/>
        <v>3</v>
      </c>
      <c r="D181">
        <f t="shared" ca="1" si="45"/>
        <v>2</v>
      </c>
      <c r="E181">
        <f t="shared" ca="1" si="46"/>
        <v>1</v>
      </c>
      <c r="F181" s="110">
        <f t="shared" ca="1" si="47"/>
        <v>0</v>
      </c>
      <c r="G181">
        <v>1</v>
      </c>
      <c r="H181">
        <v>1</v>
      </c>
      <c r="I181">
        <v>4</v>
      </c>
      <c r="J181" s="1">
        <f t="shared" ca="1" si="48"/>
        <v>0</v>
      </c>
      <c r="K181" s="1">
        <f t="shared" ca="1" si="49"/>
        <v>0</v>
      </c>
      <c r="L181" s="13">
        <f t="shared" ca="1" si="50"/>
        <v>558</v>
      </c>
      <c r="M181" s="7">
        <f t="shared" ca="1" si="51"/>
        <v>442</v>
      </c>
      <c r="N181" s="26">
        <f t="shared" ca="1" si="52"/>
        <v>2</v>
      </c>
      <c r="O181" s="44">
        <f t="shared" ca="1" si="53"/>
        <v>1.5762319669595739</v>
      </c>
      <c r="P181" s="44">
        <f t="shared" ca="1" si="54"/>
        <v>15.762319669595739</v>
      </c>
      <c r="Q181" s="44">
        <f t="shared" ca="1" si="55"/>
        <v>15.762319669595739</v>
      </c>
      <c r="R181" s="44">
        <f t="shared" ca="1" si="56"/>
        <v>1.5762319669595739</v>
      </c>
      <c r="S181" s="44">
        <f t="shared" ca="1" si="57"/>
        <v>1.5762319669595737</v>
      </c>
      <c r="T181" s="4">
        <f t="shared" ca="1" si="58"/>
        <v>0</v>
      </c>
      <c r="U181" s="120">
        <f t="shared" ca="1" si="59"/>
        <v>1481.885248288175</v>
      </c>
      <c r="V181" s="4">
        <f t="shared" ca="1" si="60"/>
        <v>0</v>
      </c>
      <c r="W181" s="13">
        <f t="shared" ca="1" si="61"/>
        <v>33951.006000000001</v>
      </c>
      <c r="X181" s="4">
        <f t="shared" ca="1" si="62"/>
        <v>0</v>
      </c>
      <c r="Y181" s="4">
        <f t="shared" si="63"/>
        <v>0</v>
      </c>
      <c r="Z181" s="13">
        <f t="shared" ca="1" si="64"/>
        <v>33951.006000000001</v>
      </c>
      <c r="AA181" s="4">
        <f t="shared" ca="1" si="65"/>
        <v>0</v>
      </c>
      <c r="AE181" s="4"/>
    </row>
    <row r="182" spans="1:31">
      <c r="A182">
        <v>1</v>
      </c>
      <c r="B182">
        <v>1</v>
      </c>
      <c r="C182">
        <f t="shared" ca="1" si="44"/>
        <v>3</v>
      </c>
      <c r="D182">
        <f t="shared" ca="1" si="45"/>
        <v>2</v>
      </c>
      <c r="E182">
        <f t="shared" ca="1" si="46"/>
        <v>1</v>
      </c>
      <c r="F182" s="110">
        <f t="shared" ca="1" si="47"/>
        <v>0</v>
      </c>
      <c r="G182">
        <v>1</v>
      </c>
      <c r="H182">
        <v>1</v>
      </c>
      <c r="I182">
        <v>3</v>
      </c>
      <c r="J182" s="1">
        <f t="shared" ca="1" si="48"/>
        <v>0</v>
      </c>
      <c r="K182" s="1">
        <f t="shared" ca="1" si="49"/>
        <v>0</v>
      </c>
      <c r="L182" s="13">
        <f t="shared" ca="1" si="50"/>
        <v>539</v>
      </c>
      <c r="M182" s="7">
        <f t="shared" ca="1" si="51"/>
        <v>461</v>
      </c>
      <c r="N182" s="26">
        <f t="shared" ca="1" si="52"/>
        <v>2</v>
      </c>
      <c r="O182" s="44">
        <f t="shared" ca="1" si="53"/>
        <v>1.5762319669595739</v>
      </c>
      <c r="P182" s="44">
        <f t="shared" ca="1" si="54"/>
        <v>15.762319669595739</v>
      </c>
      <c r="Q182" s="44">
        <f t="shared" ca="1" si="55"/>
        <v>15.762319669595739</v>
      </c>
      <c r="R182" s="44">
        <f t="shared" ca="1" si="56"/>
        <v>1.5762319669595739</v>
      </c>
      <c r="S182" s="44">
        <f t="shared" ca="1" si="57"/>
        <v>1.5762319669595737</v>
      </c>
      <c r="T182" s="4">
        <f t="shared" ca="1" si="58"/>
        <v>0</v>
      </c>
      <c r="U182" s="120">
        <f t="shared" ca="1" si="59"/>
        <v>1462.885248288175</v>
      </c>
      <c r="V182" s="4">
        <f t="shared" ca="1" si="60"/>
        <v>0</v>
      </c>
      <c r="W182" s="13">
        <f t="shared" ca="1" si="61"/>
        <v>31610.106000000003</v>
      </c>
      <c r="X182" s="4">
        <f t="shared" ca="1" si="62"/>
        <v>0</v>
      </c>
      <c r="Y182" s="4">
        <f t="shared" si="63"/>
        <v>0</v>
      </c>
      <c r="Z182" s="13">
        <f t="shared" ca="1" si="64"/>
        <v>31610.106000000003</v>
      </c>
      <c r="AA182" s="4">
        <f t="shared" ca="1" si="65"/>
        <v>0</v>
      </c>
      <c r="AE182" s="4"/>
    </row>
    <row r="183" spans="1:31">
      <c r="A183">
        <v>1</v>
      </c>
      <c r="B183">
        <v>1</v>
      </c>
      <c r="C183">
        <f t="shared" ca="1" si="44"/>
        <v>3</v>
      </c>
      <c r="D183">
        <f t="shared" ca="1" si="45"/>
        <v>2</v>
      </c>
      <c r="E183">
        <f t="shared" ca="1" si="46"/>
        <v>1</v>
      </c>
      <c r="F183" s="110">
        <f t="shared" ca="1" si="47"/>
        <v>0</v>
      </c>
      <c r="G183">
        <v>1</v>
      </c>
      <c r="H183">
        <v>1</v>
      </c>
      <c r="I183">
        <v>2</v>
      </c>
      <c r="J183" s="1">
        <f t="shared" ca="1" si="48"/>
        <v>0</v>
      </c>
      <c r="K183" s="1">
        <f t="shared" ca="1" si="49"/>
        <v>0</v>
      </c>
      <c r="L183" s="13">
        <f t="shared" ca="1" si="50"/>
        <v>520</v>
      </c>
      <c r="M183" s="7">
        <f t="shared" ca="1" si="51"/>
        <v>480</v>
      </c>
      <c r="N183" s="26">
        <f t="shared" ca="1" si="52"/>
        <v>2</v>
      </c>
      <c r="O183" s="44">
        <f t="shared" ca="1" si="53"/>
        <v>1.5762319669595739</v>
      </c>
      <c r="P183" s="44">
        <f t="shared" ca="1" si="54"/>
        <v>15.762319669595739</v>
      </c>
      <c r="Q183" s="44">
        <f t="shared" ca="1" si="55"/>
        <v>15.762319669595739</v>
      </c>
      <c r="R183" s="44">
        <f t="shared" ca="1" si="56"/>
        <v>1.5762319669595739</v>
      </c>
      <c r="S183" s="44">
        <f t="shared" ca="1" si="57"/>
        <v>1.5762319669595737</v>
      </c>
      <c r="T183" s="4">
        <f t="shared" ca="1" si="58"/>
        <v>0</v>
      </c>
      <c r="U183" s="120">
        <f t="shared" ca="1" si="59"/>
        <v>1443.885248288175</v>
      </c>
      <c r="V183" s="4">
        <f t="shared" ca="1" si="60"/>
        <v>0</v>
      </c>
      <c r="W183" s="13">
        <f t="shared" ca="1" si="61"/>
        <v>29269.206000000002</v>
      </c>
      <c r="X183" s="4">
        <f t="shared" ca="1" si="62"/>
        <v>0</v>
      </c>
      <c r="Y183" s="4">
        <f t="shared" si="63"/>
        <v>0</v>
      </c>
      <c r="Z183" s="13">
        <f t="shared" ca="1" si="64"/>
        <v>29269.206000000002</v>
      </c>
      <c r="AA183" s="4">
        <f t="shared" ca="1" si="65"/>
        <v>0</v>
      </c>
      <c r="AE183" s="4"/>
    </row>
    <row r="184" spans="1:31">
      <c r="A184">
        <v>1</v>
      </c>
      <c r="B184">
        <v>1</v>
      </c>
      <c r="C184">
        <f t="shared" ca="1" si="44"/>
        <v>3</v>
      </c>
      <c r="D184">
        <f t="shared" ca="1" si="45"/>
        <v>2</v>
      </c>
      <c r="E184">
        <f t="shared" ca="1" si="46"/>
        <v>1</v>
      </c>
      <c r="F184" s="110">
        <f t="shared" ca="1" si="47"/>
        <v>0</v>
      </c>
      <c r="G184">
        <v>1</v>
      </c>
      <c r="H184">
        <v>1</v>
      </c>
      <c r="I184">
        <v>1</v>
      </c>
      <c r="J184" s="1">
        <f t="shared" ca="1" si="48"/>
        <v>0</v>
      </c>
      <c r="K184" s="1">
        <f t="shared" ca="1" si="49"/>
        <v>0</v>
      </c>
      <c r="L184" s="13">
        <f t="shared" ca="1" si="50"/>
        <v>501</v>
      </c>
      <c r="M184" s="7">
        <f t="shared" ca="1" si="51"/>
        <v>499</v>
      </c>
      <c r="N184" s="26">
        <f t="shared" ca="1" si="52"/>
        <v>2</v>
      </c>
      <c r="O184" s="44">
        <f t="shared" ca="1" si="53"/>
        <v>1.5762319669595739</v>
      </c>
      <c r="P184" s="44">
        <f t="shared" ca="1" si="54"/>
        <v>15.762319669595739</v>
      </c>
      <c r="Q184" s="44">
        <f t="shared" ca="1" si="55"/>
        <v>15.762319669595739</v>
      </c>
      <c r="R184" s="44">
        <f t="shared" ca="1" si="56"/>
        <v>1.5762319669595739</v>
      </c>
      <c r="S184" s="44">
        <f t="shared" ca="1" si="57"/>
        <v>1.5762319669595737</v>
      </c>
      <c r="T184" s="4">
        <f t="shared" ca="1" si="58"/>
        <v>0</v>
      </c>
      <c r="U184" s="120">
        <f t="shared" ca="1" si="59"/>
        <v>1424.885248288175</v>
      </c>
      <c r="V184" s="4">
        <f t="shared" ca="1" si="60"/>
        <v>0</v>
      </c>
      <c r="W184" s="13">
        <f t="shared" ca="1" si="61"/>
        <v>26928.306000000004</v>
      </c>
      <c r="X184" s="4">
        <f t="shared" ca="1" si="62"/>
        <v>0</v>
      </c>
      <c r="Y184" s="4">
        <f t="shared" si="63"/>
        <v>0</v>
      </c>
      <c r="Z184" s="13">
        <f t="shared" ca="1" si="64"/>
        <v>26928.306000000004</v>
      </c>
      <c r="AA184" s="4">
        <f t="shared" ca="1" si="65"/>
        <v>0</v>
      </c>
      <c r="AE184" s="4"/>
    </row>
    <row r="185" spans="1:31">
      <c r="A185">
        <v>1</v>
      </c>
      <c r="B185">
        <v>1</v>
      </c>
      <c r="C185">
        <f t="shared" ca="1" si="44"/>
        <v>3</v>
      </c>
      <c r="D185">
        <f t="shared" ca="1" si="45"/>
        <v>2</v>
      </c>
      <c r="E185">
        <f t="shared" ca="1" si="46"/>
        <v>1</v>
      </c>
      <c r="F185" s="110">
        <f t="shared" ca="1" si="47"/>
        <v>0</v>
      </c>
      <c r="G185">
        <v>1</v>
      </c>
      <c r="H185">
        <v>1</v>
      </c>
      <c r="I185">
        <v>0</v>
      </c>
      <c r="J185" s="1">
        <f t="shared" ca="1" si="48"/>
        <v>0</v>
      </c>
      <c r="K185" s="1">
        <f t="shared" ca="1" si="49"/>
        <v>0</v>
      </c>
      <c r="L185" s="13">
        <f t="shared" ca="1" si="50"/>
        <v>482</v>
      </c>
      <c r="M185" s="7">
        <f t="shared" ca="1" si="51"/>
        <v>518</v>
      </c>
      <c r="N185" s="26">
        <f t="shared" ca="1" si="52"/>
        <v>2</v>
      </c>
      <c r="O185" s="44">
        <f t="shared" ca="1" si="53"/>
        <v>1.5762319669595739</v>
      </c>
      <c r="P185" s="44">
        <f t="shared" ca="1" si="54"/>
        <v>15.762319669595739</v>
      </c>
      <c r="Q185" s="44">
        <f t="shared" ca="1" si="55"/>
        <v>15.762319669595739</v>
      </c>
      <c r="R185" s="44">
        <f t="shared" ca="1" si="56"/>
        <v>1.5762319669595739</v>
      </c>
      <c r="S185" s="44">
        <f t="shared" ca="1" si="57"/>
        <v>1.5762319669595737</v>
      </c>
      <c r="T185" s="4">
        <f t="shared" ca="1" si="58"/>
        <v>0</v>
      </c>
      <c r="U185" s="120">
        <f t="shared" ca="1" si="59"/>
        <v>1405.885248288175</v>
      </c>
      <c r="V185" s="4">
        <f t="shared" ca="1" si="60"/>
        <v>0</v>
      </c>
      <c r="W185" s="13">
        <f t="shared" ca="1" si="61"/>
        <v>24587.406000000003</v>
      </c>
      <c r="X185" s="4">
        <f t="shared" ca="1" si="62"/>
        <v>0</v>
      </c>
      <c r="Y185" s="4">
        <f t="shared" si="63"/>
        <v>0</v>
      </c>
      <c r="Z185" s="13">
        <f t="shared" ca="1" si="64"/>
        <v>24587.406000000003</v>
      </c>
      <c r="AA185" s="4">
        <f t="shared" ca="1" si="65"/>
        <v>0</v>
      </c>
      <c r="AE185" s="4"/>
    </row>
    <row r="186" spans="1:31">
      <c r="A186">
        <v>1</v>
      </c>
      <c r="B186">
        <v>1</v>
      </c>
      <c r="C186">
        <f t="shared" ca="1" si="44"/>
        <v>3</v>
      </c>
      <c r="D186">
        <f t="shared" ca="1" si="45"/>
        <v>2</v>
      </c>
      <c r="E186">
        <f t="shared" ca="1" si="46"/>
        <v>1</v>
      </c>
      <c r="F186" s="110">
        <f t="shared" ca="1" si="47"/>
        <v>0</v>
      </c>
      <c r="G186">
        <v>1</v>
      </c>
      <c r="H186">
        <v>0</v>
      </c>
      <c r="I186">
        <v>7</v>
      </c>
      <c r="J186" s="1">
        <f t="shared" ca="1" si="48"/>
        <v>0</v>
      </c>
      <c r="K186" s="1">
        <f t="shared" ca="1" si="49"/>
        <v>0</v>
      </c>
      <c r="L186" s="13">
        <f t="shared" ca="1" si="50"/>
        <v>374</v>
      </c>
      <c r="M186" s="7">
        <f t="shared" ca="1" si="51"/>
        <v>626</v>
      </c>
      <c r="N186" s="26">
        <f t="shared" ca="1" si="52"/>
        <v>3</v>
      </c>
      <c r="O186" s="44">
        <f t="shared" ca="1" si="53"/>
        <v>2.2442427272544552</v>
      </c>
      <c r="P186" s="44">
        <f t="shared" ca="1" si="54"/>
        <v>22.442427272544553</v>
      </c>
      <c r="Q186" s="44">
        <f t="shared" ca="1" si="55"/>
        <v>22.442427272544553</v>
      </c>
      <c r="R186" s="44">
        <f t="shared" ca="1" si="56"/>
        <v>2.2442427272544552</v>
      </c>
      <c r="S186" s="44">
        <f t="shared" ca="1" si="57"/>
        <v>2.2442427272544552</v>
      </c>
      <c r="T186" s="4">
        <f t="shared" ca="1" si="58"/>
        <v>0</v>
      </c>
      <c r="U186" s="120">
        <f t="shared" ca="1" si="59"/>
        <v>1594.901337549361</v>
      </c>
      <c r="V186" s="4">
        <f t="shared" ca="1" si="60"/>
        <v>0</v>
      </c>
      <c r="W186" s="13">
        <f t="shared" ca="1" si="61"/>
        <v>40973.706000000006</v>
      </c>
      <c r="X186" s="4">
        <f t="shared" ca="1" si="62"/>
        <v>0</v>
      </c>
      <c r="Y186" s="4">
        <f t="shared" si="63"/>
        <v>0</v>
      </c>
      <c r="Z186" s="13">
        <f t="shared" ca="1" si="64"/>
        <v>40973.706000000006</v>
      </c>
      <c r="AA186" s="4">
        <f t="shared" ca="1" si="65"/>
        <v>0</v>
      </c>
      <c r="AE186" s="4"/>
    </row>
    <row r="187" spans="1:31">
      <c r="A187">
        <v>1</v>
      </c>
      <c r="B187">
        <v>1</v>
      </c>
      <c r="C187">
        <f t="shared" ca="1" si="44"/>
        <v>3</v>
      </c>
      <c r="D187">
        <f t="shared" ca="1" si="45"/>
        <v>2</v>
      </c>
      <c r="E187">
        <f t="shared" ca="1" si="46"/>
        <v>1</v>
      </c>
      <c r="F187" s="110">
        <f t="shared" ca="1" si="47"/>
        <v>0</v>
      </c>
      <c r="G187">
        <v>1</v>
      </c>
      <c r="H187">
        <v>0</v>
      </c>
      <c r="I187">
        <v>6</v>
      </c>
      <c r="J187" s="1">
        <f t="shared" ca="1" si="48"/>
        <v>0</v>
      </c>
      <c r="K187" s="1">
        <f t="shared" ca="1" si="49"/>
        <v>0</v>
      </c>
      <c r="L187" s="13">
        <f t="shared" ca="1" si="50"/>
        <v>355</v>
      </c>
      <c r="M187" s="7">
        <f t="shared" ca="1" si="51"/>
        <v>645</v>
      </c>
      <c r="N187" s="26">
        <f t="shared" ca="1" si="52"/>
        <v>3</v>
      </c>
      <c r="O187" s="44">
        <f t="shared" ca="1" si="53"/>
        <v>2.2442427272544552</v>
      </c>
      <c r="P187" s="44">
        <f t="shared" ca="1" si="54"/>
        <v>22.442427272544553</v>
      </c>
      <c r="Q187" s="44">
        <f t="shared" ca="1" si="55"/>
        <v>22.442427272544553</v>
      </c>
      <c r="R187" s="44">
        <f t="shared" ca="1" si="56"/>
        <v>2.2442427272544552</v>
      </c>
      <c r="S187" s="44">
        <f t="shared" ca="1" si="57"/>
        <v>2.2442427272544552</v>
      </c>
      <c r="T187" s="4">
        <f t="shared" ca="1" si="58"/>
        <v>0</v>
      </c>
      <c r="U187" s="120">
        <f t="shared" ca="1" si="59"/>
        <v>1575.901337549361</v>
      </c>
      <c r="V187" s="4">
        <f t="shared" ca="1" si="60"/>
        <v>0</v>
      </c>
      <c r="W187" s="13">
        <f t="shared" ca="1" si="61"/>
        <v>38632.806000000004</v>
      </c>
      <c r="X187" s="4">
        <f t="shared" ca="1" si="62"/>
        <v>0</v>
      </c>
      <c r="Y187" s="4">
        <f t="shared" si="63"/>
        <v>0</v>
      </c>
      <c r="Z187" s="13">
        <f t="shared" ca="1" si="64"/>
        <v>38632.806000000004</v>
      </c>
      <c r="AA187" s="4">
        <f t="shared" ca="1" si="65"/>
        <v>0</v>
      </c>
      <c r="AE187" s="4"/>
    </row>
    <row r="188" spans="1:31">
      <c r="A188">
        <v>1</v>
      </c>
      <c r="B188">
        <v>1</v>
      </c>
      <c r="C188">
        <f t="shared" ca="1" si="44"/>
        <v>3</v>
      </c>
      <c r="D188">
        <f t="shared" ca="1" si="45"/>
        <v>2</v>
      </c>
      <c r="E188">
        <f t="shared" ca="1" si="46"/>
        <v>1</v>
      </c>
      <c r="F188" s="110">
        <f t="shared" ca="1" si="47"/>
        <v>0</v>
      </c>
      <c r="G188">
        <v>1</v>
      </c>
      <c r="H188">
        <v>0</v>
      </c>
      <c r="I188">
        <v>5</v>
      </c>
      <c r="J188" s="1">
        <f t="shared" ca="1" si="48"/>
        <v>0</v>
      </c>
      <c r="K188" s="1">
        <f t="shared" ca="1" si="49"/>
        <v>0</v>
      </c>
      <c r="L188" s="13">
        <f t="shared" ca="1" si="50"/>
        <v>336</v>
      </c>
      <c r="M188" s="7">
        <f t="shared" ca="1" si="51"/>
        <v>664</v>
      </c>
      <c r="N188" s="26">
        <f t="shared" ca="1" si="52"/>
        <v>3</v>
      </c>
      <c r="O188" s="44">
        <f t="shared" ca="1" si="53"/>
        <v>2.2442427272544552</v>
      </c>
      <c r="P188" s="44">
        <f t="shared" ca="1" si="54"/>
        <v>22.442427272544553</v>
      </c>
      <c r="Q188" s="44">
        <f t="shared" ca="1" si="55"/>
        <v>22.442427272544553</v>
      </c>
      <c r="R188" s="44">
        <f t="shared" ca="1" si="56"/>
        <v>2.2442427272544552</v>
      </c>
      <c r="S188" s="44">
        <f t="shared" ca="1" si="57"/>
        <v>2.2442427272544552</v>
      </c>
      <c r="T188" s="4">
        <f t="shared" ca="1" si="58"/>
        <v>0</v>
      </c>
      <c r="U188" s="120">
        <f t="shared" ca="1" si="59"/>
        <v>1556.901337549361</v>
      </c>
      <c r="V188" s="4">
        <f t="shared" ca="1" si="60"/>
        <v>0</v>
      </c>
      <c r="W188" s="13">
        <f t="shared" ca="1" si="61"/>
        <v>36291.906000000003</v>
      </c>
      <c r="X188" s="4">
        <f t="shared" ca="1" si="62"/>
        <v>0</v>
      </c>
      <c r="Y188" s="4">
        <f t="shared" si="63"/>
        <v>0</v>
      </c>
      <c r="Z188" s="13">
        <f t="shared" ca="1" si="64"/>
        <v>36291.906000000003</v>
      </c>
      <c r="AA188" s="4">
        <f t="shared" ca="1" si="65"/>
        <v>0</v>
      </c>
      <c r="AE188" s="4"/>
    </row>
    <row r="189" spans="1:31">
      <c r="A189">
        <v>1</v>
      </c>
      <c r="B189">
        <v>1</v>
      </c>
      <c r="C189">
        <f t="shared" ca="1" si="44"/>
        <v>3</v>
      </c>
      <c r="D189">
        <f t="shared" ca="1" si="45"/>
        <v>2</v>
      </c>
      <c r="E189">
        <f t="shared" ca="1" si="46"/>
        <v>1</v>
      </c>
      <c r="F189" s="110">
        <f t="shared" ca="1" si="47"/>
        <v>0</v>
      </c>
      <c r="G189">
        <v>1</v>
      </c>
      <c r="H189">
        <v>0</v>
      </c>
      <c r="I189">
        <v>4</v>
      </c>
      <c r="J189" s="1">
        <f t="shared" ca="1" si="48"/>
        <v>0</v>
      </c>
      <c r="K189" s="1">
        <f t="shared" ca="1" si="49"/>
        <v>0</v>
      </c>
      <c r="L189" s="13">
        <f t="shared" ca="1" si="50"/>
        <v>317</v>
      </c>
      <c r="M189" s="7">
        <f t="shared" ca="1" si="51"/>
        <v>683</v>
      </c>
      <c r="N189" s="26">
        <f t="shared" ca="1" si="52"/>
        <v>3</v>
      </c>
      <c r="O189" s="44">
        <f t="shared" ca="1" si="53"/>
        <v>2.2442427272544552</v>
      </c>
      <c r="P189" s="44">
        <f t="shared" ca="1" si="54"/>
        <v>22.442427272544553</v>
      </c>
      <c r="Q189" s="44">
        <f t="shared" ca="1" si="55"/>
        <v>22.442427272544553</v>
      </c>
      <c r="R189" s="44">
        <f t="shared" ca="1" si="56"/>
        <v>2.2442427272544552</v>
      </c>
      <c r="S189" s="44">
        <f t="shared" ca="1" si="57"/>
        <v>2.2442427272544552</v>
      </c>
      <c r="T189" s="4">
        <f t="shared" ca="1" si="58"/>
        <v>0</v>
      </c>
      <c r="U189" s="120">
        <f t="shared" ca="1" si="59"/>
        <v>1537.901337549361</v>
      </c>
      <c r="V189" s="4">
        <f t="shared" ca="1" si="60"/>
        <v>0</v>
      </c>
      <c r="W189" s="13">
        <f t="shared" ca="1" si="61"/>
        <v>33951.006000000001</v>
      </c>
      <c r="X189" s="4">
        <f t="shared" ca="1" si="62"/>
        <v>0</v>
      </c>
      <c r="Y189" s="4">
        <f t="shared" si="63"/>
        <v>0</v>
      </c>
      <c r="Z189" s="13">
        <f t="shared" ca="1" si="64"/>
        <v>33951.006000000001</v>
      </c>
      <c r="AA189" s="4">
        <f t="shared" ca="1" si="65"/>
        <v>0</v>
      </c>
      <c r="AE189" s="4"/>
    </row>
    <row r="190" spans="1:31">
      <c r="A190">
        <v>1</v>
      </c>
      <c r="B190">
        <v>1</v>
      </c>
      <c r="C190">
        <f t="shared" ca="1" si="44"/>
        <v>3</v>
      </c>
      <c r="D190">
        <f t="shared" ca="1" si="45"/>
        <v>2</v>
      </c>
      <c r="E190">
        <f t="shared" ca="1" si="46"/>
        <v>1</v>
      </c>
      <c r="F190" s="110">
        <f t="shared" ca="1" si="47"/>
        <v>0</v>
      </c>
      <c r="G190">
        <v>1</v>
      </c>
      <c r="H190">
        <v>0</v>
      </c>
      <c r="I190">
        <v>3</v>
      </c>
      <c r="J190" s="1">
        <f t="shared" ca="1" si="48"/>
        <v>0</v>
      </c>
      <c r="K190" s="1">
        <f t="shared" ca="1" si="49"/>
        <v>0</v>
      </c>
      <c r="L190" s="13">
        <f t="shared" ca="1" si="50"/>
        <v>298</v>
      </c>
      <c r="M190" s="7">
        <f t="shared" ca="1" si="51"/>
        <v>702</v>
      </c>
      <c r="N190" s="26">
        <f t="shared" ca="1" si="52"/>
        <v>3</v>
      </c>
      <c r="O190" s="44">
        <f t="shared" ca="1" si="53"/>
        <v>2.2442427272544552</v>
      </c>
      <c r="P190" s="44">
        <f t="shared" ca="1" si="54"/>
        <v>22.442427272544553</v>
      </c>
      <c r="Q190" s="44">
        <f t="shared" ca="1" si="55"/>
        <v>22.442427272544553</v>
      </c>
      <c r="R190" s="44">
        <f t="shared" ca="1" si="56"/>
        <v>2.2442427272544552</v>
      </c>
      <c r="S190" s="44">
        <f t="shared" ca="1" si="57"/>
        <v>2.2442427272544552</v>
      </c>
      <c r="T190" s="4">
        <f t="shared" ca="1" si="58"/>
        <v>0</v>
      </c>
      <c r="U190" s="120">
        <f t="shared" ca="1" si="59"/>
        <v>1518.901337549361</v>
      </c>
      <c r="V190" s="4">
        <f t="shared" ca="1" si="60"/>
        <v>0</v>
      </c>
      <c r="W190" s="13">
        <f t="shared" ca="1" si="61"/>
        <v>31610.106000000003</v>
      </c>
      <c r="X190" s="4">
        <f t="shared" ca="1" si="62"/>
        <v>0</v>
      </c>
      <c r="Y190" s="4">
        <f t="shared" si="63"/>
        <v>0</v>
      </c>
      <c r="Z190" s="13">
        <f t="shared" ca="1" si="64"/>
        <v>31610.106000000003</v>
      </c>
      <c r="AA190" s="4">
        <f t="shared" ca="1" si="65"/>
        <v>0</v>
      </c>
      <c r="AE190" s="4"/>
    </row>
    <row r="191" spans="1:31">
      <c r="A191">
        <v>1</v>
      </c>
      <c r="B191">
        <v>1</v>
      </c>
      <c r="C191">
        <f t="shared" ca="1" si="44"/>
        <v>3</v>
      </c>
      <c r="D191">
        <f t="shared" ca="1" si="45"/>
        <v>2</v>
      </c>
      <c r="E191">
        <f t="shared" ca="1" si="46"/>
        <v>1</v>
      </c>
      <c r="F191" s="110">
        <f t="shared" ca="1" si="47"/>
        <v>0</v>
      </c>
      <c r="G191">
        <v>1</v>
      </c>
      <c r="H191">
        <v>0</v>
      </c>
      <c r="I191">
        <v>2</v>
      </c>
      <c r="J191" s="1">
        <f t="shared" ca="1" si="48"/>
        <v>0.72734374999999996</v>
      </c>
      <c r="K191" s="1">
        <f t="shared" ca="1" si="49"/>
        <v>0</v>
      </c>
      <c r="L191" s="13">
        <f t="shared" ca="1" si="50"/>
        <v>279</v>
      </c>
      <c r="M191" s="7">
        <f t="shared" ca="1" si="51"/>
        <v>721</v>
      </c>
      <c r="N191" s="26">
        <f t="shared" ca="1" si="52"/>
        <v>3</v>
      </c>
      <c r="O191" s="44">
        <f t="shared" ca="1" si="53"/>
        <v>2.2442427272544552</v>
      </c>
      <c r="P191" s="44">
        <f t="shared" ca="1" si="54"/>
        <v>22.442427272544553</v>
      </c>
      <c r="Q191" s="44">
        <f t="shared" ca="1" si="55"/>
        <v>22.442427272544553</v>
      </c>
      <c r="R191" s="44">
        <f t="shared" ca="1" si="56"/>
        <v>2.2442427272544552</v>
      </c>
      <c r="S191" s="44">
        <f t="shared" ca="1" si="57"/>
        <v>2.2442427272544552</v>
      </c>
      <c r="T191" s="4">
        <f t="shared" ca="1" si="58"/>
        <v>0</v>
      </c>
      <c r="U191" s="120">
        <f t="shared" ca="1" si="59"/>
        <v>1499.901337549361</v>
      </c>
      <c r="V191" s="4">
        <f t="shared" ca="1" si="60"/>
        <v>0</v>
      </c>
      <c r="W191" s="13">
        <f t="shared" ca="1" si="61"/>
        <v>29269.206000000002</v>
      </c>
      <c r="X191" s="4">
        <f t="shared" ca="1" si="62"/>
        <v>0</v>
      </c>
      <c r="Y191" s="4">
        <f t="shared" si="63"/>
        <v>0</v>
      </c>
      <c r="Z191" s="13">
        <f t="shared" ca="1" si="64"/>
        <v>29269.206000000002</v>
      </c>
      <c r="AA191" s="4">
        <f t="shared" ca="1" si="65"/>
        <v>0</v>
      </c>
      <c r="AE191" s="4"/>
    </row>
    <row r="192" spans="1:31">
      <c r="A192">
        <v>1</v>
      </c>
      <c r="B192">
        <v>1</v>
      </c>
      <c r="C192">
        <f t="shared" ca="1" si="44"/>
        <v>3</v>
      </c>
      <c r="D192">
        <f t="shared" ca="1" si="45"/>
        <v>2</v>
      </c>
      <c r="E192">
        <f t="shared" ca="1" si="46"/>
        <v>1</v>
      </c>
      <c r="F192" s="110">
        <f t="shared" ca="1" si="47"/>
        <v>0</v>
      </c>
      <c r="G192">
        <v>1</v>
      </c>
      <c r="H192">
        <v>0</v>
      </c>
      <c r="I192">
        <v>1</v>
      </c>
      <c r="J192" s="1">
        <f t="shared" ca="1" si="48"/>
        <v>0.20781249999999998</v>
      </c>
      <c r="K192" s="1">
        <f t="shared" ca="1" si="49"/>
        <v>0</v>
      </c>
      <c r="L192" s="13">
        <f t="shared" ca="1" si="50"/>
        <v>260</v>
      </c>
      <c r="M192" s="7">
        <f t="shared" ca="1" si="51"/>
        <v>740</v>
      </c>
      <c r="N192" s="26">
        <f t="shared" ca="1" si="52"/>
        <v>3</v>
      </c>
      <c r="O192" s="44">
        <f t="shared" ca="1" si="53"/>
        <v>2.2442427272544552</v>
      </c>
      <c r="P192" s="44">
        <f t="shared" ca="1" si="54"/>
        <v>22.442427272544553</v>
      </c>
      <c r="Q192" s="44">
        <f t="shared" ca="1" si="55"/>
        <v>22.442427272544553</v>
      </c>
      <c r="R192" s="44">
        <f t="shared" ca="1" si="56"/>
        <v>2.2442427272544552</v>
      </c>
      <c r="S192" s="44">
        <f t="shared" ca="1" si="57"/>
        <v>2.2442427272544552</v>
      </c>
      <c r="T192" s="4">
        <f t="shared" ca="1" si="58"/>
        <v>0</v>
      </c>
      <c r="U192" s="120">
        <f t="shared" ca="1" si="59"/>
        <v>1480.901337549361</v>
      </c>
      <c r="V192" s="4">
        <f t="shared" ca="1" si="60"/>
        <v>0</v>
      </c>
      <c r="W192" s="13">
        <f t="shared" ca="1" si="61"/>
        <v>26928.306000000004</v>
      </c>
      <c r="X192" s="4">
        <f t="shared" ca="1" si="62"/>
        <v>0</v>
      </c>
      <c r="Y192" s="4">
        <f t="shared" si="63"/>
        <v>0</v>
      </c>
      <c r="Z192" s="13">
        <f t="shared" ca="1" si="64"/>
        <v>26928.306000000004</v>
      </c>
      <c r="AA192" s="4">
        <f t="shared" ca="1" si="65"/>
        <v>0</v>
      </c>
      <c r="AE192" s="4"/>
    </row>
    <row r="193" spans="1:31">
      <c r="A193">
        <v>1</v>
      </c>
      <c r="B193">
        <v>1</v>
      </c>
      <c r="C193">
        <f t="shared" ca="1" si="44"/>
        <v>3</v>
      </c>
      <c r="D193">
        <f t="shared" ca="1" si="45"/>
        <v>2</v>
      </c>
      <c r="E193">
        <f t="shared" ca="1" si="46"/>
        <v>1</v>
      </c>
      <c r="F193" s="110">
        <f t="shared" ca="1" si="47"/>
        <v>0</v>
      </c>
      <c r="G193">
        <v>1</v>
      </c>
      <c r="H193">
        <v>0</v>
      </c>
      <c r="I193">
        <v>0</v>
      </c>
      <c r="J193" s="1">
        <f t="shared" ca="1" si="48"/>
        <v>1.4843749999999999E-2</v>
      </c>
      <c r="K193" s="1">
        <f t="shared" ca="1" si="49"/>
        <v>0</v>
      </c>
      <c r="L193" s="13">
        <f t="shared" ca="1" si="50"/>
        <v>241</v>
      </c>
      <c r="M193" s="7">
        <f t="shared" ca="1" si="51"/>
        <v>759</v>
      </c>
      <c r="N193" s="26">
        <f t="shared" ca="1" si="52"/>
        <v>3</v>
      </c>
      <c r="O193" s="44">
        <f t="shared" ca="1" si="53"/>
        <v>2.2442427272544552</v>
      </c>
      <c r="P193" s="44">
        <f t="shared" ca="1" si="54"/>
        <v>22.442427272544553</v>
      </c>
      <c r="Q193" s="44">
        <f t="shared" ca="1" si="55"/>
        <v>22.442427272544553</v>
      </c>
      <c r="R193" s="44">
        <f t="shared" ca="1" si="56"/>
        <v>2.2442427272544552</v>
      </c>
      <c r="S193" s="44">
        <f t="shared" ca="1" si="57"/>
        <v>2.2442427272544552</v>
      </c>
      <c r="T193" s="4">
        <f t="shared" ca="1" si="58"/>
        <v>0</v>
      </c>
      <c r="U193" s="120">
        <f t="shared" ca="1" si="59"/>
        <v>1461.901337549361</v>
      </c>
      <c r="V193" s="4">
        <f t="shared" ca="1" si="60"/>
        <v>0</v>
      </c>
      <c r="W193" s="13">
        <f t="shared" ca="1" si="61"/>
        <v>24587.406000000003</v>
      </c>
      <c r="X193" s="4">
        <f t="shared" ca="1" si="62"/>
        <v>0</v>
      </c>
      <c r="Y193" s="4">
        <f t="shared" si="63"/>
        <v>0</v>
      </c>
      <c r="Z193" s="13">
        <f t="shared" ca="1" si="64"/>
        <v>24587.406000000003</v>
      </c>
      <c r="AA193" s="4">
        <f t="shared" ca="1" si="65"/>
        <v>0</v>
      </c>
      <c r="AE193" s="4"/>
    </row>
    <row r="194" spans="1:31">
      <c r="A194">
        <v>1</v>
      </c>
      <c r="B194">
        <v>1</v>
      </c>
      <c r="C194">
        <f t="shared" ca="1" si="44"/>
        <v>3</v>
      </c>
      <c r="D194">
        <f t="shared" ca="1" si="45"/>
        <v>2</v>
      </c>
      <c r="E194">
        <f t="shared" ca="1" si="46"/>
        <v>1</v>
      </c>
      <c r="F194" s="110">
        <f t="shared" ca="1" si="47"/>
        <v>0</v>
      </c>
      <c r="G194">
        <v>0</v>
      </c>
      <c r="H194">
        <v>1</v>
      </c>
      <c r="I194">
        <v>7</v>
      </c>
      <c r="J194" s="1">
        <f t="shared" ca="1" si="48"/>
        <v>0</v>
      </c>
      <c r="K194" s="1">
        <f t="shared" ca="1" si="49"/>
        <v>0</v>
      </c>
      <c r="L194" s="13">
        <f t="shared" ca="1" si="50"/>
        <v>374</v>
      </c>
      <c r="M194" s="7">
        <f t="shared" ca="1" si="51"/>
        <v>626</v>
      </c>
      <c r="N194" s="26">
        <f t="shared" ca="1" si="52"/>
        <v>3</v>
      </c>
      <c r="O194" s="44">
        <f t="shared" ca="1" si="53"/>
        <v>2.2442427272544552</v>
      </c>
      <c r="P194" s="44">
        <f t="shared" ca="1" si="54"/>
        <v>22.442427272544553</v>
      </c>
      <c r="Q194" s="44">
        <f t="shared" ca="1" si="55"/>
        <v>22.442427272544553</v>
      </c>
      <c r="R194" s="44">
        <f t="shared" ca="1" si="56"/>
        <v>2.2442427272544552</v>
      </c>
      <c r="S194" s="44">
        <f t="shared" ca="1" si="57"/>
        <v>2.2442427272544552</v>
      </c>
      <c r="T194" s="4">
        <f t="shared" ca="1" si="58"/>
        <v>0</v>
      </c>
      <c r="U194" s="120">
        <f t="shared" ca="1" si="59"/>
        <v>1594.901337549361</v>
      </c>
      <c r="V194" s="4">
        <f t="shared" ca="1" si="60"/>
        <v>0</v>
      </c>
      <c r="W194" s="13">
        <f t="shared" ca="1" si="61"/>
        <v>16386.3</v>
      </c>
      <c r="X194" s="4">
        <f t="shared" ca="1" si="62"/>
        <v>0</v>
      </c>
      <c r="Y194" s="4">
        <f t="shared" si="63"/>
        <v>0</v>
      </c>
      <c r="Z194" s="13">
        <f t="shared" ca="1" si="64"/>
        <v>16386.3</v>
      </c>
      <c r="AA194" s="4">
        <f t="shared" ca="1" si="65"/>
        <v>0</v>
      </c>
      <c r="AE194" s="4"/>
    </row>
    <row r="195" spans="1:31">
      <c r="A195">
        <v>1</v>
      </c>
      <c r="B195">
        <v>1</v>
      </c>
      <c r="C195">
        <f t="shared" ca="1" si="44"/>
        <v>3</v>
      </c>
      <c r="D195">
        <f t="shared" ca="1" si="45"/>
        <v>2</v>
      </c>
      <c r="E195">
        <f t="shared" ca="1" si="46"/>
        <v>1</v>
      </c>
      <c r="F195" s="110">
        <f t="shared" ca="1" si="47"/>
        <v>0</v>
      </c>
      <c r="G195">
        <v>0</v>
      </c>
      <c r="H195">
        <v>1</v>
      </c>
      <c r="I195">
        <v>6</v>
      </c>
      <c r="J195" s="1">
        <f t="shared" ca="1" si="48"/>
        <v>0</v>
      </c>
      <c r="K195" s="1">
        <f t="shared" ca="1" si="49"/>
        <v>0</v>
      </c>
      <c r="L195" s="13">
        <f t="shared" ca="1" si="50"/>
        <v>355</v>
      </c>
      <c r="M195" s="7">
        <f t="shared" ca="1" si="51"/>
        <v>645</v>
      </c>
      <c r="N195" s="26">
        <f t="shared" ca="1" si="52"/>
        <v>3</v>
      </c>
      <c r="O195" s="44">
        <f t="shared" ca="1" si="53"/>
        <v>2.2442427272544552</v>
      </c>
      <c r="P195" s="44">
        <f t="shared" ca="1" si="54"/>
        <v>22.442427272544553</v>
      </c>
      <c r="Q195" s="44">
        <f t="shared" ca="1" si="55"/>
        <v>22.442427272544553</v>
      </c>
      <c r="R195" s="44">
        <f t="shared" ca="1" si="56"/>
        <v>2.2442427272544552</v>
      </c>
      <c r="S195" s="44">
        <f t="shared" ca="1" si="57"/>
        <v>2.2442427272544552</v>
      </c>
      <c r="T195" s="4">
        <f t="shared" ca="1" si="58"/>
        <v>0</v>
      </c>
      <c r="U195" s="120">
        <f t="shared" ca="1" si="59"/>
        <v>1575.901337549361</v>
      </c>
      <c r="V195" s="4">
        <f t="shared" ca="1" si="60"/>
        <v>0</v>
      </c>
      <c r="W195" s="13">
        <f t="shared" ca="1" si="61"/>
        <v>14045.400000000001</v>
      </c>
      <c r="X195" s="4">
        <f t="shared" ca="1" si="62"/>
        <v>0</v>
      </c>
      <c r="Y195" s="4">
        <f t="shared" si="63"/>
        <v>0</v>
      </c>
      <c r="Z195" s="13">
        <f t="shared" ca="1" si="64"/>
        <v>14045.400000000001</v>
      </c>
      <c r="AA195" s="4">
        <f t="shared" ca="1" si="65"/>
        <v>0</v>
      </c>
      <c r="AE195" s="4"/>
    </row>
    <row r="196" spans="1:31">
      <c r="A196">
        <v>1</v>
      </c>
      <c r="B196">
        <v>1</v>
      </c>
      <c r="C196">
        <f t="shared" ca="1" si="44"/>
        <v>3</v>
      </c>
      <c r="D196">
        <f t="shared" ca="1" si="45"/>
        <v>2</v>
      </c>
      <c r="E196">
        <f t="shared" ca="1" si="46"/>
        <v>1</v>
      </c>
      <c r="F196" s="110">
        <f t="shared" ca="1" si="47"/>
        <v>0</v>
      </c>
      <c r="G196">
        <v>0</v>
      </c>
      <c r="H196">
        <v>1</v>
      </c>
      <c r="I196">
        <v>5</v>
      </c>
      <c r="J196" s="1">
        <f t="shared" ca="1" si="48"/>
        <v>0</v>
      </c>
      <c r="K196" s="1">
        <f t="shared" ca="1" si="49"/>
        <v>0</v>
      </c>
      <c r="L196" s="13">
        <f t="shared" ca="1" si="50"/>
        <v>336</v>
      </c>
      <c r="M196" s="7">
        <f t="shared" ca="1" si="51"/>
        <v>664</v>
      </c>
      <c r="N196" s="26">
        <f t="shared" ca="1" si="52"/>
        <v>3</v>
      </c>
      <c r="O196" s="44">
        <f t="shared" ca="1" si="53"/>
        <v>2.2442427272544552</v>
      </c>
      <c r="P196" s="44">
        <f t="shared" ca="1" si="54"/>
        <v>22.442427272544553</v>
      </c>
      <c r="Q196" s="44">
        <f t="shared" ca="1" si="55"/>
        <v>22.442427272544553</v>
      </c>
      <c r="R196" s="44">
        <f t="shared" ca="1" si="56"/>
        <v>2.2442427272544552</v>
      </c>
      <c r="S196" s="44">
        <f t="shared" ca="1" si="57"/>
        <v>2.2442427272544552</v>
      </c>
      <c r="T196" s="4">
        <f t="shared" ca="1" si="58"/>
        <v>0</v>
      </c>
      <c r="U196" s="120">
        <f t="shared" ca="1" si="59"/>
        <v>1556.901337549361</v>
      </c>
      <c r="V196" s="4">
        <f t="shared" ca="1" si="60"/>
        <v>0</v>
      </c>
      <c r="W196" s="13">
        <f t="shared" ca="1" si="61"/>
        <v>11704.5</v>
      </c>
      <c r="X196" s="4">
        <f t="shared" ca="1" si="62"/>
        <v>0</v>
      </c>
      <c r="Y196" s="4">
        <f t="shared" si="63"/>
        <v>0</v>
      </c>
      <c r="Z196" s="13">
        <f t="shared" ca="1" si="64"/>
        <v>11704.5</v>
      </c>
      <c r="AA196" s="4">
        <f t="shared" ca="1" si="65"/>
        <v>0</v>
      </c>
      <c r="AE196" s="4"/>
    </row>
    <row r="197" spans="1:31">
      <c r="A197">
        <v>1</v>
      </c>
      <c r="B197">
        <v>1</v>
      </c>
      <c r="C197">
        <f t="shared" ca="1" si="44"/>
        <v>3</v>
      </c>
      <c r="D197">
        <f t="shared" ca="1" si="45"/>
        <v>2</v>
      </c>
      <c r="E197">
        <f t="shared" ca="1" si="46"/>
        <v>1</v>
      </c>
      <c r="F197" s="110">
        <f t="shared" ca="1" si="47"/>
        <v>0</v>
      </c>
      <c r="G197">
        <v>0</v>
      </c>
      <c r="H197">
        <v>1</v>
      </c>
      <c r="I197">
        <v>4</v>
      </c>
      <c r="J197" s="1">
        <f t="shared" ca="1" si="48"/>
        <v>0</v>
      </c>
      <c r="K197" s="1">
        <f t="shared" ca="1" si="49"/>
        <v>0</v>
      </c>
      <c r="L197" s="13">
        <f t="shared" ca="1" si="50"/>
        <v>317</v>
      </c>
      <c r="M197" s="7">
        <f t="shared" ca="1" si="51"/>
        <v>683</v>
      </c>
      <c r="N197" s="26">
        <f t="shared" ca="1" si="52"/>
        <v>3</v>
      </c>
      <c r="O197" s="44">
        <f t="shared" ca="1" si="53"/>
        <v>2.2442427272544552</v>
      </c>
      <c r="P197" s="44">
        <f t="shared" ca="1" si="54"/>
        <v>22.442427272544553</v>
      </c>
      <c r="Q197" s="44">
        <f t="shared" ca="1" si="55"/>
        <v>22.442427272544553</v>
      </c>
      <c r="R197" s="44">
        <f t="shared" ca="1" si="56"/>
        <v>2.2442427272544552</v>
      </c>
      <c r="S197" s="44">
        <f t="shared" ca="1" si="57"/>
        <v>2.2442427272544552</v>
      </c>
      <c r="T197" s="4">
        <f t="shared" ca="1" si="58"/>
        <v>0</v>
      </c>
      <c r="U197" s="120">
        <f t="shared" ca="1" si="59"/>
        <v>1537.901337549361</v>
      </c>
      <c r="V197" s="4">
        <f t="shared" ca="1" si="60"/>
        <v>0</v>
      </c>
      <c r="W197" s="13">
        <f t="shared" ca="1" si="61"/>
        <v>9363.6</v>
      </c>
      <c r="X197" s="4">
        <f t="shared" ca="1" si="62"/>
        <v>0</v>
      </c>
      <c r="Y197" s="4">
        <f t="shared" si="63"/>
        <v>0</v>
      </c>
      <c r="Z197" s="13">
        <f t="shared" ca="1" si="64"/>
        <v>9363.6</v>
      </c>
      <c r="AA197" s="4">
        <f t="shared" ca="1" si="65"/>
        <v>0</v>
      </c>
      <c r="AE197" s="4"/>
    </row>
    <row r="198" spans="1:31">
      <c r="A198">
        <v>1</v>
      </c>
      <c r="B198">
        <v>1</v>
      </c>
      <c r="C198">
        <f t="shared" ca="1" si="44"/>
        <v>3</v>
      </c>
      <c r="D198">
        <f t="shared" ca="1" si="45"/>
        <v>2</v>
      </c>
      <c r="E198">
        <f t="shared" ca="1" si="46"/>
        <v>1</v>
      </c>
      <c r="F198" s="110">
        <f t="shared" ca="1" si="47"/>
        <v>0</v>
      </c>
      <c r="G198">
        <v>0</v>
      </c>
      <c r="H198">
        <v>1</v>
      </c>
      <c r="I198">
        <v>3</v>
      </c>
      <c r="J198" s="1">
        <f t="shared" ca="1" si="48"/>
        <v>0</v>
      </c>
      <c r="K198" s="1">
        <f t="shared" ca="1" si="49"/>
        <v>0</v>
      </c>
      <c r="L198" s="13">
        <f t="shared" ca="1" si="50"/>
        <v>298</v>
      </c>
      <c r="M198" s="7">
        <f t="shared" ca="1" si="51"/>
        <v>702</v>
      </c>
      <c r="N198" s="26">
        <f t="shared" ca="1" si="52"/>
        <v>3</v>
      </c>
      <c r="O198" s="44">
        <f t="shared" ca="1" si="53"/>
        <v>2.2442427272544552</v>
      </c>
      <c r="P198" s="44">
        <f t="shared" ca="1" si="54"/>
        <v>22.442427272544553</v>
      </c>
      <c r="Q198" s="44">
        <f t="shared" ca="1" si="55"/>
        <v>22.442427272544553</v>
      </c>
      <c r="R198" s="44">
        <f t="shared" ca="1" si="56"/>
        <v>2.2442427272544552</v>
      </c>
      <c r="S198" s="44">
        <f t="shared" ca="1" si="57"/>
        <v>2.2442427272544552</v>
      </c>
      <c r="T198" s="4">
        <f t="shared" ca="1" si="58"/>
        <v>0</v>
      </c>
      <c r="U198" s="120">
        <f t="shared" ca="1" si="59"/>
        <v>1518.901337549361</v>
      </c>
      <c r="V198" s="4">
        <f t="shared" ca="1" si="60"/>
        <v>0</v>
      </c>
      <c r="W198" s="13">
        <f t="shared" ca="1" si="61"/>
        <v>7022.7000000000007</v>
      </c>
      <c r="X198" s="4">
        <f t="shared" ca="1" si="62"/>
        <v>0</v>
      </c>
      <c r="Y198" s="4">
        <f t="shared" si="63"/>
        <v>0</v>
      </c>
      <c r="Z198" s="13">
        <f t="shared" ca="1" si="64"/>
        <v>7022.7000000000007</v>
      </c>
      <c r="AA198" s="4">
        <f t="shared" ca="1" si="65"/>
        <v>0</v>
      </c>
      <c r="AE198" s="4"/>
    </row>
    <row r="199" spans="1:31">
      <c r="A199">
        <v>1</v>
      </c>
      <c r="B199">
        <v>1</v>
      </c>
      <c r="C199">
        <f t="shared" ca="1" si="44"/>
        <v>3</v>
      </c>
      <c r="D199">
        <f t="shared" ca="1" si="45"/>
        <v>2</v>
      </c>
      <c r="E199">
        <f t="shared" ca="1" si="46"/>
        <v>1</v>
      </c>
      <c r="F199" s="110">
        <f t="shared" ca="1" si="47"/>
        <v>0</v>
      </c>
      <c r="G199">
        <v>0</v>
      </c>
      <c r="H199">
        <v>1</v>
      </c>
      <c r="I199">
        <v>2</v>
      </c>
      <c r="J199" s="1">
        <f t="shared" ca="1" si="48"/>
        <v>0</v>
      </c>
      <c r="K199" s="1">
        <f t="shared" ca="1" si="49"/>
        <v>0</v>
      </c>
      <c r="L199" s="13">
        <f t="shared" ca="1" si="50"/>
        <v>279</v>
      </c>
      <c r="M199" s="7">
        <f t="shared" ca="1" si="51"/>
        <v>721</v>
      </c>
      <c r="N199" s="26">
        <f t="shared" ca="1" si="52"/>
        <v>3</v>
      </c>
      <c r="O199" s="44">
        <f t="shared" ca="1" si="53"/>
        <v>2.2442427272544552</v>
      </c>
      <c r="P199" s="44">
        <f t="shared" ca="1" si="54"/>
        <v>22.442427272544553</v>
      </c>
      <c r="Q199" s="44">
        <f t="shared" ca="1" si="55"/>
        <v>22.442427272544553</v>
      </c>
      <c r="R199" s="44">
        <f t="shared" ca="1" si="56"/>
        <v>2.2442427272544552</v>
      </c>
      <c r="S199" s="44">
        <f t="shared" ca="1" si="57"/>
        <v>2.2442427272544552</v>
      </c>
      <c r="T199" s="4">
        <f t="shared" ca="1" si="58"/>
        <v>0</v>
      </c>
      <c r="U199" s="120">
        <f t="shared" ca="1" si="59"/>
        <v>1499.901337549361</v>
      </c>
      <c r="V199" s="4">
        <f t="shared" ca="1" si="60"/>
        <v>0</v>
      </c>
      <c r="W199" s="13">
        <f t="shared" ca="1" si="61"/>
        <v>4681.8</v>
      </c>
      <c r="X199" s="4">
        <f t="shared" ca="1" si="62"/>
        <v>0</v>
      </c>
      <c r="Y199" s="4">
        <f t="shared" si="63"/>
        <v>0</v>
      </c>
      <c r="Z199" s="13">
        <f t="shared" ca="1" si="64"/>
        <v>4681.8</v>
      </c>
      <c r="AA199" s="4">
        <f t="shared" ca="1" si="65"/>
        <v>0</v>
      </c>
      <c r="AE199" s="4"/>
    </row>
    <row r="200" spans="1:31">
      <c r="A200">
        <v>1</v>
      </c>
      <c r="B200">
        <v>1</v>
      </c>
      <c r="C200">
        <f t="shared" ca="1" si="44"/>
        <v>3</v>
      </c>
      <c r="D200">
        <f t="shared" ca="1" si="45"/>
        <v>2</v>
      </c>
      <c r="E200">
        <f t="shared" ca="1" si="46"/>
        <v>1</v>
      </c>
      <c r="F200" s="110">
        <f t="shared" ca="1" si="47"/>
        <v>0</v>
      </c>
      <c r="G200">
        <v>0</v>
      </c>
      <c r="H200">
        <v>1</v>
      </c>
      <c r="I200">
        <v>1</v>
      </c>
      <c r="J200" s="1">
        <f t="shared" ca="1" si="48"/>
        <v>0</v>
      </c>
      <c r="K200" s="1">
        <f t="shared" ca="1" si="49"/>
        <v>0</v>
      </c>
      <c r="L200" s="13">
        <f t="shared" ca="1" si="50"/>
        <v>260</v>
      </c>
      <c r="M200" s="7">
        <f t="shared" ca="1" si="51"/>
        <v>740</v>
      </c>
      <c r="N200" s="26">
        <f t="shared" ca="1" si="52"/>
        <v>3</v>
      </c>
      <c r="O200" s="44">
        <f t="shared" ca="1" si="53"/>
        <v>2.2442427272544552</v>
      </c>
      <c r="P200" s="44">
        <f t="shared" ca="1" si="54"/>
        <v>22.442427272544553</v>
      </c>
      <c r="Q200" s="44">
        <f t="shared" ca="1" si="55"/>
        <v>22.442427272544553</v>
      </c>
      <c r="R200" s="44">
        <f t="shared" ca="1" si="56"/>
        <v>2.2442427272544552</v>
      </c>
      <c r="S200" s="44">
        <f t="shared" ca="1" si="57"/>
        <v>2.2442427272544552</v>
      </c>
      <c r="T200" s="4">
        <f t="shared" ca="1" si="58"/>
        <v>0</v>
      </c>
      <c r="U200" s="120">
        <f t="shared" ca="1" si="59"/>
        <v>1480.901337549361</v>
      </c>
      <c r="V200" s="4">
        <f t="shared" ca="1" si="60"/>
        <v>0</v>
      </c>
      <c r="W200" s="13">
        <f t="shared" ca="1" si="61"/>
        <v>2340.9</v>
      </c>
      <c r="X200" s="4">
        <f t="shared" ca="1" si="62"/>
        <v>0</v>
      </c>
      <c r="Y200" s="4">
        <f t="shared" si="63"/>
        <v>0</v>
      </c>
      <c r="Z200" s="13">
        <f t="shared" ca="1" si="64"/>
        <v>2340.9</v>
      </c>
      <c r="AA200" s="4">
        <f t="shared" ca="1" si="65"/>
        <v>0</v>
      </c>
      <c r="AE200" s="4"/>
    </row>
    <row r="201" spans="1:31">
      <c r="A201">
        <v>1</v>
      </c>
      <c r="B201">
        <v>1</v>
      </c>
      <c r="C201">
        <f t="shared" ca="1" si="44"/>
        <v>3</v>
      </c>
      <c r="D201">
        <f t="shared" ca="1" si="45"/>
        <v>2</v>
      </c>
      <c r="E201">
        <f t="shared" ca="1" si="46"/>
        <v>1</v>
      </c>
      <c r="F201" s="110">
        <f t="shared" ca="1" si="47"/>
        <v>0</v>
      </c>
      <c r="G201">
        <v>0</v>
      </c>
      <c r="H201">
        <v>1</v>
      </c>
      <c r="I201">
        <v>0</v>
      </c>
      <c r="J201" s="1">
        <f t="shared" ca="1" si="48"/>
        <v>0</v>
      </c>
      <c r="K201" s="1">
        <f t="shared" ca="1" si="49"/>
        <v>0</v>
      </c>
      <c r="L201" s="13">
        <f t="shared" ca="1" si="50"/>
        <v>241</v>
      </c>
      <c r="M201" s="7">
        <f t="shared" ca="1" si="51"/>
        <v>759</v>
      </c>
      <c r="N201" s="26">
        <f t="shared" ca="1" si="52"/>
        <v>3</v>
      </c>
      <c r="O201" s="44">
        <f t="shared" ca="1" si="53"/>
        <v>2.2442427272544552</v>
      </c>
      <c r="P201" s="44">
        <f t="shared" ca="1" si="54"/>
        <v>22.442427272544553</v>
      </c>
      <c r="Q201" s="44">
        <f t="shared" ca="1" si="55"/>
        <v>22.442427272544553</v>
      </c>
      <c r="R201" s="44">
        <f t="shared" ca="1" si="56"/>
        <v>2.2442427272544552</v>
      </c>
      <c r="S201" s="44">
        <f t="shared" ca="1" si="57"/>
        <v>2.2442427272544552</v>
      </c>
      <c r="T201" s="4">
        <f t="shared" ca="1" si="58"/>
        <v>0</v>
      </c>
      <c r="U201" s="120">
        <f t="shared" ca="1" si="59"/>
        <v>1461.901337549361</v>
      </c>
      <c r="V201" s="4">
        <f t="shared" ca="1" si="60"/>
        <v>0</v>
      </c>
      <c r="W201" s="13">
        <f t="shared" ca="1" si="61"/>
        <v>0</v>
      </c>
      <c r="X201" s="4">
        <f t="shared" ca="1" si="62"/>
        <v>0</v>
      </c>
      <c r="Y201" s="4">
        <f t="shared" si="63"/>
        <v>0</v>
      </c>
      <c r="Z201" s="13">
        <f t="shared" ca="1" si="64"/>
        <v>0</v>
      </c>
      <c r="AA201" s="4">
        <f t="shared" ca="1" si="65"/>
        <v>0</v>
      </c>
      <c r="AE201" s="4"/>
    </row>
    <row r="202" spans="1:31">
      <c r="A202">
        <v>1</v>
      </c>
      <c r="B202">
        <v>1</v>
      </c>
      <c r="C202">
        <f t="shared" ca="1" si="44"/>
        <v>3</v>
      </c>
      <c r="D202">
        <f t="shared" ca="1" si="45"/>
        <v>2</v>
      </c>
      <c r="E202">
        <f t="shared" ca="1" si="46"/>
        <v>1</v>
      </c>
      <c r="F202" s="110">
        <f t="shared" ca="1" si="47"/>
        <v>0</v>
      </c>
      <c r="G202">
        <v>0</v>
      </c>
      <c r="H202">
        <v>0</v>
      </c>
      <c r="I202">
        <v>7</v>
      </c>
      <c r="J202" s="1">
        <f t="shared" ca="1" si="48"/>
        <v>0</v>
      </c>
      <c r="K202" s="1">
        <f t="shared" ca="1" si="49"/>
        <v>0</v>
      </c>
      <c r="L202" s="13">
        <f t="shared" ca="1" si="50"/>
        <v>133</v>
      </c>
      <c r="M202" s="7">
        <f t="shared" ca="1" si="51"/>
        <v>867</v>
      </c>
      <c r="N202" s="26">
        <f t="shared" ca="1" si="52"/>
        <v>4</v>
      </c>
      <c r="O202" s="44">
        <f t="shared" ca="1" si="53"/>
        <v>2.8621467101781541</v>
      </c>
      <c r="P202" s="44">
        <f t="shared" ca="1" si="54"/>
        <v>28.621467101781548</v>
      </c>
      <c r="Q202" s="44">
        <f t="shared" ca="1" si="55"/>
        <v>24.914043204239348</v>
      </c>
      <c r="R202" s="44">
        <f t="shared" ca="1" si="56"/>
        <v>2.6767755153010446</v>
      </c>
      <c r="S202" s="44">
        <f t="shared" ca="1" si="57"/>
        <v>2.8491707265367565</v>
      </c>
      <c r="T202" s="4">
        <f t="shared" ca="1" si="58"/>
        <v>0</v>
      </c>
      <c r="U202" s="120">
        <f t="shared" ca="1" si="59"/>
        <v>1622.8690837457082</v>
      </c>
      <c r="V202" s="4">
        <f t="shared" ca="1" si="60"/>
        <v>0</v>
      </c>
      <c r="W202" s="13">
        <f t="shared" ca="1" si="61"/>
        <v>16386.3</v>
      </c>
      <c r="X202" s="4">
        <f t="shared" ca="1" si="62"/>
        <v>0</v>
      </c>
      <c r="Y202" s="4">
        <f t="shared" si="63"/>
        <v>0</v>
      </c>
      <c r="Z202" s="13">
        <f t="shared" ca="1" si="64"/>
        <v>16386.3</v>
      </c>
      <c r="AA202" s="4">
        <f t="shared" ca="1" si="65"/>
        <v>0</v>
      </c>
      <c r="AE202" s="4"/>
    </row>
    <row r="203" spans="1:31">
      <c r="A203">
        <v>1</v>
      </c>
      <c r="B203">
        <v>1</v>
      </c>
      <c r="C203">
        <f t="shared" ca="1" si="44"/>
        <v>3</v>
      </c>
      <c r="D203">
        <f t="shared" ca="1" si="45"/>
        <v>2</v>
      </c>
      <c r="E203">
        <f t="shared" ca="1" si="46"/>
        <v>1</v>
      </c>
      <c r="F203" s="110">
        <f t="shared" ca="1" si="47"/>
        <v>0</v>
      </c>
      <c r="G203">
        <v>0</v>
      </c>
      <c r="H203">
        <v>0</v>
      </c>
      <c r="I203">
        <v>6</v>
      </c>
      <c r="J203" s="1">
        <f t="shared" ca="1" si="48"/>
        <v>0</v>
      </c>
      <c r="K203" s="1">
        <f t="shared" ca="1" si="49"/>
        <v>0</v>
      </c>
      <c r="L203" s="13">
        <f t="shared" ca="1" si="50"/>
        <v>114</v>
      </c>
      <c r="M203" s="7">
        <f t="shared" ca="1" si="51"/>
        <v>886</v>
      </c>
      <c r="N203" s="26">
        <f t="shared" ca="1" si="52"/>
        <v>4</v>
      </c>
      <c r="O203" s="44">
        <f t="shared" ca="1" si="53"/>
        <v>2.8621467101781541</v>
      </c>
      <c r="P203" s="44">
        <f t="shared" ca="1" si="54"/>
        <v>28.621467101781548</v>
      </c>
      <c r="Q203" s="44">
        <f t="shared" ca="1" si="55"/>
        <v>28.621467101781548</v>
      </c>
      <c r="R203" s="44">
        <f t="shared" ca="1" si="56"/>
        <v>2.8621467101781546</v>
      </c>
      <c r="S203" s="44">
        <f t="shared" ca="1" si="57"/>
        <v>2.8621467101781541</v>
      </c>
      <c r="T203" s="4">
        <f t="shared" ca="1" si="58"/>
        <v>0</v>
      </c>
      <c r="U203" s="120">
        <f t="shared" ca="1" si="59"/>
        <v>1609.6385655333725</v>
      </c>
      <c r="V203" s="4">
        <f t="shared" ca="1" si="60"/>
        <v>0</v>
      </c>
      <c r="W203" s="13">
        <f t="shared" ca="1" si="61"/>
        <v>14045.400000000001</v>
      </c>
      <c r="X203" s="4">
        <f t="shared" ca="1" si="62"/>
        <v>0</v>
      </c>
      <c r="Y203" s="4">
        <f t="shared" si="63"/>
        <v>0</v>
      </c>
      <c r="Z203" s="13">
        <f t="shared" ca="1" si="64"/>
        <v>14045.400000000001</v>
      </c>
      <c r="AA203" s="4">
        <f t="shared" ca="1" si="65"/>
        <v>0</v>
      </c>
      <c r="AE203" s="4"/>
    </row>
    <row r="204" spans="1:31">
      <c r="A204">
        <v>1</v>
      </c>
      <c r="B204">
        <v>1</v>
      </c>
      <c r="C204">
        <f t="shared" ca="1" si="44"/>
        <v>3</v>
      </c>
      <c r="D204">
        <f t="shared" ca="1" si="45"/>
        <v>2</v>
      </c>
      <c r="E204">
        <f t="shared" ca="1" si="46"/>
        <v>1</v>
      </c>
      <c r="F204" s="110">
        <f t="shared" ca="1" si="47"/>
        <v>0</v>
      </c>
      <c r="G204">
        <v>0</v>
      </c>
      <c r="H204">
        <v>0</v>
      </c>
      <c r="I204">
        <v>5</v>
      </c>
      <c r="J204" s="1">
        <f t="shared" ca="1" si="48"/>
        <v>0</v>
      </c>
      <c r="K204" s="1">
        <f t="shared" ca="1" si="49"/>
        <v>0</v>
      </c>
      <c r="L204" s="13">
        <f t="shared" ca="1" si="50"/>
        <v>95</v>
      </c>
      <c r="M204" s="7">
        <f t="shared" ca="1" si="51"/>
        <v>905</v>
      </c>
      <c r="N204" s="26">
        <f t="shared" ca="1" si="52"/>
        <v>4</v>
      </c>
      <c r="O204" s="44">
        <f t="shared" ca="1" si="53"/>
        <v>2.8621467101781541</v>
      </c>
      <c r="P204" s="44">
        <f t="shared" ca="1" si="54"/>
        <v>28.621467101781548</v>
      </c>
      <c r="Q204" s="44">
        <f t="shared" ca="1" si="55"/>
        <v>28.621467101781548</v>
      </c>
      <c r="R204" s="44">
        <f t="shared" ca="1" si="56"/>
        <v>2.8621467101781546</v>
      </c>
      <c r="S204" s="44">
        <f t="shared" ca="1" si="57"/>
        <v>2.8621467101781541</v>
      </c>
      <c r="T204" s="4">
        <f t="shared" ca="1" si="58"/>
        <v>0</v>
      </c>
      <c r="U204" s="120">
        <f t="shared" ca="1" si="59"/>
        <v>1590.6385655333725</v>
      </c>
      <c r="V204" s="4">
        <f t="shared" ca="1" si="60"/>
        <v>0</v>
      </c>
      <c r="W204" s="13">
        <f t="shared" ca="1" si="61"/>
        <v>11704.5</v>
      </c>
      <c r="X204" s="4">
        <f t="shared" ca="1" si="62"/>
        <v>0</v>
      </c>
      <c r="Y204" s="4">
        <f t="shared" si="63"/>
        <v>0</v>
      </c>
      <c r="Z204" s="13">
        <f t="shared" ca="1" si="64"/>
        <v>11704.5</v>
      </c>
      <c r="AA204" s="4">
        <f t="shared" ca="1" si="65"/>
        <v>0</v>
      </c>
      <c r="AE204" s="4"/>
    </row>
    <row r="205" spans="1:31">
      <c r="A205">
        <v>1</v>
      </c>
      <c r="B205">
        <v>1</v>
      </c>
      <c r="C205">
        <f t="shared" ca="1" si="44"/>
        <v>3</v>
      </c>
      <c r="D205">
        <f t="shared" ca="1" si="45"/>
        <v>2</v>
      </c>
      <c r="E205">
        <f t="shared" ca="1" si="46"/>
        <v>1</v>
      </c>
      <c r="F205" s="110">
        <f t="shared" ca="1" si="47"/>
        <v>0</v>
      </c>
      <c r="G205">
        <v>0</v>
      </c>
      <c r="H205">
        <v>0</v>
      </c>
      <c r="I205">
        <v>4</v>
      </c>
      <c r="J205" s="1">
        <f t="shared" ca="1" si="48"/>
        <v>0</v>
      </c>
      <c r="K205" s="1">
        <f t="shared" ca="1" si="49"/>
        <v>0</v>
      </c>
      <c r="L205" s="13">
        <f t="shared" ca="1" si="50"/>
        <v>76</v>
      </c>
      <c r="M205" s="7">
        <f t="shared" ca="1" si="51"/>
        <v>924</v>
      </c>
      <c r="N205" s="26">
        <f t="shared" ca="1" si="52"/>
        <v>4</v>
      </c>
      <c r="O205" s="44">
        <f t="shared" ca="1" si="53"/>
        <v>2.8621467101781541</v>
      </c>
      <c r="P205" s="44">
        <f t="shared" ca="1" si="54"/>
        <v>28.621467101781548</v>
      </c>
      <c r="Q205" s="44">
        <f t="shared" ca="1" si="55"/>
        <v>28.621467101781548</v>
      </c>
      <c r="R205" s="44">
        <f t="shared" ca="1" si="56"/>
        <v>2.8621467101781546</v>
      </c>
      <c r="S205" s="44">
        <f t="shared" ca="1" si="57"/>
        <v>2.8621467101781541</v>
      </c>
      <c r="T205" s="4">
        <f t="shared" ca="1" si="58"/>
        <v>0</v>
      </c>
      <c r="U205" s="120">
        <f t="shared" ca="1" si="59"/>
        <v>1571.6385655333725</v>
      </c>
      <c r="V205" s="4">
        <f t="shared" ca="1" si="60"/>
        <v>0</v>
      </c>
      <c r="W205" s="13">
        <f t="shared" ca="1" si="61"/>
        <v>9363.6</v>
      </c>
      <c r="X205" s="4">
        <f t="shared" ca="1" si="62"/>
        <v>0</v>
      </c>
      <c r="Y205" s="4">
        <f t="shared" si="63"/>
        <v>0</v>
      </c>
      <c r="Z205" s="13">
        <f t="shared" ca="1" si="64"/>
        <v>9363.6</v>
      </c>
      <c r="AA205" s="4">
        <f t="shared" ca="1" si="65"/>
        <v>0</v>
      </c>
      <c r="AE205" s="4"/>
    </row>
    <row r="206" spans="1:31">
      <c r="A206">
        <v>1</v>
      </c>
      <c r="B206">
        <v>1</v>
      </c>
      <c r="C206">
        <f t="shared" ca="1" si="44"/>
        <v>3</v>
      </c>
      <c r="D206">
        <f t="shared" ca="1" si="45"/>
        <v>2</v>
      </c>
      <c r="E206">
        <f t="shared" ca="1" si="46"/>
        <v>1</v>
      </c>
      <c r="F206" s="110">
        <f t="shared" ca="1" si="47"/>
        <v>0</v>
      </c>
      <c r="G206">
        <v>0</v>
      </c>
      <c r="H206">
        <v>0</v>
      </c>
      <c r="I206">
        <v>3</v>
      </c>
      <c r="J206" s="1">
        <f t="shared" ca="1" si="48"/>
        <v>0</v>
      </c>
      <c r="K206" s="1">
        <f t="shared" ca="1" si="49"/>
        <v>0</v>
      </c>
      <c r="L206" s="13">
        <f t="shared" ca="1" si="50"/>
        <v>57</v>
      </c>
      <c r="M206" s="7">
        <f t="shared" ca="1" si="51"/>
        <v>943</v>
      </c>
      <c r="N206" s="26">
        <f t="shared" ca="1" si="52"/>
        <v>4</v>
      </c>
      <c r="O206" s="44">
        <f t="shared" ca="1" si="53"/>
        <v>2.8621467101781541</v>
      </c>
      <c r="P206" s="44">
        <f t="shared" ca="1" si="54"/>
        <v>28.621467101781548</v>
      </c>
      <c r="Q206" s="44">
        <f t="shared" ca="1" si="55"/>
        <v>28.621467101781548</v>
      </c>
      <c r="R206" s="44">
        <f t="shared" ca="1" si="56"/>
        <v>2.8621467101781546</v>
      </c>
      <c r="S206" s="44">
        <f t="shared" ca="1" si="57"/>
        <v>2.8621467101781541</v>
      </c>
      <c r="T206" s="4">
        <f t="shared" ca="1" si="58"/>
        <v>0</v>
      </c>
      <c r="U206" s="120">
        <f t="shared" ca="1" si="59"/>
        <v>1552.6385655333725</v>
      </c>
      <c r="V206" s="4">
        <f t="shared" ca="1" si="60"/>
        <v>0</v>
      </c>
      <c r="W206" s="13">
        <f t="shared" ca="1" si="61"/>
        <v>7022.7000000000007</v>
      </c>
      <c r="X206" s="4">
        <f t="shared" ca="1" si="62"/>
        <v>0</v>
      </c>
      <c r="Y206" s="4">
        <f t="shared" si="63"/>
        <v>0</v>
      </c>
      <c r="Z206" s="13">
        <f t="shared" ca="1" si="64"/>
        <v>7022.7000000000007</v>
      </c>
      <c r="AA206" s="4">
        <f t="shared" ca="1" si="65"/>
        <v>0</v>
      </c>
      <c r="AE206" s="4"/>
    </row>
    <row r="207" spans="1:31">
      <c r="A207">
        <v>1</v>
      </c>
      <c r="B207">
        <v>1</v>
      </c>
      <c r="C207">
        <f t="shared" ca="1" si="44"/>
        <v>3</v>
      </c>
      <c r="D207">
        <f t="shared" ca="1" si="45"/>
        <v>2</v>
      </c>
      <c r="E207">
        <f t="shared" ca="1" si="46"/>
        <v>1</v>
      </c>
      <c r="F207" s="110">
        <f t="shared" ca="1" si="47"/>
        <v>0</v>
      </c>
      <c r="G207">
        <v>0</v>
      </c>
      <c r="H207">
        <v>0</v>
      </c>
      <c r="I207">
        <v>2</v>
      </c>
      <c r="J207" s="1">
        <f t="shared" ca="1" si="48"/>
        <v>3.8281250000000003E-2</v>
      </c>
      <c r="K207" s="1">
        <f t="shared" ca="1" si="49"/>
        <v>0</v>
      </c>
      <c r="L207" s="13">
        <f t="shared" ca="1" si="50"/>
        <v>38</v>
      </c>
      <c r="M207" s="7">
        <f t="shared" ca="1" si="51"/>
        <v>962</v>
      </c>
      <c r="N207" s="26">
        <f t="shared" ca="1" si="52"/>
        <v>4</v>
      </c>
      <c r="O207" s="44">
        <f t="shared" ca="1" si="53"/>
        <v>2.8621467101781541</v>
      </c>
      <c r="P207" s="44">
        <f t="shared" ca="1" si="54"/>
        <v>28.621467101781548</v>
      </c>
      <c r="Q207" s="44">
        <f t="shared" ca="1" si="55"/>
        <v>28.621467101781548</v>
      </c>
      <c r="R207" s="44">
        <f t="shared" ca="1" si="56"/>
        <v>2.8621467101781546</v>
      </c>
      <c r="S207" s="44">
        <f t="shared" ca="1" si="57"/>
        <v>2.8621467101781541</v>
      </c>
      <c r="T207" s="4">
        <f t="shared" ca="1" si="58"/>
        <v>0</v>
      </c>
      <c r="U207" s="120">
        <f t="shared" ca="1" si="59"/>
        <v>1533.6385655333725</v>
      </c>
      <c r="V207" s="4">
        <f t="shared" ca="1" si="60"/>
        <v>0</v>
      </c>
      <c r="W207" s="13">
        <f t="shared" ca="1" si="61"/>
        <v>4681.8</v>
      </c>
      <c r="X207" s="4">
        <f t="shared" ca="1" si="62"/>
        <v>0</v>
      </c>
      <c r="Y207" s="4">
        <f t="shared" si="63"/>
        <v>0</v>
      </c>
      <c r="Z207" s="13">
        <f t="shared" ca="1" si="64"/>
        <v>4681.8</v>
      </c>
      <c r="AA207" s="4">
        <f t="shared" ca="1" si="65"/>
        <v>0</v>
      </c>
      <c r="AE207" s="4"/>
    </row>
    <row r="208" spans="1:31">
      <c r="A208">
        <v>1</v>
      </c>
      <c r="B208">
        <v>1</v>
      </c>
      <c r="C208">
        <f t="shared" ca="1" si="44"/>
        <v>3</v>
      </c>
      <c r="D208">
        <f t="shared" ca="1" si="45"/>
        <v>2</v>
      </c>
      <c r="E208">
        <f t="shared" ca="1" si="46"/>
        <v>1</v>
      </c>
      <c r="F208" s="110">
        <f t="shared" ca="1" si="47"/>
        <v>0</v>
      </c>
      <c r="G208">
        <v>0</v>
      </c>
      <c r="H208">
        <v>0</v>
      </c>
      <c r="I208">
        <v>1</v>
      </c>
      <c r="J208" s="1">
        <f t="shared" ca="1" si="48"/>
        <v>1.0937500000000001E-2</v>
      </c>
      <c r="K208" s="1">
        <f t="shared" ca="1" si="49"/>
        <v>0</v>
      </c>
      <c r="L208" s="13">
        <f t="shared" ca="1" si="50"/>
        <v>19</v>
      </c>
      <c r="M208" s="7">
        <f t="shared" ca="1" si="51"/>
        <v>981</v>
      </c>
      <c r="N208" s="26">
        <f t="shared" ca="1" si="52"/>
        <v>4</v>
      </c>
      <c r="O208" s="44">
        <f t="shared" ca="1" si="53"/>
        <v>2.8621467101781541</v>
      </c>
      <c r="P208" s="44">
        <f t="shared" ca="1" si="54"/>
        <v>28.621467101781548</v>
      </c>
      <c r="Q208" s="44">
        <f t="shared" ca="1" si="55"/>
        <v>28.621467101781548</v>
      </c>
      <c r="R208" s="44">
        <f t="shared" ca="1" si="56"/>
        <v>2.8621467101781546</v>
      </c>
      <c r="S208" s="44">
        <f t="shared" ca="1" si="57"/>
        <v>2.8621467101781541</v>
      </c>
      <c r="T208" s="4">
        <f t="shared" ca="1" si="58"/>
        <v>0</v>
      </c>
      <c r="U208" s="120">
        <f t="shared" ca="1" si="59"/>
        <v>1514.6385655333725</v>
      </c>
      <c r="V208" s="4">
        <f t="shared" ca="1" si="60"/>
        <v>0</v>
      </c>
      <c r="W208" s="13">
        <f t="shared" ca="1" si="61"/>
        <v>2340.9</v>
      </c>
      <c r="X208" s="4">
        <f t="shared" ca="1" si="62"/>
        <v>0</v>
      </c>
      <c r="Y208" s="4">
        <f t="shared" si="63"/>
        <v>0</v>
      </c>
      <c r="Z208" s="13">
        <f t="shared" ca="1" si="64"/>
        <v>2340.9</v>
      </c>
      <c r="AA208" s="4">
        <f t="shared" ca="1" si="65"/>
        <v>0</v>
      </c>
      <c r="AE208" s="4"/>
    </row>
    <row r="209" spans="1:31">
      <c r="A209">
        <v>1</v>
      </c>
      <c r="B209">
        <v>1</v>
      </c>
      <c r="C209">
        <f t="shared" ca="1" si="44"/>
        <v>3</v>
      </c>
      <c r="D209">
        <f t="shared" ca="1" si="45"/>
        <v>2</v>
      </c>
      <c r="E209">
        <f t="shared" ca="1" si="46"/>
        <v>1</v>
      </c>
      <c r="F209" s="110">
        <f t="shared" ca="1" si="47"/>
        <v>0</v>
      </c>
      <c r="G209">
        <v>0</v>
      </c>
      <c r="H209">
        <v>0</v>
      </c>
      <c r="I209">
        <v>0</v>
      </c>
      <c r="J209" s="1">
        <f t="shared" ca="1" si="48"/>
        <v>7.8125000000000004E-4</v>
      </c>
      <c r="K209" s="1">
        <f t="shared" ca="1" si="49"/>
        <v>0</v>
      </c>
      <c r="L209" s="13">
        <f t="shared" ca="1" si="50"/>
        <v>0</v>
      </c>
      <c r="M209" s="7">
        <f t="shared" ca="1" si="51"/>
        <v>1000</v>
      </c>
      <c r="N209" s="26">
        <f t="shared" ca="1" si="52"/>
        <v>4</v>
      </c>
      <c r="O209" s="44">
        <f t="shared" ca="1" si="53"/>
        <v>2.8621467101781541</v>
      </c>
      <c r="P209" s="44">
        <f t="shared" ca="1" si="54"/>
        <v>28.621467101781548</v>
      </c>
      <c r="Q209" s="44">
        <f t="shared" ca="1" si="55"/>
        <v>28.621467101781548</v>
      </c>
      <c r="R209" s="44">
        <f t="shared" ca="1" si="56"/>
        <v>2.8621467101781546</v>
      </c>
      <c r="S209" s="44">
        <f t="shared" ca="1" si="57"/>
        <v>2.8621467101781541</v>
      </c>
      <c r="T209" s="4">
        <f t="shared" ca="1" si="58"/>
        <v>0</v>
      </c>
      <c r="U209" s="120">
        <f t="shared" ca="1" si="59"/>
        <v>1495.6385655333725</v>
      </c>
      <c r="V209" s="4">
        <f t="shared" ca="1" si="60"/>
        <v>0</v>
      </c>
      <c r="W209" s="13">
        <f t="shared" ca="1" si="61"/>
        <v>0</v>
      </c>
      <c r="X209" s="4">
        <f t="shared" ca="1" si="62"/>
        <v>0</v>
      </c>
      <c r="Y209" s="4">
        <f t="shared" si="63"/>
        <v>0</v>
      </c>
      <c r="Z209" s="13">
        <f t="shared" ca="1" si="64"/>
        <v>0</v>
      </c>
      <c r="AA209" s="4">
        <f t="shared" ca="1" si="65"/>
        <v>0</v>
      </c>
      <c r="AE209" s="4"/>
    </row>
    <row r="210" spans="1:31">
      <c r="A210">
        <v>1</v>
      </c>
      <c r="B210">
        <v>2</v>
      </c>
      <c r="C210">
        <f t="shared" ref="C210:C273" ca="1" si="66">MIN(8, 1+$B$10+$B$9+A210+B210)</f>
        <v>4</v>
      </c>
      <c r="D210">
        <f t="shared" ref="D210:D273" ca="1" si="67">C210-(1+$B$10)</f>
        <v>3</v>
      </c>
      <c r="E210">
        <f t="shared" ref="E210:E273" ca="1" si="68">MIN(A210, C210-(1+$B$10+$B$9))</f>
        <v>1</v>
      </c>
      <c r="F210" s="110">
        <f t="shared" ref="F210:F273" ca="1" si="69">IF(A210=3, Set1QA, IF(A210=2, (1-Set1QA)*Set1TA + (1-Set1QA)*(1-Set1TA)*(1-Set1DA)*Set1AM3*Set1AM33, IF(A210=1, (1-Set1QA)*(1-Set1TA)*Set1DA + (1-Set1QA)*(1-Set1TA)*(1-Set1DA)*Set1AM3*Set1AM32, (1-Set1QA)*(1-Set1TA)*(1-Set1DA)*(1-Set1AM3)))) * IF($B$9+$B$10&gt;0, IF(B210=3, Set1QA, IF(B210=2, (1-Set1QA)*Set1TA, IF(B210=1, (1-Set1QA)*(1-Set1TA)*Set1DA, (1-Set1QA)*(1-Set1TA)*(1-Set1DA)))), IF(B210=0, 1, 0))</f>
        <v>0</v>
      </c>
      <c r="G210">
        <v>1</v>
      </c>
      <c r="H210">
        <v>1</v>
      </c>
      <c r="I210">
        <v>7</v>
      </c>
      <c r="J210" s="1">
        <f t="shared" ref="J210:J273" ca="1" si="70">POWER(95%,G210)*POWER(5%, 1-G210) * IF($B$10=0, IF(H210=0, 1, 0), POWER(Set1WSHitRate,H210)*POWER(1-Set1WSHitRate, 1-H210)) * IF(I210&lt;=D210, POWER(Set1WSHitRate, I210)*POWER(1-Set1WSHitRate, D210-I210)*COMBIN(D210,I210), 0)</f>
        <v>0</v>
      </c>
      <c r="K210" s="1">
        <f t="shared" ref="K210:K273" ca="1" si="71">F210*J210</f>
        <v>0</v>
      </c>
      <c r="L210" s="13">
        <f t="shared" ref="L210:L273" ca="1" si="72">MAX((G210+H210)*Set1WSTP + I210*$B$6, Set1SaveTP)</f>
        <v>615</v>
      </c>
      <c r="M210" s="7">
        <f t="shared" ref="M210:M273" ca="1" si="73">MAX(Set1MinTP-(L210+Set1Regain), 0)</f>
        <v>385</v>
      </c>
      <c r="N210" s="26">
        <f t="shared" ref="N210:N273" ca="1" si="74">CEILING(M210/Set1MeleeTP, 1)</f>
        <v>2</v>
      </c>
      <c r="O210" s="44">
        <f t="shared" ref="O210:O273" ca="1" si="75">VLOOKUP(N210,AvgRoundsSet1,2)</f>
        <v>1.5762319669595739</v>
      </c>
      <c r="P210" s="44">
        <f t="shared" ref="P210:P273" ca="1" si="76">VLOOKUP(CEILING(MAX(M210-1, 0)/Set1MeleeTP, 1), AvgRoundsSet1, 2) + VLOOKUP(CEILING(MAX(M210-2, 0)/Set1MeleeTP, 1), AvgRoundsSet1, 2) + VLOOKUP(CEILING(MAX(M210-3, 0)/Set1MeleeTP, 1), AvgRoundsSet1, 2) + VLOOKUP(CEILING(MAX(M210-4, 0)/Set1MeleeTP, 1), AvgRoundsSet1, 2) + VLOOKUP(CEILING(MAX(M210-5, 0)/Set1MeleeTP, 1), AvgRoundsSet1, 2) + VLOOKUP(CEILING(MAX(M210-6, 0)/Set1MeleeTP, 1), AvgRoundsSet1, 2) + VLOOKUP(CEILING(MAX(M210-7, 0)/Set1MeleeTP, 1), AvgRoundsSet1, 2) + VLOOKUP(CEILING(MAX(M210-8, 0)/Set1MeleeTP, 1), AvgRoundsSet1, 2) + VLOOKUP(CEILING(MAX(M210-9, 0)/Set1MeleeTP, 1), AvgRoundsSet1, 2) + VLOOKUP(CEILING(MAX(M210-10, 0)/Set1MeleeTP, 1), AvgRoundsSet1, 2)</f>
        <v>15.762319669595739</v>
      </c>
      <c r="Q210" s="44">
        <f t="shared" ref="Q210:Q273" ca="1" si="77">VLOOKUP(CEILING(MAX(M210-11, 0)/Set1MeleeTP, 1), AvgRoundsSet1, 2) + VLOOKUP(CEILING(MAX(M210-12, 0)/Set1MeleeTP, 1), AvgRoundsSet1, 2) + VLOOKUP(CEILING(MAX(M210-13, 0)/Set1MeleeTP, 1), AvgRoundsSet1, 2) + VLOOKUP(CEILING(MAX(M210-14, 0)/Set1MeleeTP, 1), AvgRoundsSet1, 2) + VLOOKUP(CEILING(MAX(M210-15, 0)/Set1MeleeTP, 1), AvgRoundsSet1, 2) + VLOOKUP(CEILING(MAX(M210-16, 0)/Set1MeleeTP, 1), AvgRoundsSet1, 2) + VLOOKUP(CEILING(MAX(M210-17, 0)/Set1MeleeTP, 1), AvgRoundsSet1, 2) + VLOOKUP(CEILING(MAX(M210-18, 0)/Set1MeleeTP, 1), AvgRoundsSet1, 2) + VLOOKUP(CEILING(MAX(M210-19, 0)/Set1MeleeTP, 1), AvgRoundsSet1, 2) + VLOOKUP(CEILING(MAX(M210-20, 0)/Set1MeleeTP, 1), AvgRoundsSet1, 2)</f>
        <v>15.762319669595739</v>
      </c>
      <c r="R210" s="44">
        <f t="shared" ref="R210:R273" ca="1" si="78">(P210+Q210)/20</f>
        <v>1.5762319669595739</v>
      </c>
      <c r="S210" s="44">
        <f t="shared" ref="S210:S273" ca="1" si="79">R210*Set1ConserveTP + O210*(1-Set1ConserveTP)</f>
        <v>1.5762319669595737</v>
      </c>
      <c r="T210" s="4">
        <f t="shared" ref="T210:T273" ca="1" si="80">K210*S210</f>
        <v>0</v>
      </c>
      <c r="U210" s="120">
        <f t="shared" ref="U210:U273" ca="1" si="81">MIN(L210+(S210+Set1OverTP)*AvgHitsPerRound1*Set1MeleeTP + Set1Regain + 10.5*Set1ConserveTP, 3000)</f>
        <v>1538.885248288175</v>
      </c>
      <c r="V210" s="4">
        <f t="shared" ref="V210:V273" ca="1" si="82">U210*K210</f>
        <v>0</v>
      </c>
      <c r="W210" s="13">
        <f t="shared" ref="W210:W273" ca="1" si="83">G210*$K$10*((1-$L$10)*$L$14 + $L$10*$M$14*$M$10)*Set1WSDmg + H210*$K$13*((1-$L$13)*$L$15 + $L$13*$M$15*$M$11) + I210*$K$11*((1-$L$11)*$L$14 + $L$11*$M$14*$M$11) + E210*$K$12*$L$12*$M$10</f>
        <v>40973.706000000006</v>
      </c>
      <c r="X210" s="4">
        <f t="shared" ref="X210:X273" ca="1" si="84">K210*W210</f>
        <v>0</v>
      </c>
      <c r="Y210" s="4">
        <f t="shared" ref="Y210:Y273" si="85">IF($B$12=1, (VLOOKUP(C210, IF($B$13=10%,Souleater10,Souleater12), 6, FALSE) * $B$14), 0)</f>
        <v>0</v>
      </c>
      <c r="Z210" s="13">
        <f t="shared" ca="1" si="64"/>
        <v>40973.706000000006</v>
      </c>
      <c r="AA210" s="4">
        <f t="shared" ca="1" si="65"/>
        <v>0</v>
      </c>
      <c r="AE210" s="4"/>
    </row>
    <row r="211" spans="1:31">
      <c r="A211">
        <v>1</v>
      </c>
      <c r="B211">
        <v>2</v>
      </c>
      <c r="C211">
        <f t="shared" ca="1" si="66"/>
        <v>4</v>
      </c>
      <c r="D211">
        <f t="shared" ca="1" si="67"/>
        <v>3</v>
      </c>
      <c r="E211">
        <f t="shared" ca="1" si="68"/>
        <v>1</v>
      </c>
      <c r="F211" s="110">
        <f t="shared" ca="1" si="69"/>
        <v>0</v>
      </c>
      <c r="G211">
        <v>1</v>
      </c>
      <c r="H211">
        <v>1</v>
      </c>
      <c r="I211">
        <v>6</v>
      </c>
      <c r="J211" s="1">
        <f t="shared" ca="1" si="70"/>
        <v>0</v>
      </c>
      <c r="K211" s="1">
        <f t="shared" ca="1" si="71"/>
        <v>0</v>
      </c>
      <c r="L211" s="13">
        <f t="shared" ca="1" si="72"/>
        <v>596</v>
      </c>
      <c r="M211" s="7">
        <f t="shared" ca="1" si="73"/>
        <v>404</v>
      </c>
      <c r="N211" s="26">
        <f t="shared" ca="1" si="74"/>
        <v>2</v>
      </c>
      <c r="O211" s="44">
        <f t="shared" ca="1" si="75"/>
        <v>1.5762319669595739</v>
      </c>
      <c r="P211" s="44">
        <f t="shared" ca="1" si="76"/>
        <v>15.762319669595739</v>
      </c>
      <c r="Q211" s="44">
        <f t="shared" ca="1" si="77"/>
        <v>15.762319669595739</v>
      </c>
      <c r="R211" s="44">
        <f t="shared" ca="1" si="78"/>
        <v>1.5762319669595739</v>
      </c>
      <c r="S211" s="44">
        <f t="shared" ca="1" si="79"/>
        <v>1.5762319669595737</v>
      </c>
      <c r="T211" s="4">
        <f t="shared" ca="1" si="80"/>
        <v>0</v>
      </c>
      <c r="U211" s="120">
        <f t="shared" ca="1" si="81"/>
        <v>1519.885248288175</v>
      </c>
      <c r="V211" s="4">
        <f t="shared" ca="1" si="82"/>
        <v>0</v>
      </c>
      <c r="W211" s="13">
        <f t="shared" ca="1" si="83"/>
        <v>38632.806000000004</v>
      </c>
      <c r="X211" s="4">
        <f t="shared" ca="1" si="84"/>
        <v>0</v>
      </c>
      <c r="Y211" s="4">
        <f t="shared" si="85"/>
        <v>0</v>
      </c>
      <c r="Z211" s="13">
        <f t="shared" ref="Z211:Z274" ca="1" si="86">Y211+W211</f>
        <v>38632.806000000004</v>
      </c>
      <c r="AA211" s="4">
        <f t="shared" ref="AA211:AA274" ca="1" si="87">Z211*K211</f>
        <v>0</v>
      </c>
      <c r="AE211" s="4"/>
    </row>
    <row r="212" spans="1:31">
      <c r="A212">
        <v>1</v>
      </c>
      <c r="B212">
        <v>2</v>
      </c>
      <c r="C212">
        <f t="shared" ca="1" si="66"/>
        <v>4</v>
      </c>
      <c r="D212">
        <f t="shared" ca="1" si="67"/>
        <v>3</v>
      </c>
      <c r="E212">
        <f t="shared" ca="1" si="68"/>
        <v>1</v>
      </c>
      <c r="F212" s="110">
        <f t="shared" ca="1" si="69"/>
        <v>0</v>
      </c>
      <c r="G212">
        <v>1</v>
      </c>
      <c r="H212">
        <v>1</v>
      </c>
      <c r="I212">
        <v>5</v>
      </c>
      <c r="J212" s="1">
        <f t="shared" ca="1" si="70"/>
        <v>0</v>
      </c>
      <c r="K212" s="1">
        <f t="shared" ca="1" si="71"/>
        <v>0</v>
      </c>
      <c r="L212" s="13">
        <f t="shared" ca="1" si="72"/>
        <v>577</v>
      </c>
      <c r="M212" s="7">
        <f t="shared" ca="1" si="73"/>
        <v>423</v>
      </c>
      <c r="N212" s="26">
        <f t="shared" ca="1" si="74"/>
        <v>2</v>
      </c>
      <c r="O212" s="44">
        <f t="shared" ca="1" si="75"/>
        <v>1.5762319669595739</v>
      </c>
      <c r="P212" s="44">
        <f t="shared" ca="1" si="76"/>
        <v>15.762319669595739</v>
      </c>
      <c r="Q212" s="44">
        <f t="shared" ca="1" si="77"/>
        <v>15.762319669595739</v>
      </c>
      <c r="R212" s="44">
        <f t="shared" ca="1" si="78"/>
        <v>1.5762319669595739</v>
      </c>
      <c r="S212" s="44">
        <f t="shared" ca="1" si="79"/>
        <v>1.5762319669595737</v>
      </c>
      <c r="T212" s="4">
        <f t="shared" ca="1" si="80"/>
        <v>0</v>
      </c>
      <c r="U212" s="120">
        <f t="shared" ca="1" si="81"/>
        <v>1500.885248288175</v>
      </c>
      <c r="V212" s="4">
        <f t="shared" ca="1" si="82"/>
        <v>0</v>
      </c>
      <c r="W212" s="13">
        <f t="shared" ca="1" si="83"/>
        <v>36291.906000000003</v>
      </c>
      <c r="X212" s="4">
        <f t="shared" ca="1" si="84"/>
        <v>0</v>
      </c>
      <c r="Y212" s="4">
        <f t="shared" si="85"/>
        <v>0</v>
      </c>
      <c r="Z212" s="13">
        <f t="shared" ca="1" si="86"/>
        <v>36291.906000000003</v>
      </c>
      <c r="AA212" s="4">
        <f t="shared" ca="1" si="87"/>
        <v>0</v>
      </c>
      <c r="AE212" s="4"/>
    </row>
    <row r="213" spans="1:31">
      <c r="A213">
        <v>1</v>
      </c>
      <c r="B213">
        <v>2</v>
      </c>
      <c r="C213">
        <f t="shared" ca="1" si="66"/>
        <v>4</v>
      </c>
      <c r="D213">
        <f t="shared" ca="1" si="67"/>
        <v>3</v>
      </c>
      <c r="E213">
        <f t="shared" ca="1" si="68"/>
        <v>1</v>
      </c>
      <c r="F213" s="110">
        <f t="shared" ca="1" si="69"/>
        <v>0</v>
      </c>
      <c r="G213">
        <v>1</v>
      </c>
      <c r="H213">
        <v>1</v>
      </c>
      <c r="I213">
        <v>4</v>
      </c>
      <c r="J213" s="1">
        <f t="shared" ca="1" si="70"/>
        <v>0</v>
      </c>
      <c r="K213" s="1">
        <f t="shared" ca="1" si="71"/>
        <v>0</v>
      </c>
      <c r="L213" s="13">
        <f t="shared" ca="1" si="72"/>
        <v>558</v>
      </c>
      <c r="M213" s="7">
        <f t="shared" ca="1" si="73"/>
        <v>442</v>
      </c>
      <c r="N213" s="26">
        <f t="shared" ca="1" si="74"/>
        <v>2</v>
      </c>
      <c r="O213" s="44">
        <f t="shared" ca="1" si="75"/>
        <v>1.5762319669595739</v>
      </c>
      <c r="P213" s="44">
        <f t="shared" ca="1" si="76"/>
        <v>15.762319669595739</v>
      </c>
      <c r="Q213" s="44">
        <f t="shared" ca="1" si="77"/>
        <v>15.762319669595739</v>
      </c>
      <c r="R213" s="44">
        <f t="shared" ca="1" si="78"/>
        <v>1.5762319669595739</v>
      </c>
      <c r="S213" s="44">
        <f t="shared" ca="1" si="79"/>
        <v>1.5762319669595737</v>
      </c>
      <c r="T213" s="4">
        <f t="shared" ca="1" si="80"/>
        <v>0</v>
      </c>
      <c r="U213" s="120">
        <f t="shared" ca="1" si="81"/>
        <v>1481.885248288175</v>
      </c>
      <c r="V213" s="4">
        <f t="shared" ca="1" si="82"/>
        <v>0</v>
      </c>
      <c r="W213" s="13">
        <f t="shared" ca="1" si="83"/>
        <v>33951.006000000001</v>
      </c>
      <c r="X213" s="4">
        <f t="shared" ca="1" si="84"/>
        <v>0</v>
      </c>
      <c r="Y213" s="4">
        <f t="shared" si="85"/>
        <v>0</v>
      </c>
      <c r="Z213" s="13">
        <f t="shared" ca="1" si="86"/>
        <v>33951.006000000001</v>
      </c>
      <c r="AA213" s="4">
        <f t="shared" ca="1" si="87"/>
        <v>0</v>
      </c>
      <c r="AE213" s="4"/>
    </row>
    <row r="214" spans="1:31">
      <c r="A214">
        <v>1</v>
      </c>
      <c r="B214">
        <v>2</v>
      </c>
      <c r="C214">
        <f t="shared" ca="1" si="66"/>
        <v>4</v>
      </c>
      <c r="D214">
        <f t="shared" ca="1" si="67"/>
        <v>3</v>
      </c>
      <c r="E214">
        <f t="shared" ca="1" si="68"/>
        <v>1</v>
      </c>
      <c r="F214" s="110">
        <f t="shared" ca="1" si="69"/>
        <v>0</v>
      </c>
      <c r="G214">
        <v>1</v>
      </c>
      <c r="H214">
        <v>1</v>
      </c>
      <c r="I214">
        <v>3</v>
      </c>
      <c r="J214" s="1">
        <f t="shared" ca="1" si="70"/>
        <v>0</v>
      </c>
      <c r="K214" s="1">
        <f t="shared" ca="1" si="71"/>
        <v>0</v>
      </c>
      <c r="L214" s="13">
        <f t="shared" ca="1" si="72"/>
        <v>539</v>
      </c>
      <c r="M214" s="7">
        <f t="shared" ca="1" si="73"/>
        <v>461</v>
      </c>
      <c r="N214" s="26">
        <f t="shared" ca="1" si="74"/>
        <v>2</v>
      </c>
      <c r="O214" s="44">
        <f t="shared" ca="1" si="75"/>
        <v>1.5762319669595739</v>
      </c>
      <c r="P214" s="44">
        <f t="shared" ca="1" si="76"/>
        <v>15.762319669595739</v>
      </c>
      <c r="Q214" s="44">
        <f t="shared" ca="1" si="77"/>
        <v>15.762319669595739</v>
      </c>
      <c r="R214" s="44">
        <f t="shared" ca="1" si="78"/>
        <v>1.5762319669595739</v>
      </c>
      <c r="S214" s="44">
        <f t="shared" ca="1" si="79"/>
        <v>1.5762319669595737</v>
      </c>
      <c r="T214" s="4">
        <f t="shared" ca="1" si="80"/>
        <v>0</v>
      </c>
      <c r="U214" s="120">
        <f t="shared" ca="1" si="81"/>
        <v>1462.885248288175</v>
      </c>
      <c r="V214" s="4">
        <f t="shared" ca="1" si="82"/>
        <v>0</v>
      </c>
      <c r="W214" s="13">
        <f t="shared" ca="1" si="83"/>
        <v>31610.106000000003</v>
      </c>
      <c r="X214" s="4">
        <f t="shared" ca="1" si="84"/>
        <v>0</v>
      </c>
      <c r="Y214" s="4">
        <f t="shared" si="85"/>
        <v>0</v>
      </c>
      <c r="Z214" s="13">
        <f t="shared" ca="1" si="86"/>
        <v>31610.106000000003</v>
      </c>
      <c r="AA214" s="4">
        <f t="shared" ca="1" si="87"/>
        <v>0</v>
      </c>
      <c r="AE214" s="4"/>
    </row>
    <row r="215" spans="1:31">
      <c r="A215">
        <v>1</v>
      </c>
      <c r="B215">
        <v>2</v>
      </c>
      <c r="C215">
        <f t="shared" ca="1" si="66"/>
        <v>4</v>
      </c>
      <c r="D215">
        <f t="shared" ca="1" si="67"/>
        <v>3</v>
      </c>
      <c r="E215">
        <f t="shared" ca="1" si="68"/>
        <v>1</v>
      </c>
      <c r="F215" s="110">
        <f t="shared" ca="1" si="69"/>
        <v>0</v>
      </c>
      <c r="G215">
        <v>1</v>
      </c>
      <c r="H215">
        <v>1</v>
      </c>
      <c r="I215">
        <v>2</v>
      </c>
      <c r="J215" s="1">
        <f t="shared" ca="1" si="70"/>
        <v>0</v>
      </c>
      <c r="K215" s="1">
        <f t="shared" ca="1" si="71"/>
        <v>0</v>
      </c>
      <c r="L215" s="13">
        <f t="shared" ca="1" si="72"/>
        <v>520</v>
      </c>
      <c r="M215" s="7">
        <f t="shared" ca="1" si="73"/>
        <v>480</v>
      </c>
      <c r="N215" s="26">
        <f t="shared" ca="1" si="74"/>
        <v>2</v>
      </c>
      <c r="O215" s="44">
        <f t="shared" ca="1" si="75"/>
        <v>1.5762319669595739</v>
      </c>
      <c r="P215" s="44">
        <f t="shared" ca="1" si="76"/>
        <v>15.762319669595739</v>
      </c>
      <c r="Q215" s="44">
        <f t="shared" ca="1" si="77"/>
        <v>15.762319669595739</v>
      </c>
      <c r="R215" s="44">
        <f t="shared" ca="1" si="78"/>
        <v>1.5762319669595739</v>
      </c>
      <c r="S215" s="44">
        <f t="shared" ca="1" si="79"/>
        <v>1.5762319669595737</v>
      </c>
      <c r="T215" s="4">
        <f t="shared" ca="1" si="80"/>
        <v>0</v>
      </c>
      <c r="U215" s="120">
        <f t="shared" ca="1" si="81"/>
        <v>1443.885248288175</v>
      </c>
      <c r="V215" s="4">
        <f t="shared" ca="1" si="82"/>
        <v>0</v>
      </c>
      <c r="W215" s="13">
        <f t="shared" ca="1" si="83"/>
        <v>29269.206000000002</v>
      </c>
      <c r="X215" s="4">
        <f t="shared" ca="1" si="84"/>
        <v>0</v>
      </c>
      <c r="Y215" s="4">
        <f t="shared" si="85"/>
        <v>0</v>
      </c>
      <c r="Z215" s="13">
        <f t="shared" ca="1" si="86"/>
        <v>29269.206000000002</v>
      </c>
      <c r="AA215" s="4">
        <f t="shared" ca="1" si="87"/>
        <v>0</v>
      </c>
      <c r="AE215" s="4"/>
    </row>
    <row r="216" spans="1:31">
      <c r="A216">
        <v>1</v>
      </c>
      <c r="B216">
        <v>2</v>
      </c>
      <c r="C216">
        <f t="shared" ca="1" si="66"/>
        <v>4</v>
      </c>
      <c r="D216">
        <f t="shared" ca="1" si="67"/>
        <v>3</v>
      </c>
      <c r="E216">
        <f t="shared" ca="1" si="68"/>
        <v>1</v>
      </c>
      <c r="F216" s="110">
        <f t="shared" ca="1" si="69"/>
        <v>0</v>
      </c>
      <c r="G216">
        <v>1</v>
      </c>
      <c r="H216">
        <v>1</v>
      </c>
      <c r="I216">
        <v>1</v>
      </c>
      <c r="J216" s="1">
        <f t="shared" ca="1" si="70"/>
        <v>0</v>
      </c>
      <c r="K216" s="1">
        <f t="shared" ca="1" si="71"/>
        <v>0</v>
      </c>
      <c r="L216" s="13">
        <f t="shared" ca="1" si="72"/>
        <v>501</v>
      </c>
      <c r="M216" s="7">
        <f t="shared" ca="1" si="73"/>
        <v>499</v>
      </c>
      <c r="N216" s="26">
        <f t="shared" ca="1" si="74"/>
        <v>2</v>
      </c>
      <c r="O216" s="44">
        <f t="shared" ca="1" si="75"/>
        <v>1.5762319669595739</v>
      </c>
      <c r="P216" s="44">
        <f t="shared" ca="1" si="76"/>
        <v>15.762319669595739</v>
      </c>
      <c r="Q216" s="44">
        <f t="shared" ca="1" si="77"/>
        <v>15.762319669595739</v>
      </c>
      <c r="R216" s="44">
        <f t="shared" ca="1" si="78"/>
        <v>1.5762319669595739</v>
      </c>
      <c r="S216" s="44">
        <f t="shared" ca="1" si="79"/>
        <v>1.5762319669595737</v>
      </c>
      <c r="T216" s="4">
        <f t="shared" ca="1" si="80"/>
        <v>0</v>
      </c>
      <c r="U216" s="120">
        <f t="shared" ca="1" si="81"/>
        <v>1424.885248288175</v>
      </c>
      <c r="V216" s="4">
        <f t="shared" ca="1" si="82"/>
        <v>0</v>
      </c>
      <c r="W216" s="13">
        <f t="shared" ca="1" si="83"/>
        <v>26928.306000000004</v>
      </c>
      <c r="X216" s="4">
        <f t="shared" ca="1" si="84"/>
        <v>0</v>
      </c>
      <c r="Y216" s="4">
        <f t="shared" si="85"/>
        <v>0</v>
      </c>
      <c r="Z216" s="13">
        <f t="shared" ca="1" si="86"/>
        <v>26928.306000000004</v>
      </c>
      <c r="AA216" s="4">
        <f t="shared" ca="1" si="87"/>
        <v>0</v>
      </c>
      <c r="AE216" s="4"/>
    </row>
    <row r="217" spans="1:31">
      <c r="A217">
        <v>1</v>
      </c>
      <c r="B217">
        <v>2</v>
      </c>
      <c r="C217">
        <f t="shared" ca="1" si="66"/>
        <v>4</v>
      </c>
      <c r="D217">
        <f t="shared" ca="1" si="67"/>
        <v>3</v>
      </c>
      <c r="E217">
        <f t="shared" ca="1" si="68"/>
        <v>1</v>
      </c>
      <c r="F217" s="110">
        <f t="shared" ca="1" si="69"/>
        <v>0</v>
      </c>
      <c r="G217">
        <v>1</v>
      </c>
      <c r="H217">
        <v>1</v>
      </c>
      <c r="I217">
        <v>0</v>
      </c>
      <c r="J217" s="1">
        <f t="shared" ca="1" si="70"/>
        <v>0</v>
      </c>
      <c r="K217" s="1">
        <f t="shared" ca="1" si="71"/>
        <v>0</v>
      </c>
      <c r="L217" s="13">
        <f t="shared" ca="1" si="72"/>
        <v>482</v>
      </c>
      <c r="M217" s="7">
        <f t="shared" ca="1" si="73"/>
        <v>518</v>
      </c>
      <c r="N217" s="26">
        <f t="shared" ca="1" si="74"/>
        <v>2</v>
      </c>
      <c r="O217" s="44">
        <f t="shared" ca="1" si="75"/>
        <v>1.5762319669595739</v>
      </c>
      <c r="P217" s="44">
        <f t="shared" ca="1" si="76"/>
        <v>15.762319669595739</v>
      </c>
      <c r="Q217" s="44">
        <f t="shared" ca="1" si="77"/>
        <v>15.762319669595739</v>
      </c>
      <c r="R217" s="44">
        <f t="shared" ca="1" si="78"/>
        <v>1.5762319669595739</v>
      </c>
      <c r="S217" s="44">
        <f t="shared" ca="1" si="79"/>
        <v>1.5762319669595737</v>
      </c>
      <c r="T217" s="4">
        <f t="shared" ca="1" si="80"/>
        <v>0</v>
      </c>
      <c r="U217" s="120">
        <f t="shared" ca="1" si="81"/>
        <v>1405.885248288175</v>
      </c>
      <c r="V217" s="4">
        <f t="shared" ca="1" si="82"/>
        <v>0</v>
      </c>
      <c r="W217" s="13">
        <f t="shared" ca="1" si="83"/>
        <v>24587.406000000003</v>
      </c>
      <c r="X217" s="4">
        <f t="shared" ca="1" si="84"/>
        <v>0</v>
      </c>
      <c r="Y217" s="4">
        <f t="shared" si="85"/>
        <v>0</v>
      </c>
      <c r="Z217" s="13">
        <f t="shared" ca="1" si="86"/>
        <v>24587.406000000003</v>
      </c>
      <c r="AA217" s="4">
        <f t="shared" ca="1" si="87"/>
        <v>0</v>
      </c>
      <c r="AE217" s="4"/>
    </row>
    <row r="218" spans="1:31">
      <c r="A218">
        <v>1</v>
      </c>
      <c r="B218">
        <v>2</v>
      </c>
      <c r="C218">
        <f t="shared" ca="1" si="66"/>
        <v>4</v>
      </c>
      <c r="D218">
        <f t="shared" ca="1" si="67"/>
        <v>3</v>
      </c>
      <c r="E218">
        <f t="shared" ca="1" si="68"/>
        <v>1</v>
      </c>
      <c r="F218" s="110">
        <f t="shared" ca="1" si="69"/>
        <v>0</v>
      </c>
      <c r="G218">
        <v>1</v>
      </c>
      <c r="H218">
        <v>0</v>
      </c>
      <c r="I218">
        <v>7</v>
      </c>
      <c r="J218" s="1">
        <f t="shared" ca="1" si="70"/>
        <v>0</v>
      </c>
      <c r="K218" s="1">
        <f t="shared" ca="1" si="71"/>
        <v>0</v>
      </c>
      <c r="L218" s="13">
        <f t="shared" ca="1" si="72"/>
        <v>374</v>
      </c>
      <c r="M218" s="7">
        <f t="shared" ca="1" si="73"/>
        <v>626</v>
      </c>
      <c r="N218" s="26">
        <f t="shared" ca="1" si="74"/>
        <v>3</v>
      </c>
      <c r="O218" s="44">
        <f t="shared" ca="1" si="75"/>
        <v>2.2442427272544552</v>
      </c>
      <c r="P218" s="44">
        <f t="shared" ca="1" si="76"/>
        <v>22.442427272544553</v>
      </c>
      <c r="Q218" s="44">
        <f t="shared" ca="1" si="77"/>
        <v>22.442427272544553</v>
      </c>
      <c r="R218" s="44">
        <f t="shared" ca="1" si="78"/>
        <v>2.2442427272544552</v>
      </c>
      <c r="S218" s="44">
        <f t="shared" ca="1" si="79"/>
        <v>2.2442427272544552</v>
      </c>
      <c r="T218" s="4">
        <f t="shared" ca="1" si="80"/>
        <v>0</v>
      </c>
      <c r="U218" s="120">
        <f t="shared" ca="1" si="81"/>
        <v>1594.901337549361</v>
      </c>
      <c r="V218" s="4">
        <f t="shared" ca="1" si="82"/>
        <v>0</v>
      </c>
      <c r="W218" s="13">
        <f t="shared" ca="1" si="83"/>
        <v>40973.706000000006</v>
      </c>
      <c r="X218" s="4">
        <f t="shared" ca="1" si="84"/>
        <v>0</v>
      </c>
      <c r="Y218" s="4">
        <f t="shared" si="85"/>
        <v>0</v>
      </c>
      <c r="Z218" s="13">
        <f t="shared" ca="1" si="86"/>
        <v>40973.706000000006</v>
      </c>
      <c r="AA218" s="4">
        <f t="shared" ca="1" si="87"/>
        <v>0</v>
      </c>
      <c r="AE218" s="4"/>
    </row>
    <row r="219" spans="1:31">
      <c r="A219">
        <v>1</v>
      </c>
      <c r="B219">
        <v>2</v>
      </c>
      <c r="C219">
        <f t="shared" ca="1" si="66"/>
        <v>4</v>
      </c>
      <c r="D219">
        <f t="shared" ca="1" si="67"/>
        <v>3</v>
      </c>
      <c r="E219">
        <f t="shared" ca="1" si="68"/>
        <v>1</v>
      </c>
      <c r="F219" s="110">
        <f t="shared" ca="1" si="69"/>
        <v>0</v>
      </c>
      <c r="G219">
        <v>1</v>
      </c>
      <c r="H219">
        <v>0</v>
      </c>
      <c r="I219">
        <v>6</v>
      </c>
      <c r="J219" s="1">
        <f t="shared" ca="1" si="70"/>
        <v>0</v>
      </c>
      <c r="K219" s="1">
        <f t="shared" ca="1" si="71"/>
        <v>0</v>
      </c>
      <c r="L219" s="13">
        <f t="shared" ca="1" si="72"/>
        <v>355</v>
      </c>
      <c r="M219" s="7">
        <f t="shared" ca="1" si="73"/>
        <v>645</v>
      </c>
      <c r="N219" s="26">
        <f t="shared" ca="1" si="74"/>
        <v>3</v>
      </c>
      <c r="O219" s="44">
        <f t="shared" ca="1" si="75"/>
        <v>2.2442427272544552</v>
      </c>
      <c r="P219" s="44">
        <f t="shared" ca="1" si="76"/>
        <v>22.442427272544553</v>
      </c>
      <c r="Q219" s="44">
        <f t="shared" ca="1" si="77"/>
        <v>22.442427272544553</v>
      </c>
      <c r="R219" s="44">
        <f t="shared" ca="1" si="78"/>
        <v>2.2442427272544552</v>
      </c>
      <c r="S219" s="44">
        <f t="shared" ca="1" si="79"/>
        <v>2.2442427272544552</v>
      </c>
      <c r="T219" s="4">
        <f t="shared" ca="1" si="80"/>
        <v>0</v>
      </c>
      <c r="U219" s="120">
        <f t="shared" ca="1" si="81"/>
        <v>1575.901337549361</v>
      </c>
      <c r="V219" s="4">
        <f t="shared" ca="1" si="82"/>
        <v>0</v>
      </c>
      <c r="W219" s="13">
        <f t="shared" ca="1" si="83"/>
        <v>38632.806000000004</v>
      </c>
      <c r="X219" s="4">
        <f t="shared" ca="1" si="84"/>
        <v>0</v>
      </c>
      <c r="Y219" s="4">
        <f t="shared" si="85"/>
        <v>0</v>
      </c>
      <c r="Z219" s="13">
        <f t="shared" ca="1" si="86"/>
        <v>38632.806000000004</v>
      </c>
      <c r="AA219" s="4">
        <f t="shared" ca="1" si="87"/>
        <v>0</v>
      </c>
      <c r="AE219" s="4"/>
    </row>
    <row r="220" spans="1:31">
      <c r="A220">
        <v>1</v>
      </c>
      <c r="B220">
        <v>2</v>
      </c>
      <c r="C220">
        <f t="shared" ca="1" si="66"/>
        <v>4</v>
      </c>
      <c r="D220">
        <f t="shared" ca="1" si="67"/>
        <v>3</v>
      </c>
      <c r="E220">
        <f t="shared" ca="1" si="68"/>
        <v>1</v>
      </c>
      <c r="F220" s="110">
        <f t="shared" ca="1" si="69"/>
        <v>0</v>
      </c>
      <c r="G220">
        <v>1</v>
      </c>
      <c r="H220">
        <v>0</v>
      </c>
      <c r="I220">
        <v>5</v>
      </c>
      <c r="J220" s="1">
        <f t="shared" ca="1" si="70"/>
        <v>0</v>
      </c>
      <c r="K220" s="1">
        <f t="shared" ca="1" si="71"/>
        <v>0</v>
      </c>
      <c r="L220" s="13">
        <f t="shared" ca="1" si="72"/>
        <v>336</v>
      </c>
      <c r="M220" s="7">
        <f t="shared" ca="1" si="73"/>
        <v>664</v>
      </c>
      <c r="N220" s="26">
        <f t="shared" ca="1" si="74"/>
        <v>3</v>
      </c>
      <c r="O220" s="44">
        <f t="shared" ca="1" si="75"/>
        <v>2.2442427272544552</v>
      </c>
      <c r="P220" s="44">
        <f t="shared" ca="1" si="76"/>
        <v>22.442427272544553</v>
      </c>
      <c r="Q220" s="44">
        <f t="shared" ca="1" si="77"/>
        <v>22.442427272544553</v>
      </c>
      <c r="R220" s="44">
        <f t="shared" ca="1" si="78"/>
        <v>2.2442427272544552</v>
      </c>
      <c r="S220" s="44">
        <f t="shared" ca="1" si="79"/>
        <v>2.2442427272544552</v>
      </c>
      <c r="T220" s="4">
        <f t="shared" ca="1" si="80"/>
        <v>0</v>
      </c>
      <c r="U220" s="120">
        <f t="shared" ca="1" si="81"/>
        <v>1556.901337549361</v>
      </c>
      <c r="V220" s="4">
        <f t="shared" ca="1" si="82"/>
        <v>0</v>
      </c>
      <c r="W220" s="13">
        <f t="shared" ca="1" si="83"/>
        <v>36291.906000000003</v>
      </c>
      <c r="X220" s="4">
        <f t="shared" ca="1" si="84"/>
        <v>0</v>
      </c>
      <c r="Y220" s="4">
        <f t="shared" si="85"/>
        <v>0</v>
      </c>
      <c r="Z220" s="13">
        <f t="shared" ca="1" si="86"/>
        <v>36291.906000000003</v>
      </c>
      <c r="AA220" s="4">
        <f t="shared" ca="1" si="87"/>
        <v>0</v>
      </c>
      <c r="AE220" s="4"/>
    </row>
    <row r="221" spans="1:31">
      <c r="A221">
        <v>1</v>
      </c>
      <c r="B221">
        <v>2</v>
      </c>
      <c r="C221">
        <f t="shared" ca="1" si="66"/>
        <v>4</v>
      </c>
      <c r="D221">
        <f t="shared" ca="1" si="67"/>
        <v>3</v>
      </c>
      <c r="E221">
        <f t="shared" ca="1" si="68"/>
        <v>1</v>
      </c>
      <c r="F221" s="110">
        <f t="shared" ca="1" si="69"/>
        <v>0</v>
      </c>
      <c r="G221">
        <v>1</v>
      </c>
      <c r="H221">
        <v>0</v>
      </c>
      <c r="I221">
        <v>4</v>
      </c>
      <c r="J221" s="1">
        <f t="shared" ca="1" si="70"/>
        <v>0</v>
      </c>
      <c r="K221" s="1">
        <f t="shared" ca="1" si="71"/>
        <v>0</v>
      </c>
      <c r="L221" s="13">
        <f t="shared" ca="1" si="72"/>
        <v>317</v>
      </c>
      <c r="M221" s="7">
        <f t="shared" ca="1" si="73"/>
        <v>683</v>
      </c>
      <c r="N221" s="26">
        <f t="shared" ca="1" si="74"/>
        <v>3</v>
      </c>
      <c r="O221" s="44">
        <f t="shared" ca="1" si="75"/>
        <v>2.2442427272544552</v>
      </c>
      <c r="P221" s="44">
        <f t="shared" ca="1" si="76"/>
        <v>22.442427272544553</v>
      </c>
      <c r="Q221" s="44">
        <f t="shared" ca="1" si="77"/>
        <v>22.442427272544553</v>
      </c>
      <c r="R221" s="44">
        <f t="shared" ca="1" si="78"/>
        <v>2.2442427272544552</v>
      </c>
      <c r="S221" s="44">
        <f t="shared" ca="1" si="79"/>
        <v>2.2442427272544552</v>
      </c>
      <c r="T221" s="4">
        <f t="shared" ca="1" si="80"/>
        <v>0</v>
      </c>
      <c r="U221" s="120">
        <f t="shared" ca="1" si="81"/>
        <v>1537.901337549361</v>
      </c>
      <c r="V221" s="4">
        <f t="shared" ca="1" si="82"/>
        <v>0</v>
      </c>
      <c r="W221" s="13">
        <f t="shared" ca="1" si="83"/>
        <v>33951.006000000001</v>
      </c>
      <c r="X221" s="4">
        <f t="shared" ca="1" si="84"/>
        <v>0</v>
      </c>
      <c r="Y221" s="4">
        <f t="shared" si="85"/>
        <v>0</v>
      </c>
      <c r="Z221" s="13">
        <f t="shared" ca="1" si="86"/>
        <v>33951.006000000001</v>
      </c>
      <c r="AA221" s="4">
        <f t="shared" ca="1" si="87"/>
        <v>0</v>
      </c>
      <c r="AE221" s="4"/>
    </row>
    <row r="222" spans="1:31">
      <c r="A222">
        <v>1</v>
      </c>
      <c r="B222">
        <v>2</v>
      </c>
      <c r="C222">
        <f t="shared" ca="1" si="66"/>
        <v>4</v>
      </c>
      <c r="D222">
        <f t="shared" ca="1" si="67"/>
        <v>3</v>
      </c>
      <c r="E222">
        <f t="shared" ca="1" si="68"/>
        <v>1</v>
      </c>
      <c r="F222" s="110">
        <f t="shared" ca="1" si="69"/>
        <v>0</v>
      </c>
      <c r="G222">
        <v>1</v>
      </c>
      <c r="H222">
        <v>0</v>
      </c>
      <c r="I222">
        <v>3</v>
      </c>
      <c r="J222" s="1">
        <f t="shared" ca="1" si="70"/>
        <v>0.63642578124999993</v>
      </c>
      <c r="K222" s="1">
        <f t="shared" ca="1" si="71"/>
        <v>0</v>
      </c>
      <c r="L222" s="13">
        <f t="shared" ca="1" si="72"/>
        <v>298</v>
      </c>
      <c r="M222" s="7">
        <f t="shared" ca="1" si="73"/>
        <v>702</v>
      </c>
      <c r="N222" s="26">
        <f t="shared" ca="1" si="74"/>
        <v>3</v>
      </c>
      <c r="O222" s="44">
        <f t="shared" ca="1" si="75"/>
        <v>2.2442427272544552</v>
      </c>
      <c r="P222" s="44">
        <f t="shared" ca="1" si="76"/>
        <v>22.442427272544553</v>
      </c>
      <c r="Q222" s="44">
        <f t="shared" ca="1" si="77"/>
        <v>22.442427272544553</v>
      </c>
      <c r="R222" s="44">
        <f t="shared" ca="1" si="78"/>
        <v>2.2442427272544552</v>
      </c>
      <c r="S222" s="44">
        <f t="shared" ca="1" si="79"/>
        <v>2.2442427272544552</v>
      </c>
      <c r="T222" s="4">
        <f t="shared" ca="1" si="80"/>
        <v>0</v>
      </c>
      <c r="U222" s="120">
        <f t="shared" ca="1" si="81"/>
        <v>1518.901337549361</v>
      </c>
      <c r="V222" s="4">
        <f t="shared" ca="1" si="82"/>
        <v>0</v>
      </c>
      <c r="W222" s="13">
        <f t="shared" ca="1" si="83"/>
        <v>31610.106000000003</v>
      </c>
      <c r="X222" s="4">
        <f t="shared" ca="1" si="84"/>
        <v>0</v>
      </c>
      <c r="Y222" s="4">
        <f t="shared" si="85"/>
        <v>0</v>
      </c>
      <c r="Z222" s="13">
        <f t="shared" ca="1" si="86"/>
        <v>31610.106000000003</v>
      </c>
      <c r="AA222" s="4">
        <f t="shared" ca="1" si="87"/>
        <v>0</v>
      </c>
      <c r="AE222" s="4"/>
    </row>
    <row r="223" spans="1:31">
      <c r="A223">
        <v>1</v>
      </c>
      <c r="B223">
        <v>2</v>
      </c>
      <c r="C223">
        <f t="shared" ca="1" si="66"/>
        <v>4</v>
      </c>
      <c r="D223">
        <f t="shared" ca="1" si="67"/>
        <v>3</v>
      </c>
      <c r="E223">
        <f t="shared" ca="1" si="68"/>
        <v>1</v>
      </c>
      <c r="F223" s="110">
        <f t="shared" ca="1" si="69"/>
        <v>0</v>
      </c>
      <c r="G223">
        <v>1</v>
      </c>
      <c r="H223">
        <v>0</v>
      </c>
      <c r="I223">
        <v>2</v>
      </c>
      <c r="J223" s="1">
        <f t="shared" ca="1" si="70"/>
        <v>0.27275390625000001</v>
      </c>
      <c r="K223" s="1">
        <f t="shared" ca="1" si="71"/>
        <v>0</v>
      </c>
      <c r="L223" s="13">
        <f t="shared" ca="1" si="72"/>
        <v>279</v>
      </c>
      <c r="M223" s="7">
        <f t="shared" ca="1" si="73"/>
        <v>721</v>
      </c>
      <c r="N223" s="26">
        <f t="shared" ca="1" si="74"/>
        <v>3</v>
      </c>
      <c r="O223" s="44">
        <f t="shared" ca="1" si="75"/>
        <v>2.2442427272544552</v>
      </c>
      <c r="P223" s="44">
        <f t="shared" ca="1" si="76"/>
        <v>22.442427272544553</v>
      </c>
      <c r="Q223" s="44">
        <f t="shared" ca="1" si="77"/>
        <v>22.442427272544553</v>
      </c>
      <c r="R223" s="44">
        <f t="shared" ca="1" si="78"/>
        <v>2.2442427272544552</v>
      </c>
      <c r="S223" s="44">
        <f t="shared" ca="1" si="79"/>
        <v>2.2442427272544552</v>
      </c>
      <c r="T223" s="4">
        <f t="shared" ca="1" si="80"/>
        <v>0</v>
      </c>
      <c r="U223" s="120">
        <f t="shared" ca="1" si="81"/>
        <v>1499.901337549361</v>
      </c>
      <c r="V223" s="4">
        <f t="shared" ca="1" si="82"/>
        <v>0</v>
      </c>
      <c r="W223" s="13">
        <f t="shared" ca="1" si="83"/>
        <v>29269.206000000002</v>
      </c>
      <c r="X223" s="4">
        <f t="shared" ca="1" si="84"/>
        <v>0</v>
      </c>
      <c r="Y223" s="4">
        <f t="shared" si="85"/>
        <v>0</v>
      </c>
      <c r="Z223" s="13">
        <f t="shared" ca="1" si="86"/>
        <v>29269.206000000002</v>
      </c>
      <c r="AA223" s="4">
        <f t="shared" ca="1" si="87"/>
        <v>0</v>
      </c>
      <c r="AE223" s="4"/>
    </row>
    <row r="224" spans="1:31">
      <c r="A224">
        <v>1</v>
      </c>
      <c r="B224">
        <v>2</v>
      </c>
      <c r="C224">
        <f t="shared" ca="1" si="66"/>
        <v>4</v>
      </c>
      <c r="D224">
        <f t="shared" ca="1" si="67"/>
        <v>3</v>
      </c>
      <c r="E224">
        <f t="shared" ca="1" si="68"/>
        <v>1</v>
      </c>
      <c r="F224" s="110">
        <f t="shared" ca="1" si="69"/>
        <v>0</v>
      </c>
      <c r="G224">
        <v>1</v>
      </c>
      <c r="H224">
        <v>0</v>
      </c>
      <c r="I224">
        <v>1</v>
      </c>
      <c r="J224" s="1">
        <f t="shared" ca="1" si="70"/>
        <v>3.8964843749999999E-2</v>
      </c>
      <c r="K224" s="1">
        <f t="shared" ca="1" si="71"/>
        <v>0</v>
      </c>
      <c r="L224" s="13">
        <f t="shared" ca="1" si="72"/>
        <v>260</v>
      </c>
      <c r="M224" s="7">
        <f t="shared" ca="1" si="73"/>
        <v>740</v>
      </c>
      <c r="N224" s="26">
        <f t="shared" ca="1" si="74"/>
        <v>3</v>
      </c>
      <c r="O224" s="44">
        <f t="shared" ca="1" si="75"/>
        <v>2.2442427272544552</v>
      </c>
      <c r="P224" s="44">
        <f t="shared" ca="1" si="76"/>
        <v>22.442427272544553</v>
      </c>
      <c r="Q224" s="44">
        <f t="shared" ca="1" si="77"/>
        <v>22.442427272544553</v>
      </c>
      <c r="R224" s="44">
        <f t="shared" ca="1" si="78"/>
        <v>2.2442427272544552</v>
      </c>
      <c r="S224" s="44">
        <f t="shared" ca="1" si="79"/>
        <v>2.2442427272544552</v>
      </c>
      <c r="T224" s="4">
        <f t="shared" ca="1" si="80"/>
        <v>0</v>
      </c>
      <c r="U224" s="120">
        <f t="shared" ca="1" si="81"/>
        <v>1480.901337549361</v>
      </c>
      <c r="V224" s="4">
        <f t="shared" ca="1" si="82"/>
        <v>0</v>
      </c>
      <c r="W224" s="13">
        <f t="shared" ca="1" si="83"/>
        <v>26928.306000000004</v>
      </c>
      <c r="X224" s="4">
        <f t="shared" ca="1" si="84"/>
        <v>0</v>
      </c>
      <c r="Y224" s="4">
        <f t="shared" si="85"/>
        <v>0</v>
      </c>
      <c r="Z224" s="13">
        <f t="shared" ca="1" si="86"/>
        <v>26928.306000000004</v>
      </c>
      <c r="AA224" s="4">
        <f t="shared" ca="1" si="87"/>
        <v>0</v>
      </c>
      <c r="AE224" s="4"/>
    </row>
    <row r="225" spans="1:31">
      <c r="A225">
        <v>1</v>
      </c>
      <c r="B225">
        <v>2</v>
      </c>
      <c r="C225">
        <f t="shared" ca="1" si="66"/>
        <v>4</v>
      </c>
      <c r="D225">
        <f t="shared" ca="1" si="67"/>
        <v>3</v>
      </c>
      <c r="E225">
        <f t="shared" ca="1" si="68"/>
        <v>1</v>
      </c>
      <c r="F225" s="110">
        <f t="shared" ca="1" si="69"/>
        <v>0</v>
      </c>
      <c r="G225">
        <v>1</v>
      </c>
      <c r="H225">
        <v>0</v>
      </c>
      <c r="I225">
        <v>0</v>
      </c>
      <c r="J225" s="1">
        <f t="shared" ca="1" si="70"/>
        <v>1.8554687499999999E-3</v>
      </c>
      <c r="K225" s="1">
        <f t="shared" ca="1" si="71"/>
        <v>0</v>
      </c>
      <c r="L225" s="13">
        <f t="shared" ca="1" si="72"/>
        <v>241</v>
      </c>
      <c r="M225" s="7">
        <f t="shared" ca="1" si="73"/>
        <v>759</v>
      </c>
      <c r="N225" s="26">
        <f t="shared" ca="1" si="74"/>
        <v>3</v>
      </c>
      <c r="O225" s="44">
        <f t="shared" ca="1" si="75"/>
        <v>2.2442427272544552</v>
      </c>
      <c r="P225" s="44">
        <f t="shared" ca="1" si="76"/>
        <v>22.442427272544553</v>
      </c>
      <c r="Q225" s="44">
        <f t="shared" ca="1" si="77"/>
        <v>22.442427272544553</v>
      </c>
      <c r="R225" s="44">
        <f t="shared" ca="1" si="78"/>
        <v>2.2442427272544552</v>
      </c>
      <c r="S225" s="44">
        <f t="shared" ca="1" si="79"/>
        <v>2.2442427272544552</v>
      </c>
      <c r="T225" s="4">
        <f t="shared" ca="1" si="80"/>
        <v>0</v>
      </c>
      <c r="U225" s="120">
        <f t="shared" ca="1" si="81"/>
        <v>1461.901337549361</v>
      </c>
      <c r="V225" s="4">
        <f t="shared" ca="1" si="82"/>
        <v>0</v>
      </c>
      <c r="W225" s="13">
        <f t="shared" ca="1" si="83"/>
        <v>24587.406000000003</v>
      </c>
      <c r="X225" s="4">
        <f t="shared" ca="1" si="84"/>
        <v>0</v>
      </c>
      <c r="Y225" s="4">
        <f t="shared" si="85"/>
        <v>0</v>
      </c>
      <c r="Z225" s="13">
        <f t="shared" ca="1" si="86"/>
        <v>24587.406000000003</v>
      </c>
      <c r="AA225" s="4">
        <f t="shared" ca="1" si="87"/>
        <v>0</v>
      </c>
      <c r="AE225" s="4"/>
    </row>
    <row r="226" spans="1:31">
      <c r="A226">
        <v>1</v>
      </c>
      <c r="B226">
        <v>2</v>
      </c>
      <c r="C226">
        <f t="shared" ca="1" si="66"/>
        <v>4</v>
      </c>
      <c r="D226">
        <f t="shared" ca="1" si="67"/>
        <v>3</v>
      </c>
      <c r="E226">
        <f t="shared" ca="1" si="68"/>
        <v>1</v>
      </c>
      <c r="F226" s="110">
        <f t="shared" ca="1" si="69"/>
        <v>0</v>
      </c>
      <c r="G226">
        <v>0</v>
      </c>
      <c r="H226">
        <v>1</v>
      </c>
      <c r="I226">
        <v>7</v>
      </c>
      <c r="J226" s="1">
        <f t="shared" ca="1" si="70"/>
        <v>0</v>
      </c>
      <c r="K226" s="1">
        <f t="shared" ca="1" si="71"/>
        <v>0</v>
      </c>
      <c r="L226" s="13">
        <f t="shared" ca="1" si="72"/>
        <v>374</v>
      </c>
      <c r="M226" s="7">
        <f t="shared" ca="1" si="73"/>
        <v>626</v>
      </c>
      <c r="N226" s="26">
        <f t="shared" ca="1" si="74"/>
        <v>3</v>
      </c>
      <c r="O226" s="44">
        <f t="shared" ca="1" si="75"/>
        <v>2.2442427272544552</v>
      </c>
      <c r="P226" s="44">
        <f t="shared" ca="1" si="76"/>
        <v>22.442427272544553</v>
      </c>
      <c r="Q226" s="44">
        <f t="shared" ca="1" si="77"/>
        <v>22.442427272544553</v>
      </c>
      <c r="R226" s="44">
        <f t="shared" ca="1" si="78"/>
        <v>2.2442427272544552</v>
      </c>
      <c r="S226" s="44">
        <f t="shared" ca="1" si="79"/>
        <v>2.2442427272544552</v>
      </c>
      <c r="T226" s="4">
        <f t="shared" ca="1" si="80"/>
        <v>0</v>
      </c>
      <c r="U226" s="120">
        <f t="shared" ca="1" si="81"/>
        <v>1594.901337549361</v>
      </c>
      <c r="V226" s="4">
        <f t="shared" ca="1" si="82"/>
        <v>0</v>
      </c>
      <c r="W226" s="13">
        <f t="shared" ca="1" si="83"/>
        <v>16386.3</v>
      </c>
      <c r="X226" s="4">
        <f t="shared" ca="1" si="84"/>
        <v>0</v>
      </c>
      <c r="Y226" s="4">
        <f t="shared" si="85"/>
        <v>0</v>
      </c>
      <c r="Z226" s="13">
        <f t="shared" ca="1" si="86"/>
        <v>16386.3</v>
      </c>
      <c r="AA226" s="4">
        <f t="shared" ca="1" si="87"/>
        <v>0</v>
      </c>
      <c r="AE226" s="4"/>
    </row>
    <row r="227" spans="1:31">
      <c r="A227">
        <v>1</v>
      </c>
      <c r="B227">
        <v>2</v>
      </c>
      <c r="C227">
        <f t="shared" ca="1" si="66"/>
        <v>4</v>
      </c>
      <c r="D227">
        <f t="shared" ca="1" si="67"/>
        <v>3</v>
      </c>
      <c r="E227">
        <f t="shared" ca="1" si="68"/>
        <v>1</v>
      </c>
      <c r="F227" s="110">
        <f t="shared" ca="1" si="69"/>
        <v>0</v>
      </c>
      <c r="G227">
        <v>0</v>
      </c>
      <c r="H227">
        <v>1</v>
      </c>
      <c r="I227">
        <v>6</v>
      </c>
      <c r="J227" s="1">
        <f t="shared" ca="1" si="70"/>
        <v>0</v>
      </c>
      <c r="K227" s="1">
        <f t="shared" ca="1" si="71"/>
        <v>0</v>
      </c>
      <c r="L227" s="13">
        <f t="shared" ca="1" si="72"/>
        <v>355</v>
      </c>
      <c r="M227" s="7">
        <f t="shared" ca="1" si="73"/>
        <v>645</v>
      </c>
      <c r="N227" s="26">
        <f t="shared" ca="1" si="74"/>
        <v>3</v>
      </c>
      <c r="O227" s="44">
        <f t="shared" ca="1" si="75"/>
        <v>2.2442427272544552</v>
      </c>
      <c r="P227" s="44">
        <f t="shared" ca="1" si="76"/>
        <v>22.442427272544553</v>
      </c>
      <c r="Q227" s="44">
        <f t="shared" ca="1" si="77"/>
        <v>22.442427272544553</v>
      </c>
      <c r="R227" s="44">
        <f t="shared" ca="1" si="78"/>
        <v>2.2442427272544552</v>
      </c>
      <c r="S227" s="44">
        <f t="shared" ca="1" si="79"/>
        <v>2.2442427272544552</v>
      </c>
      <c r="T227" s="4">
        <f t="shared" ca="1" si="80"/>
        <v>0</v>
      </c>
      <c r="U227" s="120">
        <f t="shared" ca="1" si="81"/>
        <v>1575.901337549361</v>
      </c>
      <c r="V227" s="4">
        <f t="shared" ca="1" si="82"/>
        <v>0</v>
      </c>
      <c r="W227" s="13">
        <f t="shared" ca="1" si="83"/>
        <v>14045.400000000001</v>
      </c>
      <c r="X227" s="4">
        <f t="shared" ca="1" si="84"/>
        <v>0</v>
      </c>
      <c r="Y227" s="4">
        <f t="shared" si="85"/>
        <v>0</v>
      </c>
      <c r="Z227" s="13">
        <f t="shared" ca="1" si="86"/>
        <v>14045.400000000001</v>
      </c>
      <c r="AA227" s="4">
        <f t="shared" ca="1" si="87"/>
        <v>0</v>
      </c>
      <c r="AE227" s="4"/>
    </row>
    <row r="228" spans="1:31">
      <c r="A228">
        <v>1</v>
      </c>
      <c r="B228">
        <v>2</v>
      </c>
      <c r="C228">
        <f t="shared" ca="1" si="66"/>
        <v>4</v>
      </c>
      <c r="D228">
        <f t="shared" ca="1" si="67"/>
        <v>3</v>
      </c>
      <c r="E228">
        <f t="shared" ca="1" si="68"/>
        <v>1</v>
      </c>
      <c r="F228" s="110">
        <f t="shared" ca="1" si="69"/>
        <v>0</v>
      </c>
      <c r="G228">
        <v>0</v>
      </c>
      <c r="H228">
        <v>1</v>
      </c>
      <c r="I228">
        <v>5</v>
      </c>
      <c r="J228" s="1">
        <f t="shared" ca="1" si="70"/>
        <v>0</v>
      </c>
      <c r="K228" s="1">
        <f t="shared" ca="1" si="71"/>
        <v>0</v>
      </c>
      <c r="L228" s="13">
        <f t="shared" ca="1" si="72"/>
        <v>336</v>
      </c>
      <c r="M228" s="7">
        <f t="shared" ca="1" si="73"/>
        <v>664</v>
      </c>
      <c r="N228" s="26">
        <f t="shared" ca="1" si="74"/>
        <v>3</v>
      </c>
      <c r="O228" s="44">
        <f t="shared" ca="1" si="75"/>
        <v>2.2442427272544552</v>
      </c>
      <c r="P228" s="44">
        <f t="shared" ca="1" si="76"/>
        <v>22.442427272544553</v>
      </c>
      <c r="Q228" s="44">
        <f t="shared" ca="1" si="77"/>
        <v>22.442427272544553</v>
      </c>
      <c r="R228" s="44">
        <f t="shared" ca="1" si="78"/>
        <v>2.2442427272544552</v>
      </c>
      <c r="S228" s="44">
        <f t="shared" ca="1" si="79"/>
        <v>2.2442427272544552</v>
      </c>
      <c r="T228" s="4">
        <f t="shared" ca="1" si="80"/>
        <v>0</v>
      </c>
      <c r="U228" s="120">
        <f t="shared" ca="1" si="81"/>
        <v>1556.901337549361</v>
      </c>
      <c r="V228" s="4">
        <f t="shared" ca="1" si="82"/>
        <v>0</v>
      </c>
      <c r="W228" s="13">
        <f t="shared" ca="1" si="83"/>
        <v>11704.5</v>
      </c>
      <c r="X228" s="4">
        <f t="shared" ca="1" si="84"/>
        <v>0</v>
      </c>
      <c r="Y228" s="4">
        <f t="shared" si="85"/>
        <v>0</v>
      </c>
      <c r="Z228" s="13">
        <f t="shared" ca="1" si="86"/>
        <v>11704.5</v>
      </c>
      <c r="AA228" s="4">
        <f t="shared" ca="1" si="87"/>
        <v>0</v>
      </c>
      <c r="AE228" s="4"/>
    </row>
    <row r="229" spans="1:31">
      <c r="A229">
        <v>1</v>
      </c>
      <c r="B229">
        <v>2</v>
      </c>
      <c r="C229">
        <f t="shared" ca="1" si="66"/>
        <v>4</v>
      </c>
      <c r="D229">
        <f t="shared" ca="1" si="67"/>
        <v>3</v>
      </c>
      <c r="E229">
        <f t="shared" ca="1" si="68"/>
        <v>1</v>
      </c>
      <c r="F229" s="110">
        <f t="shared" ca="1" si="69"/>
        <v>0</v>
      </c>
      <c r="G229">
        <v>0</v>
      </c>
      <c r="H229">
        <v>1</v>
      </c>
      <c r="I229">
        <v>4</v>
      </c>
      <c r="J229" s="1">
        <f t="shared" ca="1" si="70"/>
        <v>0</v>
      </c>
      <c r="K229" s="1">
        <f t="shared" ca="1" si="71"/>
        <v>0</v>
      </c>
      <c r="L229" s="13">
        <f t="shared" ca="1" si="72"/>
        <v>317</v>
      </c>
      <c r="M229" s="7">
        <f t="shared" ca="1" si="73"/>
        <v>683</v>
      </c>
      <c r="N229" s="26">
        <f t="shared" ca="1" si="74"/>
        <v>3</v>
      </c>
      <c r="O229" s="44">
        <f t="shared" ca="1" si="75"/>
        <v>2.2442427272544552</v>
      </c>
      <c r="P229" s="44">
        <f t="shared" ca="1" si="76"/>
        <v>22.442427272544553</v>
      </c>
      <c r="Q229" s="44">
        <f t="shared" ca="1" si="77"/>
        <v>22.442427272544553</v>
      </c>
      <c r="R229" s="44">
        <f t="shared" ca="1" si="78"/>
        <v>2.2442427272544552</v>
      </c>
      <c r="S229" s="44">
        <f t="shared" ca="1" si="79"/>
        <v>2.2442427272544552</v>
      </c>
      <c r="T229" s="4">
        <f t="shared" ca="1" si="80"/>
        <v>0</v>
      </c>
      <c r="U229" s="120">
        <f t="shared" ca="1" si="81"/>
        <v>1537.901337549361</v>
      </c>
      <c r="V229" s="4">
        <f t="shared" ca="1" si="82"/>
        <v>0</v>
      </c>
      <c r="W229" s="13">
        <f t="shared" ca="1" si="83"/>
        <v>9363.6</v>
      </c>
      <c r="X229" s="4">
        <f t="shared" ca="1" si="84"/>
        <v>0</v>
      </c>
      <c r="Y229" s="4">
        <f t="shared" si="85"/>
        <v>0</v>
      </c>
      <c r="Z229" s="13">
        <f t="shared" ca="1" si="86"/>
        <v>9363.6</v>
      </c>
      <c r="AA229" s="4">
        <f t="shared" ca="1" si="87"/>
        <v>0</v>
      </c>
      <c r="AE229" s="4"/>
    </row>
    <row r="230" spans="1:31">
      <c r="A230">
        <v>1</v>
      </c>
      <c r="B230">
        <v>2</v>
      </c>
      <c r="C230">
        <f t="shared" ca="1" si="66"/>
        <v>4</v>
      </c>
      <c r="D230">
        <f t="shared" ca="1" si="67"/>
        <v>3</v>
      </c>
      <c r="E230">
        <f t="shared" ca="1" si="68"/>
        <v>1</v>
      </c>
      <c r="F230" s="110">
        <f t="shared" ca="1" si="69"/>
        <v>0</v>
      </c>
      <c r="G230">
        <v>0</v>
      </c>
      <c r="H230">
        <v>1</v>
      </c>
      <c r="I230">
        <v>3</v>
      </c>
      <c r="J230" s="1">
        <f t="shared" ca="1" si="70"/>
        <v>0</v>
      </c>
      <c r="K230" s="1">
        <f t="shared" ca="1" si="71"/>
        <v>0</v>
      </c>
      <c r="L230" s="13">
        <f t="shared" ca="1" si="72"/>
        <v>298</v>
      </c>
      <c r="M230" s="7">
        <f t="shared" ca="1" si="73"/>
        <v>702</v>
      </c>
      <c r="N230" s="26">
        <f t="shared" ca="1" si="74"/>
        <v>3</v>
      </c>
      <c r="O230" s="44">
        <f t="shared" ca="1" si="75"/>
        <v>2.2442427272544552</v>
      </c>
      <c r="P230" s="44">
        <f t="shared" ca="1" si="76"/>
        <v>22.442427272544553</v>
      </c>
      <c r="Q230" s="44">
        <f t="shared" ca="1" si="77"/>
        <v>22.442427272544553</v>
      </c>
      <c r="R230" s="44">
        <f t="shared" ca="1" si="78"/>
        <v>2.2442427272544552</v>
      </c>
      <c r="S230" s="44">
        <f t="shared" ca="1" si="79"/>
        <v>2.2442427272544552</v>
      </c>
      <c r="T230" s="4">
        <f t="shared" ca="1" si="80"/>
        <v>0</v>
      </c>
      <c r="U230" s="120">
        <f t="shared" ca="1" si="81"/>
        <v>1518.901337549361</v>
      </c>
      <c r="V230" s="4">
        <f t="shared" ca="1" si="82"/>
        <v>0</v>
      </c>
      <c r="W230" s="13">
        <f t="shared" ca="1" si="83"/>
        <v>7022.7000000000007</v>
      </c>
      <c r="X230" s="4">
        <f t="shared" ca="1" si="84"/>
        <v>0</v>
      </c>
      <c r="Y230" s="4">
        <f t="shared" si="85"/>
        <v>0</v>
      </c>
      <c r="Z230" s="13">
        <f t="shared" ca="1" si="86"/>
        <v>7022.7000000000007</v>
      </c>
      <c r="AA230" s="4">
        <f t="shared" ca="1" si="87"/>
        <v>0</v>
      </c>
      <c r="AE230" s="4"/>
    </row>
    <row r="231" spans="1:31">
      <c r="A231">
        <v>1</v>
      </c>
      <c r="B231">
        <v>2</v>
      </c>
      <c r="C231">
        <f t="shared" ca="1" si="66"/>
        <v>4</v>
      </c>
      <c r="D231">
        <f t="shared" ca="1" si="67"/>
        <v>3</v>
      </c>
      <c r="E231">
        <f t="shared" ca="1" si="68"/>
        <v>1</v>
      </c>
      <c r="F231" s="110">
        <f t="shared" ca="1" si="69"/>
        <v>0</v>
      </c>
      <c r="G231">
        <v>0</v>
      </c>
      <c r="H231">
        <v>1</v>
      </c>
      <c r="I231">
        <v>2</v>
      </c>
      <c r="J231" s="1">
        <f t="shared" ca="1" si="70"/>
        <v>0</v>
      </c>
      <c r="K231" s="1">
        <f t="shared" ca="1" si="71"/>
        <v>0</v>
      </c>
      <c r="L231" s="13">
        <f t="shared" ca="1" si="72"/>
        <v>279</v>
      </c>
      <c r="M231" s="7">
        <f t="shared" ca="1" si="73"/>
        <v>721</v>
      </c>
      <c r="N231" s="26">
        <f t="shared" ca="1" si="74"/>
        <v>3</v>
      </c>
      <c r="O231" s="44">
        <f t="shared" ca="1" si="75"/>
        <v>2.2442427272544552</v>
      </c>
      <c r="P231" s="44">
        <f t="shared" ca="1" si="76"/>
        <v>22.442427272544553</v>
      </c>
      <c r="Q231" s="44">
        <f t="shared" ca="1" si="77"/>
        <v>22.442427272544553</v>
      </c>
      <c r="R231" s="44">
        <f t="shared" ca="1" si="78"/>
        <v>2.2442427272544552</v>
      </c>
      <c r="S231" s="44">
        <f t="shared" ca="1" si="79"/>
        <v>2.2442427272544552</v>
      </c>
      <c r="T231" s="4">
        <f t="shared" ca="1" si="80"/>
        <v>0</v>
      </c>
      <c r="U231" s="120">
        <f t="shared" ca="1" si="81"/>
        <v>1499.901337549361</v>
      </c>
      <c r="V231" s="4">
        <f t="shared" ca="1" si="82"/>
        <v>0</v>
      </c>
      <c r="W231" s="13">
        <f t="shared" ca="1" si="83"/>
        <v>4681.8</v>
      </c>
      <c r="X231" s="4">
        <f t="shared" ca="1" si="84"/>
        <v>0</v>
      </c>
      <c r="Y231" s="4">
        <f t="shared" si="85"/>
        <v>0</v>
      </c>
      <c r="Z231" s="13">
        <f t="shared" ca="1" si="86"/>
        <v>4681.8</v>
      </c>
      <c r="AA231" s="4">
        <f t="shared" ca="1" si="87"/>
        <v>0</v>
      </c>
      <c r="AE231" s="4"/>
    </row>
    <row r="232" spans="1:31">
      <c r="A232">
        <v>1</v>
      </c>
      <c r="B232">
        <v>2</v>
      </c>
      <c r="C232">
        <f t="shared" ca="1" si="66"/>
        <v>4</v>
      </c>
      <c r="D232">
        <f t="shared" ca="1" si="67"/>
        <v>3</v>
      </c>
      <c r="E232">
        <f t="shared" ca="1" si="68"/>
        <v>1</v>
      </c>
      <c r="F232" s="110">
        <f t="shared" ca="1" si="69"/>
        <v>0</v>
      </c>
      <c r="G232">
        <v>0</v>
      </c>
      <c r="H232">
        <v>1</v>
      </c>
      <c r="I232">
        <v>1</v>
      </c>
      <c r="J232" s="1">
        <f t="shared" ca="1" si="70"/>
        <v>0</v>
      </c>
      <c r="K232" s="1">
        <f t="shared" ca="1" si="71"/>
        <v>0</v>
      </c>
      <c r="L232" s="13">
        <f t="shared" ca="1" si="72"/>
        <v>260</v>
      </c>
      <c r="M232" s="7">
        <f t="shared" ca="1" si="73"/>
        <v>740</v>
      </c>
      <c r="N232" s="26">
        <f t="shared" ca="1" si="74"/>
        <v>3</v>
      </c>
      <c r="O232" s="44">
        <f t="shared" ca="1" si="75"/>
        <v>2.2442427272544552</v>
      </c>
      <c r="P232" s="44">
        <f t="shared" ca="1" si="76"/>
        <v>22.442427272544553</v>
      </c>
      <c r="Q232" s="44">
        <f t="shared" ca="1" si="77"/>
        <v>22.442427272544553</v>
      </c>
      <c r="R232" s="44">
        <f t="shared" ca="1" si="78"/>
        <v>2.2442427272544552</v>
      </c>
      <c r="S232" s="44">
        <f t="shared" ca="1" si="79"/>
        <v>2.2442427272544552</v>
      </c>
      <c r="T232" s="4">
        <f t="shared" ca="1" si="80"/>
        <v>0</v>
      </c>
      <c r="U232" s="120">
        <f t="shared" ca="1" si="81"/>
        <v>1480.901337549361</v>
      </c>
      <c r="V232" s="4">
        <f t="shared" ca="1" si="82"/>
        <v>0</v>
      </c>
      <c r="W232" s="13">
        <f t="shared" ca="1" si="83"/>
        <v>2340.9</v>
      </c>
      <c r="X232" s="4">
        <f t="shared" ca="1" si="84"/>
        <v>0</v>
      </c>
      <c r="Y232" s="4">
        <f t="shared" si="85"/>
        <v>0</v>
      </c>
      <c r="Z232" s="13">
        <f t="shared" ca="1" si="86"/>
        <v>2340.9</v>
      </c>
      <c r="AA232" s="4">
        <f t="shared" ca="1" si="87"/>
        <v>0</v>
      </c>
      <c r="AE232" s="4"/>
    </row>
    <row r="233" spans="1:31">
      <c r="A233">
        <v>1</v>
      </c>
      <c r="B233">
        <v>2</v>
      </c>
      <c r="C233">
        <f t="shared" ca="1" si="66"/>
        <v>4</v>
      </c>
      <c r="D233">
        <f t="shared" ca="1" si="67"/>
        <v>3</v>
      </c>
      <c r="E233">
        <f t="shared" ca="1" si="68"/>
        <v>1</v>
      </c>
      <c r="F233" s="110">
        <f t="shared" ca="1" si="69"/>
        <v>0</v>
      </c>
      <c r="G233">
        <v>0</v>
      </c>
      <c r="H233">
        <v>1</v>
      </c>
      <c r="I233">
        <v>0</v>
      </c>
      <c r="J233" s="1">
        <f t="shared" ca="1" si="70"/>
        <v>0</v>
      </c>
      <c r="K233" s="1">
        <f t="shared" ca="1" si="71"/>
        <v>0</v>
      </c>
      <c r="L233" s="13">
        <f t="shared" ca="1" si="72"/>
        <v>241</v>
      </c>
      <c r="M233" s="7">
        <f t="shared" ca="1" si="73"/>
        <v>759</v>
      </c>
      <c r="N233" s="26">
        <f t="shared" ca="1" si="74"/>
        <v>3</v>
      </c>
      <c r="O233" s="44">
        <f t="shared" ca="1" si="75"/>
        <v>2.2442427272544552</v>
      </c>
      <c r="P233" s="44">
        <f t="shared" ca="1" si="76"/>
        <v>22.442427272544553</v>
      </c>
      <c r="Q233" s="44">
        <f t="shared" ca="1" si="77"/>
        <v>22.442427272544553</v>
      </c>
      <c r="R233" s="44">
        <f t="shared" ca="1" si="78"/>
        <v>2.2442427272544552</v>
      </c>
      <c r="S233" s="44">
        <f t="shared" ca="1" si="79"/>
        <v>2.2442427272544552</v>
      </c>
      <c r="T233" s="4">
        <f t="shared" ca="1" si="80"/>
        <v>0</v>
      </c>
      <c r="U233" s="120">
        <f t="shared" ca="1" si="81"/>
        <v>1461.901337549361</v>
      </c>
      <c r="V233" s="4">
        <f t="shared" ca="1" si="82"/>
        <v>0</v>
      </c>
      <c r="W233" s="13">
        <f t="shared" ca="1" si="83"/>
        <v>0</v>
      </c>
      <c r="X233" s="4">
        <f t="shared" ca="1" si="84"/>
        <v>0</v>
      </c>
      <c r="Y233" s="4">
        <f t="shared" si="85"/>
        <v>0</v>
      </c>
      <c r="Z233" s="13">
        <f t="shared" ca="1" si="86"/>
        <v>0</v>
      </c>
      <c r="AA233" s="4">
        <f t="shared" ca="1" si="87"/>
        <v>0</v>
      </c>
      <c r="AE233" s="4"/>
    </row>
    <row r="234" spans="1:31">
      <c r="A234">
        <v>1</v>
      </c>
      <c r="B234">
        <v>2</v>
      </c>
      <c r="C234">
        <f t="shared" ca="1" si="66"/>
        <v>4</v>
      </c>
      <c r="D234">
        <f t="shared" ca="1" si="67"/>
        <v>3</v>
      </c>
      <c r="E234">
        <f t="shared" ca="1" si="68"/>
        <v>1</v>
      </c>
      <c r="F234" s="110">
        <f t="shared" ca="1" si="69"/>
        <v>0</v>
      </c>
      <c r="G234">
        <v>0</v>
      </c>
      <c r="H234">
        <v>0</v>
      </c>
      <c r="I234">
        <v>7</v>
      </c>
      <c r="J234" s="1">
        <f t="shared" ca="1" si="70"/>
        <v>0</v>
      </c>
      <c r="K234" s="1">
        <f t="shared" ca="1" si="71"/>
        <v>0</v>
      </c>
      <c r="L234" s="13">
        <f t="shared" ca="1" si="72"/>
        <v>133</v>
      </c>
      <c r="M234" s="7">
        <f t="shared" ca="1" si="73"/>
        <v>867</v>
      </c>
      <c r="N234" s="26">
        <f t="shared" ca="1" si="74"/>
        <v>4</v>
      </c>
      <c r="O234" s="44">
        <f t="shared" ca="1" si="75"/>
        <v>2.8621467101781541</v>
      </c>
      <c r="P234" s="44">
        <f t="shared" ca="1" si="76"/>
        <v>28.621467101781548</v>
      </c>
      <c r="Q234" s="44">
        <f t="shared" ca="1" si="77"/>
        <v>24.914043204239348</v>
      </c>
      <c r="R234" s="44">
        <f t="shared" ca="1" si="78"/>
        <v>2.6767755153010446</v>
      </c>
      <c r="S234" s="44">
        <f t="shared" ca="1" si="79"/>
        <v>2.8491707265367565</v>
      </c>
      <c r="T234" s="4">
        <f t="shared" ca="1" si="80"/>
        <v>0</v>
      </c>
      <c r="U234" s="120">
        <f t="shared" ca="1" si="81"/>
        <v>1622.8690837457082</v>
      </c>
      <c r="V234" s="4">
        <f t="shared" ca="1" si="82"/>
        <v>0</v>
      </c>
      <c r="W234" s="13">
        <f t="shared" ca="1" si="83"/>
        <v>16386.3</v>
      </c>
      <c r="X234" s="4">
        <f t="shared" ca="1" si="84"/>
        <v>0</v>
      </c>
      <c r="Y234" s="4">
        <f t="shared" si="85"/>
        <v>0</v>
      </c>
      <c r="Z234" s="13">
        <f t="shared" ca="1" si="86"/>
        <v>16386.3</v>
      </c>
      <c r="AA234" s="4">
        <f t="shared" ca="1" si="87"/>
        <v>0</v>
      </c>
      <c r="AE234" s="4"/>
    </row>
    <row r="235" spans="1:31">
      <c r="A235">
        <v>1</v>
      </c>
      <c r="B235">
        <v>2</v>
      </c>
      <c r="C235">
        <f t="shared" ca="1" si="66"/>
        <v>4</v>
      </c>
      <c r="D235">
        <f t="shared" ca="1" si="67"/>
        <v>3</v>
      </c>
      <c r="E235">
        <f t="shared" ca="1" si="68"/>
        <v>1</v>
      </c>
      <c r="F235" s="110">
        <f t="shared" ca="1" si="69"/>
        <v>0</v>
      </c>
      <c r="G235">
        <v>0</v>
      </c>
      <c r="H235">
        <v>0</v>
      </c>
      <c r="I235">
        <v>6</v>
      </c>
      <c r="J235" s="1">
        <f t="shared" ca="1" si="70"/>
        <v>0</v>
      </c>
      <c r="K235" s="1">
        <f t="shared" ca="1" si="71"/>
        <v>0</v>
      </c>
      <c r="L235" s="13">
        <f t="shared" ca="1" si="72"/>
        <v>114</v>
      </c>
      <c r="M235" s="7">
        <f t="shared" ca="1" si="73"/>
        <v>886</v>
      </c>
      <c r="N235" s="26">
        <f t="shared" ca="1" si="74"/>
        <v>4</v>
      </c>
      <c r="O235" s="44">
        <f t="shared" ca="1" si="75"/>
        <v>2.8621467101781541</v>
      </c>
      <c r="P235" s="44">
        <f t="shared" ca="1" si="76"/>
        <v>28.621467101781548</v>
      </c>
      <c r="Q235" s="44">
        <f t="shared" ca="1" si="77"/>
        <v>28.621467101781548</v>
      </c>
      <c r="R235" s="44">
        <f t="shared" ca="1" si="78"/>
        <v>2.8621467101781546</v>
      </c>
      <c r="S235" s="44">
        <f t="shared" ca="1" si="79"/>
        <v>2.8621467101781541</v>
      </c>
      <c r="T235" s="4">
        <f t="shared" ca="1" si="80"/>
        <v>0</v>
      </c>
      <c r="U235" s="120">
        <f t="shared" ca="1" si="81"/>
        <v>1609.6385655333725</v>
      </c>
      <c r="V235" s="4">
        <f t="shared" ca="1" si="82"/>
        <v>0</v>
      </c>
      <c r="W235" s="13">
        <f t="shared" ca="1" si="83"/>
        <v>14045.400000000001</v>
      </c>
      <c r="X235" s="4">
        <f t="shared" ca="1" si="84"/>
        <v>0</v>
      </c>
      <c r="Y235" s="4">
        <f t="shared" si="85"/>
        <v>0</v>
      </c>
      <c r="Z235" s="13">
        <f t="shared" ca="1" si="86"/>
        <v>14045.400000000001</v>
      </c>
      <c r="AA235" s="4">
        <f t="shared" ca="1" si="87"/>
        <v>0</v>
      </c>
      <c r="AE235" s="4"/>
    </row>
    <row r="236" spans="1:31">
      <c r="A236">
        <v>1</v>
      </c>
      <c r="B236">
        <v>2</v>
      </c>
      <c r="C236">
        <f t="shared" ca="1" si="66"/>
        <v>4</v>
      </c>
      <c r="D236">
        <f t="shared" ca="1" si="67"/>
        <v>3</v>
      </c>
      <c r="E236">
        <f t="shared" ca="1" si="68"/>
        <v>1</v>
      </c>
      <c r="F236" s="110">
        <f t="shared" ca="1" si="69"/>
        <v>0</v>
      </c>
      <c r="G236">
        <v>0</v>
      </c>
      <c r="H236">
        <v>0</v>
      </c>
      <c r="I236">
        <v>5</v>
      </c>
      <c r="J236" s="1">
        <f t="shared" ca="1" si="70"/>
        <v>0</v>
      </c>
      <c r="K236" s="1">
        <f t="shared" ca="1" si="71"/>
        <v>0</v>
      </c>
      <c r="L236" s="13">
        <f t="shared" ca="1" si="72"/>
        <v>95</v>
      </c>
      <c r="M236" s="7">
        <f t="shared" ca="1" si="73"/>
        <v>905</v>
      </c>
      <c r="N236" s="26">
        <f t="shared" ca="1" si="74"/>
        <v>4</v>
      </c>
      <c r="O236" s="44">
        <f t="shared" ca="1" si="75"/>
        <v>2.8621467101781541</v>
      </c>
      <c r="P236" s="44">
        <f t="shared" ca="1" si="76"/>
        <v>28.621467101781548</v>
      </c>
      <c r="Q236" s="44">
        <f t="shared" ca="1" si="77"/>
        <v>28.621467101781548</v>
      </c>
      <c r="R236" s="44">
        <f t="shared" ca="1" si="78"/>
        <v>2.8621467101781546</v>
      </c>
      <c r="S236" s="44">
        <f t="shared" ca="1" si="79"/>
        <v>2.8621467101781541</v>
      </c>
      <c r="T236" s="4">
        <f t="shared" ca="1" si="80"/>
        <v>0</v>
      </c>
      <c r="U236" s="120">
        <f t="shared" ca="1" si="81"/>
        <v>1590.6385655333725</v>
      </c>
      <c r="V236" s="4">
        <f t="shared" ca="1" si="82"/>
        <v>0</v>
      </c>
      <c r="W236" s="13">
        <f t="shared" ca="1" si="83"/>
        <v>11704.5</v>
      </c>
      <c r="X236" s="4">
        <f t="shared" ca="1" si="84"/>
        <v>0</v>
      </c>
      <c r="Y236" s="4">
        <f t="shared" si="85"/>
        <v>0</v>
      </c>
      <c r="Z236" s="13">
        <f t="shared" ca="1" si="86"/>
        <v>11704.5</v>
      </c>
      <c r="AA236" s="4">
        <f t="shared" ca="1" si="87"/>
        <v>0</v>
      </c>
      <c r="AE236" s="4"/>
    </row>
    <row r="237" spans="1:31">
      <c r="A237">
        <v>1</v>
      </c>
      <c r="B237">
        <v>2</v>
      </c>
      <c r="C237">
        <f t="shared" ca="1" si="66"/>
        <v>4</v>
      </c>
      <c r="D237">
        <f t="shared" ca="1" si="67"/>
        <v>3</v>
      </c>
      <c r="E237">
        <f t="shared" ca="1" si="68"/>
        <v>1</v>
      </c>
      <c r="F237" s="110">
        <f t="shared" ca="1" si="69"/>
        <v>0</v>
      </c>
      <c r="G237">
        <v>0</v>
      </c>
      <c r="H237">
        <v>0</v>
      </c>
      <c r="I237">
        <v>4</v>
      </c>
      <c r="J237" s="1">
        <f t="shared" ca="1" si="70"/>
        <v>0</v>
      </c>
      <c r="K237" s="1">
        <f t="shared" ca="1" si="71"/>
        <v>0</v>
      </c>
      <c r="L237" s="13">
        <f t="shared" ca="1" si="72"/>
        <v>76</v>
      </c>
      <c r="M237" s="7">
        <f t="shared" ca="1" si="73"/>
        <v>924</v>
      </c>
      <c r="N237" s="26">
        <f t="shared" ca="1" si="74"/>
        <v>4</v>
      </c>
      <c r="O237" s="44">
        <f t="shared" ca="1" si="75"/>
        <v>2.8621467101781541</v>
      </c>
      <c r="P237" s="44">
        <f t="shared" ca="1" si="76"/>
        <v>28.621467101781548</v>
      </c>
      <c r="Q237" s="44">
        <f t="shared" ca="1" si="77"/>
        <v>28.621467101781548</v>
      </c>
      <c r="R237" s="44">
        <f t="shared" ca="1" si="78"/>
        <v>2.8621467101781546</v>
      </c>
      <c r="S237" s="44">
        <f t="shared" ca="1" si="79"/>
        <v>2.8621467101781541</v>
      </c>
      <c r="T237" s="4">
        <f t="shared" ca="1" si="80"/>
        <v>0</v>
      </c>
      <c r="U237" s="120">
        <f t="shared" ca="1" si="81"/>
        <v>1571.6385655333725</v>
      </c>
      <c r="V237" s="4">
        <f t="shared" ca="1" si="82"/>
        <v>0</v>
      </c>
      <c r="W237" s="13">
        <f t="shared" ca="1" si="83"/>
        <v>9363.6</v>
      </c>
      <c r="X237" s="4">
        <f t="shared" ca="1" si="84"/>
        <v>0</v>
      </c>
      <c r="Y237" s="4">
        <f t="shared" si="85"/>
        <v>0</v>
      </c>
      <c r="Z237" s="13">
        <f t="shared" ca="1" si="86"/>
        <v>9363.6</v>
      </c>
      <c r="AA237" s="4">
        <f t="shared" ca="1" si="87"/>
        <v>0</v>
      </c>
      <c r="AE237" s="4"/>
    </row>
    <row r="238" spans="1:31">
      <c r="A238">
        <v>1</v>
      </c>
      <c r="B238">
        <v>2</v>
      </c>
      <c r="C238">
        <f t="shared" ca="1" si="66"/>
        <v>4</v>
      </c>
      <c r="D238">
        <f t="shared" ca="1" si="67"/>
        <v>3</v>
      </c>
      <c r="E238">
        <f t="shared" ca="1" si="68"/>
        <v>1</v>
      </c>
      <c r="F238" s="110">
        <f t="shared" ca="1" si="69"/>
        <v>0</v>
      </c>
      <c r="G238">
        <v>0</v>
      </c>
      <c r="H238">
        <v>0</v>
      </c>
      <c r="I238">
        <v>3</v>
      </c>
      <c r="J238" s="1">
        <f t="shared" ca="1" si="70"/>
        <v>3.3496093750000004E-2</v>
      </c>
      <c r="K238" s="1">
        <f t="shared" ca="1" si="71"/>
        <v>0</v>
      </c>
      <c r="L238" s="13">
        <f t="shared" ca="1" si="72"/>
        <v>57</v>
      </c>
      <c r="M238" s="7">
        <f t="shared" ca="1" si="73"/>
        <v>943</v>
      </c>
      <c r="N238" s="26">
        <f t="shared" ca="1" si="74"/>
        <v>4</v>
      </c>
      <c r="O238" s="44">
        <f t="shared" ca="1" si="75"/>
        <v>2.8621467101781541</v>
      </c>
      <c r="P238" s="44">
        <f t="shared" ca="1" si="76"/>
        <v>28.621467101781548</v>
      </c>
      <c r="Q238" s="44">
        <f t="shared" ca="1" si="77"/>
        <v>28.621467101781548</v>
      </c>
      <c r="R238" s="44">
        <f t="shared" ca="1" si="78"/>
        <v>2.8621467101781546</v>
      </c>
      <c r="S238" s="44">
        <f t="shared" ca="1" si="79"/>
        <v>2.8621467101781541</v>
      </c>
      <c r="T238" s="4">
        <f t="shared" ca="1" si="80"/>
        <v>0</v>
      </c>
      <c r="U238" s="120">
        <f t="shared" ca="1" si="81"/>
        <v>1552.6385655333725</v>
      </c>
      <c r="V238" s="4">
        <f t="shared" ca="1" si="82"/>
        <v>0</v>
      </c>
      <c r="W238" s="13">
        <f t="shared" ca="1" si="83"/>
        <v>7022.7000000000007</v>
      </c>
      <c r="X238" s="4">
        <f t="shared" ca="1" si="84"/>
        <v>0</v>
      </c>
      <c r="Y238" s="4">
        <f t="shared" si="85"/>
        <v>0</v>
      </c>
      <c r="Z238" s="13">
        <f t="shared" ca="1" si="86"/>
        <v>7022.7000000000007</v>
      </c>
      <c r="AA238" s="4">
        <f t="shared" ca="1" si="87"/>
        <v>0</v>
      </c>
      <c r="AE238" s="4"/>
    </row>
    <row r="239" spans="1:31">
      <c r="A239">
        <v>1</v>
      </c>
      <c r="B239">
        <v>2</v>
      </c>
      <c r="C239">
        <f t="shared" ca="1" si="66"/>
        <v>4</v>
      </c>
      <c r="D239">
        <f t="shared" ca="1" si="67"/>
        <v>3</v>
      </c>
      <c r="E239">
        <f t="shared" ca="1" si="68"/>
        <v>1</v>
      </c>
      <c r="F239" s="110">
        <f t="shared" ca="1" si="69"/>
        <v>0</v>
      </c>
      <c r="G239">
        <v>0</v>
      </c>
      <c r="H239">
        <v>0</v>
      </c>
      <c r="I239">
        <v>2</v>
      </c>
      <c r="J239" s="1">
        <f t="shared" ca="1" si="70"/>
        <v>1.4355468750000001E-2</v>
      </c>
      <c r="K239" s="1">
        <f t="shared" ca="1" si="71"/>
        <v>0</v>
      </c>
      <c r="L239" s="13">
        <f t="shared" ca="1" si="72"/>
        <v>38</v>
      </c>
      <c r="M239" s="7">
        <f t="shared" ca="1" si="73"/>
        <v>962</v>
      </c>
      <c r="N239" s="26">
        <f t="shared" ca="1" si="74"/>
        <v>4</v>
      </c>
      <c r="O239" s="44">
        <f t="shared" ca="1" si="75"/>
        <v>2.8621467101781541</v>
      </c>
      <c r="P239" s="44">
        <f t="shared" ca="1" si="76"/>
        <v>28.621467101781548</v>
      </c>
      <c r="Q239" s="44">
        <f t="shared" ca="1" si="77"/>
        <v>28.621467101781548</v>
      </c>
      <c r="R239" s="44">
        <f t="shared" ca="1" si="78"/>
        <v>2.8621467101781546</v>
      </c>
      <c r="S239" s="44">
        <f t="shared" ca="1" si="79"/>
        <v>2.8621467101781541</v>
      </c>
      <c r="T239" s="4">
        <f t="shared" ca="1" si="80"/>
        <v>0</v>
      </c>
      <c r="U239" s="120">
        <f t="shared" ca="1" si="81"/>
        <v>1533.6385655333725</v>
      </c>
      <c r="V239" s="4">
        <f t="shared" ca="1" si="82"/>
        <v>0</v>
      </c>
      <c r="W239" s="13">
        <f t="shared" ca="1" si="83"/>
        <v>4681.8</v>
      </c>
      <c r="X239" s="4">
        <f t="shared" ca="1" si="84"/>
        <v>0</v>
      </c>
      <c r="Y239" s="4">
        <f t="shared" si="85"/>
        <v>0</v>
      </c>
      <c r="Z239" s="13">
        <f t="shared" ca="1" si="86"/>
        <v>4681.8</v>
      </c>
      <c r="AA239" s="4">
        <f t="shared" ca="1" si="87"/>
        <v>0</v>
      </c>
      <c r="AE239" s="4"/>
    </row>
    <row r="240" spans="1:31">
      <c r="A240">
        <v>1</v>
      </c>
      <c r="B240">
        <v>2</v>
      </c>
      <c r="C240">
        <f t="shared" ca="1" si="66"/>
        <v>4</v>
      </c>
      <c r="D240">
        <f t="shared" ca="1" si="67"/>
        <v>3</v>
      </c>
      <c r="E240">
        <f t="shared" ca="1" si="68"/>
        <v>1</v>
      </c>
      <c r="F240" s="110">
        <f t="shared" ca="1" si="69"/>
        <v>0</v>
      </c>
      <c r="G240">
        <v>0</v>
      </c>
      <c r="H240">
        <v>0</v>
      </c>
      <c r="I240">
        <v>1</v>
      </c>
      <c r="J240" s="1">
        <f t="shared" ca="1" si="70"/>
        <v>2.0507812500000001E-3</v>
      </c>
      <c r="K240" s="1">
        <f t="shared" ca="1" si="71"/>
        <v>0</v>
      </c>
      <c r="L240" s="13">
        <f t="shared" ca="1" si="72"/>
        <v>19</v>
      </c>
      <c r="M240" s="7">
        <f t="shared" ca="1" si="73"/>
        <v>981</v>
      </c>
      <c r="N240" s="26">
        <f t="shared" ca="1" si="74"/>
        <v>4</v>
      </c>
      <c r="O240" s="44">
        <f t="shared" ca="1" si="75"/>
        <v>2.8621467101781541</v>
      </c>
      <c r="P240" s="44">
        <f t="shared" ca="1" si="76"/>
        <v>28.621467101781548</v>
      </c>
      <c r="Q240" s="44">
        <f t="shared" ca="1" si="77"/>
        <v>28.621467101781548</v>
      </c>
      <c r="R240" s="44">
        <f t="shared" ca="1" si="78"/>
        <v>2.8621467101781546</v>
      </c>
      <c r="S240" s="44">
        <f t="shared" ca="1" si="79"/>
        <v>2.8621467101781541</v>
      </c>
      <c r="T240" s="4">
        <f t="shared" ca="1" si="80"/>
        <v>0</v>
      </c>
      <c r="U240" s="120">
        <f t="shared" ca="1" si="81"/>
        <v>1514.6385655333725</v>
      </c>
      <c r="V240" s="4">
        <f t="shared" ca="1" si="82"/>
        <v>0</v>
      </c>
      <c r="W240" s="13">
        <f t="shared" ca="1" si="83"/>
        <v>2340.9</v>
      </c>
      <c r="X240" s="4">
        <f t="shared" ca="1" si="84"/>
        <v>0</v>
      </c>
      <c r="Y240" s="4">
        <f t="shared" si="85"/>
        <v>0</v>
      </c>
      <c r="Z240" s="13">
        <f t="shared" ca="1" si="86"/>
        <v>2340.9</v>
      </c>
      <c r="AA240" s="4">
        <f t="shared" ca="1" si="87"/>
        <v>0</v>
      </c>
      <c r="AE240" s="4"/>
    </row>
    <row r="241" spans="1:31">
      <c r="A241">
        <v>1</v>
      </c>
      <c r="B241">
        <v>2</v>
      </c>
      <c r="C241">
        <f t="shared" ca="1" si="66"/>
        <v>4</v>
      </c>
      <c r="D241">
        <f t="shared" ca="1" si="67"/>
        <v>3</v>
      </c>
      <c r="E241">
        <f t="shared" ca="1" si="68"/>
        <v>1</v>
      </c>
      <c r="F241" s="110">
        <f t="shared" ca="1" si="69"/>
        <v>0</v>
      </c>
      <c r="G241">
        <v>0</v>
      </c>
      <c r="H241">
        <v>0</v>
      </c>
      <c r="I241">
        <v>0</v>
      </c>
      <c r="J241" s="1">
        <f t="shared" ca="1" si="70"/>
        <v>9.7656250000000005E-5</v>
      </c>
      <c r="K241" s="1">
        <f t="shared" ca="1" si="71"/>
        <v>0</v>
      </c>
      <c r="L241" s="13">
        <f t="shared" ca="1" si="72"/>
        <v>0</v>
      </c>
      <c r="M241" s="7">
        <f t="shared" ca="1" si="73"/>
        <v>1000</v>
      </c>
      <c r="N241" s="26">
        <f t="shared" ca="1" si="74"/>
        <v>4</v>
      </c>
      <c r="O241" s="44">
        <f t="shared" ca="1" si="75"/>
        <v>2.8621467101781541</v>
      </c>
      <c r="P241" s="44">
        <f t="shared" ca="1" si="76"/>
        <v>28.621467101781548</v>
      </c>
      <c r="Q241" s="44">
        <f t="shared" ca="1" si="77"/>
        <v>28.621467101781548</v>
      </c>
      <c r="R241" s="44">
        <f t="shared" ca="1" si="78"/>
        <v>2.8621467101781546</v>
      </c>
      <c r="S241" s="44">
        <f t="shared" ca="1" si="79"/>
        <v>2.8621467101781541</v>
      </c>
      <c r="T241" s="4">
        <f t="shared" ca="1" si="80"/>
        <v>0</v>
      </c>
      <c r="U241" s="120">
        <f t="shared" ca="1" si="81"/>
        <v>1495.6385655333725</v>
      </c>
      <c r="V241" s="4">
        <f t="shared" ca="1" si="82"/>
        <v>0</v>
      </c>
      <c r="W241" s="13">
        <f t="shared" ca="1" si="83"/>
        <v>0</v>
      </c>
      <c r="X241" s="4">
        <f t="shared" ca="1" si="84"/>
        <v>0</v>
      </c>
      <c r="Y241" s="4">
        <f t="shared" si="85"/>
        <v>0</v>
      </c>
      <c r="Z241" s="13">
        <f t="shared" ca="1" si="86"/>
        <v>0</v>
      </c>
      <c r="AA241" s="4">
        <f t="shared" ca="1" si="87"/>
        <v>0</v>
      </c>
      <c r="AE241" s="4"/>
    </row>
    <row r="242" spans="1:31">
      <c r="A242">
        <v>1</v>
      </c>
      <c r="B242">
        <v>3</v>
      </c>
      <c r="C242">
        <f t="shared" ca="1" si="66"/>
        <v>5</v>
      </c>
      <c r="D242">
        <f t="shared" ca="1" si="67"/>
        <v>4</v>
      </c>
      <c r="E242">
        <f t="shared" ca="1" si="68"/>
        <v>1</v>
      </c>
      <c r="F242" s="110">
        <f t="shared" ca="1" si="69"/>
        <v>0</v>
      </c>
      <c r="G242">
        <v>1</v>
      </c>
      <c r="H242">
        <v>1</v>
      </c>
      <c r="I242">
        <v>7</v>
      </c>
      <c r="J242" s="1">
        <f t="shared" ca="1" si="70"/>
        <v>0</v>
      </c>
      <c r="K242" s="1">
        <f t="shared" ca="1" si="71"/>
        <v>0</v>
      </c>
      <c r="L242" s="13">
        <f t="shared" ca="1" si="72"/>
        <v>615</v>
      </c>
      <c r="M242" s="7">
        <f t="shared" ca="1" si="73"/>
        <v>385</v>
      </c>
      <c r="N242" s="26">
        <f t="shared" ca="1" si="74"/>
        <v>2</v>
      </c>
      <c r="O242" s="44">
        <f t="shared" ca="1" si="75"/>
        <v>1.5762319669595739</v>
      </c>
      <c r="P242" s="44">
        <f t="shared" ca="1" si="76"/>
        <v>15.762319669595739</v>
      </c>
      <c r="Q242" s="44">
        <f t="shared" ca="1" si="77"/>
        <v>15.762319669595739</v>
      </c>
      <c r="R242" s="44">
        <f t="shared" ca="1" si="78"/>
        <v>1.5762319669595739</v>
      </c>
      <c r="S242" s="44">
        <f t="shared" ca="1" si="79"/>
        <v>1.5762319669595737</v>
      </c>
      <c r="T242" s="4">
        <f t="shared" ca="1" si="80"/>
        <v>0</v>
      </c>
      <c r="U242" s="120">
        <f t="shared" ca="1" si="81"/>
        <v>1538.885248288175</v>
      </c>
      <c r="V242" s="4">
        <f t="shared" ca="1" si="82"/>
        <v>0</v>
      </c>
      <c r="W242" s="13">
        <f t="shared" ca="1" si="83"/>
        <v>40973.706000000006</v>
      </c>
      <c r="X242" s="4">
        <f t="shared" ca="1" si="84"/>
        <v>0</v>
      </c>
      <c r="Y242" s="4">
        <f t="shared" si="85"/>
        <v>0</v>
      </c>
      <c r="Z242" s="13">
        <f t="shared" ca="1" si="86"/>
        <v>40973.706000000006</v>
      </c>
      <c r="AA242" s="4">
        <f t="shared" ca="1" si="87"/>
        <v>0</v>
      </c>
      <c r="AE242" s="4"/>
    </row>
    <row r="243" spans="1:31">
      <c r="A243">
        <v>1</v>
      </c>
      <c r="B243">
        <v>3</v>
      </c>
      <c r="C243">
        <f t="shared" ca="1" si="66"/>
        <v>5</v>
      </c>
      <c r="D243">
        <f t="shared" ca="1" si="67"/>
        <v>4</v>
      </c>
      <c r="E243">
        <f t="shared" ca="1" si="68"/>
        <v>1</v>
      </c>
      <c r="F243" s="110">
        <f t="shared" ca="1" si="69"/>
        <v>0</v>
      </c>
      <c r="G243">
        <v>1</v>
      </c>
      <c r="H243">
        <v>1</v>
      </c>
      <c r="I243">
        <v>6</v>
      </c>
      <c r="J243" s="1">
        <f t="shared" ca="1" si="70"/>
        <v>0</v>
      </c>
      <c r="K243" s="1">
        <f t="shared" ca="1" si="71"/>
        <v>0</v>
      </c>
      <c r="L243" s="13">
        <f t="shared" ca="1" si="72"/>
        <v>596</v>
      </c>
      <c r="M243" s="7">
        <f t="shared" ca="1" si="73"/>
        <v>404</v>
      </c>
      <c r="N243" s="26">
        <f t="shared" ca="1" si="74"/>
        <v>2</v>
      </c>
      <c r="O243" s="44">
        <f t="shared" ca="1" si="75"/>
        <v>1.5762319669595739</v>
      </c>
      <c r="P243" s="44">
        <f t="shared" ca="1" si="76"/>
        <v>15.762319669595739</v>
      </c>
      <c r="Q243" s="44">
        <f t="shared" ca="1" si="77"/>
        <v>15.762319669595739</v>
      </c>
      <c r="R243" s="44">
        <f t="shared" ca="1" si="78"/>
        <v>1.5762319669595739</v>
      </c>
      <c r="S243" s="44">
        <f t="shared" ca="1" si="79"/>
        <v>1.5762319669595737</v>
      </c>
      <c r="T243" s="4">
        <f t="shared" ca="1" si="80"/>
        <v>0</v>
      </c>
      <c r="U243" s="120">
        <f t="shared" ca="1" si="81"/>
        <v>1519.885248288175</v>
      </c>
      <c r="V243" s="4">
        <f t="shared" ca="1" si="82"/>
        <v>0</v>
      </c>
      <c r="W243" s="13">
        <f t="shared" ca="1" si="83"/>
        <v>38632.806000000004</v>
      </c>
      <c r="X243" s="4">
        <f t="shared" ca="1" si="84"/>
        <v>0</v>
      </c>
      <c r="Y243" s="4">
        <f t="shared" si="85"/>
        <v>0</v>
      </c>
      <c r="Z243" s="13">
        <f t="shared" ca="1" si="86"/>
        <v>38632.806000000004</v>
      </c>
      <c r="AA243" s="4">
        <f t="shared" ca="1" si="87"/>
        <v>0</v>
      </c>
      <c r="AE243" s="4"/>
    </row>
    <row r="244" spans="1:31">
      <c r="A244">
        <v>1</v>
      </c>
      <c r="B244">
        <v>3</v>
      </c>
      <c r="C244">
        <f t="shared" ca="1" si="66"/>
        <v>5</v>
      </c>
      <c r="D244">
        <f t="shared" ca="1" si="67"/>
        <v>4</v>
      </c>
      <c r="E244">
        <f t="shared" ca="1" si="68"/>
        <v>1</v>
      </c>
      <c r="F244" s="110">
        <f t="shared" ca="1" si="69"/>
        <v>0</v>
      </c>
      <c r="G244">
        <v>1</v>
      </c>
      <c r="H244">
        <v>1</v>
      </c>
      <c r="I244">
        <v>5</v>
      </c>
      <c r="J244" s="1">
        <f t="shared" ca="1" si="70"/>
        <v>0</v>
      </c>
      <c r="K244" s="1">
        <f t="shared" ca="1" si="71"/>
        <v>0</v>
      </c>
      <c r="L244" s="13">
        <f t="shared" ca="1" si="72"/>
        <v>577</v>
      </c>
      <c r="M244" s="7">
        <f t="shared" ca="1" si="73"/>
        <v>423</v>
      </c>
      <c r="N244" s="26">
        <f t="shared" ca="1" si="74"/>
        <v>2</v>
      </c>
      <c r="O244" s="44">
        <f t="shared" ca="1" si="75"/>
        <v>1.5762319669595739</v>
      </c>
      <c r="P244" s="44">
        <f t="shared" ca="1" si="76"/>
        <v>15.762319669595739</v>
      </c>
      <c r="Q244" s="44">
        <f t="shared" ca="1" si="77"/>
        <v>15.762319669595739</v>
      </c>
      <c r="R244" s="44">
        <f t="shared" ca="1" si="78"/>
        <v>1.5762319669595739</v>
      </c>
      <c r="S244" s="44">
        <f t="shared" ca="1" si="79"/>
        <v>1.5762319669595737</v>
      </c>
      <c r="T244" s="4">
        <f t="shared" ca="1" si="80"/>
        <v>0</v>
      </c>
      <c r="U244" s="120">
        <f t="shared" ca="1" si="81"/>
        <v>1500.885248288175</v>
      </c>
      <c r="V244" s="4">
        <f t="shared" ca="1" si="82"/>
        <v>0</v>
      </c>
      <c r="W244" s="13">
        <f t="shared" ca="1" si="83"/>
        <v>36291.906000000003</v>
      </c>
      <c r="X244" s="4">
        <f t="shared" ca="1" si="84"/>
        <v>0</v>
      </c>
      <c r="Y244" s="4">
        <f t="shared" si="85"/>
        <v>0</v>
      </c>
      <c r="Z244" s="13">
        <f t="shared" ca="1" si="86"/>
        <v>36291.906000000003</v>
      </c>
      <c r="AA244" s="4">
        <f t="shared" ca="1" si="87"/>
        <v>0</v>
      </c>
      <c r="AE244" s="4"/>
    </row>
    <row r="245" spans="1:31">
      <c r="A245">
        <v>1</v>
      </c>
      <c r="B245">
        <v>3</v>
      </c>
      <c r="C245">
        <f t="shared" ca="1" si="66"/>
        <v>5</v>
      </c>
      <c r="D245">
        <f t="shared" ca="1" si="67"/>
        <v>4</v>
      </c>
      <c r="E245">
        <f t="shared" ca="1" si="68"/>
        <v>1</v>
      </c>
      <c r="F245" s="110">
        <f t="shared" ca="1" si="69"/>
        <v>0</v>
      </c>
      <c r="G245">
        <v>1</v>
      </c>
      <c r="H245">
        <v>1</v>
      </c>
      <c r="I245">
        <v>4</v>
      </c>
      <c r="J245" s="1">
        <f t="shared" ca="1" si="70"/>
        <v>0</v>
      </c>
      <c r="K245" s="1">
        <f t="shared" ca="1" si="71"/>
        <v>0</v>
      </c>
      <c r="L245" s="13">
        <f t="shared" ca="1" si="72"/>
        <v>558</v>
      </c>
      <c r="M245" s="7">
        <f t="shared" ca="1" si="73"/>
        <v>442</v>
      </c>
      <c r="N245" s="26">
        <f t="shared" ca="1" si="74"/>
        <v>2</v>
      </c>
      <c r="O245" s="44">
        <f t="shared" ca="1" si="75"/>
        <v>1.5762319669595739</v>
      </c>
      <c r="P245" s="44">
        <f t="shared" ca="1" si="76"/>
        <v>15.762319669595739</v>
      </c>
      <c r="Q245" s="44">
        <f t="shared" ca="1" si="77"/>
        <v>15.762319669595739</v>
      </c>
      <c r="R245" s="44">
        <f t="shared" ca="1" si="78"/>
        <v>1.5762319669595739</v>
      </c>
      <c r="S245" s="44">
        <f t="shared" ca="1" si="79"/>
        <v>1.5762319669595737</v>
      </c>
      <c r="T245" s="4">
        <f t="shared" ca="1" si="80"/>
        <v>0</v>
      </c>
      <c r="U245" s="120">
        <f t="shared" ca="1" si="81"/>
        <v>1481.885248288175</v>
      </c>
      <c r="V245" s="4">
        <f t="shared" ca="1" si="82"/>
        <v>0</v>
      </c>
      <c r="W245" s="13">
        <f t="shared" ca="1" si="83"/>
        <v>33951.006000000001</v>
      </c>
      <c r="X245" s="4">
        <f t="shared" ca="1" si="84"/>
        <v>0</v>
      </c>
      <c r="Y245" s="4">
        <f t="shared" si="85"/>
        <v>0</v>
      </c>
      <c r="Z245" s="13">
        <f t="shared" ca="1" si="86"/>
        <v>33951.006000000001</v>
      </c>
      <c r="AA245" s="4">
        <f t="shared" ca="1" si="87"/>
        <v>0</v>
      </c>
      <c r="AE245" s="4"/>
    </row>
    <row r="246" spans="1:31">
      <c r="A246">
        <v>1</v>
      </c>
      <c r="B246">
        <v>3</v>
      </c>
      <c r="C246">
        <f t="shared" ca="1" si="66"/>
        <v>5</v>
      </c>
      <c r="D246">
        <f t="shared" ca="1" si="67"/>
        <v>4</v>
      </c>
      <c r="E246">
        <f t="shared" ca="1" si="68"/>
        <v>1</v>
      </c>
      <c r="F246" s="110">
        <f t="shared" ca="1" si="69"/>
        <v>0</v>
      </c>
      <c r="G246">
        <v>1</v>
      </c>
      <c r="H246">
        <v>1</v>
      </c>
      <c r="I246">
        <v>3</v>
      </c>
      <c r="J246" s="1">
        <f t="shared" ca="1" si="70"/>
        <v>0</v>
      </c>
      <c r="K246" s="1">
        <f t="shared" ca="1" si="71"/>
        <v>0</v>
      </c>
      <c r="L246" s="13">
        <f t="shared" ca="1" si="72"/>
        <v>539</v>
      </c>
      <c r="M246" s="7">
        <f t="shared" ca="1" si="73"/>
        <v>461</v>
      </c>
      <c r="N246" s="26">
        <f t="shared" ca="1" si="74"/>
        <v>2</v>
      </c>
      <c r="O246" s="44">
        <f t="shared" ca="1" si="75"/>
        <v>1.5762319669595739</v>
      </c>
      <c r="P246" s="44">
        <f t="shared" ca="1" si="76"/>
        <v>15.762319669595739</v>
      </c>
      <c r="Q246" s="44">
        <f t="shared" ca="1" si="77"/>
        <v>15.762319669595739</v>
      </c>
      <c r="R246" s="44">
        <f t="shared" ca="1" si="78"/>
        <v>1.5762319669595739</v>
      </c>
      <c r="S246" s="44">
        <f t="shared" ca="1" si="79"/>
        <v>1.5762319669595737</v>
      </c>
      <c r="T246" s="4">
        <f t="shared" ca="1" si="80"/>
        <v>0</v>
      </c>
      <c r="U246" s="120">
        <f t="shared" ca="1" si="81"/>
        <v>1462.885248288175</v>
      </c>
      <c r="V246" s="4">
        <f t="shared" ca="1" si="82"/>
        <v>0</v>
      </c>
      <c r="W246" s="13">
        <f t="shared" ca="1" si="83"/>
        <v>31610.106000000003</v>
      </c>
      <c r="X246" s="4">
        <f t="shared" ca="1" si="84"/>
        <v>0</v>
      </c>
      <c r="Y246" s="4">
        <f t="shared" si="85"/>
        <v>0</v>
      </c>
      <c r="Z246" s="13">
        <f t="shared" ca="1" si="86"/>
        <v>31610.106000000003</v>
      </c>
      <c r="AA246" s="4">
        <f t="shared" ca="1" si="87"/>
        <v>0</v>
      </c>
      <c r="AE246" s="4"/>
    </row>
    <row r="247" spans="1:31">
      <c r="A247">
        <v>1</v>
      </c>
      <c r="B247">
        <v>3</v>
      </c>
      <c r="C247">
        <f t="shared" ca="1" si="66"/>
        <v>5</v>
      </c>
      <c r="D247">
        <f t="shared" ca="1" si="67"/>
        <v>4</v>
      </c>
      <c r="E247">
        <f t="shared" ca="1" si="68"/>
        <v>1</v>
      </c>
      <c r="F247" s="110">
        <f t="shared" ca="1" si="69"/>
        <v>0</v>
      </c>
      <c r="G247">
        <v>1</v>
      </c>
      <c r="H247">
        <v>1</v>
      </c>
      <c r="I247">
        <v>2</v>
      </c>
      <c r="J247" s="1">
        <f t="shared" ca="1" si="70"/>
        <v>0</v>
      </c>
      <c r="K247" s="1">
        <f t="shared" ca="1" si="71"/>
        <v>0</v>
      </c>
      <c r="L247" s="13">
        <f t="shared" ca="1" si="72"/>
        <v>520</v>
      </c>
      <c r="M247" s="7">
        <f t="shared" ca="1" si="73"/>
        <v>480</v>
      </c>
      <c r="N247" s="26">
        <f t="shared" ca="1" si="74"/>
        <v>2</v>
      </c>
      <c r="O247" s="44">
        <f t="shared" ca="1" si="75"/>
        <v>1.5762319669595739</v>
      </c>
      <c r="P247" s="44">
        <f t="shared" ca="1" si="76"/>
        <v>15.762319669595739</v>
      </c>
      <c r="Q247" s="44">
        <f t="shared" ca="1" si="77"/>
        <v>15.762319669595739</v>
      </c>
      <c r="R247" s="44">
        <f t="shared" ca="1" si="78"/>
        <v>1.5762319669595739</v>
      </c>
      <c r="S247" s="44">
        <f t="shared" ca="1" si="79"/>
        <v>1.5762319669595737</v>
      </c>
      <c r="T247" s="4">
        <f t="shared" ca="1" si="80"/>
        <v>0</v>
      </c>
      <c r="U247" s="120">
        <f t="shared" ca="1" si="81"/>
        <v>1443.885248288175</v>
      </c>
      <c r="V247" s="4">
        <f t="shared" ca="1" si="82"/>
        <v>0</v>
      </c>
      <c r="W247" s="13">
        <f t="shared" ca="1" si="83"/>
        <v>29269.206000000002</v>
      </c>
      <c r="X247" s="4">
        <f t="shared" ca="1" si="84"/>
        <v>0</v>
      </c>
      <c r="Y247" s="4">
        <f t="shared" si="85"/>
        <v>0</v>
      </c>
      <c r="Z247" s="13">
        <f t="shared" ca="1" si="86"/>
        <v>29269.206000000002</v>
      </c>
      <c r="AA247" s="4">
        <f t="shared" ca="1" si="87"/>
        <v>0</v>
      </c>
      <c r="AE247" s="4"/>
    </row>
    <row r="248" spans="1:31">
      <c r="A248">
        <v>1</v>
      </c>
      <c r="B248">
        <v>3</v>
      </c>
      <c r="C248">
        <f t="shared" ca="1" si="66"/>
        <v>5</v>
      </c>
      <c r="D248">
        <f t="shared" ca="1" si="67"/>
        <v>4</v>
      </c>
      <c r="E248">
        <f t="shared" ca="1" si="68"/>
        <v>1</v>
      </c>
      <c r="F248" s="110">
        <f t="shared" ca="1" si="69"/>
        <v>0</v>
      </c>
      <c r="G248">
        <v>1</v>
      </c>
      <c r="H248">
        <v>1</v>
      </c>
      <c r="I248">
        <v>1</v>
      </c>
      <c r="J248" s="1">
        <f t="shared" ca="1" si="70"/>
        <v>0</v>
      </c>
      <c r="K248" s="1">
        <f t="shared" ca="1" si="71"/>
        <v>0</v>
      </c>
      <c r="L248" s="13">
        <f t="shared" ca="1" si="72"/>
        <v>501</v>
      </c>
      <c r="M248" s="7">
        <f t="shared" ca="1" si="73"/>
        <v>499</v>
      </c>
      <c r="N248" s="26">
        <f t="shared" ca="1" si="74"/>
        <v>2</v>
      </c>
      <c r="O248" s="44">
        <f t="shared" ca="1" si="75"/>
        <v>1.5762319669595739</v>
      </c>
      <c r="P248" s="44">
        <f t="shared" ca="1" si="76"/>
        <v>15.762319669595739</v>
      </c>
      <c r="Q248" s="44">
        <f t="shared" ca="1" si="77"/>
        <v>15.762319669595739</v>
      </c>
      <c r="R248" s="44">
        <f t="shared" ca="1" si="78"/>
        <v>1.5762319669595739</v>
      </c>
      <c r="S248" s="44">
        <f t="shared" ca="1" si="79"/>
        <v>1.5762319669595737</v>
      </c>
      <c r="T248" s="4">
        <f t="shared" ca="1" si="80"/>
        <v>0</v>
      </c>
      <c r="U248" s="120">
        <f t="shared" ca="1" si="81"/>
        <v>1424.885248288175</v>
      </c>
      <c r="V248" s="4">
        <f t="shared" ca="1" si="82"/>
        <v>0</v>
      </c>
      <c r="W248" s="13">
        <f t="shared" ca="1" si="83"/>
        <v>26928.306000000004</v>
      </c>
      <c r="X248" s="4">
        <f t="shared" ca="1" si="84"/>
        <v>0</v>
      </c>
      <c r="Y248" s="4">
        <f t="shared" si="85"/>
        <v>0</v>
      </c>
      <c r="Z248" s="13">
        <f t="shared" ca="1" si="86"/>
        <v>26928.306000000004</v>
      </c>
      <c r="AA248" s="4">
        <f t="shared" ca="1" si="87"/>
        <v>0</v>
      </c>
      <c r="AE248" s="4"/>
    </row>
    <row r="249" spans="1:31">
      <c r="A249">
        <v>1</v>
      </c>
      <c r="B249">
        <v>3</v>
      </c>
      <c r="C249">
        <f t="shared" ca="1" si="66"/>
        <v>5</v>
      </c>
      <c r="D249">
        <f t="shared" ca="1" si="67"/>
        <v>4</v>
      </c>
      <c r="E249">
        <f t="shared" ca="1" si="68"/>
        <v>1</v>
      </c>
      <c r="F249" s="110">
        <f t="shared" ca="1" si="69"/>
        <v>0</v>
      </c>
      <c r="G249">
        <v>1</v>
      </c>
      <c r="H249">
        <v>1</v>
      </c>
      <c r="I249">
        <v>0</v>
      </c>
      <c r="J249" s="1">
        <f t="shared" ca="1" si="70"/>
        <v>0</v>
      </c>
      <c r="K249" s="1">
        <f t="shared" ca="1" si="71"/>
        <v>0</v>
      </c>
      <c r="L249" s="13">
        <f t="shared" ca="1" si="72"/>
        <v>482</v>
      </c>
      <c r="M249" s="7">
        <f t="shared" ca="1" si="73"/>
        <v>518</v>
      </c>
      <c r="N249" s="26">
        <f t="shared" ca="1" si="74"/>
        <v>2</v>
      </c>
      <c r="O249" s="44">
        <f t="shared" ca="1" si="75"/>
        <v>1.5762319669595739</v>
      </c>
      <c r="P249" s="44">
        <f t="shared" ca="1" si="76"/>
        <v>15.762319669595739</v>
      </c>
      <c r="Q249" s="44">
        <f t="shared" ca="1" si="77"/>
        <v>15.762319669595739</v>
      </c>
      <c r="R249" s="44">
        <f t="shared" ca="1" si="78"/>
        <v>1.5762319669595739</v>
      </c>
      <c r="S249" s="44">
        <f t="shared" ca="1" si="79"/>
        <v>1.5762319669595737</v>
      </c>
      <c r="T249" s="4">
        <f t="shared" ca="1" si="80"/>
        <v>0</v>
      </c>
      <c r="U249" s="120">
        <f t="shared" ca="1" si="81"/>
        <v>1405.885248288175</v>
      </c>
      <c r="V249" s="4">
        <f t="shared" ca="1" si="82"/>
        <v>0</v>
      </c>
      <c r="W249" s="13">
        <f t="shared" ca="1" si="83"/>
        <v>24587.406000000003</v>
      </c>
      <c r="X249" s="4">
        <f t="shared" ca="1" si="84"/>
        <v>0</v>
      </c>
      <c r="Y249" s="4">
        <f t="shared" si="85"/>
        <v>0</v>
      </c>
      <c r="Z249" s="13">
        <f t="shared" ca="1" si="86"/>
        <v>24587.406000000003</v>
      </c>
      <c r="AA249" s="4">
        <f t="shared" ca="1" si="87"/>
        <v>0</v>
      </c>
      <c r="AE249" s="4"/>
    </row>
    <row r="250" spans="1:31">
      <c r="A250">
        <v>1</v>
      </c>
      <c r="B250">
        <v>3</v>
      </c>
      <c r="C250">
        <f t="shared" ca="1" si="66"/>
        <v>5</v>
      </c>
      <c r="D250">
        <f t="shared" ca="1" si="67"/>
        <v>4</v>
      </c>
      <c r="E250">
        <f t="shared" ca="1" si="68"/>
        <v>1</v>
      </c>
      <c r="F250" s="110">
        <f t="shared" ca="1" si="69"/>
        <v>0</v>
      </c>
      <c r="G250">
        <v>1</v>
      </c>
      <c r="H250">
        <v>0</v>
      </c>
      <c r="I250">
        <v>7</v>
      </c>
      <c r="J250" s="1">
        <f t="shared" ca="1" si="70"/>
        <v>0</v>
      </c>
      <c r="K250" s="1">
        <f t="shared" ca="1" si="71"/>
        <v>0</v>
      </c>
      <c r="L250" s="13">
        <f t="shared" ca="1" si="72"/>
        <v>374</v>
      </c>
      <c r="M250" s="7">
        <f t="shared" ca="1" si="73"/>
        <v>626</v>
      </c>
      <c r="N250" s="26">
        <f t="shared" ca="1" si="74"/>
        <v>3</v>
      </c>
      <c r="O250" s="44">
        <f t="shared" ca="1" si="75"/>
        <v>2.2442427272544552</v>
      </c>
      <c r="P250" s="44">
        <f t="shared" ca="1" si="76"/>
        <v>22.442427272544553</v>
      </c>
      <c r="Q250" s="44">
        <f t="shared" ca="1" si="77"/>
        <v>22.442427272544553</v>
      </c>
      <c r="R250" s="44">
        <f t="shared" ca="1" si="78"/>
        <v>2.2442427272544552</v>
      </c>
      <c r="S250" s="44">
        <f t="shared" ca="1" si="79"/>
        <v>2.2442427272544552</v>
      </c>
      <c r="T250" s="4">
        <f t="shared" ca="1" si="80"/>
        <v>0</v>
      </c>
      <c r="U250" s="120">
        <f t="shared" ca="1" si="81"/>
        <v>1594.901337549361</v>
      </c>
      <c r="V250" s="4">
        <f t="shared" ca="1" si="82"/>
        <v>0</v>
      </c>
      <c r="W250" s="13">
        <f t="shared" ca="1" si="83"/>
        <v>40973.706000000006</v>
      </c>
      <c r="X250" s="4">
        <f t="shared" ca="1" si="84"/>
        <v>0</v>
      </c>
      <c r="Y250" s="4">
        <f t="shared" si="85"/>
        <v>0</v>
      </c>
      <c r="Z250" s="13">
        <f t="shared" ca="1" si="86"/>
        <v>40973.706000000006</v>
      </c>
      <c r="AA250" s="4">
        <f t="shared" ca="1" si="87"/>
        <v>0</v>
      </c>
      <c r="AE250" s="4"/>
    </row>
    <row r="251" spans="1:31">
      <c r="A251">
        <v>1</v>
      </c>
      <c r="B251">
        <v>3</v>
      </c>
      <c r="C251">
        <f t="shared" ca="1" si="66"/>
        <v>5</v>
      </c>
      <c r="D251">
        <f t="shared" ca="1" si="67"/>
        <v>4</v>
      </c>
      <c r="E251">
        <f t="shared" ca="1" si="68"/>
        <v>1</v>
      </c>
      <c r="F251" s="110">
        <f t="shared" ca="1" si="69"/>
        <v>0</v>
      </c>
      <c r="G251">
        <v>1</v>
      </c>
      <c r="H251">
        <v>0</v>
      </c>
      <c r="I251">
        <v>6</v>
      </c>
      <c r="J251" s="1">
        <f t="shared" ca="1" si="70"/>
        <v>0</v>
      </c>
      <c r="K251" s="1">
        <f t="shared" ca="1" si="71"/>
        <v>0</v>
      </c>
      <c r="L251" s="13">
        <f t="shared" ca="1" si="72"/>
        <v>355</v>
      </c>
      <c r="M251" s="7">
        <f t="shared" ca="1" si="73"/>
        <v>645</v>
      </c>
      <c r="N251" s="26">
        <f t="shared" ca="1" si="74"/>
        <v>3</v>
      </c>
      <c r="O251" s="44">
        <f t="shared" ca="1" si="75"/>
        <v>2.2442427272544552</v>
      </c>
      <c r="P251" s="44">
        <f t="shared" ca="1" si="76"/>
        <v>22.442427272544553</v>
      </c>
      <c r="Q251" s="44">
        <f t="shared" ca="1" si="77"/>
        <v>22.442427272544553</v>
      </c>
      <c r="R251" s="44">
        <f t="shared" ca="1" si="78"/>
        <v>2.2442427272544552</v>
      </c>
      <c r="S251" s="44">
        <f t="shared" ca="1" si="79"/>
        <v>2.2442427272544552</v>
      </c>
      <c r="T251" s="4">
        <f t="shared" ca="1" si="80"/>
        <v>0</v>
      </c>
      <c r="U251" s="120">
        <f t="shared" ca="1" si="81"/>
        <v>1575.901337549361</v>
      </c>
      <c r="V251" s="4">
        <f t="shared" ca="1" si="82"/>
        <v>0</v>
      </c>
      <c r="W251" s="13">
        <f t="shared" ca="1" si="83"/>
        <v>38632.806000000004</v>
      </c>
      <c r="X251" s="4">
        <f t="shared" ca="1" si="84"/>
        <v>0</v>
      </c>
      <c r="Y251" s="4">
        <f t="shared" si="85"/>
        <v>0</v>
      </c>
      <c r="Z251" s="13">
        <f t="shared" ca="1" si="86"/>
        <v>38632.806000000004</v>
      </c>
      <c r="AA251" s="4">
        <f t="shared" ca="1" si="87"/>
        <v>0</v>
      </c>
      <c r="AE251" s="4"/>
    </row>
    <row r="252" spans="1:31">
      <c r="A252">
        <v>1</v>
      </c>
      <c r="B252">
        <v>3</v>
      </c>
      <c r="C252">
        <f t="shared" ca="1" si="66"/>
        <v>5</v>
      </c>
      <c r="D252">
        <f t="shared" ca="1" si="67"/>
        <v>4</v>
      </c>
      <c r="E252">
        <f t="shared" ca="1" si="68"/>
        <v>1</v>
      </c>
      <c r="F252" s="110">
        <f t="shared" ca="1" si="69"/>
        <v>0</v>
      </c>
      <c r="G252">
        <v>1</v>
      </c>
      <c r="H252">
        <v>0</v>
      </c>
      <c r="I252">
        <v>5</v>
      </c>
      <c r="J252" s="1">
        <f t="shared" ca="1" si="70"/>
        <v>0</v>
      </c>
      <c r="K252" s="1">
        <f t="shared" ca="1" si="71"/>
        <v>0</v>
      </c>
      <c r="L252" s="13">
        <f t="shared" ca="1" si="72"/>
        <v>336</v>
      </c>
      <c r="M252" s="7">
        <f t="shared" ca="1" si="73"/>
        <v>664</v>
      </c>
      <c r="N252" s="26">
        <f t="shared" ca="1" si="74"/>
        <v>3</v>
      </c>
      <c r="O252" s="44">
        <f t="shared" ca="1" si="75"/>
        <v>2.2442427272544552</v>
      </c>
      <c r="P252" s="44">
        <f t="shared" ca="1" si="76"/>
        <v>22.442427272544553</v>
      </c>
      <c r="Q252" s="44">
        <f t="shared" ca="1" si="77"/>
        <v>22.442427272544553</v>
      </c>
      <c r="R252" s="44">
        <f t="shared" ca="1" si="78"/>
        <v>2.2442427272544552</v>
      </c>
      <c r="S252" s="44">
        <f t="shared" ca="1" si="79"/>
        <v>2.2442427272544552</v>
      </c>
      <c r="T252" s="4">
        <f t="shared" ca="1" si="80"/>
        <v>0</v>
      </c>
      <c r="U252" s="120">
        <f t="shared" ca="1" si="81"/>
        <v>1556.901337549361</v>
      </c>
      <c r="V252" s="4">
        <f t="shared" ca="1" si="82"/>
        <v>0</v>
      </c>
      <c r="W252" s="13">
        <f t="shared" ca="1" si="83"/>
        <v>36291.906000000003</v>
      </c>
      <c r="X252" s="4">
        <f t="shared" ca="1" si="84"/>
        <v>0</v>
      </c>
      <c r="Y252" s="4">
        <f t="shared" si="85"/>
        <v>0</v>
      </c>
      <c r="Z252" s="13">
        <f t="shared" ca="1" si="86"/>
        <v>36291.906000000003</v>
      </c>
      <c r="AA252" s="4">
        <f t="shared" ca="1" si="87"/>
        <v>0</v>
      </c>
      <c r="AE252" s="4"/>
    </row>
    <row r="253" spans="1:31">
      <c r="A253">
        <v>1</v>
      </c>
      <c r="B253">
        <v>3</v>
      </c>
      <c r="C253">
        <f t="shared" ca="1" si="66"/>
        <v>5</v>
      </c>
      <c r="D253">
        <f t="shared" ca="1" si="67"/>
        <v>4</v>
      </c>
      <c r="E253">
        <f t="shared" ca="1" si="68"/>
        <v>1</v>
      </c>
      <c r="F253" s="110">
        <f t="shared" ca="1" si="69"/>
        <v>0</v>
      </c>
      <c r="G253">
        <v>1</v>
      </c>
      <c r="H253">
        <v>0</v>
      </c>
      <c r="I253">
        <v>4</v>
      </c>
      <c r="J253" s="1">
        <f t="shared" ca="1" si="70"/>
        <v>0.55687255859374996</v>
      </c>
      <c r="K253" s="1">
        <f t="shared" ca="1" si="71"/>
        <v>0</v>
      </c>
      <c r="L253" s="13">
        <f t="shared" ca="1" si="72"/>
        <v>317</v>
      </c>
      <c r="M253" s="7">
        <f t="shared" ca="1" si="73"/>
        <v>683</v>
      </c>
      <c r="N253" s="26">
        <f t="shared" ca="1" si="74"/>
        <v>3</v>
      </c>
      <c r="O253" s="44">
        <f t="shared" ca="1" si="75"/>
        <v>2.2442427272544552</v>
      </c>
      <c r="P253" s="44">
        <f t="shared" ca="1" si="76"/>
        <v>22.442427272544553</v>
      </c>
      <c r="Q253" s="44">
        <f t="shared" ca="1" si="77"/>
        <v>22.442427272544553</v>
      </c>
      <c r="R253" s="44">
        <f t="shared" ca="1" si="78"/>
        <v>2.2442427272544552</v>
      </c>
      <c r="S253" s="44">
        <f t="shared" ca="1" si="79"/>
        <v>2.2442427272544552</v>
      </c>
      <c r="T253" s="4">
        <f t="shared" ca="1" si="80"/>
        <v>0</v>
      </c>
      <c r="U253" s="120">
        <f t="shared" ca="1" si="81"/>
        <v>1537.901337549361</v>
      </c>
      <c r="V253" s="4">
        <f t="shared" ca="1" si="82"/>
        <v>0</v>
      </c>
      <c r="W253" s="13">
        <f t="shared" ca="1" si="83"/>
        <v>33951.006000000001</v>
      </c>
      <c r="X253" s="4">
        <f t="shared" ca="1" si="84"/>
        <v>0</v>
      </c>
      <c r="Y253" s="4">
        <f t="shared" si="85"/>
        <v>0</v>
      </c>
      <c r="Z253" s="13">
        <f t="shared" ca="1" si="86"/>
        <v>33951.006000000001</v>
      </c>
      <c r="AA253" s="4">
        <f t="shared" ca="1" si="87"/>
        <v>0</v>
      </c>
      <c r="AE253" s="4"/>
    </row>
    <row r="254" spans="1:31">
      <c r="A254">
        <v>1</v>
      </c>
      <c r="B254">
        <v>3</v>
      </c>
      <c r="C254">
        <f t="shared" ca="1" si="66"/>
        <v>5</v>
      </c>
      <c r="D254">
        <f t="shared" ca="1" si="67"/>
        <v>4</v>
      </c>
      <c r="E254">
        <f t="shared" ca="1" si="68"/>
        <v>1</v>
      </c>
      <c r="F254" s="110">
        <f t="shared" ca="1" si="69"/>
        <v>0</v>
      </c>
      <c r="G254">
        <v>1</v>
      </c>
      <c r="H254">
        <v>0</v>
      </c>
      <c r="I254">
        <v>3</v>
      </c>
      <c r="J254" s="1">
        <f t="shared" ca="1" si="70"/>
        <v>0.31821289062499997</v>
      </c>
      <c r="K254" s="1">
        <f t="shared" ca="1" si="71"/>
        <v>0</v>
      </c>
      <c r="L254" s="13">
        <f t="shared" ca="1" si="72"/>
        <v>298</v>
      </c>
      <c r="M254" s="7">
        <f t="shared" ca="1" si="73"/>
        <v>702</v>
      </c>
      <c r="N254" s="26">
        <f t="shared" ca="1" si="74"/>
        <v>3</v>
      </c>
      <c r="O254" s="44">
        <f t="shared" ca="1" si="75"/>
        <v>2.2442427272544552</v>
      </c>
      <c r="P254" s="44">
        <f t="shared" ca="1" si="76"/>
        <v>22.442427272544553</v>
      </c>
      <c r="Q254" s="44">
        <f t="shared" ca="1" si="77"/>
        <v>22.442427272544553</v>
      </c>
      <c r="R254" s="44">
        <f t="shared" ca="1" si="78"/>
        <v>2.2442427272544552</v>
      </c>
      <c r="S254" s="44">
        <f t="shared" ca="1" si="79"/>
        <v>2.2442427272544552</v>
      </c>
      <c r="T254" s="4">
        <f t="shared" ca="1" si="80"/>
        <v>0</v>
      </c>
      <c r="U254" s="120">
        <f t="shared" ca="1" si="81"/>
        <v>1518.901337549361</v>
      </c>
      <c r="V254" s="4">
        <f t="shared" ca="1" si="82"/>
        <v>0</v>
      </c>
      <c r="W254" s="13">
        <f t="shared" ca="1" si="83"/>
        <v>31610.106000000003</v>
      </c>
      <c r="X254" s="4">
        <f t="shared" ca="1" si="84"/>
        <v>0</v>
      </c>
      <c r="Y254" s="4">
        <f t="shared" si="85"/>
        <v>0</v>
      </c>
      <c r="Z254" s="13">
        <f t="shared" ca="1" si="86"/>
        <v>31610.106000000003</v>
      </c>
      <c r="AA254" s="4">
        <f t="shared" ca="1" si="87"/>
        <v>0</v>
      </c>
      <c r="AE254" s="4"/>
    </row>
    <row r="255" spans="1:31">
      <c r="A255">
        <v>1</v>
      </c>
      <c r="B255">
        <v>3</v>
      </c>
      <c r="C255">
        <f t="shared" ca="1" si="66"/>
        <v>5</v>
      </c>
      <c r="D255">
        <f t="shared" ca="1" si="67"/>
        <v>4</v>
      </c>
      <c r="E255">
        <f t="shared" ca="1" si="68"/>
        <v>1</v>
      </c>
      <c r="F255" s="110">
        <f t="shared" ca="1" si="69"/>
        <v>0</v>
      </c>
      <c r="G255">
        <v>1</v>
      </c>
      <c r="H255">
        <v>0</v>
      </c>
      <c r="I255">
        <v>2</v>
      </c>
      <c r="J255" s="1">
        <f t="shared" ca="1" si="70"/>
        <v>6.8188476562500003E-2</v>
      </c>
      <c r="K255" s="1">
        <f t="shared" ca="1" si="71"/>
        <v>0</v>
      </c>
      <c r="L255" s="13">
        <f t="shared" ca="1" si="72"/>
        <v>279</v>
      </c>
      <c r="M255" s="7">
        <f t="shared" ca="1" si="73"/>
        <v>721</v>
      </c>
      <c r="N255" s="26">
        <f t="shared" ca="1" si="74"/>
        <v>3</v>
      </c>
      <c r="O255" s="44">
        <f t="shared" ca="1" si="75"/>
        <v>2.2442427272544552</v>
      </c>
      <c r="P255" s="44">
        <f t="shared" ca="1" si="76"/>
        <v>22.442427272544553</v>
      </c>
      <c r="Q255" s="44">
        <f t="shared" ca="1" si="77"/>
        <v>22.442427272544553</v>
      </c>
      <c r="R255" s="44">
        <f t="shared" ca="1" si="78"/>
        <v>2.2442427272544552</v>
      </c>
      <c r="S255" s="44">
        <f t="shared" ca="1" si="79"/>
        <v>2.2442427272544552</v>
      </c>
      <c r="T255" s="4">
        <f t="shared" ca="1" si="80"/>
        <v>0</v>
      </c>
      <c r="U255" s="120">
        <f t="shared" ca="1" si="81"/>
        <v>1499.901337549361</v>
      </c>
      <c r="V255" s="4">
        <f t="shared" ca="1" si="82"/>
        <v>0</v>
      </c>
      <c r="W255" s="13">
        <f t="shared" ca="1" si="83"/>
        <v>29269.206000000002</v>
      </c>
      <c r="X255" s="4">
        <f t="shared" ca="1" si="84"/>
        <v>0</v>
      </c>
      <c r="Y255" s="4">
        <f t="shared" si="85"/>
        <v>0</v>
      </c>
      <c r="Z255" s="13">
        <f t="shared" ca="1" si="86"/>
        <v>29269.206000000002</v>
      </c>
      <c r="AA255" s="4">
        <f t="shared" ca="1" si="87"/>
        <v>0</v>
      </c>
      <c r="AE255" s="4"/>
    </row>
    <row r="256" spans="1:31">
      <c r="A256">
        <v>1</v>
      </c>
      <c r="B256">
        <v>3</v>
      </c>
      <c r="C256">
        <f t="shared" ca="1" si="66"/>
        <v>5</v>
      </c>
      <c r="D256">
        <f t="shared" ca="1" si="67"/>
        <v>4</v>
      </c>
      <c r="E256">
        <f t="shared" ca="1" si="68"/>
        <v>1</v>
      </c>
      <c r="F256" s="110">
        <f t="shared" ca="1" si="69"/>
        <v>0</v>
      </c>
      <c r="G256">
        <v>1</v>
      </c>
      <c r="H256">
        <v>0</v>
      </c>
      <c r="I256">
        <v>1</v>
      </c>
      <c r="J256" s="1">
        <f t="shared" ca="1" si="70"/>
        <v>6.4941406249999995E-3</v>
      </c>
      <c r="K256" s="1">
        <f t="shared" ca="1" si="71"/>
        <v>0</v>
      </c>
      <c r="L256" s="13">
        <f t="shared" ca="1" si="72"/>
        <v>260</v>
      </c>
      <c r="M256" s="7">
        <f t="shared" ca="1" si="73"/>
        <v>740</v>
      </c>
      <c r="N256" s="26">
        <f t="shared" ca="1" si="74"/>
        <v>3</v>
      </c>
      <c r="O256" s="44">
        <f t="shared" ca="1" si="75"/>
        <v>2.2442427272544552</v>
      </c>
      <c r="P256" s="44">
        <f t="shared" ca="1" si="76"/>
        <v>22.442427272544553</v>
      </c>
      <c r="Q256" s="44">
        <f t="shared" ca="1" si="77"/>
        <v>22.442427272544553</v>
      </c>
      <c r="R256" s="44">
        <f t="shared" ca="1" si="78"/>
        <v>2.2442427272544552</v>
      </c>
      <c r="S256" s="44">
        <f t="shared" ca="1" si="79"/>
        <v>2.2442427272544552</v>
      </c>
      <c r="T256" s="4">
        <f t="shared" ca="1" si="80"/>
        <v>0</v>
      </c>
      <c r="U256" s="120">
        <f t="shared" ca="1" si="81"/>
        <v>1480.901337549361</v>
      </c>
      <c r="V256" s="4">
        <f t="shared" ca="1" si="82"/>
        <v>0</v>
      </c>
      <c r="W256" s="13">
        <f t="shared" ca="1" si="83"/>
        <v>26928.306000000004</v>
      </c>
      <c r="X256" s="4">
        <f t="shared" ca="1" si="84"/>
        <v>0</v>
      </c>
      <c r="Y256" s="4">
        <f t="shared" si="85"/>
        <v>0</v>
      </c>
      <c r="Z256" s="13">
        <f t="shared" ca="1" si="86"/>
        <v>26928.306000000004</v>
      </c>
      <c r="AA256" s="4">
        <f t="shared" ca="1" si="87"/>
        <v>0</v>
      </c>
      <c r="AE256" s="4"/>
    </row>
    <row r="257" spans="1:31">
      <c r="A257">
        <v>1</v>
      </c>
      <c r="B257">
        <v>3</v>
      </c>
      <c r="C257">
        <f t="shared" ca="1" si="66"/>
        <v>5</v>
      </c>
      <c r="D257">
        <f t="shared" ca="1" si="67"/>
        <v>4</v>
      </c>
      <c r="E257">
        <f t="shared" ca="1" si="68"/>
        <v>1</v>
      </c>
      <c r="F257" s="110">
        <f t="shared" ca="1" si="69"/>
        <v>0</v>
      </c>
      <c r="G257">
        <v>1</v>
      </c>
      <c r="H257">
        <v>0</v>
      </c>
      <c r="I257">
        <v>0</v>
      </c>
      <c r="J257" s="1">
        <f t="shared" ca="1" si="70"/>
        <v>2.3193359374999999E-4</v>
      </c>
      <c r="K257" s="1">
        <f t="shared" ca="1" si="71"/>
        <v>0</v>
      </c>
      <c r="L257" s="13">
        <f t="shared" ca="1" si="72"/>
        <v>241</v>
      </c>
      <c r="M257" s="7">
        <f t="shared" ca="1" si="73"/>
        <v>759</v>
      </c>
      <c r="N257" s="26">
        <f t="shared" ca="1" si="74"/>
        <v>3</v>
      </c>
      <c r="O257" s="44">
        <f t="shared" ca="1" si="75"/>
        <v>2.2442427272544552</v>
      </c>
      <c r="P257" s="44">
        <f t="shared" ca="1" si="76"/>
        <v>22.442427272544553</v>
      </c>
      <c r="Q257" s="44">
        <f t="shared" ca="1" si="77"/>
        <v>22.442427272544553</v>
      </c>
      <c r="R257" s="44">
        <f t="shared" ca="1" si="78"/>
        <v>2.2442427272544552</v>
      </c>
      <c r="S257" s="44">
        <f t="shared" ca="1" si="79"/>
        <v>2.2442427272544552</v>
      </c>
      <c r="T257" s="4">
        <f t="shared" ca="1" si="80"/>
        <v>0</v>
      </c>
      <c r="U257" s="120">
        <f t="shared" ca="1" si="81"/>
        <v>1461.901337549361</v>
      </c>
      <c r="V257" s="4">
        <f t="shared" ca="1" si="82"/>
        <v>0</v>
      </c>
      <c r="W257" s="13">
        <f t="shared" ca="1" si="83"/>
        <v>24587.406000000003</v>
      </c>
      <c r="X257" s="4">
        <f t="shared" ca="1" si="84"/>
        <v>0</v>
      </c>
      <c r="Y257" s="4">
        <f t="shared" si="85"/>
        <v>0</v>
      </c>
      <c r="Z257" s="13">
        <f t="shared" ca="1" si="86"/>
        <v>24587.406000000003</v>
      </c>
      <c r="AA257" s="4">
        <f t="shared" ca="1" si="87"/>
        <v>0</v>
      </c>
      <c r="AE257" s="4"/>
    </row>
    <row r="258" spans="1:31">
      <c r="A258">
        <v>1</v>
      </c>
      <c r="B258">
        <v>3</v>
      </c>
      <c r="C258">
        <f t="shared" ca="1" si="66"/>
        <v>5</v>
      </c>
      <c r="D258">
        <f t="shared" ca="1" si="67"/>
        <v>4</v>
      </c>
      <c r="E258">
        <f t="shared" ca="1" si="68"/>
        <v>1</v>
      </c>
      <c r="F258" s="110">
        <f t="shared" ca="1" si="69"/>
        <v>0</v>
      </c>
      <c r="G258">
        <v>0</v>
      </c>
      <c r="H258">
        <v>1</v>
      </c>
      <c r="I258">
        <v>7</v>
      </c>
      <c r="J258" s="1">
        <f t="shared" ca="1" si="70"/>
        <v>0</v>
      </c>
      <c r="K258" s="1">
        <f t="shared" ca="1" si="71"/>
        <v>0</v>
      </c>
      <c r="L258" s="13">
        <f t="shared" ca="1" si="72"/>
        <v>374</v>
      </c>
      <c r="M258" s="7">
        <f t="shared" ca="1" si="73"/>
        <v>626</v>
      </c>
      <c r="N258" s="26">
        <f t="shared" ca="1" si="74"/>
        <v>3</v>
      </c>
      <c r="O258" s="44">
        <f t="shared" ca="1" si="75"/>
        <v>2.2442427272544552</v>
      </c>
      <c r="P258" s="44">
        <f t="shared" ca="1" si="76"/>
        <v>22.442427272544553</v>
      </c>
      <c r="Q258" s="44">
        <f t="shared" ca="1" si="77"/>
        <v>22.442427272544553</v>
      </c>
      <c r="R258" s="44">
        <f t="shared" ca="1" si="78"/>
        <v>2.2442427272544552</v>
      </c>
      <c r="S258" s="44">
        <f t="shared" ca="1" si="79"/>
        <v>2.2442427272544552</v>
      </c>
      <c r="T258" s="4">
        <f t="shared" ca="1" si="80"/>
        <v>0</v>
      </c>
      <c r="U258" s="120">
        <f t="shared" ca="1" si="81"/>
        <v>1594.901337549361</v>
      </c>
      <c r="V258" s="4">
        <f t="shared" ca="1" si="82"/>
        <v>0</v>
      </c>
      <c r="W258" s="13">
        <f t="shared" ca="1" si="83"/>
        <v>16386.3</v>
      </c>
      <c r="X258" s="4">
        <f t="shared" ca="1" si="84"/>
        <v>0</v>
      </c>
      <c r="Y258" s="4">
        <f t="shared" si="85"/>
        <v>0</v>
      </c>
      <c r="Z258" s="13">
        <f t="shared" ca="1" si="86"/>
        <v>16386.3</v>
      </c>
      <c r="AA258" s="4">
        <f t="shared" ca="1" si="87"/>
        <v>0</v>
      </c>
      <c r="AE258" s="4"/>
    </row>
    <row r="259" spans="1:31">
      <c r="A259">
        <v>1</v>
      </c>
      <c r="B259">
        <v>3</v>
      </c>
      <c r="C259">
        <f t="shared" ca="1" si="66"/>
        <v>5</v>
      </c>
      <c r="D259">
        <f t="shared" ca="1" si="67"/>
        <v>4</v>
      </c>
      <c r="E259">
        <f t="shared" ca="1" si="68"/>
        <v>1</v>
      </c>
      <c r="F259" s="110">
        <f t="shared" ca="1" si="69"/>
        <v>0</v>
      </c>
      <c r="G259">
        <v>0</v>
      </c>
      <c r="H259">
        <v>1</v>
      </c>
      <c r="I259">
        <v>6</v>
      </c>
      <c r="J259" s="1">
        <f t="shared" ca="1" si="70"/>
        <v>0</v>
      </c>
      <c r="K259" s="1">
        <f t="shared" ca="1" si="71"/>
        <v>0</v>
      </c>
      <c r="L259" s="13">
        <f t="shared" ca="1" si="72"/>
        <v>355</v>
      </c>
      <c r="M259" s="7">
        <f t="shared" ca="1" si="73"/>
        <v>645</v>
      </c>
      <c r="N259" s="26">
        <f t="shared" ca="1" si="74"/>
        <v>3</v>
      </c>
      <c r="O259" s="44">
        <f t="shared" ca="1" si="75"/>
        <v>2.2442427272544552</v>
      </c>
      <c r="P259" s="44">
        <f t="shared" ca="1" si="76"/>
        <v>22.442427272544553</v>
      </c>
      <c r="Q259" s="44">
        <f t="shared" ca="1" si="77"/>
        <v>22.442427272544553</v>
      </c>
      <c r="R259" s="44">
        <f t="shared" ca="1" si="78"/>
        <v>2.2442427272544552</v>
      </c>
      <c r="S259" s="44">
        <f t="shared" ca="1" si="79"/>
        <v>2.2442427272544552</v>
      </c>
      <c r="T259" s="4">
        <f t="shared" ca="1" si="80"/>
        <v>0</v>
      </c>
      <c r="U259" s="120">
        <f t="shared" ca="1" si="81"/>
        <v>1575.901337549361</v>
      </c>
      <c r="V259" s="4">
        <f t="shared" ca="1" si="82"/>
        <v>0</v>
      </c>
      <c r="W259" s="13">
        <f t="shared" ca="1" si="83"/>
        <v>14045.400000000001</v>
      </c>
      <c r="X259" s="4">
        <f t="shared" ca="1" si="84"/>
        <v>0</v>
      </c>
      <c r="Y259" s="4">
        <f t="shared" si="85"/>
        <v>0</v>
      </c>
      <c r="Z259" s="13">
        <f t="shared" ca="1" si="86"/>
        <v>14045.400000000001</v>
      </c>
      <c r="AA259" s="4">
        <f t="shared" ca="1" si="87"/>
        <v>0</v>
      </c>
      <c r="AE259" s="4"/>
    </row>
    <row r="260" spans="1:31">
      <c r="A260">
        <v>1</v>
      </c>
      <c r="B260">
        <v>3</v>
      </c>
      <c r="C260">
        <f t="shared" ca="1" si="66"/>
        <v>5</v>
      </c>
      <c r="D260">
        <f t="shared" ca="1" si="67"/>
        <v>4</v>
      </c>
      <c r="E260">
        <f t="shared" ca="1" si="68"/>
        <v>1</v>
      </c>
      <c r="F260" s="110">
        <f t="shared" ca="1" si="69"/>
        <v>0</v>
      </c>
      <c r="G260">
        <v>0</v>
      </c>
      <c r="H260">
        <v>1</v>
      </c>
      <c r="I260">
        <v>5</v>
      </c>
      <c r="J260" s="1">
        <f t="shared" ca="1" si="70"/>
        <v>0</v>
      </c>
      <c r="K260" s="1">
        <f t="shared" ca="1" si="71"/>
        <v>0</v>
      </c>
      <c r="L260" s="13">
        <f t="shared" ca="1" si="72"/>
        <v>336</v>
      </c>
      <c r="M260" s="7">
        <f t="shared" ca="1" si="73"/>
        <v>664</v>
      </c>
      <c r="N260" s="26">
        <f t="shared" ca="1" si="74"/>
        <v>3</v>
      </c>
      <c r="O260" s="44">
        <f t="shared" ca="1" si="75"/>
        <v>2.2442427272544552</v>
      </c>
      <c r="P260" s="44">
        <f t="shared" ca="1" si="76"/>
        <v>22.442427272544553</v>
      </c>
      <c r="Q260" s="44">
        <f t="shared" ca="1" si="77"/>
        <v>22.442427272544553</v>
      </c>
      <c r="R260" s="44">
        <f t="shared" ca="1" si="78"/>
        <v>2.2442427272544552</v>
      </c>
      <c r="S260" s="44">
        <f t="shared" ca="1" si="79"/>
        <v>2.2442427272544552</v>
      </c>
      <c r="T260" s="4">
        <f t="shared" ca="1" si="80"/>
        <v>0</v>
      </c>
      <c r="U260" s="120">
        <f t="shared" ca="1" si="81"/>
        <v>1556.901337549361</v>
      </c>
      <c r="V260" s="4">
        <f t="shared" ca="1" si="82"/>
        <v>0</v>
      </c>
      <c r="W260" s="13">
        <f t="shared" ca="1" si="83"/>
        <v>11704.5</v>
      </c>
      <c r="X260" s="4">
        <f t="shared" ca="1" si="84"/>
        <v>0</v>
      </c>
      <c r="Y260" s="4">
        <f t="shared" si="85"/>
        <v>0</v>
      </c>
      <c r="Z260" s="13">
        <f t="shared" ca="1" si="86"/>
        <v>11704.5</v>
      </c>
      <c r="AA260" s="4">
        <f t="shared" ca="1" si="87"/>
        <v>0</v>
      </c>
      <c r="AE260" s="4"/>
    </row>
    <row r="261" spans="1:31">
      <c r="A261">
        <v>1</v>
      </c>
      <c r="B261">
        <v>3</v>
      </c>
      <c r="C261">
        <f t="shared" ca="1" si="66"/>
        <v>5</v>
      </c>
      <c r="D261">
        <f t="shared" ca="1" si="67"/>
        <v>4</v>
      </c>
      <c r="E261">
        <f t="shared" ca="1" si="68"/>
        <v>1</v>
      </c>
      <c r="F261" s="110">
        <f t="shared" ca="1" si="69"/>
        <v>0</v>
      </c>
      <c r="G261">
        <v>0</v>
      </c>
      <c r="H261">
        <v>1</v>
      </c>
      <c r="I261">
        <v>4</v>
      </c>
      <c r="J261" s="1">
        <f t="shared" ca="1" si="70"/>
        <v>0</v>
      </c>
      <c r="K261" s="1">
        <f t="shared" ca="1" si="71"/>
        <v>0</v>
      </c>
      <c r="L261" s="13">
        <f t="shared" ca="1" si="72"/>
        <v>317</v>
      </c>
      <c r="M261" s="7">
        <f t="shared" ca="1" si="73"/>
        <v>683</v>
      </c>
      <c r="N261" s="26">
        <f t="shared" ca="1" si="74"/>
        <v>3</v>
      </c>
      <c r="O261" s="44">
        <f t="shared" ca="1" si="75"/>
        <v>2.2442427272544552</v>
      </c>
      <c r="P261" s="44">
        <f t="shared" ca="1" si="76"/>
        <v>22.442427272544553</v>
      </c>
      <c r="Q261" s="44">
        <f t="shared" ca="1" si="77"/>
        <v>22.442427272544553</v>
      </c>
      <c r="R261" s="44">
        <f t="shared" ca="1" si="78"/>
        <v>2.2442427272544552</v>
      </c>
      <c r="S261" s="44">
        <f t="shared" ca="1" si="79"/>
        <v>2.2442427272544552</v>
      </c>
      <c r="T261" s="4">
        <f t="shared" ca="1" si="80"/>
        <v>0</v>
      </c>
      <c r="U261" s="120">
        <f t="shared" ca="1" si="81"/>
        <v>1537.901337549361</v>
      </c>
      <c r="V261" s="4">
        <f t="shared" ca="1" si="82"/>
        <v>0</v>
      </c>
      <c r="W261" s="13">
        <f t="shared" ca="1" si="83"/>
        <v>9363.6</v>
      </c>
      <c r="X261" s="4">
        <f t="shared" ca="1" si="84"/>
        <v>0</v>
      </c>
      <c r="Y261" s="4">
        <f t="shared" si="85"/>
        <v>0</v>
      </c>
      <c r="Z261" s="13">
        <f t="shared" ca="1" si="86"/>
        <v>9363.6</v>
      </c>
      <c r="AA261" s="4">
        <f t="shared" ca="1" si="87"/>
        <v>0</v>
      </c>
      <c r="AE261" s="4"/>
    </row>
    <row r="262" spans="1:31">
      <c r="A262">
        <v>1</v>
      </c>
      <c r="B262">
        <v>3</v>
      </c>
      <c r="C262">
        <f t="shared" ca="1" si="66"/>
        <v>5</v>
      </c>
      <c r="D262">
        <f t="shared" ca="1" si="67"/>
        <v>4</v>
      </c>
      <c r="E262">
        <f t="shared" ca="1" si="68"/>
        <v>1</v>
      </c>
      <c r="F262" s="110">
        <f t="shared" ca="1" si="69"/>
        <v>0</v>
      </c>
      <c r="G262">
        <v>0</v>
      </c>
      <c r="H262">
        <v>1</v>
      </c>
      <c r="I262">
        <v>3</v>
      </c>
      <c r="J262" s="1">
        <f t="shared" ca="1" si="70"/>
        <v>0</v>
      </c>
      <c r="K262" s="1">
        <f t="shared" ca="1" si="71"/>
        <v>0</v>
      </c>
      <c r="L262" s="13">
        <f t="shared" ca="1" si="72"/>
        <v>298</v>
      </c>
      <c r="M262" s="7">
        <f t="shared" ca="1" si="73"/>
        <v>702</v>
      </c>
      <c r="N262" s="26">
        <f t="shared" ca="1" si="74"/>
        <v>3</v>
      </c>
      <c r="O262" s="44">
        <f t="shared" ca="1" si="75"/>
        <v>2.2442427272544552</v>
      </c>
      <c r="P262" s="44">
        <f t="shared" ca="1" si="76"/>
        <v>22.442427272544553</v>
      </c>
      <c r="Q262" s="44">
        <f t="shared" ca="1" si="77"/>
        <v>22.442427272544553</v>
      </c>
      <c r="R262" s="44">
        <f t="shared" ca="1" si="78"/>
        <v>2.2442427272544552</v>
      </c>
      <c r="S262" s="44">
        <f t="shared" ca="1" si="79"/>
        <v>2.2442427272544552</v>
      </c>
      <c r="T262" s="4">
        <f t="shared" ca="1" si="80"/>
        <v>0</v>
      </c>
      <c r="U262" s="120">
        <f t="shared" ca="1" si="81"/>
        <v>1518.901337549361</v>
      </c>
      <c r="V262" s="4">
        <f t="shared" ca="1" si="82"/>
        <v>0</v>
      </c>
      <c r="W262" s="13">
        <f t="shared" ca="1" si="83"/>
        <v>7022.7000000000007</v>
      </c>
      <c r="X262" s="4">
        <f t="shared" ca="1" si="84"/>
        <v>0</v>
      </c>
      <c r="Y262" s="4">
        <f t="shared" si="85"/>
        <v>0</v>
      </c>
      <c r="Z262" s="13">
        <f t="shared" ca="1" si="86"/>
        <v>7022.7000000000007</v>
      </c>
      <c r="AA262" s="4">
        <f t="shared" ca="1" si="87"/>
        <v>0</v>
      </c>
      <c r="AE262" s="4"/>
    </row>
    <row r="263" spans="1:31">
      <c r="A263">
        <v>1</v>
      </c>
      <c r="B263">
        <v>3</v>
      </c>
      <c r="C263">
        <f t="shared" ca="1" si="66"/>
        <v>5</v>
      </c>
      <c r="D263">
        <f t="shared" ca="1" si="67"/>
        <v>4</v>
      </c>
      <c r="E263">
        <f t="shared" ca="1" si="68"/>
        <v>1</v>
      </c>
      <c r="F263" s="110">
        <f t="shared" ca="1" si="69"/>
        <v>0</v>
      </c>
      <c r="G263">
        <v>0</v>
      </c>
      <c r="H263">
        <v>1</v>
      </c>
      <c r="I263">
        <v>2</v>
      </c>
      <c r="J263" s="1">
        <f t="shared" ca="1" si="70"/>
        <v>0</v>
      </c>
      <c r="K263" s="1">
        <f t="shared" ca="1" si="71"/>
        <v>0</v>
      </c>
      <c r="L263" s="13">
        <f t="shared" ca="1" si="72"/>
        <v>279</v>
      </c>
      <c r="M263" s="7">
        <f t="shared" ca="1" si="73"/>
        <v>721</v>
      </c>
      <c r="N263" s="26">
        <f t="shared" ca="1" si="74"/>
        <v>3</v>
      </c>
      <c r="O263" s="44">
        <f t="shared" ca="1" si="75"/>
        <v>2.2442427272544552</v>
      </c>
      <c r="P263" s="44">
        <f t="shared" ca="1" si="76"/>
        <v>22.442427272544553</v>
      </c>
      <c r="Q263" s="44">
        <f t="shared" ca="1" si="77"/>
        <v>22.442427272544553</v>
      </c>
      <c r="R263" s="44">
        <f t="shared" ca="1" si="78"/>
        <v>2.2442427272544552</v>
      </c>
      <c r="S263" s="44">
        <f t="shared" ca="1" si="79"/>
        <v>2.2442427272544552</v>
      </c>
      <c r="T263" s="4">
        <f t="shared" ca="1" si="80"/>
        <v>0</v>
      </c>
      <c r="U263" s="120">
        <f t="shared" ca="1" si="81"/>
        <v>1499.901337549361</v>
      </c>
      <c r="V263" s="4">
        <f t="shared" ca="1" si="82"/>
        <v>0</v>
      </c>
      <c r="W263" s="13">
        <f t="shared" ca="1" si="83"/>
        <v>4681.8</v>
      </c>
      <c r="X263" s="4">
        <f t="shared" ca="1" si="84"/>
        <v>0</v>
      </c>
      <c r="Y263" s="4">
        <f t="shared" si="85"/>
        <v>0</v>
      </c>
      <c r="Z263" s="13">
        <f t="shared" ca="1" si="86"/>
        <v>4681.8</v>
      </c>
      <c r="AA263" s="4">
        <f t="shared" ca="1" si="87"/>
        <v>0</v>
      </c>
      <c r="AE263" s="4"/>
    </row>
    <row r="264" spans="1:31">
      <c r="A264">
        <v>1</v>
      </c>
      <c r="B264">
        <v>3</v>
      </c>
      <c r="C264">
        <f t="shared" ca="1" si="66"/>
        <v>5</v>
      </c>
      <c r="D264">
        <f t="shared" ca="1" si="67"/>
        <v>4</v>
      </c>
      <c r="E264">
        <f t="shared" ca="1" si="68"/>
        <v>1</v>
      </c>
      <c r="F264" s="110">
        <f t="shared" ca="1" si="69"/>
        <v>0</v>
      </c>
      <c r="G264">
        <v>0</v>
      </c>
      <c r="H264">
        <v>1</v>
      </c>
      <c r="I264">
        <v>1</v>
      </c>
      <c r="J264" s="1">
        <f t="shared" ca="1" si="70"/>
        <v>0</v>
      </c>
      <c r="K264" s="1">
        <f t="shared" ca="1" si="71"/>
        <v>0</v>
      </c>
      <c r="L264" s="13">
        <f t="shared" ca="1" si="72"/>
        <v>260</v>
      </c>
      <c r="M264" s="7">
        <f t="shared" ca="1" si="73"/>
        <v>740</v>
      </c>
      <c r="N264" s="26">
        <f t="shared" ca="1" si="74"/>
        <v>3</v>
      </c>
      <c r="O264" s="44">
        <f t="shared" ca="1" si="75"/>
        <v>2.2442427272544552</v>
      </c>
      <c r="P264" s="44">
        <f t="shared" ca="1" si="76"/>
        <v>22.442427272544553</v>
      </c>
      <c r="Q264" s="44">
        <f t="shared" ca="1" si="77"/>
        <v>22.442427272544553</v>
      </c>
      <c r="R264" s="44">
        <f t="shared" ca="1" si="78"/>
        <v>2.2442427272544552</v>
      </c>
      <c r="S264" s="44">
        <f t="shared" ca="1" si="79"/>
        <v>2.2442427272544552</v>
      </c>
      <c r="T264" s="4">
        <f t="shared" ca="1" si="80"/>
        <v>0</v>
      </c>
      <c r="U264" s="120">
        <f t="shared" ca="1" si="81"/>
        <v>1480.901337549361</v>
      </c>
      <c r="V264" s="4">
        <f t="shared" ca="1" si="82"/>
        <v>0</v>
      </c>
      <c r="W264" s="13">
        <f t="shared" ca="1" si="83"/>
        <v>2340.9</v>
      </c>
      <c r="X264" s="4">
        <f t="shared" ca="1" si="84"/>
        <v>0</v>
      </c>
      <c r="Y264" s="4">
        <f t="shared" si="85"/>
        <v>0</v>
      </c>
      <c r="Z264" s="13">
        <f t="shared" ca="1" si="86"/>
        <v>2340.9</v>
      </c>
      <c r="AA264" s="4">
        <f t="shared" ca="1" si="87"/>
        <v>0</v>
      </c>
      <c r="AE264" s="4"/>
    </row>
    <row r="265" spans="1:31">
      <c r="A265">
        <v>1</v>
      </c>
      <c r="B265">
        <v>3</v>
      </c>
      <c r="C265">
        <f t="shared" ca="1" si="66"/>
        <v>5</v>
      </c>
      <c r="D265">
        <f t="shared" ca="1" si="67"/>
        <v>4</v>
      </c>
      <c r="E265">
        <f t="shared" ca="1" si="68"/>
        <v>1</v>
      </c>
      <c r="F265" s="110">
        <f t="shared" ca="1" si="69"/>
        <v>0</v>
      </c>
      <c r="G265">
        <v>0</v>
      </c>
      <c r="H265">
        <v>1</v>
      </c>
      <c r="I265">
        <v>0</v>
      </c>
      <c r="J265" s="1">
        <f t="shared" ca="1" si="70"/>
        <v>0</v>
      </c>
      <c r="K265" s="1">
        <f t="shared" ca="1" si="71"/>
        <v>0</v>
      </c>
      <c r="L265" s="13">
        <f t="shared" ca="1" si="72"/>
        <v>241</v>
      </c>
      <c r="M265" s="7">
        <f t="shared" ca="1" si="73"/>
        <v>759</v>
      </c>
      <c r="N265" s="26">
        <f t="shared" ca="1" si="74"/>
        <v>3</v>
      </c>
      <c r="O265" s="44">
        <f t="shared" ca="1" si="75"/>
        <v>2.2442427272544552</v>
      </c>
      <c r="P265" s="44">
        <f t="shared" ca="1" si="76"/>
        <v>22.442427272544553</v>
      </c>
      <c r="Q265" s="44">
        <f t="shared" ca="1" si="77"/>
        <v>22.442427272544553</v>
      </c>
      <c r="R265" s="44">
        <f t="shared" ca="1" si="78"/>
        <v>2.2442427272544552</v>
      </c>
      <c r="S265" s="44">
        <f t="shared" ca="1" si="79"/>
        <v>2.2442427272544552</v>
      </c>
      <c r="T265" s="4">
        <f t="shared" ca="1" si="80"/>
        <v>0</v>
      </c>
      <c r="U265" s="120">
        <f t="shared" ca="1" si="81"/>
        <v>1461.901337549361</v>
      </c>
      <c r="V265" s="4">
        <f t="shared" ca="1" si="82"/>
        <v>0</v>
      </c>
      <c r="W265" s="13">
        <f t="shared" ca="1" si="83"/>
        <v>0</v>
      </c>
      <c r="X265" s="4">
        <f t="shared" ca="1" si="84"/>
        <v>0</v>
      </c>
      <c r="Y265" s="4">
        <f t="shared" si="85"/>
        <v>0</v>
      </c>
      <c r="Z265" s="13">
        <f t="shared" ca="1" si="86"/>
        <v>0</v>
      </c>
      <c r="AA265" s="4">
        <f t="shared" ca="1" si="87"/>
        <v>0</v>
      </c>
      <c r="AE265" s="4"/>
    </row>
    <row r="266" spans="1:31">
      <c r="A266">
        <v>1</v>
      </c>
      <c r="B266">
        <v>3</v>
      </c>
      <c r="C266">
        <f t="shared" ca="1" si="66"/>
        <v>5</v>
      </c>
      <c r="D266">
        <f t="shared" ca="1" si="67"/>
        <v>4</v>
      </c>
      <c r="E266">
        <f t="shared" ca="1" si="68"/>
        <v>1</v>
      </c>
      <c r="F266" s="110">
        <f t="shared" ca="1" si="69"/>
        <v>0</v>
      </c>
      <c r="G266">
        <v>0</v>
      </c>
      <c r="H266">
        <v>0</v>
      </c>
      <c r="I266">
        <v>7</v>
      </c>
      <c r="J266" s="1">
        <f t="shared" ca="1" si="70"/>
        <v>0</v>
      </c>
      <c r="K266" s="1">
        <f t="shared" ca="1" si="71"/>
        <v>0</v>
      </c>
      <c r="L266" s="13">
        <f t="shared" ca="1" si="72"/>
        <v>133</v>
      </c>
      <c r="M266" s="7">
        <f t="shared" ca="1" si="73"/>
        <v>867</v>
      </c>
      <c r="N266" s="26">
        <f t="shared" ca="1" si="74"/>
        <v>4</v>
      </c>
      <c r="O266" s="44">
        <f t="shared" ca="1" si="75"/>
        <v>2.8621467101781541</v>
      </c>
      <c r="P266" s="44">
        <f t="shared" ca="1" si="76"/>
        <v>28.621467101781548</v>
      </c>
      <c r="Q266" s="44">
        <f t="shared" ca="1" si="77"/>
        <v>24.914043204239348</v>
      </c>
      <c r="R266" s="44">
        <f t="shared" ca="1" si="78"/>
        <v>2.6767755153010446</v>
      </c>
      <c r="S266" s="44">
        <f t="shared" ca="1" si="79"/>
        <v>2.8491707265367565</v>
      </c>
      <c r="T266" s="4">
        <f t="shared" ca="1" si="80"/>
        <v>0</v>
      </c>
      <c r="U266" s="120">
        <f t="shared" ca="1" si="81"/>
        <v>1622.8690837457082</v>
      </c>
      <c r="V266" s="4">
        <f t="shared" ca="1" si="82"/>
        <v>0</v>
      </c>
      <c r="W266" s="13">
        <f t="shared" ca="1" si="83"/>
        <v>16386.3</v>
      </c>
      <c r="X266" s="4">
        <f t="shared" ca="1" si="84"/>
        <v>0</v>
      </c>
      <c r="Y266" s="4">
        <f t="shared" si="85"/>
        <v>0</v>
      </c>
      <c r="Z266" s="13">
        <f t="shared" ca="1" si="86"/>
        <v>16386.3</v>
      </c>
      <c r="AA266" s="4">
        <f t="shared" ca="1" si="87"/>
        <v>0</v>
      </c>
      <c r="AE266" s="4"/>
    </row>
    <row r="267" spans="1:31">
      <c r="A267">
        <v>1</v>
      </c>
      <c r="B267">
        <v>3</v>
      </c>
      <c r="C267">
        <f t="shared" ca="1" si="66"/>
        <v>5</v>
      </c>
      <c r="D267">
        <f t="shared" ca="1" si="67"/>
        <v>4</v>
      </c>
      <c r="E267">
        <f t="shared" ca="1" si="68"/>
        <v>1</v>
      </c>
      <c r="F267" s="110">
        <f t="shared" ca="1" si="69"/>
        <v>0</v>
      </c>
      <c r="G267">
        <v>0</v>
      </c>
      <c r="H267">
        <v>0</v>
      </c>
      <c r="I267">
        <v>6</v>
      </c>
      <c r="J267" s="1">
        <f t="shared" ca="1" si="70"/>
        <v>0</v>
      </c>
      <c r="K267" s="1">
        <f t="shared" ca="1" si="71"/>
        <v>0</v>
      </c>
      <c r="L267" s="13">
        <f t="shared" ca="1" si="72"/>
        <v>114</v>
      </c>
      <c r="M267" s="7">
        <f t="shared" ca="1" si="73"/>
        <v>886</v>
      </c>
      <c r="N267" s="26">
        <f t="shared" ca="1" si="74"/>
        <v>4</v>
      </c>
      <c r="O267" s="44">
        <f t="shared" ca="1" si="75"/>
        <v>2.8621467101781541</v>
      </c>
      <c r="P267" s="44">
        <f t="shared" ca="1" si="76"/>
        <v>28.621467101781548</v>
      </c>
      <c r="Q267" s="44">
        <f t="shared" ca="1" si="77"/>
        <v>28.621467101781548</v>
      </c>
      <c r="R267" s="44">
        <f t="shared" ca="1" si="78"/>
        <v>2.8621467101781546</v>
      </c>
      <c r="S267" s="44">
        <f t="shared" ca="1" si="79"/>
        <v>2.8621467101781541</v>
      </c>
      <c r="T267" s="4">
        <f t="shared" ca="1" si="80"/>
        <v>0</v>
      </c>
      <c r="U267" s="120">
        <f t="shared" ca="1" si="81"/>
        <v>1609.6385655333725</v>
      </c>
      <c r="V267" s="4">
        <f t="shared" ca="1" si="82"/>
        <v>0</v>
      </c>
      <c r="W267" s="13">
        <f t="shared" ca="1" si="83"/>
        <v>14045.400000000001</v>
      </c>
      <c r="X267" s="4">
        <f t="shared" ca="1" si="84"/>
        <v>0</v>
      </c>
      <c r="Y267" s="4">
        <f t="shared" si="85"/>
        <v>0</v>
      </c>
      <c r="Z267" s="13">
        <f t="shared" ca="1" si="86"/>
        <v>14045.400000000001</v>
      </c>
      <c r="AA267" s="4">
        <f t="shared" ca="1" si="87"/>
        <v>0</v>
      </c>
      <c r="AE267" s="4"/>
    </row>
    <row r="268" spans="1:31">
      <c r="A268">
        <v>1</v>
      </c>
      <c r="B268">
        <v>3</v>
      </c>
      <c r="C268">
        <f t="shared" ca="1" si="66"/>
        <v>5</v>
      </c>
      <c r="D268">
        <f t="shared" ca="1" si="67"/>
        <v>4</v>
      </c>
      <c r="E268">
        <f t="shared" ca="1" si="68"/>
        <v>1</v>
      </c>
      <c r="F268" s="110">
        <f t="shared" ca="1" si="69"/>
        <v>0</v>
      </c>
      <c r="G268">
        <v>0</v>
      </c>
      <c r="H268">
        <v>0</v>
      </c>
      <c r="I268">
        <v>5</v>
      </c>
      <c r="J268" s="1">
        <f t="shared" ca="1" si="70"/>
        <v>0</v>
      </c>
      <c r="K268" s="1">
        <f t="shared" ca="1" si="71"/>
        <v>0</v>
      </c>
      <c r="L268" s="13">
        <f t="shared" ca="1" si="72"/>
        <v>95</v>
      </c>
      <c r="M268" s="7">
        <f t="shared" ca="1" si="73"/>
        <v>905</v>
      </c>
      <c r="N268" s="26">
        <f t="shared" ca="1" si="74"/>
        <v>4</v>
      </c>
      <c r="O268" s="44">
        <f t="shared" ca="1" si="75"/>
        <v>2.8621467101781541</v>
      </c>
      <c r="P268" s="44">
        <f t="shared" ca="1" si="76"/>
        <v>28.621467101781548</v>
      </c>
      <c r="Q268" s="44">
        <f t="shared" ca="1" si="77"/>
        <v>28.621467101781548</v>
      </c>
      <c r="R268" s="44">
        <f t="shared" ca="1" si="78"/>
        <v>2.8621467101781546</v>
      </c>
      <c r="S268" s="44">
        <f t="shared" ca="1" si="79"/>
        <v>2.8621467101781541</v>
      </c>
      <c r="T268" s="4">
        <f t="shared" ca="1" si="80"/>
        <v>0</v>
      </c>
      <c r="U268" s="120">
        <f t="shared" ca="1" si="81"/>
        <v>1590.6385655333725</v>
      </c>
      <c r="V268" s="4">
        <f t="shared" ca="1" si="82"/>
        <v>0</v>
      </c>
      <c r="W268" s="13">
        <f t="shared" ca="1" si="83"/>
        <v>11704.5</v>
      </c>
      <c r="X268" s="4">
        <f t="shared" ca="1" si="84"/>
        <v>0</v>
      </c>
      <c r="Y268" s="4">
        <f t="shared" si="85"/>
        <v>0</v>
      </c>
      <c r="Z268" s="13">
        <f t="shared" ca="1" si="86"/>
        <v>11704.5</v>
      </c>
      <c r="AA268" s="4">
        <f t="shared" ca="1" si="87"/>
        <v>0</v>
      </c>
      <c r="AE268" s="4"/>
    </row>
    <row r="269" spans="1:31">
      <c r="A269">
        <v>1</v>
      </c>
      <c r="B269">
        <v>3</v>
      </c>
      <c r="C269">
        <f t="shared" ca="1" si="66"/>
        <v>5</v>
      </c>
      <c r="D269">
        <f t="shared" ca="1" si="67"/>
        <v>4</v>
      </c>
      <c r="E269">
        <f t="shared" ca="1" si="68"/>
        <v>1</v>
      </c>
      <c r="F269" s="110">
        <f t="shared" ca="1" si="69"/>
        <v>0</v>
      </c>
      <c r="G269">
        <v>0</v>
      </c>
      <c r="H269">
        <v>0</v>
      </c>
      <c r="I269">
        <v>4</v>
      </c>
      <c r="J269" s="1">
        <f t="shared" ca="1" si="70"/>
        <v>2.9309082031250003E-2</v>
      </c>
      <c r="K269" s="1">
        <f t="shared" ca="1" si="71"/>
        <v>0</v>
      </c>
      <c r="L269" s="13">
        <f t="shared" ca="1" si="72"/>
        <v>76</v>
      </c>
      <c r="M269" s="7">
        <f t="shared" ca="1" si="73"/>
        <v>924</v>
      </c>
      <c r="N269" s="26">
        <f t="shared" ca="1" si="74"/>
        <v>4</v>
      </c>
      <c r="O269" s="44">
        <f t="shared" ca="1" si="75"/>
        <v>2.8621467101781541</v>
      </c>
      <c r="P269" s="44">
        <f t="shared" ca="1" si="76"/>
        <v>28.621467101781548</v>
      </c>
      <c r="Q269" s="44">
        <f t="shared" ca="1" si="77"/>
        <v>28.621467101781548</v>
      </c>
      <c r="R269" s="44">
        <f t="shared" ca="1" si="78"/>
        <v>2.8621467101781546</v>
      </c>
      <c r="S269" s="44">
        <f t="shared" ca="1" si="79"/>
        <v>2.8621467101781541</v>
      </c>
      <c r="T269" s="4">
        <f t="shared" ca="1" si="80"/>
        <v>0</v>
      </c>
      <c r="U269" s="120">
        <f t="shared" ca="1" si="81"/>
        <v>1571.6385655333725</v>
      </c>
      <c r="V269" s="4">
        <f t="shared" ca="1" si="82"/>
        <v>0</v>
      </c>
      <c r="W269" s="13">
        <f t="shared" ca="1" si="83"/>
        <v>9363.6</v>
      </c>
      <c r="X269" s="4">
        <f t="shared" ca="1" si="84"/>
        <v>0</v>
      </c>
      <c r="Y269" s="4">
        <f t="shared" si="85"/>
        <v>0</v>
      </c>
      <c r="Z269" s="13">
        <f t="shared" ca="1" si="86"/>
        <v>9363.6</v>
      </c>
      <c r="AA269" s="4">
        <f t="shared" ca="1" si="87"/>
        <v>0</v>
      </c>
      <c r="AE269" s="4"/>
    </row>
    <row r="270" spans="1:31">
      <c r="A270">
        <v>1</v>
      </c>
      <c r="B270">
        <v>3</v>
      </c>
      <c r="C270">
        <f t="shared" ca="1" si="66"/>
        <v>5</v>
      </c>
      <c r="D270">
        <f t="shared" ca="1" si="67"/>
        <v>4</v>
      </c>
      <c r="E270">
        <f t="shared" ca="1" si="68"/>
        <v>1</v>
      </c>
      <c r="F270" s="110">
        <f t="shared" ca="1" si="69"/>
        <v>0</v>
      </c>
      <c r="G270">
        <v>0</v>
      </c>
      <c r="H270">
        <v>0</v>
      </c>
      <c r="I270">
        <v>3</v>
      </c>
      <c r="J270" s="1">
        <f t="shared" ca="1" si="70"/>
        <v>1.6748046875000002E-2</v>
      </c>
      <c r="K270" s="1">
        <f t="shared" ca="1" si="71"/>
        <v>0</v>
      </c>
      <c r="L270" s="13">
        <f t="shared" ca="1" si="72"/>
        <v>57</v>
      </c>
      <c r="M270" s="7">
        <f t="shared" ca="1" si="73"/>
        <v>943</v>
      </c>
      <c r="N270" s="26">
        <f t="shared" ca="1" si="74"/>
        <v>4</v>
      </c>
      <c r="O270" s="44">
        <f t="shared" ca="1" si="75"/>
        <v>2.8621467101781541</v>
      </c>
      <c r="P270" s="44">
        <f t="shared" ca="1" si="76"/>
        <v>28.621467101781548</v>
      </c>
      <c r="Q270" s="44">
        <f t="shared" ca="1" si="77"/>
        <v>28.621467101781548</v>
      </c>
      <c r="R270" s="44">
        <f t="shared" ca="1" si="78"/>
        <v>2.8621467101781546</v>
      </c>
      <c r="S270" s="44">
        <f t="shared" ca="1" si="79"/>
        <v>2.8621467101781541</v>
      </c>
      <c r="T270" s="4">
        <f t="shared" ca="1" si="80"/>
        <v>0</v>
      </c>
      <c r="U270" s="120">
        <f t="shared" ca="1" si="81"/>
        <v>1552.6385655333725</v>
      </c>
      <c r="V270" s="4">
        <f t="shared" ca="1" si="82"/>
        <v>0</v>
      </c>
      <c r="W270" s="13">
        <f t="shared" ca="1" si="83"/>
        <v>7022.7000000000007</v>
      </c>
      <c r="X270" s="4">
        <f t="shared" ca="1" si="84"/>
        <v>0</v>
      </c>
      <c r="Y270" s="4">
        <f t="shared" si="85"/>
        <v>0</v>
      </c>
      <c r="Z270" s="13">
        <f t="shared" ca="1" si="86"/>
        <v>7022.7000000000007</v>
      </c>
      <c r="AA270" s="4">
        <f t="shared" ca="1" si="87"/>
        <v>0</v>
      </c>
      <c r="AE270" s="4"/>
    </row>
    <row r="271" spans="1:31">
      <c r="A271">
        <v>1</v>
      </c>
      <c r="B271">
        <v>3</v>
      </c>
      <c r="C271">
        <f t="shared" ca="1" si="66"/>
        <v>5</v>
      </c>
      <c r="D271">
        <f t="shared" ca="1" si="67"/>
        <v>4</v>
      </c>
      <c r="E271">
        <f t="shared" ca="1" si="68"/>
        <v>1</v>
      </c>
      <c r="F271" s="110">
        <f t="shared" ca="1" si="69"/>
        <v>0</v>
      </c>
      <c r="G271">
        <v>0</v>
      </c>
      <c r="H271">
        <v>0</v>
      </c>
      <c r="I271">
        <v>2</v>
      </c>
      <c r="J271" s="1">
        <f t="shared" ca="1" si="70"/>
        <v>3.5888671875000003E-3</v>
      </c>
      <c r="K271" s="1">
        <f t="shared" ca="1" si="71"/>
        <v>0</v>
      </c>
      <c r="L271" s="13">
        <f t="shared" ca="1" si="72"/>
        <v>38</v>
      </c>
      <c r="M271" s="7">
        <f t="shared" ca="1" si="73"/>
        <v>962</v>
      </c>
      <c r="N271" s="26">
        <f t="shared" ca="1" si="74"/>
        <v>4</v>
      </c>
      <c r="O271" s="44">
        <f t="shared" ca="1" si="75"/>
        <v>2.8621467101781541</v>
      </c>
      <c r="P271" s="44">
        <f t="shared" ca="1" si="76"/>
        <v>28.621467101781548</v>
      </c>
      <c r="Q271" s="44">
        <f t="shared" ca="1" si="77"/>
        <v>28.621467101781548</v>
      </c>
      <c r="R271" s="44">
        <f t="shared" ca="1" si="78"/>
        <v>2.8621467101781546</v>
      </c>
      <c r="S271" s="44">
        <f t="shared" ca="1" si="79"/>
        <v>2.8621467101781541</v>
      </c>
      <c r="T271" s="4">
        <f t="shared" ca="1" si="80"/>
        <v>0</v>
      </c>
      <c r="U271" s="120">
        <f t="shared" ca="1" si="81"/>
        <v>1533.6385655333725</v>
      </c>
      <c r="V271" s="4">
        <f t="shared" ca="1" si="82"/>
        <v>0</v>
      </c>
      <c r="W271" s="13">
        <f t="shared" ca="1" si="83"/>
        <v>4681.8</v>
      </c>
      <c r="X271" s="4">
        <f t="shared" ca="1" si="84"/>
        <v>0</v>
      </c>
      <c r="Y271" s="4">
        <f t="shared" si="85"/>
        <v>0</v>
      </c>
      <c r="Z271" s="13">
        <f t="shared" ca="1" si="86"/>
        <v>4681.8</v>
      </c>
      <c r="AA271" s="4">
        <f t="shared" ca="1" si="87"/>
        <v>0</v>
      </c>
      <c r="AE271" s="4"/>
    </row>
    <row r="272" spans="1:31">
      <c r="A272">
        <v>1</v>
      </c>
      <c r="B272">
        <v>3</v>
      </c>
      <c r="C272">
        <f t="shared" ca="1" si="66"/>
        <v>5</v>
      </c>
      <c r="D272">
        <f t="shared" ca="1" si="67"/>
        <v>4</v>
      </c>
      <c r="E272">
        <f t="shared" ca="1" si="68"/>
        <v>1</v>
      </c>
      <c r="F272" s="110">
        <f t="shared" ca="1" si="69"/>
        <v>0</v>
      </c>
      <c r="G272">
        <v>0</v>
      </c>
      <c r="H272">
        <v>0</v>
      </c>
      <c r="I272">
        <v>1</v>
      </c>
      <c r="J272" s="1">
        <f t="shared" ca="1" si="70"/>
        <v>3.4179687500000003E-4</v>
      </c>
      <c r="K272" s="1">
        <f t="shared" ca="1" si="71"/>
        <v>0</v>
      </c>
      <c r="L272" s="13">
        <f t="shared" ca="1" si="72"/>
        <v>19</v>
      </c>
      <c r="M272" s="7">
        <f t="shared" ca="1" si="73"/>
        <v>981</v>
      </c>
      <c r="N272" s="26">
        <f t="shared" ca="1" si="74"/>
        <v>4</v>
      </c>
      <c r="O272" s="44">
        <f t="shared" ca="1" si="75"/>
        <v>2.8621467101781541</v>
      </c>
      <c r="P272" s="44">
        <f t="shared" ca="1" si="76"/>
        <v>28.621467101781548</v>
      </c>
      <c r="Q272" s="44">
        <f t="shared" ca="1" si="77"/>
        <v>28.621467101781548</v>
      </c>
      <c r="R272" s="44">
        <f t="shared" ca="1" si="78"/>
        <v>2.8621467101781546</v>
      </c>
      <c r="S272" s="44">
        <f t="shared" ca="1" si="79"/>
        <v>2.8621467101781541</v>
      </c>
      <c r="T272" s="4">
        <f t="shared" ca="1" si="80"/>
        <v>0</v>
      </c>
      <c r="U272" s="120">
        <f t="shared" ca="1" si="81"/>
        <v>1514.6385655333725</v>
      </c>
      <c r="V272" s="4">
        <f t="shared" ca="1" si="82"/>
        <v>0</v>
      </c>
      <c r="W272" s="13">
        <f t="shared" ca="1" si="83"/>
        <v>2340.9</v>
      </c>
      <c r="X272" s="4">
        <f t="shared" ca="1" si="84"/>
        <v>0</v>
      </c>
      <c r="Y272" s="4">
        <f t="shared" si="85"/>
        <v>0</v>
      </c>
      <c r="Z272" s="13">
        <f t="shared" ca="1" si="86"/>
        <v>2340.9</v>
      </c>
      <c r="AA272" s="4">
        <f t="shared" ca="1" si="87"/>
        <v>0</v>
      </c>
      <c r="AE272" s="4"/>
    </row>
    <row r="273" spans="1:31">
      <c r="A273">
        <v>1</v>
      </c>
      <c r="B273">
        <v>3</v>
      </c>
      <c r="C273">
        <f t="shared" ca="1" si="66"/>
        <v>5</v>
      </c>
      <c r="D273">
        <f t="shared" ca="1" si="67"/>
        <v>4</v>
      </c>
      <c r="E273">
        <f t="shared" ca="1" si="68"/>
        <v>1</v>
      </c>
      <c r="F273" s="110">
        <f t="shared" ca="1" si="69"/>
        <v>0</v>
      </c>
      <c r="G273">
        <v>0</v>
      </c>
      <c r="H273">
        <v>0</v>
      </c>
      <c r="I273">
        <v>0</v>
      </c>
      <c r="J273" s="1">
        <f t="shared" ca="1" si="70"/>
        <v>1.2207031250000001E-5</v>
      </c>
      <c r="K273" s="1">
        <f t="shared" ca="1" si="71"/>
        <v>0</v>
      </c>
      <c r="L273" s="13">
        <f t="shared" ca="1" si="72"/>
        <v>0</v>
      </c>
      <c r="M273" s="7">
        <f t="shared" ca="1" si="73"/>
        <v>1000</v>
      </c>
      <c r="N273" s="26">
        <f t="shared" ca="1" si="74"/>
        <v>4</v>
      </c>
      <c r="O273" s="44">
        <f t="shared" ca="1" si="75"/>
        <v>2.8621467101781541</v>
      </c>
      <c r="P273" s="44">
        <f t="shared" ca="1" si="76"/>
        <v>28.621467101781548</v>
      </c>
      <c r="Q273" s="44">
        <f t="shared" ca="1" si="77"/>
        <v>28.621467101781548</v>
      </c>
      <c r="R273" s="44">
        <f t="shared" ca="1" si="78"/>
        <v>2.8621467101781546</v>
      </c>
      <c r="S273" s="44">
        <f t="shared" ca="1" si="79"/>
        <v>2.8621467101781541</v>
      </c>
      <c r="T273" s="4">
        <f t="shared" ca="1" si="80"/>
        <v>0</v>
      </c>
      <c r="U273" s="120">
        <f t="shared" ca="1" si="81"/>
        <v>1495.6385655333725</v>
      </c>
      <c r="V273" s="4">
        <f t="shared" ca="1" si="82"/>
        <v>0</v>
      </c>
      <c r="W273" s="13">
        <f t="shared" ca="1" si="83"/>
        <v>0</v>
      </c>
      <c r="X273" s="4">
        <f t="shared" ca="1" si="84"/>
        <v>0</v>
      </c>
      <c r="Y273" s="4">
        <f t="shared" si="85"/>
        <v>0</v>
      </c>
      <c r="Z273" s="13">
        <f t="shared" ca="1" si="86"/>
        <v>0</v>
      </c>
      <c r="AA273" s="4">
        <f t="shared" ca="1" si="87"/>
        <v>0</v>
      </c>
      <c r="AE273" s="4"/>
    </row>
    <row r="274" spans="1:31">
      <c r="A274">
        <v>2</v>
      </c>
      <c r="B274">
        <v>0</v>
      </c>
      <c r="C274">
        <f t="shared" ref="C274:C337" ca="1" si="88">MIN(8, 1+$B$10+$B$9+A274+B274)</f>
        <v>3</v>
      </c>
      <c r="D274">
        <f t="shared" ref="D274:D337" ca="1" si="89">C274-(1+$B$10)</f>
        <v>2</v>
      </c>
      <c r="E274">
        <f t="shared" ref="E274:E337" ca="1" si="90">MIN(A274, C274-(1+$B$10+$B$9))</f>
        <v>2</v>
      </c>
      <c r="F274" s="110">
        <f t="shared" ref="F274:F337" ca="1" si="91">IF(A274=3, Set1QA, IF(A274=2, (1-Set1QA)*Set1TA + (1-Set1QA)*(1-Set1TA)*(1-Set1DA)*Set1AM3*Set1AM33, IF(A274=1, (1-Set1QA)*(1-Set1TA)*Set1DA + (1-Set1QA)*(1-Set1TA)*(1-Set1DA)*Set1AM3*Set1AM32, (1-Set1QA)*(1-Set1TA)*(1-Set1DA)*(1-Set1AM3)))) * IF($B$9+$B$10&gt;0, IF(B274=3, Set1QA, IF(B274=2, (1-Set1QA)*Set1TA, IF(B274=1, (1-Set1QA)*(1-Set1TA)*Set1DA, (1-Set1QA)*(1-Set1TA)*(1-Set1DA)))), IF(B274=0, 1, 0))</f>
        <v>0</v>
      </c>
      <c r="G274">
        <v>1</v>
      </c>
      <c r="H274">
        <v>1</v>
      </c>
      <c r="I274">
        <v>7</v>
      </c>
      <c r="J274" s="1">
        <f t="shared" ref="J274:J337" ca="1" si="92">POWER(95%,G274)*POWER(5%, 1-G274) * IF($B$10=0, IF(H274=0, 1, 0), POWER(Set1WSHitRate,H274)*POWER(1-Set1WSHitRate, 1-H274)) * IF(I274&lt;=D274, POWER(Set1WSHitRate, I274)*POWER(1-Set1WSHitRate, D274-I274)*COMBIN(D274,I274), 0)</f>
        <v>0</v>
      </c>
      <c r="K274" s="1">
        <f t="shared" ref="K274:K337" ca="1" si="93">F274*J274</f>
        <v>0</v>
      </c>
      <c r="L274" s="13">
        <f t="shared" ref="L274:L337" ca="1" si="94">MAX((G274+H274)*Set1WSTP + I274*$B$6, Set1SaveTP)</f>
        <v>615</v>
      </c>
      <c r="M274" s="7">
        <f t="shared" ref="M274:M337" ca="1" si="95">MAX(Set1MinTP-(L274+Set1Regain), 0)</f>
        <v>385</v>
      </c>
      <c r="N274" s="26">
        <f t="shared" ref="N274:N337" ca="1" si="96">CEILING(M274/Set1MeleeTP, 1)</f>
        <v>2</v>
      </c>
      <c r="O274" s="44">
        <f t="shared" ref="O274:O337" ca="1" si="97">VLOOKUP(N274,AvgRoundsSet1,2)</f>
        <v>1.5762319669595739</v>
      </c>
      <c r="P274" s="44">
        <f t="shared" ref="P274:P337" ca="1" si="98">VLOOKUP(CEILING(MAX(M274-1, 0)/Set1MeleeTP, 1), AvgRoundsSet1, 2) + VLOOKUP(CEILING(MAX(M274-2, 0)/Set1MeleeTP, 1), AvgRoundsSet1, 2) + VLOOKUP(CEILING(MAX(M274-3, 0)/Set1MeleeTP, 1), AvgRoundsSet1, 2) + VLOOKUP(CEILING(MAX(M274-4, 0)/Set1MeleeTP, 1), AvgRoundsSet1, 2) + VLOOKUP(CEILING(MAX(M274-5, 0)/Set1MeleeTP, 1), AvgRoundsSet1, 2) + VLOOKUP(CEILING(MAX(M274-6, 0)/Set1MeleeTP, 1), AvgRoundsSet1, 2) + VLOOKUP(CEILING(MAX(M274-7, 0)/Set1MeleeTP, 1), AvgRoundsSet1, 2) + VLOOKUP(CEILING(MAX(M274-8, 0)/Set1MeleeTP, 1), AvgRoundsSet1, 2) + VLOOKUP(CEILING(MAX(M274-9, 0)/Set1MeleeTP, 1), AvgRoundsSet1, 2) + VLOOKUP(CEILING(MAX(M274-10, 0)/Set1MeleeTP, 1), AvgRoundsSet1, 2)</f>
        <v>15.762319669595739</v>
      </c>
      <c r="Q274" s="44">
        <f t="shared" ref="Q274:Q337" ca="1" si="99">VLOOKUP(CEILING(MAX(M274-11, 0)/Set1MeleeTP, 1), AvgRoundsSet1, 2) + VLOOKUP(CEILING(MAX(M274-12, 0)/Set1MeleeTP, 1), AvgRoundsSet1, 2) + VLOOKUP(CEILING(MAX(M274-13, 0)/Set1MeleeTP, 1), AvgRoundsSet1, 2) + VLOOKUP(CEILING(MAX(M274-14, 0)/Set1MeleeTP, 1), AvgRoundsSet1, 2) + VLOOKUP(CEILING(MAX(M274-15, 0)/Set1MeleeTP, 1), AvgRoundsSet1, 2) + VLOOKUP(CEILING(MAX(M274-16, 0)/Set1MeleeTP, 1), AvgRoundsSet1, 2) + VLOOKUP(CEILING(MAX(M274-17, 0)/Set1MeleeTP, 1), AvgRoundsSet1, 2) + VLOOKUP(CEILING(MAX(M274-18, 0)/Set1MeleeTP, 1), AvgRoundsSet1, 2) + VLOOKUP(CEILING(MAX(M274-19, 0)/Set1MeleeTP, 1), AvgRoundsSet1, 2) + VLOOKUP(CEILING(MAX(M274-20, 0)/Set1MeleeTP, 1), AvgRoundsSet1, 2)</f>
        <v>15.762319669595739</v>
      </c>
      <c r="R274" s="44">
        <f t="shared" ref="R274:R337" ca="1" si="100">(P274+Q274)/20</f>
        <v>1.5762319669595739</v>
      </c>
      <c r="S274" s="44">
        <f t="shared" ref="S274:S337" ca="1" si="101">R274*Set1ConserveTP + O274*(1-Set1ConserveTP)</f>
        <v>1.5762319669595737</v>
      </c>
      <c r="T274" s="4">
        <f t="shared" ref="T274:T337" ca="1" si="102">K274*S274</f>
        <v>0</v>
      </c>
      <c r="U274" s="120">
        <f t="shared" ref="U274:U337" ca="1" si="103">MIN(L274+(S274+Set1OverTP)*AvgHitsPerRound1*Set1MeleeTP + Set1Regain + 10.5*Set1ConserveTP, 3000)</f>
        <v>1538.885248288175</v>
      </c>
      <c r="V274" s="4">
        <f t="shared" ref="V274:V337" ca="1" si="104">U274*K274</f>
        <v>0</v>
      </c>
      <c r="W274" s="13">
        <f t="shared" ref="W274:W337" ca="1" si="105">G274*$K$10*((1-$L$10)*$L$14 + $L$10*$M$14*$M$10)*Set1WSDmg + H274*$K$13*((1-$L$13)*$L$15 + $L$13*$M$15*$M$11) + I274*$K$11*((1-$L$11)*$L$14 + $L$11*$M$14*$M$11) + E274*$K$12*$L$12*$M$10</f>
        <v>40973.706000000006</v>
      </c>
      <c r="X274" s="4">
        <f t="shared" ref="X274:X337" ca="1" si="106">K274*W274</f>
        <v>0</v>
      </c>
      <c r="Y274" s="4">
        <f t="shared" ref="Y274:Y337" si="107">IF($B$12=1, (VLOOKUP(C274, IF($B$13=10%,Souleater10,Souleater12), 6, FALSE) * $B$14), 0)</f>
        <v>0</v>
      </c>
      <c r="Z274" s="13">
        <f t="shared" ca="1" si="86"/>
        <v>40973.706000000006</v>
      </c>
      <c r="AA274" s="4">
        <f t="shared" ca="1" si="87"/>
        <v>0</v>
      </c>
      <c r="AE274" s="4"/>
    </row>
    <row r="275" spans="1:31">
      <c r="A275">
        <v>2</v>
      </c>
      <c r="B275">
        <v>0</v>
      </c>
      <c r="C275">
        <f t="shared" ca="1" si="88"/>
        <v>3</v>
      </c>
      <c r="D275">
        <f t="shared" ca="1" si="89"/>
        <v>2</v>
      </c>
      <c r="E275">
        <f t="shared" ca="1" si="90"/>
        <v>2</v>
      </c>
      <c r="F275" s="110">
        <f t="shared" ca="1" si="91"/>
        <v>0</v>
      </c>
      <c r="G275">
        <v>1</v>
      </c>
      <c r="H275">
        <v>1</v>
      </c>
      <c r="I275">
        <v>6</v>
      </c>
      <c r="J275" s="1">
        <f t="shared" ca="1" si="92"/>
        <v>0</v>
      </c>
      <c r="K275" s="1">
        <f t="shared" ca="1" si="93"/>
        <v>0</v>
      </c>
      <c r="L275" s="13">
        <f t="shared" ca="1" si="94"/>
        <v>596</v>
      </c>
      <c r="M275" s="7">
        <f t="shared" ca="1" si="95"/>
        <v>404</v>
      </c>
      <c r="N275" s="26">
        <f t="shared" ca="1" si="96"/>
        <v>2</v>
      </c>
      <c r="O275" s="44">
        <f t="shared" ca="1" si="97"/>
        <v>1.5762319669595739</v>
      </c>
      <c r="P275" s="44">
        <f t="shared" ca="1" si="98"/>
        <v>15.762319669595739</v>
      </c>
      <c r="Q275" s="44">
        <f t="shared" ca="1" si="99"/>
        <v>15.762319669595739</v>
      </c>
      <c r="R275" s="44">
        <f t="shared" ca="1" si="100"/>
        <v>1.5762319669595739</v>
      </c>
      <c r="S275" s="44">
        <f t="shared" ca="1" si="101"/>
        <v>1.5762319669595737</v>
      </c>
      <c r="T275" s="4">
        <f t="shared" ca="1" si="102"/>
        <v>0</v>
      </c>
      <c r="U275" s="120">
        <f t="shared" ca="1" si="103"/>
        <v>1519.885248288175</v>
      </c>
      <c r="V275" s="4">
        <f t="shared" ca="1" si="104"/>
        <v>0</v>
      </c>
      <c r="W275" s="13">
        <f t="shared" ca="1" si="105"/>
        <v>38632.806000000004</v>
      </c>
      <c r="X275" s="4">
        <f t="shared" ca="1" si="106"/>
        <v>0</v>
      </c>
      <c r="Y275" s="4">
        <f t="shared" si="107"/>
        <v>0</v>
      </c>
      <c r="Z275" s="13">
        <f t="shared" ref="Z275:Z338" ca="1" si="108">Y275+W275</f>
        <v>38632.806000000004</v>
      </c>
      <c r="AA275" s="4">
        <f t="shared" ref="AA275:AA338" ca="1" si="109">Z275*K275</f>
        <v>0</v>
      </c>
      <c r="AE275" s="4"/>
    </row>
    <row r="276" spans="1:31">
      <c r="A276">
        <v>2</v>
      </c>
      <c r="B276">
        <v>0</v>
      </c>
      <c r="C276">
        <f t="shared" ca="1" si="88"/>
        <v>3</v>
      </c>
      <c r="D276">
        <f t="shared" ca="1" si="89"/>
        <v>2</v>
      </c>
      <c r="E276">
        <f t="shared" ca="1" si="90"/>
        <v>2</v>
      </c>
      <c r="F276" s="110">
        <f t="shared" ca="1" si="91"/>
        <v>0</v>
      </c>
      <c r="G276">
        <v>1</v>
      </c>
      <c r="H276">
        <v>1</v>
      </c>
      <c r="I276">
        <v>5</v>
      </c>
      <c r="J276" s="1">
        <f t="shared" ca="1" si="92"/>
        <v>0</v>
      </c>
      <c r="K276" s="1">
        <f t="shared" ca="1" si="93"/>
        <v>0</v>
      </c>
      <c r="L276" s="13">
        <f t="shared" ca="1" si="94"/>
        <v>577</v>
      </c>
      <c r="M276" s="7">
        <f t="shared" ca="1" si="95"/>
        <v>423</v>
      </c>
      <c r="N276" s="26">
        <f t="shared" ca="1" si="96"/>
        <v>2</v>
      </c>
      <c r="O276" s="44">
        <f t="shared" ca="1" si="97"/>
        <v>1.5762319669595739</v>
      </c>
      <c r="P276" s="44">
        <f t="shared" ca="1" si="98"/>
        <v>15.762319669595739</v>
      </c>
      <c r="Q276" s="44">
        <f t="shared" ca="1" si="99"/>
        <v>15.762319669595739</v>
      </c>
      <c r="R276" s="44">
        <f t="shared" ca="1" si="100"/>
        <v>1.5762319669595739</v>
      </c>
      <c r="S276" s="44">
        <f t="shared" ca="1" si="101"/>
        <v>1.5762319669595737</v>
      </c>
      <c r="T276" s="4">
        <f t="shared" ca="1" si="102"/>
        <v>0</v>
      </c>
      <c r="U276" s="120">
        <f t="shared" ca="1" si="103"/>
        <v>1500.885248288175</v>
      </c>
      <c r="V276" s="4">
        <f t="shared" ca="1" si="104"/>
        <v>0</v>
      </c>
      <c r="W276" s="13">
        <f t="shared" ca="1" si="105"/>
        <v>36291.906000000003</v>
      </c>
      <c r="X276" s="4">
        <f t="shared" ca="1" si="106"/>
        <v>0</v>
      </c>
      <c r="Y276" s="4">
        <f t="shared" si="107"/>
        <v>0</v>
      </c>
      <c r="Z276" s="13">
        <f t="shared" ca="1" si="108"/>
        <v>36291.906000000003</v>
      </c>
      <c r="AA276" s="4">
        <f t="shared" ca="1" si="109"/>
        <v>0</v>
      </c>
      <c r="AE276" s="4"/>
    </row>
    <row r="277" spans="1:31">
      <c r="A277">
        <v>2</v>
      </c>
      <c r="B277">
        <v>0</v>
      </c>
      <c r="C277">
        <f t="shared" ca="1" si="88"/>
        <v>3</v>
      </c>
      <c r="D277">
        <f t="shared" ca="1" si="89"/>
        <v>2</v>
      </c>
      <c r="E277">
        <f t="shared" ca="1" si="90"/>
        <v>2</v>
      </c>
      <c r="F277" s="110">
        <f t="shared" ca="1" si="91"/>
        <v>0</v>
      </c>
      <c r="G277">
        <v>1</v>
      </c>
      <c r="H277">
        <v>1</v>
      </c>
      <c r="I277">
        <v>4</v>
      </c>
      <c r="J277" s="1">
        <f t="shared" ca="1" si="92"/>
        <v>0</v>
      </c>
      <c r="K277" s="1">
        <f t="shared" ca="1" si="93"/>
        <v>0</v>
      </c>
      <c r="L277" s="13">
        <f t="shared" ca="1" si="94"/>
        <v>558</v>
      </c>
      <c r="M277" s="7">
        <f t="shared" ca="1" si="95"/>
        <v>442</v>
      </c>
      <c r="N277" s="26">
        <f t="shared" ca="1" si="96"/>
        <v>2</v>
      </c>
      <c r="O277" s="44">
        <f t="shared" ca="1" si="97"/>
        <v>1.5762319669595739</v>
      </c>
      <c r="P277" s="44">
        <f t="shared" ca="1" si="98"/>
        <v>15.762319669595739</v>
      </c>
      <c r="Q277" s="44">
        <f t="shared" ca="1" si="99"/>
        <v>15.762319669595739</v>
      </c>
      <c r="R277" s="44">
        <f t="shared" ca="1" si="100"/>
        <v>1.5762319669595739</v>
      </c>
      <c r="S277" s="44">
        <f t="shared" ca="1" si="101"/>
        <v>1.5762319669595737</v>
      </c>
      <c r="T277" s="4">
        <f t="shared" ca="1" si="102"/>
        <v>0</v>
      </c>
      <c r="U277" s="120">
        <f t="shared" ca="1" si="103"/>
        <v>1481.885248288175</v>
      </c>
      <c r="V277" s="4">
        <f t="shared" ca="1" si="104"/>
        <v>0</v>
      </c>
      <c r="W277" s="13">
        <f t="shared" ca="1" si="105"/>
        <v>33951.006000000001</v>
      </c>
      <c r="X277" s="4">
        <f t="shared" ca="1" si="106"/>
        <v>0</v>
      </c>
      <c r="Y277" s="4">
        <f t="shared" si="107"/>
        <v>0</v>
      </c>
      <c r="Z277" s="13">
        <f t="shared" ca="1" si="108"/>
        <v>33951.006000000001</v>
      </c>
      <c r="AA277" s="4">
        <f t="shared" ca="1" si="109"/>
        <v>0</v>
      </c>
      <c r="AE277" s="4"/>
    </row>
    <row r="278" spans="1:31">
      <c r="A278">
        <v>2</v>
      </c>
      <c r="B278">
        <v>0</v>
      </c>
      <c r="C278">
        <f t="shared" ca="1" si="88"/>
        <v>3</v>
      </c>
      <c r="D278">
        <f t="shared" ca="1" si="89"/>
        <v>2</v>
      </c>
      <c r="E278">
        <f t="shared" ca="1" si="90"/>
        <v>2</v>
      </c>
      <c r="F278" s="110">
        <f t="shared" ca="1" si="91"/>
        <v>0</v>
      </c>
      <c r="G278">
        <v>1</v>
      </c>
      <c r="H278">
        <v>1</v>
      </c>
      <c r="I278">
        <v>3</v>
      </c>
      <c r="J278" s="1">
        <f t="shared" ca="1" si="92"/>
        <v>0</v>
      </c>
      <c r="K278" s="1">
        <f t="shared" ca="1" si="93"/>
        <v>0</v>
      </c>
      <c r="L278" s="13">
        <f t="shared" ca="1" si="94"/>
        <v>539</v>
      </c>
      <c r="M278" s="7">
        <f t="shared" ca="1" si="95"/>
        <v>461</v>
      </c>
      <c r="N278" s="26">
        <f t="shared" ca="1" si="96"/>
        <v>2</v>
      </c>
      <c r="O278" s="44">
        <f t="shared" ca="1" si="97"/>
        <v>1.5762319669595739</v>
      </c>
      <c r="P278" s="44">
        <f t="shared" ca="1" si="98"/>
        <v>15.762319669595739</v>
      </c>
      <c r="Q278" s="44">
        <f t="shared" ca="1" si="99"/>
        <v>15.762319669595739</v>
      </c>
      <c r="R278" s="44">
        <f t="shared" ca="1" si="100"/>
        <v>1.5762319669595739</v>
      </c>
      <c r="S278" s="44">
        <f t="shared" ca="1" si="101"/>
        <v>1.5762319669595737</v>
      </c>
      <c r="T278" s="4">
        <f t="shared" ca="1" si="102"/>
        <v>0</v>
      </c>
      <c r="U278" s="120">
        <f t="shared" ca="1" si="103"/>
        <v>1462.885248288175</v>
      </c>
      <c r="V278" s="4">
        <f t="shared" ca="1" si="104"/>
        <v>0</v>
      </c>
      <c r="W278" s="13">
        <f t="shared" ca="1" si="105"/>
        <v>31610.106000000003</v>
      </c>
      <c r="X278" s="4">
        <f t="shared" ca="1" si="106"/>
        <v>0</v>
      </c>
      <c r="Y278" s="4">
        <f t="shared" si="107"/>
        <v>0</v>
      </c>
      <c r="Z278" s="13">
        <f t="shared" ca="1" si="108"/>
        <v>31610.106000000003</v>
      </c>
      <c r="AA278" s="4">
        <f t="shared" ca="1" si="109"/>
        <v>0</v>
      </c>
      <c r="AE278" s="4"/>
    </row>
    <row r="279" spans="1:31">
      <c r="A279">
        <v>2</v>
      </c>
      <c r="B279">
        <v>0</v>
      </c>
      <c r="C279">
        <f t="shared" ca="1" si="88"/>
        <v>3</v>
      </c>
      <c r="D279">
        <f t="shared" ca="1" si="89"/>
        <v>2</v>
      </c>
      <c r="E279">
        <f t="shared" ca="1" si="90"/>
        <v>2</v>
      </c>
      <c r="F279" s="110">
        <f t="shared" ca="1" si="91"/>
        <v>0</v>
      </c>
      <c r="G279">
        <v>1</v>
      </c>
      <c r="H279">
        <v>1</v>
      </c>
      <c r="I279">
        <v>2</v>
      </c>
      <c r="J279" s="1">
        <f t="shared" ca="1" si="92"/>
        <v>0</v>
      </c>
      <c r="K279" s="1">
        <f t="shared" ca="1" si="93"/>
        <v>0</v>
      </c>
      <c r="L279" s="13">
        <f t="shared" ca="1" si="94"/>
        <v>520</v>
      </c>
      <c r="M279" s="7">
        <f t="shared" ca="1" si="95"/>
        <v>480</v>
      </c>
      <c r="N279" s="26">
        <f t="shared" ca="1" si="96"/>
        <v>2</v>
      </c>
      <c r="O279" s="44">
        <f t="shared" ca="1" si="97"/>
        <v>1.5762319669595739</v>
      </c>
      <c r="P279" s="44">
        <f t="shared" ca="1" si="98"/>
        <v>15.762319669595739</v>
      </c>
      <c r="Q279" s="44">
        <f t="shared" ca="1" si="99"/>
        <v>15.762319669595739</v>
      </c>
      <c r="R279" s="44">
        <f t="shared" ca="1" si="100"/>
        <v>1.5762319669595739</v>
      </c>
      <c r="S279" s="44">
        <f t="shared" ca="1" si="101"/>
        <v>1.5762319669595737</v>
      </c>
      <c r="T279" s="4">
        <f t="shared" ca="1" si="102"/>
        <v>0</v>
      </c>
      <c r="U279" s="120">
        <f t="shared" ca="1" si="103"/>
        <v>1443.885248288175</v>
      </c>
      <c r="V279" s="4">
        <f t="shared" ca="1" si="104"/>
        <v>0</v>
      </c>
      <c r="W279" s="13">
        <f t="shared" ca="1" si="105"/>
        <v>29269.206000000002</v>
      </c>
      <c r="X279" s="4">
        <f t="shared" ca="1" si="106"/>
        <v>0</v>
      </c>
      <c r="Y279" s="4">
        <f t="shared" si="107"/>
        <v>0</v>
      </c>
      <c r="Z279" s="13">
        <f t="shared" ca="1" si="108"/>
        <v>29269.206000000002</v>
      </c>
      <c r="AA279" s="4">
        <f t="shared" ca="1" si="109"/>
        <v>0</v>
      </c>
      <c r="AE279" s="4"/>
    </row>
    <row r="280" spans="1:31">
      <c r="A280">
        <v>2</v>
      </c>
      <c r="B280">
        <v>0</v>
      </c>
      <c r="C280">
        <f t="shared" ca="1" si="88"/>
        <v>3</v>
      </c>
      <c r="D280">
        <f t="shared" ca="1" si="89"/>
        <v>2</v>
      </c>
      <c r="E280">
        <f t="shared" ca="1" si="90"/>
        <v>2</v>
      </c>
      <c r="F280" s="110">
        <f t="shared" ca="1" si="91"/>
        <v>0</v>
      </c>
      <c r="G280">
        <v>1</v>
      </c>
      <c r="H280">
        <v>1</v>
      </c>
      <c r="I280">
        <v>1</v>
      </c>
      <c r="J280" s="1">
        <f t="shared" ca="1" si="92"/>
        <v>0</v>
      </c>
      <c r="K280" s="1">
        <f t="shared" ca="1" si="93"/>
        <v>0</v>
      </c>
      <c r="L280" s="13">
        <f t="shared" ca="1" si="94"/>
        <v>501</v>
      </c>
      <c r="M280" s="7">
        <f t="shared" ca="1" si="95"/>
        <v>499</v>
      </c>
      <c r="N280" s="26">
        <f t="shared" ca="1" si="96"/>
        <v>2</v>
      </c>
      <c r="O280" s="44">
        <f t="shared" ca="1" si="97"/>
        <v>1.5762319669595739</v>
      </c>
      <c r="P280" s="44">
        <f t="shared" ca="1" si="98"/>
        <v>15.762319669595739</v>
      </c>
      <c r="Q280" s="44">
        <f t="shared" ca="1" si="99"/>
        <v>15.762319669595739</v>
      </c>
      <c r="R280" s="44">
        <f t="shared" ca="1" si="100"/>
        <v>1.5762319669595739</v>
      </c>
      <c r="S280" s="44">
        <f t="shared" ca="1" si="101"/>
        <v>1.5762319669595737</v>
      </c>
      <c r="T280" s="4">
        <f t="shared" ca="1" si="102"/>
        <v>0</v>
      </c>
      <c r="U280" s="120">
        <f t="shared" ca="1" si="103"/>
        <v>1424.885248288175</v>
      </c>
      <c r="V280" s="4">
        <f t="shared" ca="1" si="104"/>
        <v>0</v>
      </c>
      <c r="W280" s="13">
        <f t="shared" ca="1" si="105"/>
        <v>26928.306000000004</v>
      </c>
      <c r="X280" s="4">
        <f t="shared" ca="1" si="106"/>
        <v>0</v>
      </c>
      <c r="Y280" s="4">
        <f t="shared" si="107"/>
        <v>0</v>
      </c>
      <c r="Z280" s="13">
        <f t="shared" ca="1" si="108"/>
        <v>26928.306000000004</v>
      </c>
      <c r="AA280" s="4">
        <f t="shared" ca="1" si="109"/>
        <v>0</v>
      </c>
      <c r="AE280" s="4"/>
    </row>
    <row r="281" spans="1:31">
      <c r="A281">
        <v>2</v>
      </c>
      <c r="B281">
        <v>0</v>
      </c>
      <c r="C281">
        <f t="shared" ca="1" si="88"/>
        <v>3</v>
      </c>
      <c r="D281">
        <f t="shared" ca="1" si="89"/>
        <v>2</v>
      </c>
      <c r="E281">
        <f t="shared" ca="1" si="90"/>
        <v>2</v>
      </c>
      <c r="F281" s="110">
        <f t="shared" ca="1" si="91"/>
        <v>0</v>
      </c>
      <c r="G281">
        <v>1</v>
      </c>
      <c r="H281">
        <v>1</v>
      </c>
      <c r="I281">
        <v>0</v>
      </c>
      <c r="J281" s="1">
        <f t="shared" ca="1" si="92"/>
        <v>0</v>
      </c>
      <c r="K281" s="1">
        <f t="shared" ca="1" si="93"/>
        <v>0</v>
      </c>
      <c r="L281" s="13">
        <f t="shared" ca="1" si="94"/>
        <v>482</v>
      </c>
      <c r="M281" s="7">
        <f t="shared" ca="1" si="95"/>
        <v>518</v>
      </c>
      <c r="N281" s="26">
        <f t="shared" ca="1" si="96"/>
        <v>2</v>
      </c>
      <c r="O281" s="44">
        <f t="shared" ca="1" si="97"/>
        <v>1.5762319669595739</v>
      </c>
      <c r="P281" s="44">
        <f t="shared" ca="1" si="98"/>
        <v>15.762319669595739</v>
      </c>
      <c r="Q281" s="44">
        <f t="shared" ca="1" si="99"/>
        <v>15.762319669595739</v>
      </c>
      <c r="R281" s="44">
        <f t="shared" ca="1" si="100"/>
        <v>1.5762319669595739</v>
      </c>
      <c r="S281" s="44">
        <f t="shared" ca="1" si="101"/>
        <v>1.5762319669595737</v>
      </c>
      <c r="T281" s="4">
        <f t="shared" ca="1" si="102"/>
        <v>0</v>
      </c>
      <c r="U281" s="120">
        <f t="shared" ca="1" si="103"/>
        <v>1405.885248288175</v>
      </c>
      <c r="V281" s="4">
        <f t="shared" ca="1" si="104"/>
        <v>0</v>
      </c>
      <c r="W281" s="13">
        <f t="shared" ca="1" si="105"/>
        <v>24587.406000000003</v>
      </c>
      <c r="X281" s="4">
        <f t="shared" ca="1" si="106"/>
        <v>0</v>
      </c>
      <c r="Y281" s="4">
        <f t="shared" si="107"/>
        <v>0</v>
      </c>
      <c r="Z281" s="13">
        <f t="shared" ca="1" si="108"/>
        <v>24587.406000000003</v>
      </c>
      <c r="AA281" s="4">
        <f t="shared" ca="1" si="109"/>
        <v>0</v>
      </c>
      <c r="AE281" s="4"/>
    </row>
    <row r="282" spans="1:31">
      <c r="A282">
        <v>2</v>
      </c>
      <c r="B282">
        <v>0</v>
      </c>
      <c r="C282">
        <f t="shared" ca="1" si="88"/>
        <v>3</v>
      </c>
      <c r="D282">
        <f t="shared" ca="1" si="89"/>
        <v>2</v>
      </c>
      <c r="E282">
        <f t="shared" ca="1" si="90"/>
        <v>2</v>
      </c>
      <c r="F282" s="110">
        <f t="shared" ca="1" si="91"/>
        <v>0</v>
      </c>
      <c r="G282">
        <v>1</v>
      </c>
      <c r="H282">
        <v>0</v>
      </c>
      <c r="I282">
        <v>7</v>
      </c>
      <c r="J282" s="1">
        <f t="shared" ca="1" si="92"/>
        <v>0</v>
      </c>
      <c r="K282" s="1">
        <f t="shared" ca="1" si="93"/>
        <v>0</v>
      </c>
      <c r="L282" s="13">
        <f t="shared" ca="1" si="94"/>
        <v>374</v>
      </c>
      <c r="M282" s="7">
        <f t="shared" ca="1" si="95"/>
        <v>626</v>
      </c>
      <c r="N282" s="26">
        <f t="shared" ca="1" si="96"/>
        <v>3</v>
      </c>
      <c r="O282" s="44">
        <f t="shared" ca="1" si="97"/>
        <v>2.2442427272544552</v>
      </c>
      <c r="P282" s="44">
        <f t="shared" ca="1" si="98"/>
        <v>22.442427272544553</v>
      </c>
      <c r="Q282" s="44">
        <f t="shared" ca="1" si="99"/>
        <v>22.442427272544553</v>
      </c>
      <c r="R282" s="44">
        <f t="shared" ca="1" si="100"/>
        <v>2.2442427272544552</v>
      </c>
      <c r="S282" s="44">
        <f t="shared" ca="1" si="101"/>
        <v>2.2442427272544552</v>
      </c>
      <c r="T282" s="4">
        <f t="shared" ca="1" si="102"/>
        <v>0</v>
      </c>
      <c r="U282" s="120">
        <f t="shared" ca="1" si="103"/>
        <v>1594.901337549361</v>
      </c>
      <c r="V282" s="4">
        <f t="shared" ca="1" si="104"/>
        <v>0</v>
      </c>
      <c r="W282" s="13">
        <f t="shared" ca="1" si="105"/>
        <v>40973.706000000006</v>
      </c>
      <c r="X282" s="4">
        <f t="shared" ca="1" si="106"/>
        <v>0</v>
      </c>
      <c r="Y282" s="4">
        <f t="shared" si="107"/>
        <v>0</v>
      </c>
      <c r="Z282" s="13">
        <f t="shared" ca="1" si="108"/>
        <v>40973.706000000006</v>
      </c>
      <c r="AA282" s="4">
        <f t="shared" ca="1" si="109"/>
        <v>0</v>
      </c>
      <c r="AE282" s="4"/>
    </row>
    <row r="283" spans="1:31">
      <c r="A283">
        <v>2</v>
      </c>
      <c r="B283">
        <v>0</v>
      </c>
      <c r="C283">
        <f t="shared" ca="1" si="88"/>
        <v>3</v>
      </c>
      <c r="D283">
        <f t="shared" ca="1" si="89"/>
        <v>2</v>
      </c>
      <c r="E283">
        <f t="shared" ca="1" si="90"/>
        <v>2</v>
      </c>
      <c r="F283" s="110">
        <f t="shared" ca="1" si="91"/>
        <v>0</v>
      </c>
      <c r="G283">
        <v>1</v>
      </c>
      <c r="H283">
        <v>0</v>
      </c>
      <c r="I283">
        <v>6</v>
      </c>
      <c r="J283" s="1">
        <f t="shared" ca="1" si="92"/>
        <v>0</v>
      </c>
      <c r="K283" s="1">
        <f t="shared" ca="1" si="93"/>
        <v>0</v>
      </c>
      <c r="L283" s="13">
        <f t="shared" ca="1" si="94"/>
        <v>355</v>
      </c>
      <c r="M283" s="7">
        <f t="shared" ca="1" si="95"/>
        <v>645</v>
      </c>
      <c r="N283" s="26">
        <f t="shared" ca="1" si="96"/>
        <v>3</v>
      </c>
      <c r="O283" s="44">
        <f t="shared" ca="1" si="97"/>
        <v>2.2442427272544552</v>
      </c>
      <c r="P283" s="44">
        <f t="shared" ca="1" si="98"/>
        <v>22.442427272544553</v>
      </c>
      <c r="Q283" s="44">
        <f t="shared" ca="1" si="99"/>
        <v>22.442427272544553</v>
      </c>
      <c r="R283" s="44">
        <f t="shared" ca="1" si="100"/>
        <v>2.2442427272544552</v>
      </c>
      <c r="S283" s="44">
        <f t="shared" ca="1" si="101"/>
        <v>2.2442427272544552</v>
      </c>
      <c r="T283" s="4">
        <f t="shared" ca="1" si="102"/>
        <v>0</v>
      </c>
      <c r="U283" s="120">
        <f t="shared" ca="1" si="103"/>
        <v>1575.901337549361</v>
      </c>
      <c r="V283" s="4">
        <f t="shared" ca="1" si="104"/>
        <v>0</v>
      </c>
      <c r="W283" s="13">
        <f t="shared" ca="1" si="105"/>
        <v>38632.806000000004</v>
      </c>
      <c r="X283" s="4">
        <f t="shared" ca="1" si="106"/>
        <v>0</v>
      </c>
      <c r="Y283" s="4">
        <f t="shared" si="107"/>
        <v>0</v>
      </c>
      <c r="Z283" s="13">
        <f t="shared" ca="1" si="108"/>
        <v>38632.806000000004</v>
      </c>
      <c r="AA283" s="4">
        <f t="shared" ca="1" si="109"/>
        <v>0</v>
      </c>
      <c r="AE283" s="4"/>
    </row>
    <row r="284" spans="1:31">
      <c r="A284">
        <v>2</v>
      </c>
      <c r="B284">
        <v>0</v>
      </c>
      <c r="C284">
        <f t="shared" ca="1" si="88"/>
        <v>3</v>
      </c>
      <c r="D284">
        <f t="shared" ca="1" si="89"/>
        <v>2</v>
      </c>
      <c r="E284">
        <f t="shared" ca="1" si="90"/>
        <v>2</v>
      </c>
      <c r="F284" s="110">
        <f t="shared" ca="1" si="91"/>
        <v>0</v>
      </c>
      <c r="G284">
        <v>1</v>
      </c>
      <c r="H284">
        <v>0</v>
      </c>
      <c r="I284">
        <v>5</v>
      </c>
      <c r="J284" s="1">
        <f t="shared" ca="1" si="92"/>
        <v>0</v>
      </c>
      <c r="K284" s="1">
        <f t="shared" ca="1" si="93"/>
        <v>0</v>
      </c>
      <c r="L284" s="13">
        <f t="shared" ca="1" si="94"/>
        <v>336</v>
      </c>
      <c r="M284" s="7">
        <f t="shared" ca="1" si="95"/>
        <v>664</v>
      </c>
      <c r="N284" s="26">
        <f t="shared" ca="1" si="96"/>
        <v>3</v>
      </c>
      <c r="O284" s="44">
        <f t="shared" ca="1" si="97"/>
        <v>2.2442427272544552</v>
      </c>
      <c r="P284" s="44">
        <f t="shared" ca="1" si="98"/>
        <v>22.442427272544553</v>
      </c>
      <c r="Q284" s="44">
        <f t="shared" ca="1" si="99"/>
        <v>22.442427272544553</v>
      </c>
      <c r="R284" s="44">
        <f t="shared" ca="1" si="100"/>
        <v>2.2442427272544552</v>
      </c>
      <c r="S284" s="44">
        <f t="shared" ca="1" si="101"/>
        <v>2.2442427272544552</v>
      </c>
      <c r="T284" s="4">
        <f t="shared" ca="1" si="102"/>
        <v>0</v>
      </c>
      <c r="U284" s="120">
        <f t="shared" ca="1" si="103"/>
        <v>1556.901337549361</v>
      </c>
      <c r="V284" s="4">
        <f t="shared" ca="1" si="104"/>
        <v>0</v>
      </c>
      <c r="W284" s="13">
        <f t="shared" ca="1" si="105"/>
        <v>36291.906000000003</v>
      </c>
      <c r="X284" s="4">
        <f t="shared" ca="1" si="106"/>
        <v>0</v>
      </c>
      <c r="Y284" s="4">
        <f t="shared" si="107"/>
        <v>0</v>
      </c>
      <c r="Z284" s="13">
        <f t="shared" ca="1" si="108"/>
        <v>36291.906000000003</v>
      </c>
      <c r="AA284" s="4">
        <f t="shared" ca="1" si="109"/>
        <v>0</v>
      </c>
      <c r="AE284" s="4"/>
    </row>
    <row r="285" spans="1:31">
      <c r="A285">
        <v>2</v>
      </c>
      <c r="B285">
        <v>0</v>
      </c>
      <c r="C285">
        <f t="shared" ca="1" si="88"/>
        <v>3</v>
      </c>
      <c r="D285">
        <f t="shared" ca="1" si="89"/>
        <v>2</v>
      </c>
      <c r="E285">
        <f t="shared" ca="1" si="90"/>
        <v>2</v>
      </c>
      <c r="F285" s="110">
        <f t="shared" ca="1" si="91"/>
        <v>0</v>
      </c>
      <c r="G285">
        <v>1</v>
      </c>
      <c r="H285">
        <v>0</v>
      </c>
      <c r="I285">
        <v>4</v>
      </c>
      <c r="J285" s="1">
        <f t="shared" ca="1" si="92"/>
        <v>0</v>
      </c>
      <c r="K285" s="1">
        <f t="shared" ca="1" si="93"/>
        <v>0</v>
      </c>
      <c r="L285" s="13">
        <f t="shared" ca="1" si="94"/>
        <v>317</v>
      </c>
      <c r="M285" s="7">
        <f t="shared" ca="1" si="95"/>
        <v>683</v>
      </c>
      <c r="N285" s="26">
        <f t="shared" ca="1" si="96"/>
        <v>3</v>
      </c>
      <c r="O285" s="44">
        <f t="shared" ca="1" si="97"/>
        <v>2.2442427272544552</v>
      </c>
      <c r="P285" s="44">
        <f t="shared" ca="1" si="98"/>
        <v>22.442427272544553</v>
      </c>
      <c r="Q285" s="44">
        <f t="shared" ca="1" si="99"/>
        <v>22.442427272544553</v>
      </c>
      <c r="R285" s="44">
        <f t="shared" ca="1" si="100"/>
        <v>2.2442427272544552</v>
      </c>
      <c r="S285" s="44">
        <f t="shared" ca="1" si="101"/>
        <v>2.2442427272544552</v>
      </c>
      <c r="T285" s="4">
        <f t="shared" ca="1" si="102"/>
        <v>0</v>
      </c>
      <c r="U285" s="120">
        <f t="shared" ca="1" si="103"/>
        <v>1537.901337549361</v>
      </c>
      <c r="V285" s="4">
        <f t="shared" ca="1" si="104"/>
        <v>0</v>
      </c>
      <c r="W285" s="13">
        <f t="shared" ca="1" si="105"/>
        <v>33951.006000000001</v>
      </c>
      <c r="X285" s="4">
        <f t="shared" ca="1" si="106"/>
        <v>0</v>
      </c>
      <c r="Y285" s="4">
        <f t="shared" si="107"/>
        <v>0</v>
      </c>
      <c r="Z285" s="13">
        <f t="shared" ca="1" si="108"/>
        <v>33951.006000000001</v>
      </c>
      <c r="AA285" s="4">
        <f t="shared" ca="1" si="109"/>
        <v>0</v>
      </c>
      <c r="AE285" s="4"/>
    </row>
    <row r="286" spans="1:31">
      <c r="A286">
        <v>2</v>
      </c>
      <c r="B286">
        <v>0</v>
      </c>
      <c r="C286">
        <f t="shared" ca="1" si="88"/>
        <v>3</v>
      </c>
      <c r="D286">
        <f t="shared" ca="1" si="89"/>
        <v>2</v>
      </c>
      <c r="E286">
        <f t="shared" ca="1" si="90"/>
        <v>2</v>
      </c>
      <c r="F286" s="110">
        <f t="shared" ca="1" si="91"/>
        <v>0</v>
      </c>
      <c r="G286">
        <v>1</v>
      </c>
      <c r="H286">
        <v>0</v>
      </c>
      <c r="I286">
        <v>3</v>
      </c>
      <c r="J286" s="1">
        <f t="shared" ca="1" si="92"/>
        <v>0</v>
      </c>
      <c r="K286" s="1">
        <f t="shared" ca="1" si="93"/>
        <v>0</v>
      </c>
      <c r="L286" s="13">
        <f t="shared" ca="1" si="94"/>
        <v>298</v>
      </c>
      <c r="M286" s="7">
        <f t="shared" ca="1" si="95"/>
        <v>702</v>
      </c>
      <c r="N286" s="26">
        <f t="shared" ca="1" si="96"/>
        <v>3</v>
      </c>
      <c r="O286" s="44">
        <f t="shared" ca="1" si="97"/>
        <v>2.2442427272544552</v>
      </c>
      <c r="P286" s="44">
        <f t="shared" ca="1" si="98"/>
        <v>22.442427272544553</v>
      </c>
      <c r="Q286" s="44">
        <f t="shared" ca="1" si="99"/>
        <v>22.442427272544553</v>
      </c>
      <c r="R286" s="44">
        <f t="shared" ca="1" si="100"/>
        <v>2.2442427272544552</v>
      </c>
      <c r="S286" s="44">
        <f t="shared" ca="1" si="101"/>
        <v>2.2442427272544552</v>
      </c>
      <c r="T286" s="4">
        <f t="shared" ca="1" si="102"/>
        <v>0</v>
      </c>
      <c r="U286" s="120">
        <f t="shared" ca="1" si="103"/>
        <v>1518.901337549361</v>
      </c>
      <c r="V286" s="4">
        <f t="shared" ca="1" si="104"/>
        <v>0</v>
      </c>
      <c r="W286" s="13">
        <f t="shared" ca="1" si="105"/>
        <v>31610.106000000003</v>
      </c>
      <c r="X286" s="4">
        <f t="shared" ca="1" si="106"/>
        <v>0</v>
      </c>
      <c r="Y286" s="4">
        <f t="shared" si="107"/>
        <v>0</v>
      </c>
      <c r="Z286" s="13">
        <f t="shared" ca="1" si="108"/>
        <v>31610.106000000003</v>
      </c>
      <c r="AA286" s="4">
        <f t="shared" ca="1" si="109"/>
        <v>0</v>
      </c>
      <c r="AE286" s="4"/>
    </row>
    <row r="287" spans="1:31">
      <c r="A287">
        <v>2</v>
      </c>
      <c r="B287">
        <v>0</v>
      </c>
      <c r="C287">
        <f t="shared" ca="1" si="88"/>
        <v>3</v>
      </c>
      <c r="D287">
        <f t="shared" ca="1" si="89"/>
        <v>2</v>
      </c>
      <c r="E287">
        <f t="shared" ca="1" si="90"/>
        <v>2</v>
      </c>
      <c r="F287" s="110">
        <f t="shared" ca="1" si="91"/>
        <v>0</v>
      </c>
      <c r="G287">
        <v>1</v>
      </c>
      <c r="H287">
        <v>0</v>
      </c>
      <c r="I287">
        <v>2</v>
      </c>
      <c r="J287" s="1">
        <f t="shared" ca="1" si="92"/>
        <v>0.72734374999999996</v>
      </c>
      <c r="K287" s="1">
        <f t="shared" ca="1" si="93"/>
        <v>0</v>
      </c>
      <c r="L287" s="13">
        <f t="shared" ca="1" si="94"/>
        <v>279</v>
      </c>
      <c r="M287" s="7">
        <f t="shared" ca="1" si="95"/>
        <v>721</v>
      </c>
      <c r="N287" s="26">
        <f t="shared" ca="1" si="96"/>
        <v>3</v>
      </c>
      <c r="O287" s="44">
        <f t="shared" ca="1" si="97"/>
        <v>2.2442427272544552</v>
      </c>
      <c r="P287" s="44">
        <f t="shared" ca="1" si="98"/>
        <v>22.442427272544553</v>
      </c>
      <c r="Q287" s="44">
        <f t="shared" ca="1" si="99"/>
        <v>22.442427272544553</v>
      </c>
      <c r="R287" s="44">
        <f t="shared" ca="1" si="100"/>
        <v>2.2442427272544552</v>
      </c>
      <c r="S287" s="44">
        <f t="shared" ca="1" si="101"/>
        <v>2.2442427272544552</v>
      </c>
      <c r="T287" s="4">
        <f t="shared" ca="1" si="102"/>
        <v>0</v>
      </c>
      <c r="U287" s="120">
        <f t="shared" ca="1" si="103"/>
        <v>1499.901337549361</v>
      </c>
      <c r="V287" s="4">
        <f t="shared" ca="1" si="104"/>
        <v>0</v>
      </c>
      <c r="W287" s="13">
        <f t="shared" ca="1" si="105"/>
        <v>29269.206000000002</v>
      </c>
      <c r="X287" s="4">
        <f t="shared" ca="1" si="106"/>
        <v>0</v>
      </c>
      <c r="Y287" s="4">
        <f t="shared" si="107"/>
        <v>0</v>
      </c>
      <c r="Z287" s="13">
        <f t="shared" ca="1" si="108"/>
        <v>29269.206000000002</v>
      </c>
      <c r="AA287" s="4">
        <f t="shared" ca="1" si="109"/>
        <v>0</v>
      </c>
      <c r="AE287" s="4"/>
    </row>
    <row r="288" spans="1:31">
      <c r="A288">
        <v>2</v>
      </c>
      <c r="B288">
        <v>0</v>
      </c>
      <c r="C288">
        <f t="shared" ca="1" si="88"/>
        <v>3</v>
      </c>
      <c r="D288">
        <f t="shared" ca="1" si="89"/>
        <v>2</v>
      </c>
      <c r="E288">
        <f t="shared" ca="1" si="90"/>
        <v>2</v>
      </c>
      <c r="F288" s="110">
        <f t="shared" ca="1" si="91"/>
        <v>0</v>
      </c>
      <c r="G288">
        <v>1</v>
      </c>
      <c r="H288">
        <v>0</v>
      </c>
      <c r="I288">
        <v>1</v>
      </c>
      <c r="J288" s="1">
        <f t="shared" ca="1" si="92"/>
        <v>0.20781249999999998</v>
      </c>
      <c r="K288" s="1">
        <f t="shared" ca="1" si="93"/>
        <v>0</v>
      </c>
      <c r="L288" s="13">
        <f t="shared" ca="1" si="94"/>
        <v>260</v>
      </c>
      <c r="M288" s="7">
        <f t="shared" ca="1" si="95"/>
        <v>740</v>
      </c>
      <c r="N288" s="26">
        <f t="shared" ca="1" si="96"/>
        <v>3</v>
      </c>
      <c r="O288" s="44">
        <f t="shared" ca="1" si="97"/>
        <v>2.2442427272544552</v>
      </c>
      <c r="P288" s="44">
        <f t="shared" ca="1" si="98"/>
        <v>22.442427272544553</v>
      </c>
      <c r="Q288" s="44">
        <f t="shared" ca="1" si="99"/>
        <v>22.442427272544553</v>
      </c>
      <c r="R288" s="44">
        <f t="shared" ca="1" si="100"/>
        <v>2.2442427272544552</v>
      </c>
      <c r="S288" s="44">
        <f t="shared" ca="1" si="101"/>
        <v>2.2442427272544552</v>
      </c>
      <c r="T288" s="4">
        <f t="shared" ca="1" si="102"/>
        <v>0</v>
      </c>
      <c r="U288" s="120">
        <f t="shared" ca="1" si="103"/>
        <v>1480.901337549361</v>
      </c>
      <c r="V288" s="4">
        <f t="shared" ca="1" si="104"/>
        <v>0</v>
      </c>
      <c r="W288" s="13">
        <f t="shared" ca="1" si="105"/>
        <v>26928.306000000004</v>
      </c>
      <c r="X288" s="4">
        <f t="shared" ca="1" si="106"/>
        <v>0</v>
      </c>
      <c r="Y288" s="4">
        <f t="shared" si="107"/>
        <v>0</v>
      </c>
      <c r="Z288" s="13">
        <f t="shared" ca="1" si="108"/>
        <v>26928.306000000004</v>
      </c>
      <c r="AA288" s="4">
        <f t="shared" ca="1" si="109"/>
        <v>0</v>
      </c>
      <c r="AE288" s="4"/>
    </row>
    <row r="289" spans="1:31">
      <c r="A289">
        <v>2</v>
      </c>
      <c r="B289">
        <v>0</v>
      </c>
      <c r="C289">
        <f t="shared" ca="1" si="88"/>
        <v>3</v>
      </c>
      <c r="D289">
        <f t="shared" ca="1" si="89"/>
        <v>2</v>
      </c>
      <c r="E289">
        <f t="shared" ca="1" si="90"/>
        <v>2</v>
      </c>
      <c r="F289" s="110">
        <f t="shared" ca="1" si="91"/>
        <v>0</v>
      </c>
      <c r="G289">
        <v>1</v>
      </c>
      <c r="H289">
        <v>0</v>
      </c>
      <c r="I289">
        <v>0</v>
      </c>
      <c r="J289" s="1">
        <f t="shared" ca="1" si="92"/>
        <v>1.4843749999999999E-2</v>
      </c>
      <c r="K289" s="1">
        <f t="shared" ca="1" si="93"/>
        <v>0</v>
      </c>
      <c r="L289" s="13">
        <f t="shared" ca="1" si="94"/>
        <v>241</v>
      </c>
      <c r="M289" s="7">
        <f t="shared" ca="1" si="95"/>
        <v>759</v>
      </c>
      <c r="N289" s="26">
        <f t="shared" ca="1" si="96"/>
        <v>3</v>
      </c>
      <c r="O289" s="44">
        <f t="shared" ca="1" si="97"/>
        <v>2.2442427272544552</v>
      </c>
      <c r="P289" s="44">
        <f t="shared" ca="1" si="98"/>
        <v>22.442427272544553</v>
      </c>
      <c r="Q289" s="44">
        <f t="shared" ca="1" si="99"/>
        <v>22.442427272544553</v>
      </c>
      <c r="R289" s="44">
        <f t="shared" ca="1" si="100"/>
        <v>2.2442427272544552</v>
      </c>
      <c r="S289" s="44">
        <f t="shared" ca="1" si="101"/>
        <v>2.2442427272544552</v>
      </c>
      <c r="T289" s="4">
        <f t="shared" ca="1" si="102"/>
        <v>0</v>
      </c>
      <c r="U289" s="120">
        <f t="shared" ca="1" si="103"/>
        <v>1461.901337549361</v>
      </c>
      <c r="V289" s="4">
        <f t="shared" ca="1" si="104"/>
        <v>0</v>
      </c>
      <c r="W289" s="13">
        <f t="shared" ca="1" si="105"/>
        <v>24587.406000000003</v>
      </c>
      <c r="X289" s="4">
        <f t="shared" ca="1" si="106"/>
        <v>0</v>
      </c>
      <c r="Y289" s="4">
        <f t="shared" si="107"/>
        <v>0</v>
      </c>
      <c r="Z289" s="13">
        <f t="shared" ca="1" si="108"/>
        <v>24587.406000000003</v>
      </c>
      <c r="AA289" s="4">
        <f t="shared" ca="1" si="109"/>
        <v>0</v>
      </c>
      <c r="AE289" s="4"/>
    </row>
    <row r="290" spans="1:31">
      <c r="A290">
        <v>2</v>
      </c>
      <c r="B290">
        <v>0</v>
      </c>
      <c r="C290">
        <f t="shared" ca="1" si="88"/>
        <v>3</v>
      </c>
      <c r="D290">
        <f t="shared" ca="1" si="89"/>
        <v>2</v>
      </c>
      <c r="E290">
        <f t="shared" ca="1" si="90"/>
        <v>2</v>
      </c>
      <c r="F290" s="110">
        <f t="shared" ca="1" si="91"/>
        <v>0</v>
      </c>
      <c r="G290">
        <v>0</v>
      </c>
      <c r="H290">
        <v>1</v>
      </c>
      <c r="I290">
        <v>7</v>
      </c>
      <c r="J290" s="1">
        <f t="shared" ca="1" si="92"/>
        <v>0</v>
      </c>
      <c r="K290" s="1">
        <f t="shared" ca="1" si="93"/>
        <v>0</v>
      </c>
      <c r="L290" s="13">
        <f t="shared" ca="1" si="94"/>
        <v>374</v>
      </c>
      <c r="M290" s="7">
        <f t="shared" ca="1" si="95"/>
        <v>626</v>
      </c>
      <c r="N290" s="26">
        <f t="shared" ca="1" si="96"/>
        <v>3</v>
      </c>
      <c r="O290" s="44">
        <f t="shared" ca="1" si="97"/>
        <v>2.2442427272544552</v>
      </c>
      <c r="P290" s="44">
        <f t="shared" ca="1" si="98"/>
        <v>22.442427272544553</v>
      </c>
      <c r="Q290" s="44">
        <f t="shared" ca="1" si="99"/>
        <v>22.442427272544553</v>
      </c>
      <c r="R290" s="44">
        <f t="shared" ca="1" si="100"/>
        <v>2.2442427272544552</v>
      </c>
      <c r="S290" s="44">
        <f t="shared" ca="1" si="101"/>
        <v>2.2442427272544552</v>
      </c>
      <c r="T290" s="4">
        <f t="shared" ca="1" si="102"/>
        <v>0</v>
      </c>
      <c r="U290" s="120">
        <f t="shared" ca="1" si="103"/>
        <v>1594.901337549361</v>
      </c>
      <c r="V290" s="4">
        <f t="shared" ca="1" si="104"/>
        <v>0</v>
      </c>
      <c r="W290" s="13">
        <f t="shared" ca="1" si="105"/>
        <v>16386.3</v>
      </c>
      <c r="X290" s="4">
        <f t="shared" ca="1" si="106"/>
        <v>0</v>
      </c>
      <c r="Y290" s="4">
        <f t="shared" si="107"/>
        <v>0</v>
      </c>
      <c r="Z290" s="13">
        <f t="shared" ca="1" si="108"/>
        <v>16386.3</v>
      </c>
      <c r="AA290" s="4">
        <f t="shared" ca="1" si="109"/>
        <v>0</v>
      </c>
      <c r="AE290" s="4"/>
    </row>
    <row r="291" spans="1:31">
      <c r="A291">
        <v>2</v>
      </c>
      <c r="B291">
        <v>0</v>
      </c>
      <c r="C291">
        <f t="shared" ca="1" si="88"/>
        <v>3</v>
      </c>
      <c r="D291">
        <f t="shared" ca="1" si="89"/>
        <v>2</v>
      </c>
      <c r="E291">
        <f t="shared" ca="1" si="90"/>
        <v>2</v>
      </c>
      <c r="F291" s="110">
        <f t="shared" ca="1" si="91"/>
        <v>0</v>
      </c>
      <c r="G291">
        <v>0</v>
      </c>
      <c r="H291">
        <v>1</v>
      </c>
      <c r="I291">
        <v>6</v>
      </c>
      <c r="J291" s="1">
        <f t="shared" ca="1" si="92"/>
        <v>0</v>
      </c>
      <c r="K291" s="1">
        <f t="shared" ca="1" si="93"/>
        <v>0</v>
      </c>
      <c r="L291" s="13">
        <f t="shared" ca="1" si="94"/>
        <v>355</v>
      </c>
      <c r="M291" s="7">
        <f t="shared" ca="1" si="95"/>
        <v>645</v>
      </c>
      <c r="N291" s="26">
        <f t="shared" ca="1" si="96"/>
        <v>3</v>
      </c>
      <c r="O291" s="44">
        <f t="shared" ca="1" si="97"/>
        <v>2.2442427272544552</v>
      </c>
      <c r="P291" s="44">
        <f t="shared" ca="1" si="98"/>
        <v>22.442427272544553</v>
      </c>
      <c r="Q291" s="44">
        <f t="shared" ca="1" si="99"/>
        <v>22.442427272544553</v>
      </c>
      <c r="R291" s="44">
        <f t="shared" ca="1" si="100"/>
        <v>2.2442427272544552</v>
      </c>
      <c r="S291" s="44">
        <f t="shared" ca="1" si="101"/>
        <v>2.2442427272544552</v>
      </c>
      <c r="T291" s="4">
        <f t="shared" ca="1" si="102"/>
        <v>0</v>
      </c>
      <c r="U291" s="120">
        <f t="shared" ca="1" si="103"/>
        <v>1575.901337549361</v>
      </c>
      <c r="V291" s="4">
        <f t="shared" ca="1" si="104"/>
        <v>0</v>
      </c>
      <c r="W291" s="13">
        <f t="shared" ca="1" si="105"/>
        <v>14045.400000000001</v>
      </c>
      <c r="X291" s="4">
        <f t="shared" ca="1" si="106"/>
        <v>0</v>
      </c>
      <c r="Y291" s="4">
        <f t="shared" si="107"/>
        <v>0</v>
      </c>
      <c r="Z291" s="13">
        <f t="shared" ca="1" si="108"/>
        <v>14045.400000000001</v>
      </c>
      <c r="AA291" s="4">
        <f t="shared" ca="1" si="109"/>
        <v>0</v>
      </c>
      <c r="AE291" s="4"/>
    </row>
    <row r="292" spans="1:31">
      <c r="A292">
        <v>2</v>
      </c>
      <c r="B292">
        <v>0</v>
      </c>
      <c r="C292">
        <f t="shared" ca="1" si="88"/>
        <v>3</v>
      </c>
      <c r="D292">
        <f t="shared" ca="1" si="89"/>
        <v>2</v>
      </c>
      <c r="E292">
        <f t="shared" ca="1" si="90"/>
        <v>2</v>
      </c>
      <c r="F292" s="110">
        <f t="shared" ca="1" si="91"/>
        <v>0</v>
      </c>
      <c r="G292">
        <v>0</v>
      </c>
      <c r="H292">
        <v>1</v>
      </c>
      <c r="I292">
        <v>5</v>
      </c>
      <c r="J292" s="1">
        <f t="shared" ca="1" si="92"/>
        <v>0</v>
      </c>
      <c r="K292" s="1">
        <f t="shared" ca="1" si="93"/>
        <v>0</v>
      </c>
      <c r="L292" s="13">
        <f t="shared" ca="1" si="94"/>
        <v>336</v>
      </c>
      <c r="M292" s="7">
        <f t="shared" ca="1" si="95"/>
        <v>664</v>
      </c>
      <c r="N292" s="26">
        <f t="shared" ca="1" si="96"/>
        <v>3</v>
      </c>
      <c r="O292" s="44">
        <f t="shared" ca="1" si="97"/>
        <v>2.2442427272544552</v>
      </c>
      <c r="P292" s="44">
        <f t="shared" ca="1" si="98"/>
        <v>22.442427272544553</v>
      </c>
      <c r="Q292" s="44">
        <f t="shared" ca="1" si="99"/>
        <v>22.442427272544553</v>
      </c>
      <c r="R292" s="44">
        <f t="shared" ca="1" si="100"/>
        <v>2.2442427272544552</v>
      </c>
      <c r="S292" s="44">
        <f t="shared" ca="1" si="101"/>
        <v>2.2442427272544552</v>
      </c>
      <c r="T292" s="4">
        <f t="shared" ca="1" si="102"/>
        <v>0</v>
      </c>
      <c r="U292" s="120">
        <f t="shared" ca="1" si="103"/>
        <v>1556.901337549361</v>
      </c>
      <c r="V292" s="4">
        <f t="shared" ca="1" si="104"/>
        <v>0</v>
      </c>
      <c r="W292" s="13">
        <f t="shared" ca="1" si="105"/>
        <v>11704.5</v>
      </c>
      <c r="X292" s="4">
        <f t="shared" ca="1" si="106"/>
        <v>0</v>
      </c>
      <c r="Y292" s="4">
        <f t="shared" si="107"/>
        <v>0</v>
      </c>
      <c r="Z292" s="13">
        <f t="shared" ca="1" si="108"/>
        <v>11704.5</v>
      </c>
      <c r="AA292" s="4">
        <f t="shared" ca="1" si="109"/>
        <v>0</v>
      </c>
      <c r="AE292" s="4"/>
    </row>
    <row r="293" spans="1:31">
      <c r="A293">
        <v>2</v>
      </c>
      <c r="B293">
        <v>0</v>
      </c>
      <c r="C293">
        <f t="shared" ca="1" si="88"/>
        <v>3</v>
      </c>
      <c r="D293">
        <f t="shared" ca="1" si="89"/>
        <v>2</v>
      </c>
      <c r="E293">
        <f t="shared" ca="1" si="90"/>
        <v>2</v>
      </c>
      <c r="F293" s="110">
        <f t="shared" ca="1" si="91"/>
        <v>0</v>
      </c>
      <c r="G293">
        <v>0</v>
      </c>
      <c r="H293">
        <v>1</v>
      </c>
      <c r="I293">
        <v>4</v>
      </c>
      <c r="J293" s="1">
        <f t="shared" ca="1" si="92"/>
        <v>0</v>
      </c>
      <c r="K293" s="1">
        <f t="shared" ca="1" si="93"/>
        <v>0</v>
      </c>
      <c r="L293" s="13">
        <f t="shared" ca="1" si="94"/>
        <v>317</v>
      </c>
      <c r="M293" s="7">
        <f t="shared" ca="1" si="95"/>
        <v>683</v>
      </c>
      <c r="N293" s="26">
        <f t="shared" ca="1" si="96"/>
        <v>3</v>
      </c>
      <c r="O293" s="44">
        <f t="shared" ca="1" si="97"/>
        <v>2.2442427272544552</v>
      </c>
      <c r="P293" s="44">
        <f t="shared" ca="1" si="98"/>
        <v>22.442427272544553</v>
      </c>
      <c r="Q293" s="44">
        <f t="shared" ca="1" si="99"/>
        <v>22.442427272544553</v>
      </c>
      <c r="R293" s="44">
        <f t="shared" ca="1" si="100"/>
        <v>2.2442427272544552</v>
      </c>
      <c r="S293" s="44">
        <f t="shared" ca="1" si="101"/>
        <v>2.2442427272544552</v>
      </c>
      <c r="T293" s="4">
        <f t="shared" ca="1" si="102"/>
        <v>0</v>
      </c>
      <c r="U293" s="120">
        <f t="shared" ca="1" si="103"/>
        <v>1537.901337549361</v>
      </c>
      <c r="V293" s="4">
        <f t="shared" ca="1" si="104"/>
        <v>0</v>
      </c>
      <c r="W293" s="13">
        <f t="shared" ca="1" si="105"/>
        <v>9363.6</v>
      </c>
      <c r="X293" s="4">
        <f t="shared" ca="1" si="106"/>
        <v>0</v>
      </c>
      <c r="Y293" s="4">
        <f t="shared" si="107"/>
        <v>0</v>
      </c>
      <c r="Z293" s="13">
        <f t="shared" ca="1" si="108"/>
        <v>9363.6</v>
      </c>
      <c r="AA293" s="4">
        <f t="shared" ca="1" si="109"/>
        <v>0</v>
      </c>
      <c r="AE293" s="4"/>
    </row>
    <row r="294" spans="1:31">
      <c r="A294">
        <v>2</v>
      </c>
      <c r="B294">
        <v>0</v>
      </c>
      <c r="C294">
        <f t="shared" ca="1" si="88"/>
        <v>3</v>
      </c>
      <c r="D294">
        <f t="shared" ca="1" si="89"/>
        <v>2</v>
      </c>
      <c r="E294">
        <f t="shared" ca="1" si="90"/>
        <v>2</v>
      </c>
      <c r="F294" s="110">
        <f t="shared" ca="1" si="91"/>
        <v>0</v>
      </c>
      <c r="G294">
        <v>0</v>
      </c>
      <c r="H294">
        <v>1</v>
      </c>
      <c r="I294">
        <v>3</v>
      </c>
      <c r="J294" s="1">
        <f t="shared" ca="1" si="92"/>
        <v>0</v>
      </c>
      <c r="K294" s="1">
        <f t="shared" ca="1" si="93"/>
        <v>0</v>
      </c>
      <c r="L294" s="13">
        <f t="shared" ca="1" si="94"/>
        <v>298</v>
      </c>
      <c r="M294" s="7">
        <f t="shared" ca="1" si="95"/>
        <v>702</v>
      </c>
      <c r="N294" s="26">
        <f t="shared" ca="1" si="96"/>
        <v>3</v>
      </c>
      <c r="O294" s="44">
        <f t="shared" ca="1" si="97"/>
        <v>2.2442427272544552</v>
      </c>
      <c r="P294" s="44">
        <f t="shared" ca="1" si="98"/>
        <v>22.442427272544553</v>
      </c>
      <c r="Q294" s="44">
        <f t="shared" ca="1" si="99"/>
        <v>22.442427272544553</v>
      </c>
      <c r="R294" s="44">
        <f t="shared" ca="1" si="100"/>
        <v>2.2442427272544552</v>
      </c>
      <c r="S294" s="44">
        <f t="shared" ca="1" si="101"/>
        <v>2.2442427272544552</v>
      </c>
      <c r="T294" s="4">
        <f t="shared" ca="1" si="102"/>
        <v>0</v>
      </c>
      <c r="U294" s="120">
        <f t="shared" ca="1" si="103"/>
        <v>1518.901337549361</v>
      </c>
      <c r="V294" s="4">
        <f t="shared" ca="1" si="104"/>
        <v>0</v>
      </c>
      <c r="W294" s="13">
        <f t="shared" ca="1" si="105"/>
        <v>7022.7000000000007</v>
      </c>
      <c r="X294" s="4">
        <f t="shared" ca="1" si="106"/>
        <v>0</v>
      </c>
      <c r="Y294" s="4">
        <f t="shared" si="107"/>
        <v>0</v>
      </c>
      <c r="Z294" s="13">
        <f t="shared" ca="1" si="108"/>
        <v>7022.7000000000007</v>
      </c>
      <c r="AA294" s="4">
        <f t="shared" ca="1" si="109"/>
        <v>0</v>
      </c>
      <c r="AE294" s="4"/>
    </row>
    <row r="295" spans="1:31">
      <c r="A295">
        <v>2</v>
      </c>
      <c r="B295">
        <v>0</v>
      </c>
      <c r="C295">
        <f t="shared" ca="1" si="88"/>
        <v>3</v>
      </c>
      <c r="D295">
        <f t="shared" ca="1" si="89"/>
        <v>2</v>
      </c>
      <c r="E295">
        <f t="shared" ca="1" si="90"/>
        <v>2</v>
      </c>
      <c r="F295" s="110">
        <f t="shared" ca="1" si="91"/>
        <v>0</v>
      </c>
      <c r="G295">
        <v>0</v>
      </c>
      <c r="H295">
        <v>1</v>
      </c>
      <c r="I295">
        <v>2</v>
      </c>
      <c r="J295" s="1">
        <f t="shared" ca="1" si="92"/>
        <v>0</v>
      </c>
      <c r="K295" s="1">
        <f t="shared" ca="1" si="93"/>
        <v>0</v>
      </c>
      <c r="L295" s="13">
        <f t="shared" ca="1" si="94"/>
        <v>279</v>
      </c>
      <c r="M295" s="7">
        <f t="shared" ca="1" si="95"/>
        <v>721</v>
      </c>
      <c r="N295" s="26">
        <f t="shared" ca="1" si="96"/>
        <v>3</v>
      </c>
      <c r="O295" s="44">
        <f t="shared" ca="1" si="97"/>
        <v>2.2442427272544552</v>
      </c>
      <c r="P295" s="44">
        <f t="shared" ca="1" si="98"/>
        <v>22.442427272544553</v>
      </c>
      <c r="Q295" s="44">
        <f t="shared" ca="1" si="99"/>
        <v>22.442427272544553</v>
      </c>
      <c r="R295" s="44">
        <f t="shared" ca="1" si="100"/>
        <v>2.2442427272544552</v>
      </c>
      <c r="S295" s="44">
        <f t="shared" ca="1" si="101"/>
        <v>2.2442427272544552</v>
      </c>
      <c r="T295" s="4">
        <f t="shared" ca="1" si="102"/>
        <v>0</v>
      </c>
      <c r="U295" s="120">
        <f t="shared" ca="1" si="103"/>
        <v>1499.901337549361</v>
      </c>
      <c r="V295" s="4">
        <f t="shared" ca="1" si="104"/>
        <v>0</v>
      </c>
      <c r="W295" s="13">
        <f t="shared" ca="1" si="105"/>
        <v>4681.8</v>
      </c>
      <c r="X295" s="4">
        <f t="shared" ca="1" si="106"/>
        <v>0</v>
      </c>
      <c r="Y295" s="4">
        <f t="shared" si="107"/>
        <v>0</v>
      </c>
      <c r="Z295" s="13">
        <f t="shared" ca="1" si="108"/>
        <v>4681.8</v>
      </c>
      <c r="AA295" s="4">
        <f t="shared" ca="1" si="109"/>
        <v>0</v>
      </c>
      <c r="AE295" s="4"/>
    </row>
    <row r="296" spans="1:31">
      <c r="A296">
        <v>2</v>
      </c>
      <c r="B296">
        <v>0</v>
      </c>
      <c r="C296">
        <f t="shared" ca="1" si="88"/>
        <v>3</v>
      </c>
      <c r="D296">
        <f t="shared" ca="1" si="89"/>
        <v>2</v>
      </c>
      <c r="E296">
        <f t="shared" ca="1" si="90"/>
        <v>2</v>
      </c>
      <c r="F296" s="110">
        <f t="shared" ca="1" si="91"/>
        <v>0</v>
      </c>
      <c r="G296">
        <v>0</v>
      </c>
      <c r="H296">
        <v>1</v>
      </c>
      <c r="I296">
        <v>1</v>
      </c>
      <c r="J296" s="1">
        <f t="shared" ca="1" si="92"/>
        <v>0</v>
      </c>
      <c r="K296" s="1">
        <f t="shared" ca="1" si="93"/>
        <v>0</v>
      </c>
      <c r="L296" s="13">
        <f t="shared" ca="1" si="94"/>
        <v>260</v>
      </c>
      <c r="M296" s="7">
        <f t="shared" ca="1" si="95"/>
        <v>740</v>
      </c>
      <c r="N296" s="26">
        <f t="shared" ca="1" si="96"/>
        <v>3</v>
      </c>
      <c r="O296" s="44">
        <f t="shared" ca="1" si="97"/>
        <v>2.2442427272544552</v>
      </c>
      <c r="P296" s="44">
        <f t="shared" ca="1" si="98"/>
        <v>22.442427272544553</v>
      </c>
      <c r="Q296" s="44">
        <f t="shared" ca="1" si="99"/>
        <v>22.442427272544553</v>
      </c>
      <c r="R296" s="44">
        <f t="shared" ca="1" si="100"/>
        <v>2.2442427272544552</v>
      </c>
      <c r="S296" s="44">
        <f t="shared" ca="1" si="101"/>
        <v>2.2442427272544552</v>
      </c>
      <c r="T296" s="4">
        <f t="shared" ca="1" si="102"/>
        <v>0</v>
      </c>
      <c r="U296" s="120">
        <f t="shared" ca="1" si="103"/>
        <v>1480.901337549361</v>
      </c>
      <c r="V296" s="4">
        <f t="shared" ca="1" si="104"/>
        <v>0</v>
      </c>
      <c r="W296" s="13">
        <f t="shared" ca="1" si="105"/>
        <v>2340.9</v>
      </c>
      <c r="X296" s="4">
        <f t="shared" ca="1" si="106"/>
        <v>0</v>
      </c>
      <c r="Y296" s="4">
        <f t="shared" si="107"/>
        <v>0</v>
      </c>
      <c r="Z296" s="13">
        <f t="shared" ca="1" si="108"/>
        <v>2340.9</v>
      </c>
      <c r="AA296" s="4">
        <f t="shared" ca="1" si="109"/>
        <v>0</v>
      </c>
      <c r="AE296" s="4"/>
    </row>
    <row r="297" spans="1:31">
      <c r="A297">
        <v>2</v>
      </c>
      <c r="B297">
        <v>0</v>
      </c>
      <c r="C297">
        <f t="shared" ca="1" si="88"/>
        <v>3</v>
      </c>
      <c r="D297">
        <f t="shared" ca="1" si="89"/>
        <v>2</v>
      </c>
      <c r="E297">
        <f t="shared" ca="1" si="90"/>
        <v>2</v>
      </c>
      <c r="F297" s="110">
        <f t="shared" ca="1" si="91"/>
        <v>0</v>
      </c>
      <c r="G297">
        <v>0</v>
      </c>
      <c r="H297">
        <v>1</v>
      </c>
      <c r="I297">
        <v>0</v>
      </c>
      <c r="J297" s="1">
        <f t="shared" ca="1" si="92"/>
        <v>0</v>
      </c>
      <c r="K297" s="1">
        <f t="shared" ca="1" si="93"/>
        <v>0</v>
      </c>
      <c r="L297" s="13">
        <f t="shared" ca="1" si="94"/>
        <v>241</v>
      </c>
      <c r="M297" s="7">
        <f t="shared" ca="1" si="95"/>
        <v>759</v>
      </c>
      <c r="N297" s="26">
        <f t="shared" ca="1" si="96"/>
        <v>3</v>
      </c>
      <c r="O297" s="44">
        <f t="shared" ca="1" si="97"/>
        <v>2.2442427272544552</v>
      </c>
      <c r="P297" s="44">
        <f t="shared" ca="1" si="98"/>
        <v>22.442427272544553</v>
      </c>
      <c r="Q297" s="44">
        <f t="shared" ca="1" si="99"/>
        <v>22.442427272544553</v>
      </c>
      <c r="R297" s="44">
        <f t="shared" ca="1" si="100"/>
        <v>2.2442427272544552</v>
      </c>
      <c r="S297" s="44">
        <f t="shared" ca="1" si="101"/>
        <v>2.2442427272544552</v>
      </c>
      <c r="T297" s="4">
        <f t="shared" ca="1" si="102"/>
        <v>0</v>
      </c>
      <c r="U297" s="120">
        <f t="shared" ca="1" si="103"/>
        <v>1461.901337549361</v>
      </c>
      <c r="V297" s="4">
        <f t="shared" ca="1" si="104"/>
        <v>0</v>
      </c>
      <c r="W297" s="13">
        <f t="shared" ca="1" si="105"/>
        <v>0</v>
      </c>
      <c r="X297" s="4">
        <f t="shared" ca="1" si="106"/>
        <v>0</v>
      </c>
      <c r="Y297" s="4">
        <f t="shared" si="107"/>
        <v>0</v>
      </c>
      <c r="Z297" s="13">
        <f t="shared" ca="1" si="108"/>
        <v>0</v>
      </c>
      <c r="AA297" s="4">
        <f t="shared" ca="1" si="109"/>
        <v>0</v>
      </c>
      <c r="AE297" s="4"/>
    </row>
    <row r="298" spans="1:31">
      <c r="A298">
        <v>2</v>
      </c>
      <c r="B298">
        <v>0</v>
      </c>
      <c r="C298">
        <f t="shared" ca="1" si="88"/>
        <v>3</v>
      </c>
      <c r="D298">
        <f t="shared" ca="1" si="89"/>
        <v>2</v>
      </c>
      <c r="E298">
        <f t="shared" ca="1" si="90"/>
        <v>2</v>
      </c>
      <c r="F298" s="110">
        <f t="shared" ca="1" si="91"/>
        <v>0</v>
      </c>
      <c r="G298">
        <v>0</v>
      </c>
      <c r="H298">
        <v>0</v>
      </c>
      <c r="I298">
        <v>7</v>
      </c>
      <c r="J298" s="1">
        <f t="shared" ca="1" si="92"/>
        <v>0</v>
      </c>
      <c r="K298" s="1">
        <f t="shared" ca="1" si="93"/>
        <v>0</v>
      </c>
      <c r="L298" s="13">
        <f t="shared" ca="1" si="94"/>
        <v>133</v>
      </c>
      <c r="M298" s="7">
        <f t="shared" ca="1" si="95"/>
        <v>867</v>
      </c>
      <c r="N298" s="26">
        <f t="shared" ca="1" si="96"/>
        <v>4</v>
      </c>
      <c r="O298" s="44">
        <f t="shared" ca="1" si="97"/>
        <v>2.8621467101781541</v>
      </c>
      <c r="P298" s="44">
        <f t="shared" ca="1" si="98"/>
        <v>28.621467101781548</v>
      </c>
      <c r="Q298" s="44">
        <f t="shared" ca="1" si="99"/>
        <v>24.914043204239348</v>
      </c>
      <c r="R298" s="44">
        <f t="shared" ca="1" si="100"/>
        <v>2.6767755153010446</v>
      </c>
      <c r="S298" s="44">
        <f t="shared" ca="1" si="101"/>
        <v>2.8491707265367565</v>
      </c>
      <c r="T298" s="4">
        <f t="shared" ca="1" si="102"/>
        <v>0</v>
      </c>
      <c r="U298" s="120">
        <f t="shared" ca="1" si="103"/>
        <v>1622.8690837457082</v>
      </c>
      <c r="V298" s="4">
        <f t="shared" ca="1" si="104"/>
        <v>0</v>
      </c>
      <c r="W298" s="13">
        <f t="shared" ca="1" si="105"/>
        <v>16386.3</v>
      </c>
      <c r="X298" s="4">
        <f t="shared" ca="1" si="106"/>
        <v>0</v>
      </c>
      <c r="Y298" s="4">
        <f t="shared" si="107"/>
        <v>0</v>
      </c>
      <c r="Z298" s="13">
        <f t="shared" ca="1" si="108"/>
        <v>16386.3</v>
      </c>
      <c r="AA298" s="4">
        <f t="shared" ca="1" si="109"/>
        <v>0</v>
      </c>
      <c r="AE298" s="4"/>
    </row>
    <row r="299" spans="1:31">
      <c r="A299">
        <v>2</v>
      </c>
      <c r="B299">
        <v>0</v>
      </c>
      <c r="C299">
        <f t="shared" ca="1" si="88"/>
        <v>3</v>
      </c>
      <c r="D299">
        <f t="shared" ca="1" si="89"/>
        <v>2</v>
      </c>
      <c r="E299">
        <f t="shared" ca="1" si="90"/>
        <v>2</v>
      </c>
      <c r="F299" s="110">
        <f t="shared" ca="1" si="91"/>
        <v>0</v>
      </c>
      <c r="G299">
        <v>0</v>
      </c>
      <c r="H299">
        <v>0</v>
      </c>
      <c r="I299">
        <v>6</v>
      </c>
      <c r="J299" s="1">
        <f t="shared" ca="1" si="92"/>
        <v>0</v>
      </c>
      <c r="K299" s="1">
        <f t="shared" ca="1" si="93"/>
        <v>0</v>
      </c>
      <c r="L299" s="13">
        <f t="shared" ca="1" si="94"/>
        <v>114</v>
      </c>
      <c r="M299" s="7">
        <f t="shared" ca="1" si="95"/>
        <v>886</v>
      </c>
      <c r="N299" s="26">
        <f t="shared" ca="1" si="96"/>
        <v>4</v>
      </c>
      <c r="O299" s="44">
        <f t="shared" ca="1" si="97"/>
        <v>2.8621467101781541</v>
      </c>
      <c r="P299" s="44">
        <f t="shared" ca="1" si="98"/>
        <v>28.621467101781548</v>
      </c>
      <c r="Q299" s="44">
        <f t="shared" ca="1" si="99"/>
        <v>28.621467101781548</v>
      </c>
      <c r="R299" s="44">
        <f t="shared" ca="1" si="100"/>
        <v>2.8621467101781546</v>
      </c>
      <c r="S299" s="44">
        <f t="shared" ca="1" si="101"/>
        <v>2.8621467101781541</v>
      </c>
      <c r="T299" s="4">
        <f t="shared" ca="1" si="102"/>
        <v>0</v>
      </c>
      <c r="U299" s="120">
        <f t="shared" ca="1" si="103"/>
        <v>1609.6385655333725</v>
      </c>
      <c r="V299" s="4">
        <f t="shared" ca="1" si="104"/>
        <v>0</v>
      </c>
      <c r="W299" s="13">
        <f t="shared" ca="1" si="105"/>
        <v>14045.400000000001</v>
      </c>
      <c r="X299" s="4">
        <f t="shared" ca="1" si="106"/>
        <v>0</v>
      </c>
      <c r="Y299" s="4">
        <f t="shared" si="107"/>
        <v>0</v>
      </c>
      <c r="Z299" s="13">
        <f t="shared" ca="1" si="108"/>
        <v>14045.400000000001</v>
      </c>
      <c r="AA299" s="4">
        <f t="shared" ca="1" si="109"/>
        <v>0</v>
      </c>
      <c r="AE299" s="4"/>
    </row>
    <row r="300" spans="1:31">
      <c r="A300">
        <v>2</v>
      </c>
      <c r="B300">
        <v>0</v>
      </c>
      <c r="C300">
        <f t="shared" ca="1" si="88"/>
        <v>3</v>
      </c>
      <c r="D300">
        <f t="shared" ca="1" si="89"/>
        <v>2</v>
      </c>
      <c r="E300">
        <f t="shared" ca="1" si="90"/>
        <v>2</v>
      </c>
      <c r="F300" s="110">
        <f t="shared" ca="1" si="91"/>
        <v>0</v>
      </c>
      <c r="G300">
        <v>0</v>
      </c>
      <c r="H300">
        <v>0</v>
      </c>
      <c r="I300">
        <v>5</v>
      </c>
      <c r="J300" s="1">
        <f t="shared" ca="1" si="92"/>
        <v>0</v>
      </c>
      <c r="K300" s="1">
        <f t="shared" ca="1" si="93"/>
        <v>0</v>
      </c>
      <c r="L300" s="13">
        <f t="shared" ca="1" si="94"/>
        <v>95</v>
      </c>
      <c r="M300" s="7">
        <f t="shared" ca="1" si="95"/>
        <v>905</v>
      </c>
      <c r="N300" s="26">
        <f t="shared" ca="1" si="96"/>
        <v>4</v>
      </c>
      <c r="O300" s="44">
        <f t="shared" ca="1" si="97"/>
        <v>2.8621467101781541</v>
      </c>
      <c r="P300" s="44">
        <f t="shared" ca="1" si="98"/>
        <v>28.621467101781548</v>
      </c>
      <c r="Q300" s="44">
        <f t="shared" ca="1" si="99"/>
        <v>28.621467101781548</v>
      </c>
      <c r="R300" s="44">
        <f t="shared" ca="1" si="100"/>
        <v>2.8621467101781546</v>
      </c>
      <c r="S300" s="44">
        <f t="shared" ca="1" si="101"/>
        <v>2.8621467101781541</v>
      </c>
      <c r="T300" s="4">
        <f t="shared" ca="1" si="102"/>
        <v>0</v>
      </c>
      <c r="U300" s="120">
        <f t="shared" ca="1" si="103"/>
        <v>1590.6385655333725</v>
      </c>
      <c r="V300" s="4">
        <f t="shared" ca="1" si="104"/>
        <v>0</v>
      </c>
      <c r="W300" s="13">
        <f t="shared" ca="1" si="105"/>
        <v>11704.5</v>
      </c>
      <c r="X300" s="4">
        <f t="shared" ca="1" si="106"/>
        <v>0</v>
      </c>
      <c r="Y300" s="4">
        <f t="shared" si="107"/>
        <v>0</v>
      </c>
      <c r="Z300" s="13">
        <f t="shared" ca="1" si="108"/>
        <v>11704.5</v>
      </c>
      <c r="AA300" s="4">
        <f t="shared" ca="1" si="109"/>
        <v>0</v>
      </c>
      <c r="AE300" s="4"/>
    </row>
    <row r="301" spans="1:31">
      <c r="A301">
        <v>2</v>
      </c>
      <c r="B301">
        <v>0</v>
      </c>
      <c r="C301">
        <f t="shared" ca="1" si="88"/>
        <v>3</v>
      </c>
      <c r="D301">
        <f t="shared" ca="1" si="89"/>
        <v>2</v>
      </c>
      <c r="E301">
        <f t="shared" ca="1" si="90"/>
        <v>2</v>
      </c>
      <c r="F301" s="110">
        <f t="shared" ca="1" si="91"/>
        <v>0</v>
      </c>
      <c r="G301">
        <v>0</v>
      </c>
      <c r="H301">
        <v>0</v>
      </c>
      <c r="I301">
        <v>4</v>
      </c>
      <c r="J301" s="1">
        <f t="shared" ca="1" si="92"/>
        <v>0</v>
      </c>
      <c r="K301" s="1">
        <f t="shared" ca="1" si="93"/>
        <v>0</v>
      </c>
      <c r="L301" s="13">
        <f t="shared" ca="1" si="94"/>
        <v>76</v>
      </c>
      <c r="M301" s="7">
        <f t="shared" ca="1" si="95"/>
        <v>924</v>
      </c>
      <c r="N301" s="26">
        <f t="shared" ca="1" si="96"/>
        <v>4</v>
      </c>
      <c r="O301" s="44">
        <f t="shared" ca="1" si="97"/>
        <v>2.8621467101781541</v>
      </c>
      <c r="P301" s="44">
        <f t="shared" ca="1" si="98"/>
        <v>28.621467101781548</v>
      </c>
      <c r="Q301" s="44">
        <f t="shared" ca="1" si="99"/>
        <v>28.621467101781548</v>
      </c>
      <c r="R301" s="44">
        <f t="shared" ca="1" si="100"/>
        <v>2.8621467101781546</v>
      </c>
      <c r="S301" s="44">
        <f t="shared" ca="1" si="101"/>
        <v>2.8621467101781541</v>
      </c>
      <c r="T301" s="4">
        <f t="shared" ca="1" si="102"/>
        <v>0</v>
      </c>
      <c r="U301" s="120">
        <f t="shared" ca="1" si="103"/>
        <v>1571.6385655333725</v>
      </c>
      <c r="V301" s="4">
        <f t="shared" ca="1" si="104"/>
        <v>0</v>
      </c>
      <c r="W301" s="13">
        <f t="shared" ca="1" si="105"/>
        <v>9363.6</v>
      </c>
      <c r="X301" s="4">
        <f t="shared" ca="1" si="106"/>
        <v>0</v>
      </c>
      <c r="Y301" s="4">
        <f t="shared" si="107"/>
        <v>0</v>
      </c>
      <c r="Z301" s="13">
        <f t="shared" ca="1" si="108"/>
        <v>9363.6</v>
      </c>
      <c r="AA301" s="4">
        <f t="shared" ca="1" si="109"/>
        <v>0</v>
      </c>
      <c r="AE301" s="4"/>
    </row>
    <row r="302" spans="1:31">
      <c r="A302">
        <v>2</v>
      </c>
      <c r="B302">
        <v>0</v>
      </c>
      <c r="C302">
        <f t="shared" ca="1" si="88"/>
        <v>3</v>
      </c>
      <c r="D302">
        <f t="shared" ca="1" si="89"/>
        <v>2</v>
      </c>
      <c r="E302">
        <f t="shared" ca="1" si="90"/>
        <v>2</v>
      </c>
      <c r="F302" s="110">
        <f t="shared" ca="1" si="91"/>
        <v>0</v>
      </c>
      <c r="G302">
        <v>0</v>
      </c>
      <c r="H302">
        <v>0</v>
      </c>
      <c r="I302">
        <v>3</v>
      </c>
      <c r="J302" s="1">
        <f t="shared" ca="1" si="92"/>
        <v>0</v>
      </c>
      <c r="K302" s="1">
        <f t="shared" ca="1" si="93"/>
        <v>0</v>
      </c>
      <c r="L302" s="13">
        <f t="shared" ca="1" si="94"/>
        <v>57</v>
      </c>
      <c r="M302" s="7">
        <f t="shared" ca="1" si="95"/>
        <v>943</v>
      </c>
      <c r="N302" s="26">
        <f t="shared" ca="1" si="96"/>
        <v>4</v>
      </c>
      <c r="O302" s="44">
        <f t="shared" ca="1" si="97"/>
        <v>2.8621467101781541</v>
      </c>
      <c r="P302" s="44">
        <f t="shared" ca="1" si="98"/>
        <v>28.621467101781548</v>
      </c>
      <c r="Q302" s="44">
        <f t="shared" ca="1" si="99"/>
        <v>28.621467101781548</v>
      </c>
      <c r="R302" s="44">
        <f t="shared" ca="1" si="100"/>
        <v>2.8621467101781546</v>
      </c>
      <c r="S302" s="44">
        <f t="shared" ca="1" si="101"/>
        <v>2.8621467101781541</v>
      </c>
      <c r="T302" s="4">
        <f t="shared" ca="1" si="102"/>
        <v>0</v>
      </c>
      <c r="U302" s="120">
        <f t="shared" ca="1" si="103"/>
        <v>1552.6385655333725</v>
      </c>
      <c r="V302" s="4">
        <f t="shared" ca="1" si="104"/>
        <v>0</v>
      </c>
      <c r="W302" s="13">
        <f t="shared" ca="1" si="105"/>
        <v>7022.7000000000007</v>
      </c>
      <c r="X302" s="4">
        <f t="shared" ca="1" si="106"/>
        <v>0</v>
      </c>
      <c r="Y302" s="4">
        <f t="shared" si="107"/>
        <v>0</v>
      </c>
      <c r="Z302" s="13">
        <f t="shared" ca="1" si="108"/>
        <v>7022.7000000000007</v>
      </c>
      <c r="AA302" s="4">
        <f t="shared" ca="1" si="109"/>
        <v>0</v>
      </c>
      <c r="AE302" s="4"/>
    </row>
    <row r="303" spans="1:31">
      <c r="A303">
        <v>2</v>
      </c>
      <c r="B303">
        <v>0</v>
      </c>
      <c r="C303">
        <f t="shared" ca="1" si="88"/>
        <v>3</v>
      </c>
      <c r="D303">
        <f t="shared" ca="1" si="89"/>
        <v>2</v>
      </c>
      <c r="E303">
        <f t="shared" ca="1" si="90"/>
        <v>2</v>
      </c>
      <c r="F303" s="110">
        <f t="shared" ca="1" si="91"/>
        <v>0</v>
      </c>
      <c r="G303">
        <v>0</v>
      </c>
      <c r="H303">
        <v>0</v>
      </c>
      <c r="I303">
        <v>2</v>
      </c>
      <c r="J303" s="1">
        <f t="shared" ca="1" si="92"/>
        <v>3.8281250000000003E-2</v>
      </c>
      <c r="K303" s="1">
        <f t="shared" ca="1" si="93"/>
        <v>0</v>
      </c>
      <c r="L303" s="13">
        <f t="shared" ca="1" si="94"/>
        <v>38</v>
      </c>
      <c r="M303" s="7">
        <f t="shared" ca="1" si="95"/>
        <v>962</v>
      </c>
      <c r="N303" s="26">
        <f t="shared" ca="1" si="96"/>
        <v>4</v>
      </c>
      <c r="O303" s="44">
        <f t="shared" ca="1" si="97"/>
        <v>2.8621467101781541</v>
      </c>
      <c r="P303" s="44">
        <f t="shared" ca="1" si="98"/>
        <v>28.621467101781548</v>
      </c>
      <c r="Q303" s="44">
        <f t="shared" ca="1" si="99"/>
        <v>28.621467101781548</v>
      </c>
      <c r="R303" s="44">
        <f t="shared" ca="1" si="100"/>
        <v>2.8621467101781546</v>
      </c>
      <c r="S303" s="44">
        <f t="shared" ca="1" si="101"/>
        <v>2.8621467101781541</v>
      </c>
      <c r="T303" s="4">
        <f t="shared" ca="1" si="102"/>
        <v>0</v>
      </c>
      <c r="U303" s="120">
        <f t="shared" ca="1" si="103"/>
        <v>1533.6385655333725</v>
      </c>
      <c r="V303" s="4">
        <f t="shared" ca="1" si="104"/>
        <v>0</v>
      </c>
      <c r="W303" s="13">
        <f t="shared" ca="1" si="105"/>
        <v>4681.8</v>
      </c>
      <c r="X303" s="4">
        <f t="shared" ca="1" si="106"/>
        <v>0</v>
      </c>
      <c r="Y303" s="4">
        <f t="shared" si="107"/>
        <v>0</v>
      </c>
      <c r="Z303" s="13">
        <f t="shared" ca="1" si="108"/>
        <v>4681.8</v>
      </c>
      <c r="AA303" s="4">
        <f t="shared" ca="1" si="109"/>
        <v>0</v>
      </c>
      <c r="AE303" s="4"/>
    </row>
    <row r="304" spans="1:31">
      <c r="A304">
        <v>2</v>
      </c>
      <c r="B304">
        <v>0</v>
      </c>
      <c r="C304">
        <f t="shared" ca="1" si="88"/>
        <v>3</v>
      </c>
      <c r="D304">
        <f t="shared" ca="1" si="89"/>
        <v>2</v>
      </c>
      <c r="E304">
        <f t="shared" ca="1" si="90"/>
        <v>2</v>
      </c>
      <c r="F304" s="110">
        <f t="shared" ca="1" si="91"/>
        <v>0</v>
      </c>
      <c r="G304">
        <v>0</v>
      </c>
      <c r="H304">
        <v>0</v>
      </c>
      <c r="I304">
        <v>1</v>
      </c>
      <c r="J304" s="1">
        <f t="shared" ca="1" si="92"/>
        <v>1.0937500000000001E-2</v>
      </c>
      <c r="K304" s="1">
        <f t="shared" ca="1" si="93"/>
        <v>0</v>
      </c>
      <c r="L304" s="13">
        <f t="shared" ca="1" si="94"/>
        <v>19</v>
      </c>
      <c r="M304" s="7">
        <f t="shared" ca="1" si="95"/>
        <v>981</v>
      </c>
      <c r="N304" s="26">
        <f t="shared" ca="1" si="96"/>
        <v>4</v>
      </c>
      <c r="O304" s="44">
        <f t="shared" ca="1" si="97"/>
        <v>2.8621467101781541</v>
      </c>
      <c r="P304" s="44">
        <f t="shared" ca="1" si="98"/>
        <v>28.621467101781548</v>
      </c>
      <c r="Q304" s="44">
        <f t="shared" ca="1" si="99"/>
        <v>28.621467101781548</v>
      </c>
      <c r="R304" s="44">
        <f t="shared" ca="1" si="100"/>
        <v>2.8621467101781546</v>
      </c>
      <c r="S304" s="44">
        <f t="shared" ca="1" si="101"/>
        <v>2.8621467101781541</v>
      </c>
      <c r="T304" s="4">
        <f t="shared" ca="1" si="102"/>
        <v>0</v>
      </c>
      <c r="U304" s="120">
        <f t="shared" ca="1" si="103"/>
        <v>1514.6385655333725</v>
      </c>
      <c r="V304" s="4">
        <f t="shared" ca="1" si="104"/>
        <v>0</v>
      </c>
      <c r="W304" s="13">
        <f t="shared" ca="1" si="105"/>
        <v>2340.9</v>
      </c>
      <c r="X304" s="4">
        <f t="shared" ca="1" si="106"/>
        <v>0</v>
      </c>
      <c r="Y304" s="4">
        <f t="shared" si="107"/>
        <v>0</v>
      </c>
      <c r="Z304" s="13">
        <f t="shared" ca="1" si="108"/>
        <v>2340.9</v>
      </c>
      <c r="AA304" s="4">
        <f t="shared" ca="1" si="109"/>
        <v>0</v>
      </c>
      <c r="AE304" s="4"/>
    </row>
    <row r="305" spans="1:31">
      <c r="A305">
        <v>2</v>
      </c>
      <c r="B305">
        <v>0</v>
      </c>
      <c r="C305">
        <f t="shared" ca="1" si="88"/>
        <v>3</v>
      </c>
      <c r="D305">
        <f t="shared" ca="1" si="89"/>
        <v>2</v>
      </c>
      <c r="E305">
        <f t="shared" ca="1" si="90"/>
        <v>2</v>
      </c>
      <c r="F305" s="110">
        <f t="shared" ca="1" si="91"/>
        <v>0</v>
      </c>
      <c r="G305">
        <v>0</v>
      </c>
      <c r="H305">
        <v>0</v>
      </c>
      <c r="I305">
        <v>0</v>
      </c>
      <c r="J305" s="1">
        <f t="shared" ca="1" si="92"/>
        <v>7.8125000000000004E-4</v>
      </c>
      <c r="K305" s="1">
        <f t="shared" ca="1" si="93"/>
        <v>0</v>
      </c>
      <c r="L305" s="13">
        <f t="shared" ca="1" si="94"/>
        <v>0</v>
      </c>
      <c r="M305" s="7">
        <f t="shared" ca="1" si="95"/>
        <v>1000</v>
      </c>
      <c r="N305" s="26">
        <f t="shared" ca="1" si="96"/>
        <v>4</v>
      </c>
      <c r="O305" s="44">
        <f t="shared" ca="1" si="97"/>
        <v>2.8621467101781541</v>
      </c>
      <c r="P305" s="44">
        <f t="shared" ca="1" si="98"/>
        <v>28.621467101781548</v>
      </c>
      <c r="Q305" s="44">
        <f t="shared" ca="1" si="99"/>
        <v>28.621467101781548</v>
      </c>
      <c r="R305" s="44">
        <f t="shared" ca="1" si="100"/>
        <v>2.8621467101781546</v>
      </c>
      <c r="S305" s="44">
        <f t="shared" ca="1" si="101"/>
        <v>2.8621467101781541</v>
      </c>
      <c r="T305" s="4">
        <f t="shared" ca="1" si="102"/>
        <v>0</v>
      </c>
      <c r="U305" s="120">
        <f t="shared" ca="1" si="103"/>
        <v>1495.6385655333725</v>
      </c>
      <c r="V305" s="4">
        <f t="shared" ca="1" si="104"/>
        <v>0</v>
      </c>
      <c r="W305" s="13">
        <f t="shared" ca="1" si="105"/>
        <v>0</v>
      </c>
      <c r="X305" s="4">
        <f t="shared" ca="1" si="106"/>
        <v>0</v>
      </c>
      <c r="Y305" s="4">
        <f t="shared" si="107"/>
        <v>0</v>
      </c>
      <c r="Z305" s="13">
        <f t="shared" ca="1" si="108"/>
        <v>0</v>
      </c>
      <c r="AA305" s="4">
        <f t="shared" ca="1" si="109"/>
        <v>0</v>
      </c>
      <c r="AE305" s="4"/>
    </row>
    <row r="306" spans="1:31">
      <c r="A306">
        <v>2</v>
      </c>
      <c r="B306">
        <v>1</v>
      </c>
      <c r="C306">
        <f t="shared" ca="1" si="88"/>
        <v>4</v>
      </c>
      <c r="D306">
        <f t="shared" ca="1" si="89"/>
        <v>3</v>
      </c>
      <c r="E306">
        <f t="shared" ca="1" si="90"/>
        <v>2</v>
      </c>
      <c r="F306" s="110">
        <f t="shared" ca="1" si="91"/>
        <v>0</v>
      </c>
      <c r="G306">
        <v>1</v>
      </c>
      <c r="H306">
        <v>1</v>
      </c>
      <c r="I306">
        <v>7</v>
      </c>
      <c r="J306" s="1">
        <f t="shared" ca="1" si="92"/>
        <v>0</v>
      </c>
      <c r="K306" s="1">
        <f t="shared" ca="1" si="93"/>
        <v>0</v>
      </c>
      <c r="L306" s="13">
        <f t="shared" ca="1" si="94"/>
        <v>615</v>
      </c>
      <c r="M306" s="7">
        <f t="shared" ca="1" si="95"/>
        <v>385</v>
      </c>
      <c r="N306" s="26">
        <f t="shared" ca="1" si="96"/>
        <v>2</v>
      </c>
      <c r="O306" s="44">
        <f t="shared" ca="1" si="97"/>
        <v>1.5762319669595739</v>
      </c>
      <c r="P306" s="44">
        <f t="shared" ca="1" si="98"/>
        <v>15.762319669595739</v>
      </c>
      <c r="Q306" s="44">
        <f t="shared" ca="1" si="99"/>
        <v>15.762319669595739</v>
      </c>
      <c r="R306" s="44">
        <f t="shared" ca="1" si="100"/>
        <v>1.5762319669595739</v>
      </c>
      <c r="S306" s="44">
        <f t="shared" ca="1" si="101"/>
        <v>1.5762319669595737</v>
      </c>
      <c r="T306" s="4">
        <f t="shared" ca="1" si="102"/>
        <v>0</v>
      </c>
      <c r="U306" s="120">
        <f t="shared" ca="1" si="103"/>
        <v>1538.885248288175</v>
      </c>
      <c r="V306" s="4">
        <f t="shared" ca="1" si="104"/>
        <v>0</v>
      </c>
      <c r="W306" s="13">
        <f t="shared" ca="1" si="105"/>
        <v>40973.706000000006</v>
      </c>
      <c r="X306" s="4">
        <f t="shared" ca="1" si="106"/>
        <v>0</v>
      </c>
      <c r="Y306" s="4">
        <f t="shared" si="107"/>
        <v>0</v>
      </c>
      <c r="Z306" s="13">
        <f t="shared" ca="1" si="108"/>
        <v>40973.706000000006</v>
      </c>
      <c r="AA306" s="4">
        <f t="shared" ca="1" si="109"/>
        <v>0</v>
      </c>
      <c r="AE306" s="4"/>
    </row>
    <row r="307" spans="1:31">
      <c r="A307">
        <v>2</v>
      </c>
      <c r="B307">
        <v>1</v>
      </c>
      <c r="C307">
        <f t="shared" ca="1" si="88"/>
        <v>4</v>
      </c>
      <c r="D307">
        <f t="shared" ca="1" si="89"/>
        <v>3</v>
      </c>
      <c r="E307">
        <f t="shared" ca="1" si="90"/>
        <v>2</v>
      </c>
      <c r="F307" s="110">
        <f t="shared" ca="1" si="91"/>
        <v>0</v>
      </c>
      <c r="G307">
        <v>1</v>
      </c>
      <c r="H307">
        <v>1</v>
      </c>
      <c r="I307">
        <v>6</v>
      </c>
      <c r="J307" s="1">
        <f t="shared" ca="1" si="92"/>
        <v>0</v>
      </c>
      <c r="K307" s="1">
        <f t="shared" ca="1" si="93"/>
        <v>0</v>
      </c>
      <c r="L307" s="13">
        <f t="shared" ca="1" si="94"/>
        <v>596</v>
      </c>
      <c r="M307" s="7">
        <f t="shared" ca="1" si="95"/>
        <v>404</v>
      </c>
      <c r="N307" s="26">
        <f t="shared" ca="1" si="96"/>
        <v>2</v>
      </c>
      <c r="O307" s="44">
        <f t="shared" ca="1" si="97"/>
        <v>1.5762319669595739</v>
      </c>
      <c r="P307" s="44">
        <f t="shared" ca="1" si="98"/>
        <v>15.762319669595739</v>
      </c>
      <c r="Q307" s="44">
        <f t="shared" ca="1" si="99"/>
        <v>15.762319669595739</v>
      </c>
      <c r="R307" s="44">
        <f t="shared" ca="1" si="100"/>
        <v>1.5762319669595739</v>
      </c>
      <c r="S307" s="44">
        <f t="shared" ca="1" si="101"/>
        <v>1.5762319669595737</v>
      </c>
      <c r="T307" s="4">
        <f t="shared" ca="1" si="102"/>
        <v>0</v>
      </c>
      <c r="U307" s="120">
        <f t="shared" ca="1" si="103"/>
        <v>1519.885248288175</v>
      </c>
      <c r="V307" s="4">
        <f t="shared" ca="1" si="104"/>
        <v>0</v>
      </c>
      <c r="W307" s="13">
        <f t="shared" ca="1" si="105"/>
        <v>38632.806000000004</v>
      </c>
      <c r="X307" s="4">
        <f t="shared" ca="1" si="106"/>
        <v>0</v>
      </c>
      <c r="Y307" s="4">
        <f t="shared" si="107"/>
        <v>0</v>
      </c>
      <c r="Z307" s="13">
        <f t="shared" ca="1" si="108"/>
        <v>38632.806000000004</v>
      </c>
      <c r="AA307" s="4">
        <f t="shared" ca="1" si="109"/>
        <v>0</v>
      </c>
      <c r="AE307" s="4"/>
    </row>
    <row r="308" spans="1:31">
      <c r="A308">
        <v>2</v>
      </c>
      <c r="B308">
        <v>1</v>
      </c>
      <c r="C308">
        <f t="shared" ca="1" si="88"/>
        <v>4</v>
      </c>
      <c r="D308">
        <f t="shared" ca="1" si="89"/>
        <v>3</v>
      </c>
      <c r="E308">
        <f t="shared" ca="1" si="90"/>
        <v>2</v>
      </c>
      <c r="F308" s="110">
        <f t="shared" ca="1" si="91"/>
        <v>0</v>
      </c>
      <c r="G308">
        <v>1</v>
      </c>
      <c r="H308">
        <v>1</v>
      </c>
      <c r="I308">
        <v>5</v>
      </c>
      <c r="J308" s="1">
        <f t="shared" ca="1" si="92"/>
        <v>0</v>
      </c>
      <c r="K308" s="1">
        <f t="shared" ca="1" si="93"/>
        <v>0</v>
      </c>
      <c r="L308" s="13">
        <f t="shared" ca="1" si="94"/>
        <v>577</v>
      </c>
      <c r="M308" s="7">
        <f t="shared" ca="1" si="95"/>
        <v>423</v>
      </c>
      <c r="N308" s="26">
        <f t="shared" ca="1" si="96"/>
        <v>2</v>
      </c>
      <c r="O308" s="44">
        <f t="shared" ca="1" si="97"/>
        <v>1.5762319669595739</v>
      </c>
      <c r="P308" s="44">
        <f t="shared" ca="1" si="98"/>
        <v>15.762319669595739</v>
      </c>
      <c r="Q308" s="44">
        <f t="shared" ca="1" si="99"/>
        <v>15.762319669595739</v>
      </c>
      <c r="R308" s="44">
        <f t="shared" ca="1" si="100"/>
        <v>1.5762319669595739</v>
      </c>
      <c r="S308" s="44">
        <f t="shared" ca="1" si="101"/>
        <v>1.5762319669595737</v>
      </c>
      <c r="T308" s="4">
        <f t="shared" ca="1" si="102"/>
        <v>0</v>
      </c>
      <c r="U308" s="120">
        <f t="shared" ca="1" si="103"/>
        <v>1500.885248288175</v>
      </c>
      <c r="V308" s="4">
        <f t="shared" ca="1" si="104"/>
        <v>0</v>
      </c>
      <c r="W308" s="13">
        <f t="shared" ca="1" si="105"/>
        <v>36291.906000000003</v>
      </c>
      <c r="X308" s="4">
        <f t="shared" ca="1" si="106"/>
        <v>0</v>
      </c>
      <c r="Y308" s="4">
        <f t="shared" si="107"/>
        <v>0</v>
      </c>
      <c r="Z308" s="13">
        <f t="shared" ca="1" si="108"/>
        <v>36291.906000000003</v>
      </c>
      <c r="AA308" s="4">
        <f t="shared" ca="1" si="109"/>
        <v>0</v>
      </c>
      <c r="AE308" s="4"/>
    </row>
    <row r="309" spans="1:31">
      <c r="A309">
        <v>2</v>
      </c>
      <c r="B309">
        <v>1</v>
      </c>
      <c r="C309">
        <f t="shared" ca="1" si="88"/>
        <v>4</v>
      </c>
      <c r="D309">
        <f t="shared" ca="1" si="89"/>
        <v>3</v>
      </c>
      <c r="E309">
        <f t="shared" ca="1" si="90"/>
        <v>2</v>
      </c>
      <c r="F309" s="110">
        <f t="shared" ca="1" si="91"/>
        <v>0</v>
      </c>
      <c r="G309">
        <v>1</v>
      </c>
      <c r="H309">
        <v>1</v>
      </c>
      <c r="I309">
        <v>4</v>
      </c>
      <c r="J309" s="1">
        <f t="shared" ca="1" si="92"/>
        <v>0</v>
      </c>
      <c r="K309" s="1">
        <f t="shared" ca="1" si="93"/>
        <v>0</v>
      </c>
      <c r="L309" s="13">
        <f t="shared" ca="1" si="94"/>
        <v>558</v>
      </c>
      <c r="M309" s="7">
        <f t="shared" ca="1" si="95"/>
        <v>442</v>
      </c>
      <c r="N309" s="26">
        <f t="shared" ca="1" si="96"/>
        <v>2</v>
      </c>
      <c r="O309" s="44">
        <f t="shared" ca="1" si="97"/>
        <v>1.5762319669595739</v>
      </c>
      <c r="P309" s="44">
        <f t="shared" ca="1" si="98"/>
        <v>15.762319669595739</v>
      </c>
      <c r="Q309" s="44">
        <f t="shared" ca="1" si="99"/>
        <v>15.762319669595739</v>
      </c>
      <c r="R309" s="44">
        <f t="shared" ca="1" si="100"/>
        <v>1.5762319669595739</v>
      </c>
      <c r="S309" s="44">
        <f t="shared" ca="1" si="101"/>
        <v>1.5762319669595737</v>
      </c>
      <c r="T309" s="4">
        <f t="shared" ca="1" si="102"/>
        <v>0</v>
      </c>
      <c r="U309" s="120">
        <f t="shared" ca="1" si="103"/>
        <v>1481.885248288175</v>
      </c>
      <c r="V309" s="4">
        <f t="shared" ca="1" si="104"/>
        <v>0</v>
      </c>
      <c r="W309" s="13">
        <f t="shared" ca="1" si="105"/>
        <v>33951.006000000001</v>
      </c>
      <c r="X309" s="4">
        <f t="shared" ca="1" si="106"/>
        <v>0</v>
      </c>
      <c r="Y309" s="4">
        <f t="shared" si="107"/>
        <v>0</v>
      </c>
      <c r="Z309" s="13">
        <f t="shared" ca="1" si="108"/>
        <v>33951.006000000001</v>
      </c>
      <c r="AA309" s="4">
        <f t="shared" ca="1" si="109"/>
        <v>0</v>
      </c>
      <c r="AE309" s="4"/>
    </row>
    <row r="310" spans="1:31">
      <c r="A310">
        <v>2</v>
      </c>
      <c r="B310">
        <v>1</v>
      </c>
      <c r="C310">
        <f t="shared" ca="1" si="88"/>
        <v>4</v>
      </c>
      <c r="D310">
        <f t="shared" ca="1" si="89"/>
        <v>3</v>
      </c>
      <c r="E310">
        <f t="shared" ca="1" si="90"/>
        <v>2</v>
      </c>
      <c r="F310" s="110">
        <f t="shared" ca="1" si="91"/>
        <v>0</v>
      </c>
      <c r="G310">
        <v>1</v>
      </c>
      <c r="H310">
        <v>1</v>
      </c>
      <c r="I310">
        <v>3</v>
      </c>
      <c r="J310" s="1">
        <f t="shared" ca="1" si="92"/>
        <v>0</v>
      </c>
      <c r="K310" s="1">
        <f t="shared" ca="1" si="93"/>
        <v>0</v>
      </c>
      <c r="L310" s="13">
        <f t="shared" ca="1" si="94"/>
        <v>539</v>
      </c>
      <c r="M310" s="7">
        <f t="shared" ca="1" si="95"/>
        <v>461</v>
      </c>
      <c r="N310" s="26">
        <f t="shared" ca="1" si="96"/>
        <v>2</v>
      </c>
      <c r="O310" s="44">
        <f t="shared" ca="1" si="97"/>
        <v>1.5762319669595739</v>
      </c>
      <c r="P310" s="44">
        <f t="shared" ca="1" si="98"/>
        <v>15.762319669595739</v>
      </c>
      <c r="Q310" s="44">
        <f t="shared" ca="1" si="99"/>
        <v>15.762319669595739</v>
      </c>
      <c r="R310" s="44">
        <f t="shared" ca="1" si="100"/>
        <v>1.5762319669595739</v>
      </c>
      <c r="S310" s="44">
        <f t="shared" ca="1" si="101"/>
        <v>1.5762319669595737</v>
      </c>
      <c r="T310" s="4">
        <f t="shared" ca="1" si="102"/>
        <v>0</v>
      </c>
      <c r="U310" s="120">
        <f t="shared" ca="1" si="103"/>
        <v>1462.885248288175</v>
      </c>
      <c r="V310" s="4">
        <f t="shared" ca="1" si="104"/>
        <v>0</v>
      </c>
      <c r="W310" s="13">
        <f t="shared" ca="1" si="105"/>
        <v>31610.106000000003</v>
      </c>
      <c r="X310" s="4">
        <f t="shared" ca="1" si="106"/>
        <v>0</v>
      </c>
      <c r="Y310" s="4">
        <f t="shared" si="107"/>
        <v>0</v>
      </c>
      <c r="Z310" s="13">
        <f t="shared" ca="1" si="108"/>
        <v>31610.106000000003</v>
      </c>
      <c r="AA310" s="4">
        <f t="shared" ca="1" si="109"/>
        <v>0</v>
      </c>
      <c r="AE310" s="4"/>
    </row>
    <row r="311" spans="1:31">
      <c r="A311">
        <v>2</v>
      </c>
      <c r="B311">
        <v>1</v>
      </c>
      <c r="C311">
        <f t="shared" ca="1" si="88"/>
        <v>4</v>
      </c>
      <c r="D311">
        <f t="shared" ca="1" si="89"/>
        <v>3</v>
      </c>
      <c r="E311">
        <f t="shared" ca="1" si="90"/>
        <v>2</v>
      </c>
      <c r="F311" s="110">
        <f t="shared" ca="1" si="91"/>
        <v>0</v>
      </c>
      <c r="G311">
        <v>1</v>
      </c>
      <c r="H311">
        <v>1</v>
      </c>
      <c r="I311">
        <v>2</v>
      </c>
      <c r="J311" s="1">
        <f t="shared" ca="1" si="92"/>
        <v>0</v>
      </c>
      <c r="K311" s="1">
        <f t="shared" ca="1" si="93"/>
        <v>0</v>
      </c>
      <c r="L311" s="13">
        <f t="shared" ca="1" si="94"/>
        <v>520</v>
      </c>
      <c r="M311" s="7">
        <f t="shared" ca="1" si="95"/>
        <v>480</v>
      </c>
      <c r="N311" s="26">
        <f t="shared" ca="1" si="96"/>
        <v>2</v>
      </c>
      <c r="O311" s="44">
        <f t="shared" ca="1" si="97"/>
        <v>1.5762319669595739</v>
      </c>
      <c r="P311" s="44">
        <f t="shared" ca="1" si="98"/>
        <v>15.762319669595739</v>
      </c>
      <c r="Q311" s="44">
        <f t="shared" ca="1" si="99"/>
        <v>15.762319669595739</v>
      </c>
      <c r="R311" s="44">
        <f t="shared" ca="1" si="100"/>
        <v>1.5762319669595739</v>
      </c>
      <c r="S311" s="44">
        <f t="shared" ca="1" si="101"/>
        <v>1.5762319669595737</v>
      </c>
      <c r="T311" s="4">
        <f t="shared" ca="1" si="102"/>
        <v>0</v>
      </c>
      <c r="U311" s="120">
        <f t="shared" ca="1" si="103"/>
        <v>1443.885248288175</v>
      </c>
      <c r="V311" s="4">
        <f t="shared" ca="1" si="104"/>
        <v>0</v>
      </c>
      <c r="W311" s="13">
        <f t="shared" ca="1" si="105"/>
        <v>29269.206000000002</v>
      </c>
      <c r="X311" s="4">
        <f t="shared" ca="1" si="106"/>
        <v>0</v>
      </c>
      <c r="Y311" s="4">
        <f t="shared" si="107"/>
        <v>0</v>
      </c>
      <c r="Z311" s="13">
        <f t="shared" ca="1" si="108"/>
        <v>29269.206000000002</v>
      </c>
      <c r="AA311" s="4">
        <f t="shared" ca="1" si="109"/>
        <v>0</v>
      </c>
      <c r="AE311" s="4"/>
    </row>
    <row r="312" spans="1:31">
      <c r="A312">
        <v>2</v>
      </c>
      <c r="B312">
        <v>1</v>
      </c>
      <c r="C312">
        <f t="shared" ca="1" si="88"/>
        <v>4</v>
      </c>
      <c r="D312">
        <f t="shared" ca="1" si="89"/>
        <v>3</v>
      </c>
      <c r="E312">
        <f t="shared" ca="1" si="90"/>
        <v>2</v>
      </c>
      <c r="F312" s="110">
        <f t="shared" ca="1" si="91"/>
        <v>0</v>
      </c>
      <c r="G312">
        <v>1</v>
      </c>
      <c r="H312">
        <v>1</v>
      </c>
      <c r="I312">
        <v>1</v>
      </c>
      <c r="J312" s="1">
        <f t="shared" ca="1" si="92"/>
        <v>0</v>
      </c>
      <c r="K312" s="1">
        <f t="shared" ca="1" si="93"/>
        <v>0</v>
      </c>
      <c r="L312" s="13">
        <f t="shared" ca="1" si="94"/>
        <v>501</v>
      </c>
      <c r="M312" s="7">
        <f t="shared" ca="1" si="95"/>
        <v>499</v>
      </c>
      <c r="N312" s="26">
        <f t="shared" ca="1" si="96"/>
        <v>2</v>
      </c>
      <c r="O312" s="44">
        <f t="shared" ca="1" si="97"/>
        <v>1.5762319669595739</v>
      </c>
      <c r="P312" s="44">
        <f t="shared" ca="1" si="98"/>
        <v>15.762319669595739</v>
      </c>
      <c r="Q312" s="44">
        <f t="shared" ca="1" si="99"/>
        <v>15.762319669595739</v>
      </c>
      <c r="R312" s="44">
        <f t="shared" ca="1" si="100"/>
        <v>1.5762319669595739</v>
      </c>
      <c r="S312" s="44">
        <f t="shared" ca="1" si="101"/>
        <v>1.5762319669595737</v>
      </c>
      <c r="T312" s="4">
        <f t="shared" ca="1" si="102"/>
        <v>0</v>
      </c>
      <c r="U312" s="120">
        <f t="shared" ca="1" si="103"/>
        <v>1424.885248288175</v>
      </c>
      <c r="V312" s="4">
        <f t="shared" ca="1" si="104"/>
        <v>0</v>
      </c>
      <c r="W312" s="13">
        <f t="shared" ca="1" si="105"/>
        <v>26928.306000000004</v>
      </c>
      <c r="X312" s="4">
        <f t="shared" ca="1" si="106"/>
        <v>0</v>
      </c>
      <c r="Y312" s="4">
        <f t="shared" si="107"/>
        <v>0</v>
      </c>
      <c r="Z312" s="13">
        <f t="shared" ca="1" si="108"/>
        <v>26928.306000000004</v>
      </c>
      <c r="AA312" s="4">
        <f t="shared" ca="1" si="109"/>
        <v>0</v>
      </c>
      <c r="AE312" s="4"/>
    </row>
    <row r="313" spans="1:31">
      <c r="A313">
        <v>2</v>
      </c>
      <c r="B313">
        <v>1</v>
      </c>
      <c r="C313">
        <f t="shared" ca="1" si="88"/>
        <v>4</v>
      </c>
      <c r="D313">
        <f t="shared" ca="1" si="89"/>
        <v>3</v>
      </c>
      <c r="E313">
        <f t="shared" ca="1" si="90"/>
        <v>2</v>
      </c>
      <c r="F313" s="110">
        <f t="shared" ca="1" si="91"/>
        <v>0</v>
      </c>
      <c r="G313">
        <v>1</v>
      </c>
      <c r="H313">
        <v>1</v>
      </c>
      <c r="I313">
        <v>0</v>
      </c>
      <c r="J313" s="1">
        <f t="shared" ca="1" si="92"/>
        <v>0</v>
      </c>
      <c r="K313" s="1">
        <f t="shared" ca="1" si="93"/>
        <v>0</v>
      </c>
      <c r="L313" s="13">
        <f t="shared" ca="1" si="94"/>
        <v>482</v>
      </c>
      <c r="M313" s="7">
        <f t="shared" ca="1" si="95"/>
        <v>518</v>
      </c>
      <c r="N313" s="26">
        <f t="shared" ca="1" si="96"/>
        <v>2</v>
      </c>
      <c r="O313" s="44">
        <f t="shared" ca="1" si="97"/>
        <v>1.5762319669595739</v>
      </c>
      <c r="P313" s="44">
        <f t="shared" ca="1" si="98"/>
        <v>15.762319669595739</v>
      </c>
      <c r="Q313" s="44">
        <f t="shared" ca="1" si="99"/>
        <v>15.762319669595739</v>
      </c>
      <c r="R313" s="44">
        <f t="shared" ca="1" si="100"/>
        <v>1.5762319669595739</v>
      </c>
      <c r="S313" s="44">
        <f t="shared" ca="1" si="101"/>
        <v>1.5762319669595737</v>
      </c>
      <c r="T313" s="4">
        <f t="shared" ca="1" si="102"/>
        <v>0</v>
      </c>
      <c r="U313" s="120">
        <f t="shared" ca="1" si="103"/>
        <v>1405.885248288175</v>
      </c>
      <c r="V313" s="4">
        <f t="shared" ca="1" si="104"/>
        <v>0</v>
      </c>
      <c r="W313" s="13">
        <f t="shared" ca="1" si="105"/>
        <v>24587.406000000003</v>
      </c>
      <c r="X313" s="4">
        <f t="shared" ca="1" si="106"/>
        <v>0</v>
      </c>
      <c r="Y313" s="4">
        <f t="shared" si="107"/>
        <v>0</v>
      </c>
      <c r="Z313" s="13">
        <f t="shared" ca="1" si="108"/>
        <v>24587.406000000003</v>
      </c>
      <c r="AA313" s="4">
        <f t="shared" ca="1" si="109"/>
        <v>0</v>
      </c>
      <c r="AE313" s="4"/>
    </row>
    <row r="314" spans="1:31">
      <c r="A314">
        <v>2</v>
      </c>
      <c r="B314">
        <v>1</v>
      </c>
      <c r="C314">
        <f t="shared" ca="1" si="88"/>
        <v>4</v>
      </c>
      <c r="D314">
        <f t="shared" ca="1" si="89"/>
        <v>3</v>
      </c>
      <c r="E314">
        <f t="shared" ca="1" si="90"/>
        <v>2</v>
      </c>
      <c r="F314" s="110">
        <f t="shared" ca="1" si="91"/>
        <v>0</v>
      </c>
      <c r="G314">
        <v>1</v>
      </c>
      <c r="H314">
        <v>0</v>
      </c>
      <c r="I314">
        <v>7</v>
      </c>
      <c r="J314" s="1">
        <f t="shared" ca="1" si="92"/>
        <v>0</v>
      </c>
      <c r="K314" s="1">
        <f t="shared" ca="1" si="93"/>
        <v>0</v>
      </c>
      <c r="L314" s="13">
        <f t="shared" ca="1" si="94"/>
        <v>374</v>
      </c>
      <c r="M314" s="7">
        <f t="shared" ca="1" si="95"/>
        <v>626</v>
      </c>
      <c r="N314" s="26">
        <f t="shared" ca="1" si="96"/>
        <v>3</v>
      </c>
      <c r="O314" s="44">
        <f t="shared" ca="1" si="97"/>
        <v>2.2442427272544552</v>
      </c>
      <c r="P314" s="44">
        <f t="shared" ca="1" si="98"/>
        <v>22.442427272544553</v>
      </c>
      <c r="Q314" s="44">
        <f t="shared" ca="1" si="99"/>
        <v>22.442427272544553</v>
      </c>
      <c r="R314" s="44">
        <f t="shared" ca="1" si="100"/>
        <v>2.2442427272544552</v>
      </c>
      <c r="S314" s="44">
        <f t="shared" ca="1" si="101"/>
        <v>2.2442427272544552</v>
      </c>
      <c r="T314" s="4">
        <f t="shared" ca="1" si="102"/>
        <v>0</v>
      </c>
      <c r="U314" s="120">
        <f t="shared" ca="1" si="103"/>
        <v>1594.901337549361</v>
      </c>
      <c r="V314" s="4">
        <f t="shared" ca="1" si="104"/>
        <v>0</v>
      </c>
      <c r="W314" s="13">
        <f t="shared" ca="1" si="105"/>
        <v>40973.706000000006</v>
      </c>
      <c r="X314" s="4">
        <f t="shared" ca="1" si="106"/>
        <v>0</v>
      </c>
      <c r="Y314" s="4">
        <f t="shared" si="107"/>
        <v>0</v>
      </c>
      <c r="Z314" s="13">
        <f t="shared" ca="1" si="108"/>
        <v>40973.706000000006</v>
      </c>
      <c r="AA314" s="4">
        <f t="shared" ca="1" si="109"/>
        <v>0</v>
      </c>
      <c r="AE314" s="4"/>
    </row>
    <row r="315" spans="1:31">
      <c r="A315">
        <v>2</v>
      </c>
      <c r="B315">
        <v>1</v>
      </c>
      <c r="C315">
        <f t="shared" ca="1" si="88"/>
        <v>4</v>
      </c>
      <c r="D315">
        <f t="shared" ca="1" si="89"/>
        <v>3</v>
      </c>
      <c r="E315">
        <f t="shared" ca="1" si="90"/>
        <v>2</v>
      </c>
      <c r="F315" s="110">
        <f t="shared" ca="1" si="91"/>
        <v>0</v>
      </c>
      <c r="G315">
        <v>1</v>
      </c>
      <c r="H315">
        <v>0</v>
      </c>
      <c r="I315">
        <v>6</v>
      </c>
      <c r="J315" s="1">
        <f t="shared" ca="1" si="92"/>
        <v>0</v>
      </c>
      <c r="K315" s="1">
        <f t="shared" ca="1" si="93"/>
        <v>0</v>
      </c>
      <c r="L315" s="13">
        <f t="shared" ca="1" si="94"/>
        <v>355</v>
      </c>
      <c r="M315" s="7">
        <f t="shared" ca="1" si="95"/>
        <v>645</v>
      </c>
      <c r="N315" s="26">
        <f t="shared" ca="1" si="96"/>
        <v>3</v>
      </c>
      <c r="O315" s="44">
        <f t="shared" ca="1" si="97"/>
        <v>2.2442427272544552</v>
      </c>
      <c r="P315" s="44">
        <f t="shared" ca="1" si="98"/>
        <v>22.442427272544553</v>
      </c>
      <c r="Q315" s="44">
        <f t="shared" ca="1" si="99"/>
        <v>22.442427272544553</v>
      </c>
      <c r="R315" s="44">
        <f t="shared" ca="1" si="100"/>
        <v>2.2442427272544552</v>
      </c>
      <c r="S315" s="44">
        <f t="shared" ca="1" si="101"/>
        <v>2.2442427272544552</v>
      </c>
      <c r="T315" s="4">
        <f t="shared" ca="1" si="102"/>
        <v>0</v>
      </c>
      <c r="U315" s="120">
        <f t="shared" ca="1" si="103"/>
        <v>1575.901337549361</v>
      </c>
      <c r="V315" s="4">
        <f t="shared" ca="1" si="104"/>
        <v>0</v>
      </c>
      <c r="W315" s="13">
        <f t="shared" ca="1" si="105"/>
        <v>38632.806000000004</v>
      </c>
      <c r="X315" s="4">
        <f t="shared" ca="1" si="106"/>
        <v>0</v>
      </c>
      <c r="Y315" s="4">
        <f t="shared" si="107"/>
        <v>0</v>
      </c>
      <c r="Z315" s="13">
        <f t="shared" ca="1" si="108"/>
        <v>38632.806000000004</v>
      </c>
      <c r="AA315" s="4">
        <f t="shared" ca="1" si="109"/>
        <v>0</v>
      </c>
      <c r="AE315" s="4"/>
    </row>
    <row r="316" spans="1:31">
      <c r="A316">
        <v>2</v>
      </c>
      <c r="B316">
        <v>1</v>
      </c>
      <c r="C316">
        <f t="shared" ca="1" si="88"/>
        <v>4</v>
      </c>
      <c r="D316">
        <f t="shared" ca="1" si="89"/>
        <v>3</v>
      </c>
      <c r="E316">
        <f t="shared" ca="1" si="90"/>
        <v>2</v>
      </c>
      <c r="F316" s="110">
        <f t="shared" ca="1" si="91"/>
        <v>0</v>
      </c>
      <c r="G316">
        <v>1</v>
      </c>
      <c r="H316">
        <v>0</v>
      </c>
      <c r="I316">
        <v>5</v>
      </c>
      <c r="J316" s="1">
        <f t="shared" ca="1" si="92"/>
        <v>0</v>
      </c>
      <c r="K316" s="1">
        <f t="shared" ca="1" si="93"/>
        <v>0</v>
      </c>
      <c r="L316" s="13">
        <f t="shared" ca="1" si="94"/>
        <v>336</v>
      </c>
      <c r="M316" s="7">
        <f t="shared" ca="1" si="95"/>
        <v>664</v>
      </c>
      <c r="N316" s="26">
        <f t="shared" ca="1" si="96"/>
        <v>3</v>
      </c>
      <c r="O316" s="44">
        <f t="shared" ca="1" si="97"/>
        <v>2.2442427272544552</v>
      </c>
      <c r="P316" s="44">
        <f t="shared" ca="1" si="98"/>
        <v>22.442427272544553</v>
      </c>
      <c r="Q316" s="44">
        <f t="shared" ca="1" si="99"/>
        <v>22.442427272544553</v>
      </c>
      <c r="R316" s="44">
        <f t="shared" ca="1" si="100"/>
        <v>2.2442427272544552</v>
      </c>
      <c r="S316" s="44">
        <f t="shared" ca="1" si="101"/>
        <v>2.2442427272544552</v>
      </c>
      <c r="T316" s="4">
        <f t="shared" ca="1" si="102"/>
        <v>0</v>
      </c>
      <c r="U316" s="120">
        <f t="shared" ca="1" si="103"/>
        <v>1556.901337549361</v>
      </c>
      <c r="V316" s="4">
        <f t="shared" ca="1" si="104"/>
        <v>0</v>
      </c>
      <c r="W316" s="13">
        <f t="shared" ca="1" si="105"/>
        <v>36291.906000000003</v>
      </c>
      <c r="X316" s="4">
        <f t="shared" ca="1" si="106"/>
        <v>0</v>
      </c>
      <c r="Y316" s="4">
        <f t="shared" si="107"/>
        <v>0</v>
      </c>
      <c r="Z316" s="13">
        <f t="shared" ca="1" si="108"/>
        <v>36291.906000000003</v>
      </c>
      <c r="AA316" s="4">
        <f t="shared" ca="1" si="109"/>
        <v>0</v>
      </c>
      <c r="AE316" s="4"/>
    </row>
    <row r="317" spans="1:31">
      <c r="A317">
        <v>2</v>
      </c>
      <c r="B317">
        <v>1</v>
      </c>
      <c r="C317">
        <f t="shared" ca="1" si="88"/>
        <v>4</v>
      </c>
      <c r="D317">
        <f t="shared" ca="1" si="89"/>
        <v>3</v>
      </c>
      <c r="E317">
        <f t="shared" ca="1" si="90"/>
        <v>2</v>
      </c>
      <c r="F317" s="110">
        <f t="shared" ca="1" si="91"/>
        <v>0</v>
      </c>
      <c r="G317">
        <v>1</v>
      </c>
      <c r="H317">
        <v>0</v>
      </c>
      <c r="I317">
        <v>4</v>
      </c>
      <c r="J317" s="1">
        <f t="shared" ca="1" si="92"/>
        <v>0</v>
      </c>
      <c r="K317" s="1">
        <f t="shared" ca="1" si="93"/>
        <v>0</v>
      </c>
      <c r="L317" s="13">
        <f t="shared" ca="1" si="94"/>
        <v>317</v>
      </c>
      <c r="M317" s="7">
        <f t="shared" ca="1" si="95"/>
        <v>683</v>
      </c>
      <c r="N317" s="26">
        <f t="shared" ca="1" si="96"/>
        <v>3</v>
      </c>
      <c r="O317" s="44">
        <f t="shared" ca="1" si="97"/>
        <v>2.2442427272544552</v>
      </c>
      <c r="P317" s="44">
        <f t="shared" ca="1" si="98"/>
        <v>22.442427272544553</v>
      </c>
      <c r="Q317" s="44">
        <f t="shared" ca="1" si="99"/>
        <v>22.442427272544553</v>
      </c>
      <c r="R317" s="44">
        <f t="shared" ca="1" si="100"/>
        <v>2.2442427272544552</v>
      </c>
      <c r="S317" s="44">
        <f t="shared" ca="1" si="101"/>
        <v>2.2442427272544552</v>
      </c>
      <c r="T317" s="4">
        <f t="shared" ca="1" si="102"/>
        <v>0</v>
      </c>
      <c r="U317" s="120">
        <f t="shared" ca="1" si="103"/>
        <v>1537.901337549361</v>
      </c>
      <c r="V317" s="4">
        <f t="shared" ca="1" si="104"/>
        <v>0</v>
      </c>
      <c r="W317" s="13">
        <f t="shared" ca="1" si="105"/>
        <v>33951.006000000001</v>
      </c>
      <c r="X317" s="4">
        <f t="shared" ca="1" si="106"/>
        <v>0</v>
      </c>
      <c r="Y317" s="4">
        <f t="shared" si="107"/>
        <v>0</v>
      </c>
      <c r="Z317" s="13">
        <f t="shared" ca="1" si="108"/>
        <v>33951.006000000001</v>
      </c>
      <c r="AA317" s="4">
        <f t="shared" ca="1" si="109"/>
        <v>0</v>
      </c>
      <c r="AE317" s="4"/>
    </row>
    <row r="318" spans="1:31">
      <c r="A318">
        <v>2</v>
      </c>
      <c r="B318">
        <v>1</v>
      </c>
      <c r="C318">
        <f t="shared" ca="1" si="88"/>
        <v>4</v>
      </c>
      <c r="D318">
        <f t="shared" ca="1" si="89"/>
        <v>3</v>
      </c>
      <c r="E318">
        <f t="shared" ca="1" si="90"/>
        <v>2</v>
      </c>
      <c r="F318" s="110">
        <f t="shared" ca="1" si="91"/>
        <v>0</v>
      </c>
      <c r="G318">
        <v>1</v>
      </c>
      <c r="H318">
        <v>0</v>
      </c>
      <c r="I318">
        <v>3</v>
      </c>
      <c r="J318" s="1">
        <f t="shared" ca="1" si="92"/>
        <v>0.63642578124999993</v>
      </c>
      <c r="K318" s="1">
        <f t="shared" ca="1" si="93"/>
        <v>0</v>
      </c>
      <c r="L318" s="13">
        <f t="shared" ca="1" si="94"/>
        <v>298</v>
      </c>
      <c r="M318" s="7">
        <f t="shared" ca="1" si="95"/>
        <v>702</v>
      </c>
      <c r="N318" s="26">
        <f t="shared" ca="1" si="96"/>
        <v>3</v>
      </c>
      <c r="O318" s="44">
        <f t="shared" ca="1" si="97"/>
        <v>2.2442427272544552</v>
      </c>
      <c r="P318" s="44">
        <f t="shared" ca="1" si="98"/>
        <v>22.442427272544553</v>
      </c>
      <c r="Q318" s="44">
        <f t="shared" ca="1" si="99"/>
        <v>22.442427272544553</v>
      </c>
      <c r="R318" s="44">
        <f t="shared" ca="1" si="100"/>
        <v>2.2442427272544552</v>
      </c>
      <c r="S318" s="44">
        <f t="shared" ca="1" si="101"/>
        <v>2.2442427272544552</v>
      </c>
      <c r="T318" s="4">
        <f t="shared" ca="1" si="102"/>
        <v>0</v>
      </c>
      <c r="U318" s="120">
        <f t="shared" ca="1" si="103"/>
        <v>1518.901337549361</v>
      </c>
      <c r="V318" s="4">
        <f t="shared" ca="1" si="104"/>
        <v>0</v>
      </c>
      <c r="W318" s="13">
        <f t="shared" ca="1" si="105"/>
        <v>31610.106000000003</v>
      </c>
      <c r="X318" s="4">
        <f t="shared" ca="1" si="106"/>
        <v>0</v>
      </c>
      <c r="Y318" s="4">
        <f t="shared" si="107"/>
        <v>0</v>
      </c>
      <c r="Z318" s="13">
        <f t="shared" ca="1" si="108"/>
        <v>31610.106000000003</v>
      </c>
      <c r="AA318" s="4">
        <f t="shared" ca="1" si="109"/>
        <v>0</v>
      </c>
      <c r="AE318" s="4"/>
    </row>
    <row r="319" spans="1:31">
      <c r="A319">
        <v>2</v>
      </c>
      <c r="B319">
        <v>1</v>
      </c>
      <c r="C319">
        <f t="shared" ca="1" si="88"/>
        <v>4</v>
      </c>
      <c r="D319">
        <f t="shared" ca="1" si="89"/>
        <v>3</v>
      </c>
      <c r="E319">
        <f t="shared" ca="1" si="90"/>
        <v>2</v>
      </c>
      <c r="F319" s="110">
        <f t="shared" ca="1" si="91"/>
        <v>0</v>
      </c>
      <c r="G319">
        <v>1</v>
      </c>
      <c r="H319">
        <v>0</v>
      </c>
      <c r="I319">
        <v>2</v>
      </c>
      <c r="J319" s="1">
        <f t="shared" ca="1" si="92"/>
        <v>0.27275390625000001</v>
      </c>
      <c r="K319" s="1">
        <f t="shared" ca="1" si="93"/>
        <v>0</v>
      </c>
      <c r="L319" s="13">
        <f t="shared" ca="1" si="94"/>
        <v>279</v>
      </c>
      <c r="M319" s="7">
        <f t="shared" ca="1" si="95"/>
        <v>721</v>
      </c>
      <c r="N319" s="26">
        <f t="shared" ca="1" si="96"/>
        <v>3</v>
      </c>
      <c r="O319" s="44">
        <f t="shared" ca="1" si="97"/>
        <v>2.2442427272544552</v>
      </c>
      <c r="P319" s="44">
        <f t="shared" ca="1" si="98"/>
        <v>22.442427272544553</v>
      </c>
      <c r="Q319" s="44">
        <f t="shared" ca="1" si="99"/>
        <v>22.442427272544553</v>
      </c>
      <c r="R319" s="44">
        <f t="shared" ca="1" si="100"/>
        <v>2.2442427272544552</v>
      </c>
      <c r="S319" s="44">
        <f t="shared" ca="1" si="101"/>
        <v>2.2442427272544552</v>
      </c>
      <c r="T319" s="4">
        <f t="shared" ca="1" si="102"/>
        <v>0</v>
      </c>
      <c r="U319" s="120">
        <f t="shared" ca="1" si="103"/>
        <v>1499.901337549361</v>
      </c>
      <c r="V319" s="4">
        <f t="shared" ca="1" si="104"/>
        <v>0</v>
      </c>
      <c r="W319" s="13">
        <f t="shared" ca="1" si="105"/>
        <v>29269.206000000002</v>
      </c>
      <c r="X319" s="4">
        <f t="shared" ca="1" si="106"/>
        <v>0</v>
      </c>
      <c r="Y319" s="4">
        <f t="shared" si="107"/>
        <v>0</v>
      </c>
      <c r="Z319" s="13">
        <f t="shared" ca="1" si="108"/>
        <v>29269.206000000002</v>
      </c>
      <c r="AA319" s="4">
        <f t="shared" ca="1" si="109"/>
        <v>0</v>
      </c>
      <c r="AE319" s="4"/>
    </row>
    <row r="320" spans="1:31">
      <c r="A320">
        <v>2</v>
      </c>
      <c r="B320">
        <v>1</v>
      </c>
      <c r="C320">
        <f t="shared" ca="1" si="88"/>
        <v>4</v>
      </c>
      <c r="D320">
        <f t="shared" ca="1" si="89"/>
        <v>3</v>
      </c>
      <c r="E320">
        <f t="shared" ca="1" si="90"/>
        <v>2</v>
      </c>
      <c r="F320" s="110">
        <f t="shared" ca="1" si="91"/>
        <v>0</v>
      </c>
      <c r="G320">
        <v>1</v>
      </c>
      <c r="H320">
        <v>0</v>
      </c>
      <c r="I320">
        <v>1</v>
      </c>
      <c r="J320" s="1">
        <f t="shared" ca="1" si="92"/>
        <v>3.8964843749999999E-2</v>
      </c>
      <c r="K320" s="1">
        <f t="shared" ca="1" si="93"/>
        <v>0</v>
      </c>
      <c r="L320" s="13">
        <f t="shared" ca="1" si="94"/>
        <v>260</v>
      </c>
      <c r="M320" s="7">
        <f t="shared" ca="1" si="95"/>
        <v>740</v>
      </c>
      <c r="N320" s="26">
        <f t="shared" ca="1" si="96"/>
        <v>3</v>
      </c>
      <c r="O320" s="44">
        <f t="shared" ca="1" si="97"/>
        <v>2.2442427272544552</v>
      </c>
      <c r="P320" s="44">
        <f t="shared" ca="1" si="98"/>
        <v>22.442427272544553</v>
      </c>
      <c r="Q320" s="44">
        <f t="shared" ca="1" si="99"/>
        <v>22.442427272544553</v>
      </c>
      <c r="R320" s="44">
        <f t="shared" ca="1" si="100"/>
        <v>2.2442427272544552</v>
      </c>
      <c r="S320" s="44">
        <f t="shared" ca="1" si="101"/>
        <v>2.2442427272544552</v>
      </c>
      <c r="T320" s="4">
        <f t="shared" ca="1" si="102"/>
        <v>0</v>
      </c>
      <c r="U320" s="120">
        <f t="shared" ca="1" si="103"/>
        <v>1480.901337549361</v>
      </c>
      <c r="V320" s="4">
        <f t="shared" ca="1" si="104"/>
        <v>0</v>
      </c>
      <c r="W320" s="13">
        <f t="shared" ca="1" si="105"/>
        <v>26928.306000000004</v>
      </c>
      <c r="X320" s="4">
        <f t="shared" ca="1" si="106"/>
        <v>0</v>
      </c>
      <c r="Y320" s="4">
        <f t="shared" si="107"/>
        <v>0</v>
      </c>
      <c r="Z320" s="13">
        <f t="shared" ca="1" si="108"/>
        <v>26928.306000000004</v>
      </c>
      <c r="AA320" s="4">
        <f t="shared" ca="1" si="109"/>
        <v>0</v>
      </c>
      <c r="AE320" s="4"/>
    </row>
    <row r="321" spans="1:31">
      <c r="A321">
        <v>2</v>
      </c>
      <c r="B321">
        <v>1</v>
      </c>
      <c r="C321">
        <f t="shared" ca="1" si="88"/>
        <v>4</v>
      </c>
      <c r="D321">
        <f t="shared" ca="1" si="89"/>
        <v>3</v>
      </c>
      <c r="E321">
        <f t="shared" ca="1" si="90"/>
        <v>2</v>
      </c>
      <c r="F321" s="110">
        <f t="shared" ca="1" si="91"/>
        <v>0</v>
      </c>
      <c r="G321">
        <v>1</v>
      </c>
      <c r="H321">
        <v>0</v>
      </c>
      <c r="I321">
        <v>0</v>
      </c>
      <c r="J321" s="1">
        <f t="shared" ca="1" si="92"/>
        <v>1.8554687499999999E-3</v>
      </c>
      <c r="K321" s="1">
        <f t="shared" ca="1" si="93"/>
        <v>0</v>
      </c>
      <c r="L321" s="13">
        <f t="shared" ca="1" si="94"/>
        <v>241</v>
      </c>
      <c r="M321" s="7">
        <f t="shared" ca="1" si="95"/>
        <v>759</v>
      </c>
      <c r="N321" s="26">
        <f t="shared" ca="1" si="96"/>
        <v>3</v>
      </c>
      <c r="O321" s="44">
        <f t="shared" ca="1" si="97"/>
        <v>2.2442427272544552</v>
      </c>
      <c r="P321" s="44">
        <f t="shared" ca="1" si="98"/>
        <v>22.442427272544553</v>
      </c>
      <c r="Q321" s="44">
        <f t="shared" ca="1" si="99"/>
        <v>22.442427272544553</v>
      </c>
      <c r="R321" s="44">
        <f t="shared" ca="1" si="100"/>
        <v>2.2442427272544552</v>
      </c>
      <c r="S321" s="44">
        <f t="shared" ca="1" si="101"/>
        <v>2.2442427272544552</v>
      </c>
      <c r="T321" s="4">
        <f t="shared" ca="1" si="102"/>
        <v>0</v>
      </c>
      <c r="U321" s="120">
        <f t="shared" ca="1" si="103"/>
        <v>1461.901337549361</v>
      </c>
      <c r="V321" s="4">
        <f t="shared" ca="1" si="104"/>
        <v>0</v>
      </c>
      <c r="W321" s="13">
        <f t="shared" ca="1" si="105"/>
        <v>24587.406000000003</v>
      </c>
      <c r="X321" s="4">
        <f t="shared" ca="1" si="106"/>
        <v>0</v>
      </c>
      <c r="Y321" s="4">
        <f t="shared" si="107"/>
        <v>0</v>
      </c>
      <c r="Z321" s="13">
        <f t="shared" ca="1" si="108"/>
        <v>24587.406000000003</v>
      </c>
      <c r="AA321" s="4">
        <f t="shared" ca="1" si="109"/>
        <v>0</v>
      </c>
      <c r="AE321" s="4"/>
    </row>
    <row r="322" spans="1:31">
      <c r="A322">
        <v>2</v>
      </c>
      <c r="B322">
        <v>1</v>
      </c>
      <c r="C322">
        <f t="shared" ca="1" si="88"/>
        <v>4</v>
      </c>
      <c r="D322">
        <f t="shared" ca="1" si="89"/>
        <v>3</v>
      </c>
      <c r="E322">
        <f t="shared" ca="1" si="90"/>
        <v>2</v>
      </c>
      <c r="F322" s="110">
        <f t="shared" ca="1" si="91"/>
        <v>0</v>
      </c>
      <c r="G322">
        <v>0</v>
      </c>
      <c r="H322">
        <v>1</v>
      </c>
      <c r="I322">
        <v>7</v>
      </c>
      <c r="J322" s="1">
        <f t="shared" ca="1" si="92"/>
        <v>0</v>
      </c>
      <c r="K322" s="1">
        <f t="shared" ca="1" si="93"/>
        <v>0</v>
      </c>
      <c r="L322" s="13">
        <f t="shared" ca="1" si="94"/>
        <v>374</v>
      </c>
      <c r="M322" s="7">
        <f t="shared" ca="1" si="95"/>
        <v>626</v>
      </c>
      <c r="N322" s="26">
        <f t="shared" ca="1" si="96"/>
        <v>3</v>
      </c>
      <c r="O322" s="44">
        <f t="shared" ca="1" si="97"/>
        <v>2.2442427272544552</v>
      </c>
      <c r="P322" s="44">
        <f t="shared" ca="1" si="98"/>
        <v>22.442427272544553</v>
      </c>
      <c r="Q322" s="44">
        <f t="shared" ca="1" si="99"/>
        <v>22.442427272544553</v>
      </c>
      <c r="R322" s="44">
        <f t="shared" ca="1" si="100"/>
        <v>2.2442427272544552</v>
      </c>
      <c r="S322" s="44">
        <f t="shared" ca="1" si="101"/>
        <v>2.2442427272544552</v>
      </c>
      <c r="T322" s="4">
        <f t="shared" ca="1" si="102"/>
        <v>0</v>
      </c>
      <c r="U322" s="120">
        <f t="shared" ca="1" si="103"/>
        <v>1594.901337549361</v>
      </c>
      <c r="V322" s="4">
        <f t="shared" ca="1" si="104"/>
        <v>0</v>
      </c>
      <c r="W322" s="13">
        <f t="shared" ca="1" si="105"/>
        <v>16386.3</v>
      </c>
      <c r="X322" s="4">
        <f t="shared" ca="1" si="106"/>
        <v>0</v>
      </c>
      <c r="Y322" s="4">
        <f t="shared" si="107"/>
        <v>0</v>
      </c>
      <c r="Z322" s="13">
        <f t="shared" ca="1" si="108"/>
        <v>16386.3</v>
      </c>
      <c r="AA322" s="4">
        <f t="shared" ca="1" si="109"/>
        <v>0</v>
      </c>
      <c r="AE322" s="4"/>
    </row>
    <row r="323" spans="1:31">
      <c r="A323">
        <v>2</v>
      </c>
      <c r="B323">
        <v>1</v>
      </c>
      <c r="C323">
        <f t="shared" ca="1" si="88"/>
        <v>4</v>
      </c>
      <c r="D323">
        <f t="shared" ca="1" si="89"/>
        <v>3</v>
      </c>
      <c r="E323">
        <f t="shared" ca="1" si="90"/>
        <v>2</v>
      </c>
      <c r="F323" s="110">
        <f t="shared" ca="1" si="91"/>
        <v>0</v>
      </c>
      <c r="G323">
        <v>0</v>
      </c>
      <c r="H323">
        <v>1</v>
      </c>
      <c r="I323">
        <v>6</v>
      </c>
      <c r="J323" s="1">
        <f t="shared" ca="1" si="92"/>
        <v>0</v>
      </c>
      <c r="K323" s="1">
        <f t="shared" ca="1" si="93"/>
        <v>0</v>
      </c>
      <c r="L323" s="13">
        <f t="shared" ca="1" si="94"/>
        <v>355</v>
      </c>
      <c r="M323" s="7">
        <f t="shared" ca="1" si="95"/>
        <v>645</v>
      </c>
      <c r="N323" s="26">
        <f t="shared" ca="1" si="96"/>
        <v>3</v>
      </c>
      <c r="O323" s="44">
        <f t="shared" ca="1" si="97"/>
        <v>2.2442427272544552</v>
      </c>
      <c r="P323" s="44">
        <f t="shared" ca="1" si="98"/>
        <v>22.442427272544553</v>
      </c>
      <c r="Q323" s="44">
        <f t="shared" ca="1" si="99"/>
        <v>22.442427272544553</v>
      </c>
      <c r="R323" s="44">
        <f t="shared" ca="1" si="100"/>
        <v>2.2442427272544552</v>
      </c>
      <c r="S323" s="44">
        <f t="shared" ca="1" si="101"/>
        <v>2.2442427272544552</v>
      </c>
      <c r="T323" s="4">
        <f t="shared" ca="1" si="102"/>
        <v>0</v>
      </c>
      <c r="U323" s="120">
        <f t="shared" ca="1" si="103"/>
        <v>1575.901337549361</v>
      </c>
      <c r="V323" s="4">
        <f t="shared" ca="1" si="104"/>
        <v>0</v>
      </c>
      <c r="W323" s="13">
        <f t="shared" ca="1" si="105"/>
        <v>14045.400000000001</v>
      </c>
      <c r="X323" s="4">
        <f t="shared" ca="1" si="106"/>
        <v>0</v>
      </c>
      <c r="Y323" s="4">
        <f t="shared" si="107"/>
        <v>0</v>
      </c>
      <c r="Z323" s="13">
        <f t="shared" ca="1" si="108"/>
        <v>14045.400000000001</v>
      </c>
      <c r="AA323" s="4">
        <f t="shared" ca="1" si="109"/>
        <v>0</v>
      </c>
      <c r="AE323" s="4"/>
    </row>
    <row r="324" spans="1:31">
      <c r="A324">
        <v>2</v>
      </c>
      <c r="B324">
        <v>1</v>
      </c>
      <c r="C324">
        <f t="shared" ca="1" si="88"/>
        <v>4</v>
      </c>
      <c r="D324">
        <f t="shared" ca="1" si="89"/>
        <v>3</v>
      </c>
      <c r="E324">
        <f t="shared" ca="1" si="90"/>
        <v>2</v>
      </c>
      <c r="F324" s="110">
        <f t="shared" ca="1" si="91"/>
        <v>0</v>
      </c>
      <c r="G324">
        <v>0</v>
      </c>
      <c r="H324">
        <v>1</v>
      </c>
      <c r="I324">
        <v>5</v>
      </c>
      <c r="J324" s="1">
        <f t="shared" ca="1" si="92"/>
        <v>0</v>
      </c>
      <c r="K324" s="1">
        <f t="shared" ca="1" si="93"/>
        <v>0</v>
      </c>
      <c r="L324" s="13">
        <f t="shared" ca="1" si="94"/>
        <v>336</v>
      </c>
      <c r="M324" s="7">
        <f t="shared" ca="1" si="95"/>
        <v>664</v>
      </c>
      <c r="N324" s="26">
        <f t="shared" ca="1" si="96"/>
        <v>3</v>
      </c>
      <c r="O324" s="44">
        <f t="shared" ca="1" si="97"/>
        <v>2.2442427272544552</v>
      </c>
      <c r="P324" s="44">
        <f t="shared" ca="1" si="98"/>
        <v>22.442427272544553</v>
      </c>
      <c r="Q324" s="44">
        <f t="shared" ca="1" si="99"/>
        <v>22.442427272544553</v>
      </c>
      <c r="R324" s="44">
        <f t="shared" ca="1" si="100"/>
        <v>2.2442427272544552</v>
      </c>
      <c r="S324" s="44">
        <f t="shared" ca="1" si="101"/>
        <v>2.2442427272544552</v>
      </c>
      <c r="T324" s="4">
        <f t="shared" ca="1" si="102"/>
        <v>0</v>
      </c>
      <c r="U324" s="120">
        <f t="shared" ca="1" si="103"/>
        <v>1556.901337549361</v>
      </c>
      <c r="V324" s="4">
        <f t="shared" ca="1" si="104"/>
        <v>0</v>
      </c>
      <c r="W324" s="13">
        <f t="shared" ca="1" si="105"/>
        <v>11704.5</v>
      </c>
      <c r="X324" s="4">
        <f t="shared" ca="1" si="106"/>
        <v>0</v>
      </c>
      <c r="Y324" s="4">
        <f t="shared" si="107"/>
        <v>0</v>
      </c>
      <c r="Z324" s="13">
        <f t="shared" ca="1" si="108"/>
        <v>11704.5</v>
      </c>
      <c r="AA324" s="4">
        <f t="shared" ca="1" si="109"/>
        <v>0</v>
      </c>
      <c r="AE324" s="4"/>
    </row>
    <row r="325" spans="1:31">
      <c r="A325">
        <v>2</v>
      </c>
      <c r="B325">
        <v>1</v>
      </c>
      <c r="C325">
        <f t="shared" ca="1" si="88"/>
        <v>4</v>
      </c>
      <c r="D325">
        <f t="shared" ca="1" si="89"/>
        <v>3</v>
      </c>
      <c r="E325">
        <f t="shared" ca="1" si="90"/>
        <v>2</v>
      </c>
      <c r="F325" s="110">
        <f t="shared" ca="1" si="91"/>
        <v>0</v>
      </c>
      <c r="G325">
        <v>0</v>
      </c>
      <c r="H325">
        <v>1</v>
      </c>
      <c r="I325">
        <v>4</v>
      </c>
      <c r="J325" s="1">
        <f t="shared" ca="1" si="92"/>
        <v>0</v>
      </c>
      <c r="K325" s="1">
        <f t="shared" ca="1" si="93"/>
        <v>0</v>
      </c>
      <c r="L325" s="13">
        <f t="shared" ca="1" si="94"/>
        <v>317</v>
      </c>
      <c r="M325" s="7">
        <f t="shared" ca="1" si="95"/>
        <v>683</v>
      </c>
      <c r="N325" s="26">
        <f t="shared" ca="1" si="96"/>
        <v>3</v>
      </c>
      <c r="O325" s="44">
        <f t="shared" ca="1" si="97"/>
        <v>2.2442427272544552</v>
      </c>
      <c r="P325" s="44">
        <f t="shared" ca="1" si="98"/>
        <v>22.442427272544553</v>
      </c>
      <c r="Q325" s="44">
        <f t="shared" ca="1" si="99"/>
        <v>22.442427272544553</v>
      </c>
      <c r="R325" s="44">
        <f t="shared" ca="1" si="100"/>
        <v>2.2442427272544552</v>
      </c>
      <c r="S325" s="44">
        <f t="shared" ca="1" si="101"/>
        <v>2.2442427272544552</v>
      </c>
      <c r="T325" s="4">
        <f t="shared" ca="1" si="102"/>
        <v>0</v>
      </c>
      <c r="U325" s="120">
        <f t="shared" ca="1" si="103"/>
        <v>1537.901337549361</v>
      </c>
      <c r="V325" s="4">
        <f t="shared" ca="1" si="104"/>
        <v>0</v>
      </c>
      <c r="W325" s="13">
        <f t="shared" ca="1" si="105"/>
        <v>9363.6</v>
      </c>
      <c r="X325" s="4">
        <f t="shared" ca="1" si="106"/>
        <v>0</v>
      </c>
      <c r="Y325" s="4">
        <f t="shared" si="107"/>
        <v>0</v>
      </c>
      <c r="Z325" s="13">
        <f t="shared" ca="1" si="108"/>
        <v>9363.6</v>
      </c>
      <c r="AA325" s="4">
        <f t="shared" ca="1" si="109"/>
        <v>0</v>
      </c>
      <c r="AE325" s="4"/>
    </row>
    <row r="326" spans="1:31">
      <c r="A326">
        <v>2</v>
      </c>
      <c r="B326">
        <v>1</v>
      </c>
      <c r="C326">
        <f t="shared" ca="1" si="88"/>
        <v>4</v>
      </c>
      <c r="D326">
        <f t="shared" ca="1" si="89"/>
        <v>3</v>
      </c>
      <c r="E326">
        <f t="shared" ca="1" si="90"/>
        <v>2</v>
      </c>
      <c r="F326" s="110">
        <f t="shared" ca="1" si="91"/>
        <v>0</v>
      </c>
      <c r="G326">
        <v>0</v>
      </c>
      <c r="H326">
        <v>1</v>
      </c>
      <c r="I326">
        <v>3</v>
      </c>
      <c r="J326" s="1">
        <f t="shared" ca="1" si="92"/>
        <v>0</v>
      </c>
      <c r="K326" s="1">
        <f t="shared" ca="1" si="93"/>
        <v>0</v>
      </c>
      <c r="L326" s="13">
        <f t="shared" ca="1" si="94"/>
        <v>298</v>
      </c>
      <c r="M326" s="7">
        <f t="shared" ca="1" si="95"/>
        <v>702</v>
      </c>
      <c r="N326" s="26">
        <f t="shared" ca="1" si="96"/>
        <v>3</v>
      </c>
      <c r="O326" s="44">
        <f t="shared" ca="1" si="97"/>
        <v>2.2442427272544552</v>
      </c>
      <c r="P326" s="44">
        <f t="shared" ca="1" si="98"/>
        <v>22.442427272544553</v>
      </c>
      <c r="Q326" s="44">
        <f t="shared" ca="1" si="99"/>
        <v>22.442427272544553</v>
      </c>
      <c r="R326" s="44">
        <f t="shared" ca="1" si="100"/>
        <v>2.2442427272544552</v>
      </c>
      <c r="S326" s="44">
        <f t="shared" ca="1" si="101"/>
        <v>2.2442427272544552</v>
      </c>
      <c r="T326" s="4">
        <f t="shared" ca="1" si="102"/>
        <v>0</v>
      </c>
      <c r="U326" s="120">
        <f t="shared" ca="1" si="103"/>
        <v>1518.901337549361</v>
      </c>
      <c r="V326" s="4">
        <f t="shared" ca="1" si="104"/>
        <v>0</v>
      </c>
      <c r="W326" s="13">
        <f t="shared" ca="1" si="105"/>
        <v>7022.7000000000007</v>
      </c>
      <c r="X326" s="4">
        <f t="shared" ca="1" si="106"/>
        <v>0</v>
      </c>
      <c r="Y326" s="4">
        <f t="shared" si="107"/>
        <v>0</v>
      </c>
      <c r="Z326" s="13">
        <f t="shared" ca="1" si="108"/>
        <v>7022.7000000000007</v>
      </c>
      <c r="AA326" s="4">
        <f t="shared" ca="1" si="109"/>
        <v>0</v>
      </c>
      <c r="AE326" s="4"/>
    </row>
    <row r="327" spans="1:31">
      <c r="A327">
        <v>2</v>
      </c>
      <c r="B327">
        <v>1</v>
      </c>
      <c r="C327">
        <f t="shared" ca="1" si="88"/>
        <v>4</v>
      </c>
      <c r="D327">
        <f t="shared" ca="1" si="89"/>
        <v>3</v>
      </c>
      <c r="E327">
        <f t="shared" ca="1" si="90"/>
        <v>2</v>
      </c>
      <c r="F327" s="110">
        <f t="shared" ca="1" si="91"/>
        <v>0</v>
      </c>
      <c r="G327">
        <v>0</v>
      </c>
      <c r="H327">
        <v>1</v>
      </c>
      <c r="I327">
        <v>2</v>
      </c>
      <c r="J327" s="1">
        <f t="shared" ca="1" si="92"/>
        <v>0</v>
      </c>
      <c r="K327" s="1">
        <f t="shared" ca="1" si="93"/>
        <v>0</v>
      </c>
      <c r="L327" s="13">
        <f t="shared" ca="1" si="94"/>
        <v>279</v>
      </c>
      <c r="M327" s="7">
        <f t="shared" ca="1" si="95"/>
        <v>721</v>
      </c>
      <c r="N327" s="26">
        <f t="shared" ca="1" si="96"/>
        <v>3</v>
      </c>
      <c r="O327" s="44">
        <f t="shared" ca="1" si="97"/>
        <v>2.2442427272544552</v>
      </c>
      <c r="P327" s="44">
        <f t="shared" ca="1" si="98"/>
        <v>22.442427272544553</v>
      </c>
      <c r="Q327" s="44">
        <f t="shared" ca="1" si="99"/>
        <v>22.442427272544553</v>
      </c>
      <c r="R327" s="44">
        <f t="shared" ca="1" si="100"/>
        <v>2.2442427272544552</v>
      </c>
      <c r="S327" s="44">
        <f t="shared" ca="1" si="101"/>
        <v>2.2442427272544552</v>
      </c>
      <c r="T327" s="4">
        <f t="shared" ca="1" si="102"/>
        <v>0</v>
      </c>
      <c r="U327" s="120">
        <f t="shared" ca="1" si="103"/>
        <v>1499.901337549361</v>
      </c>
      <c r="V327" s="4">
        <f t="shared" ca="1" si="104"/>
        <v>0</v>
      </c>
      <c r="W327" s="13">
        <f t="shared" ca="1" si="105"/>
        <v>4681.8</v>
      </c>
      <c r="X327" s="4">
        <f t="shared" ca="1" si="106"/>
        <v>0</v>
      </c>
      <c r="Y327" s="4">
        <f t="shared" si="107"/>
        <v>0</v>
      </c>
      <c r="Z327" s="13">
        <f t="shared" ca="1" si="108"/>
        <v>4681.8</v>
      </c>
      <c r="AA327" s="4">
        <f t="shared" ca="1" si="109"/>
        <v>0</v>
      </c>
      <c r="AE327" s="4"/>
    </row>
    <row r="328" spans="1:31">
      <c r="A328">
        <v>2</v>
      </c>
      <c r="B328">
        <v>1</v>
      </c>
      <c r="C328">
        <f t="shared" ca="1" si="88"/>
        <v>4</v>
      </c>
      <c r="D328">
        <f t="shared" ca="1" si="89"/>
        <v>3</v>
      </c>
      <c r="E328">
        <f t="shared" ca="1" si="90"/>
        <v>2</v>
      </c>
      <c r="F328" s="110">
        <f t="shared" ca="1" si="91"/>
        <v>0</v>
      </c>
      <c r="G328">
        <v>0</v>
      </c>
      <c r="H328">
        <v>1</v>
      </c>
      <c r="I328">
        <v>1</v>
      </c>
      <c r="J328" s="1">
        <f t="shared" ca="1" si="92"/>
        <v>0</v>
      </c>
      <c r="K328" s="1">
        <f t="shared" ca="1" si="93"/>
        <v>0</v>
      </c>
      <c r="L328" s="13">
        <f t="shared" ca="1" si="94"/>
        <v>260</v>
      </c>
      <c r="M328" s="7">
        <f t="shared" ca="1" si="95"/>
        <v>740</v>
      </c>
      <c r="N328" s="26">
        <f t="shared" ca="1" si="96"/>
        <v>3</v>
      </c>
      <c r="O328" s="44">
        <f t="shared" ca="1" si="97"/>
        <v>2.2442427272544552</v>
      </c>
      <c r="P328" s="44">
        <f t="shared" ca="1" si="98"/>
        <v>22.442427272544553</v>
      </c>
      <c r="Q328" s="44">
        <f t="shared" ca="1" si="99"/>
        <v>22.442427272544553</v>
      </c>
      <c r="R328" s="44">
        <f t="shared" ca="1" si="100"/>
        <v>2.2442427272544552</v>
      </c>
      <c r="S328" s="44">
        <f t="shared" ca="1" si="101"/>
        <v>2.2442427272544552</v>
      </c>
      <c r="T328" s="4">
        <f t="shared" ca="1" si="102"/>
        <v>0</v>
      </c>
      <c r="U328" s="120">
        <f t="shared" ca="1" si="103"/>
        <v>1480.901337549361</v>
      </c>
      <c r="V328" s="4">
        <f t="shared" ca="1" si="104"/>
        <v>0</v>
      </c>
      <c r="W328" s="13">
        <f t="shared" ca="1" si="105"/>
        <v>2340.9</v>
      </c>
      <c r="X328" s="4">
        <f t="shared" ca="1" si="106"/>
        <v>0</v>
      </c>
      <c r="Y328" s="4">
        <f t="shared" si="107"/>
        <v>0</v>
      </c>
      <c r="Z328" s="13">
        <f t="shared" ca="1" si="108"/>
        <v>2340.9</v>
      </c>
      <c r="AA328" s="4">
        <f t="shared" ca="1" si="109"/>
        <v>0</v>
      </c>
      <c r="AE328" s="4"/>
    </row>
    <row r="329" spans="1:31">
      <c r="A329">
        <v>2</v>
      </c>
      <c r="B329">
        <v>1</v>
      </c>
      <c r="C329">
        <f t="shared" ca="1" si="88"/>
        <v>4</v>
      </c>
      <c r="D329">
        <f t="shared" ca="1" si="89"/>
        <v>3</v>
      </c>
      <c r="E329">
        <f t="shared" ca="1" si="90"/>
        <v>2</v>
      </c>
      <c r="F329" s="110">
        <f t="shared" ca="1" si="91"/>
        <v>0</v>
      </c>
      <c r="G329">
        <v>0</v>
      </c>
      <c r="H329">
        <v>1</v>
      </c>
      <c r="I329">
        <v>0</v>
      </c>
      <c r="J329" s="1">
        <f t="shared" ca="1" si="92"/>
        <v>0</v>
      </c>
      <c r="K329" s="1">
        <f t="shared" ca="1" si="93"/>
        <v>0</v>
      </c>
      <c r="L329" s="13">
        <f t="shared" ca="1" si="94"/>
        <v>241</v>
      </c>
      <c r="M329" s="7">
        <f t="shared" ca="1" si="95"/>
        <v>759</v>
      </c>
      <c r="N329" s="26">
        <f t="shared" ca="1" si="96"/>
        <v>3</v>
      </c>
      <c r="O329" s="44">
        <f t="shared" ca="1" si="97"/>
        <v>2.2442427272544552</v>
      </c>
      <c r="P329" s="44">
        <f t="shared" ca="1" si="98"/>
        <v>22.442427272544553</v>
      </c>
      <c r="Q329" s="44">
        <f t="shared" ca="1" si="99"/>
        <v>22.442427272544553</v>
      </c>
      <c r="R329" s="44">
        <f t="shared" ca="1" si="100"/>
        <v>2.2442427272544552</v>
      </c>
      <c r="S329" s="44">
        <f t="shared" ca="1" si="101"/>
        <v>2.2442427272544552</v>
      </c>
      <c r="T329" s="4">
        <f t="shared" ca="1" si="102"/>
        <v>0</v>
      </c>
      <c r="U329" s="120">
        <f t="shared" ca="1" si="103"/>
        <v>1461.901337549361</v>
      </c>
      <c r="V329" s="4">
        <f t="shared" ca="1" si="104"/>
        <v>0</v>
      </c>
      <c r="W329" s="13">
        <f t="shared" ca="1" si="105"/>
        <v>0</v>
      </c>
      <c r="X329" s="4">
        <f t="shared" ca="1" si="106"/>
        <v>0</v>
      </c>
      <c r="Y329" s="4">
        <f t="shared" si="107"/>
        <v>0</v>
      </c>
      <c r="Z329" s="13">
        <f t="shared" ca="1" si="108"/>
        <v>0</v>
      </c>
      <c r="AA329" s="4">
        <f t="shared" ca="1" si="109"/>
        <v>0</v>
      </c>
      <c r="AE329" s="4"/>
    </row>
    <row r="330" spans="1:31">
      <c r="A330">
        <v>2</v>
      </c>
      <c r="B330">
        <v>1</v>
      </c>
      <c r="C330">
        <f t="shared" ca="1" si="88"/>
        <v>4</v>
      </c>
      <c r="D330">
        <f t="shared" ca="1" si="89"/>
        <v>3</v>
      </c>
      <c r="E330">
        <f t="shared" ca="1" si="90"/>
        <v>2</v>
      </c>
      <c r="F330" s="110">
        <f t="shared" ca="1" si="91"/>
        <v>0</v>
      </c>
      <c r="G330">
        <v>0</v>
      </c>
      <c r="H330">
        <v>0</v>
      </c>
      <c r="I330">
        <v>7</v>
      </c>
      <c r="J330" s="1">
        <f t="shared" ca="1" si="92"/>
        <v>0</v>
      </c>
      <c r="K330" s="1">
        <f t="shared" ca="1" si="93"/>
        <v>0</v>
      </c>
      <c r="L330" s="13">
        <f t="shared" ca="1" si="94"/>
        <v>133</v>
      </c>
      <c r="M330" s="7">
        <f t="shared" ca="1" si="95"/>
        <v>867</v>
      </c>
      <c r="N330" s="26">
        <f t="shared" ca="1" si="96"/>
        <v>4</v>
      </c>
      <c r="O330" s="44">
        <f t="shared" ca="1" si="97"/>
        <v>2.8621467101781541</v>
      </c>
      <c r="P330" s="44">
        <f t="shared" ca="1" si="98"/>
        <v>28.621467101781548</v>
      </c>
      <c r="Q330" s="44">
        <f t="shared" ca="1" si="99"/>
        <v>24.914043204239348</v>
      </c>
      <c r="R330" s="44">
        <f t="shared" ca="1" si="100"/>
        <v>2.6767755153010446</v>
      </c>
      <c r="S330" s="44">
        <f t="shared" ca="1" si="101"/>
        <v>2.8491707265367565</v>
      </c>
      <c r="T330" s="4">
        <f t="shared" ca="1" si="102"/>
        <v>0</v>
      </c>
      <c r="U330" s="120">
        <f t="shared" ca="1" si="103"/>
        <v>1622.8690837457082</v>
      </c>
      <c r="V330" s="4">
        <f t="shared" ca="1" si="104"/>
        <v>0</v>
      </c>
      <c r="W330" s="13">
        <f t="shared" ca="1" si="105"/>
        <v>16386.3</v>
      </c>
      <c r="X330" s="4">
        <f t="shared" ca="1" si="106"/>
        <v>0</v>
      </c>
      <c r="Y330" s="4">
        <f t="shared" si="107"/>
        <v>0</v>
      </c>
      <c r="Z330" s="13">
        <f t="shared" ca="1" si="108"/>
        <v>16386.3</v>
      </c>
      <c r="AA330" s="4">
        <f t="shared" ca="1" si="109"/>
        <v>0</v>
      </c>
      <c r="AE330" s="4"/>
    </row>
    <row r="331" spans="1:31">
      <c r="A331">
        <v>2</v>
      </c>
      <c r="B331">
        <v>1</v>
      </c>
      <c r="C331">
        <f t="shared" ca="1" si="88"/>
        <v>4</v>
      </c>
      <c r="D331">
        <f t="shared" ca="1" si="89"/>
        <v>3</v>
      </c>
      <c r="E331">
        <f t="shared" ca="1" si="90"/>
        <v>2</v>
      </c>
      <c r="F331" s="110">
        <f t="shared" ca="1" si="91"/>
        <v>0</v>
      </c>
      <c r="G331">
        <v>0</v>
      </c>
      <c r="H331">
        <v>0</v>
      </c>
      <c r="I331">
        <v>6</v>
      </c>
      <c r="J331" s="1">
        <f t="shared" ca="1" si="92"/>
        <v>0</v>
      </c>
      <c r="K331" s="1">
        <f t="shared" ca="1" si="93"/>
        <v>0</v>
      </c>
      <c r="L331" s="13">
        <f t="shared" ca="1" si="94"/>
        <v>114</v>
      </c>
      <c r="M331" s="7">
        <f t="shared" ca="1" si="95"/>
        <v>886</v>
      </c>
      <c r="N331" s="26">
        <f t="shared" ca="1" si="96"/>
        <v>4</v>
      </c>
      <c r="O331" s="44">
        <f t="shared" ca="1" si="97"/>
        <v>2.8621467101781541</v>
      </c>
      <c r="P331" s="44">
        <f t="shared" ca="1" si="98"/>
        <v>28.621467101781548</v>
      </c>
      <c r="Q331" s="44">
        <f t="shared" ca="1" si="99"/>
        <v>28.621467101781548</v>
      </c>
      <c r="R331" s="44">
        <f t="shared" ca="1" si="100"/>
        <v>2.8621467101781546</v>
      </c>
      <c r="S331" s="44">
        <f t="shared" ca="1" si="101"/>
        <v>2.8621467101781541</v>
      </c>
      <c r="T331" s="4">
        <f t="shared" ca="1" si="102"/>
        <v>0</v>
      </c>
      <c r="U331" s="120">
        <f t="shared" ca="1" si="103"/>
        <v>1609.6385655333725</v>
      </c>
      <c r="V331" s="4">
        <f t="shared" ca="1" si="104"/>
        <v>0</v>
      </c>
      <c r="W331" s="13">
        <f t="shared" ca="1" si="105"/>
        <v>14045.400000000001</v>
      </c>
      <c r="X331" s="4">
        <f t="shared" ca="1" si="106"/>
        <v>0</v>
      </c>
      <c r="Y331" s="4">
        <f t="shared" si="107"/>
        <v>0</v>
      </c>
      <c r="Z331" s="13">
        <f t="shared" ca="1" si="108"/>
        <v>14045.400000000001</v>
      </c>
      <c r="AA331" s="4">
        <f t="shared" ca="1" si="109"/>
        <v>0</v>
      </c>
      <c r="AE331" s="4"/>
    </row>
    <row r="332" spans="1:31">
      <c r="A332">
        <v>2</v>
      </c>
      <c r="B332">
        <v>1</v>
      </c>
      <c r="C332">
        <f t="shared" ca="1" si="88"/>
        <v>4</v>
      </c>
      <c r="D332">
        <f t="shared" ca="1" si="89"/>
        <v>3</v>
      </c>
      <c r="E332">
        <f t="shared" ca="1" si="90"/>
        <v>2</v>
      </c>
      <c r="F332" s="110">
        <f t="shared" ca="1" si="91"/>
        <v>0</v>
      </c>
      <c r="G332">
        <v>0</v>
      </c>
      <c r="H332">
        <v>0</v>
      </c>
      <c r="I332">
        <v>5</v>
      </c>
      <c r="J332" s="1">
        <f t="shared" ca="1" si="92"/>
        <v>0</v>
      </c>
      <c r="K332" s="1">
        <f t="shared" ca="1" si="93"/>
        <v>0</v>
      </c>
      <c r="L332" s="13">
        <f t="shared" ca="1" si="94"/>
        <v>95</v>
      </c>
      <c r="M332" s="7">
        <f t="shared" ca="1" si="95"/>
        <v>905</v>
      </c>
      <c r="N332" s="26">
        <f t="shared" ca="1" si="96"/>
        <v>4</v>
      </c>
      <c r="O332" s="44">
        <f t="shared" ca="1" si="97"/>
        <v>2.8621467101781541</v>
      </c>
      <c r="P332" s="44">
        <f t="shared" ca="1" si="98"/>
        <v>28.621467101781548</v>
      </c>
      <c r="Q332" s="44">
        <f t="shared" ca="1" si="99"/>
        <v>28.621467101781548</v>
      </c>
      <c r="R332" s="44">
        <f t="shared" ca="1" si="100"/>
        <v>2.8621467101781546</v>
      </c>
      <c r="S332" s="44">
        <f t="shared" ca="1" si="101"/>
        <v>2.8621467101781541</v>
      </c>
      <c r="T332" s="4">
        <f t="shared" ca="1" si="102"/>
        <v>0</v>
      </c>
      <c r="U332" s="120">
        <f t="shared" ca="1" si="103"/>
        <v>1590.6385655333725</v>
      </c>
      <c r="V332" s="4">
        <f t="shared" ca="1" si="104"/>
        <v>0</v>
      </c>
      <c r="W332" s="13">
        <f t="shared" ca="1" si="105"/>
        <v>11704.5</v>
      </c>
      <c r="X332" s="4">
        <f t="shared" ca="1" si="106"/>
        <v>0</v>
      </c>
      <c r="Y332" s="4">
        <f t="shared" si="107"/>
        <v>0</v>
      </c>
      <c r="Z332" s="13">
        <f t="shared" ca="1" si="108"/>
        <v>11704.5</v>
      </c>
      <c r="AA332" s="4">
        <f t="shared" ca="1" si="109"/>
        <v>0</v>
      </c>
      <c r="AE332" s="4"/>
    </row>
    <row r="333" spans="1:31">
      <c r="A333">
        <v>2</v>
      </c>
      <c r="B333">
        <v>1</v>
      </c>
      <c r="C333">
        <f t="shared" ca="1" si="88"/>
        <v>4</v>
      </c>
      <c r="D333">
        <f t="shared" ca="1" si="89"/>
        <v>3</v>
      </c>
      <c r="E333">
        <f t="shared" ca="1" si="90"/>
        <v>2</v>
      </c>
      <c r="F333" s="110">
        <f t="shared" ca="1" si="91"/>
        <v>0</v>
      </c>
      <c r="G333">
        <v>0</v>
      </c>
      <c r="H333">
        <v>0</v>
      </c>
      <c r="I333">
        <v>4</v>
      </c>
      <c r="J333" s="1">
        <f t="shared" ca="1" si="92"/>
        <v>0</v>
      </c>
      <c r="K333" s="1">
        <f t="shared" ca="1" si="93"/>
        <v>0</v>
      </c>
      <c r="L333" s="13">
        <f t="shared" ca="1" si="94"/>
        <v>76</v>
      </c>
      <c r="M333" s="7">
        <f t="shared" ca="1" si="95"/>
        <v>924</v>
      </c>
      <c r="N333" s="26">
        <f t="shared" ca="1" si="96"/>
        <v>4</v>
      </c>
      <c r="O333" s="44">
        <f t="shared" ca="1" si="97"/>
        <v>2.8621467101781541</v>
      </c>
      <c r="P333" s="44">
        <f t="shared" ca="1" si="98"/>
        <v>28.621467101781548</v>
      </c>
      <c r="Q333" s="44">
        <f t="shared" ca="1" si="99"/>
        <v>28.621467101781548</v>
      </c>
      <c r="R333" s="44">
        <f t="shared" ca="1" si="100"/>
        <v>2.8621467101781546</v>
      </c>
      <c r="S333" s="44">
        <f t="shared" ca="1" si="101"/>
        <v>2.8621467101781541</v>
      </c>
      <c r="T333" s="4">
        <f t="shared" ca="1" si="102"/>
        <v>0</v>
      </c>
      <c r="U333" s="120">
        <f t="shared" ca="1" si="103"/>
        <v>1571.6385655333725</v>
      </c>
      <c r="V333" s="4">
        <f t="shared" ca="1" si="104"/>
        <v>0</v>
      </c>
      <c r="W333" s="13">
        <f t="shared" ca="1" si="105"/>
        <v>9363.6</v>
      </c>
      <c r="X333" s="4">
        <f t="shared" ca="1" si="106"/>
        <v>0</v>
      </c>
      <c r="Y333" s="4">
        <f t="shared" si="107"/>
        <v>0</v>
      </c>
      <c r="Z333" s="13">
        <f t="shared" ca="1" si="108"/>
        <v>9363.6</v>
      </c>
      <c r="AA333" s="4">
        <f t="shared" ca="1" si="109"/>
        <v>0</v>
      </c>
      <c r="AE333" s="4"/>
    </row>
    <row r="334" spans="1:31">
      <c r="A334">
        <v>2</v>
      </c>
      <c r="B334">
        <v>1</v>
      </c>
      <c r="C334">
        <f t="shared" ca="1" si="88"/>
        <v>4</v>
      </c>
      <c r="D334">
        <f t="shared" ca="1" si="89"/>
        <v>3</v>
      </c>
      <c r="E334">
        <f t="shared" ca="1" si="90"/>
        <v>2</v>
      </c>
      <c r="F334" s="110">
        <f t="shared" ca="1" si="91"/>
        <v>0</v>
      </c>
      <c r="G334">
        <v>0</v>
      </c>
      <c r="H334">
        <v>0</v>
      </c>
      <c r="I334">
        <v>3</v>
      </c>
      <c r="J334" s="1">
        <f t="shared" ca="1" si="92"/>
        <v>3.3496093750000004E-2</v>
      </c>
      <c r="K334" s="1">
        <f t="shared" ca="1" si="93"/>
        <v>0</v>
      </c>
      <c r="L334" s="13">
        <f t="shared" ca="1" si="94"/>
        <v>57</v>
      </c>
      <c r="M334" s="7">
        <f t="shared" ca="1" si="95"/>
        <v>943</v>
      </c>
      <c r="N334" s="26">
        <f t="shared" ca="1" si="96"/>
        <v>4</v>
      </c>
      <c r="O334" s="44">
        <f t="shared" ca="1" si="97"/>
        <v>2.8621467101781541</v>
      </c>
      <c r="P334" s="44">
        <f t="shared" ca="1" si="98"/>
        <v>28.621467101781548</v>
      </c>
      <c r="Q334" s="44">
        <f t="shared" ca="1" si="99"/>
        <v>28.621467101781548</v>
      </c>
      <c r="R334" s="44">
        <f t="shared" ca="1" si="100"/>
        <v>2.8621467101781546</v>
      </c>
      <c r="S334" s="44">
        <f t="shared" ca="1" si="101"/>
        <v>2.8621467101781541</v>
      </c>
      <c r="T334" s="4">
        <f t="shared" ca="1" si="102"/>
        <v>0</v>
      </c>
      <c r="U334" s="120">
        <f t="shared" ca="1" si="103"/>
        <v>1552.6385655333725</v>
      </c>
      <c r="V334" s="4">
        <f t="shared" ca="1" si="104"/>
        <v>0</v>
      </c>
      <c r="W334" s="13">
        <f t="shared" ca="1" si="105"/>
        <v>7022.7000000000007</v>
      </c>
      <c r="X334" s="4">
        <f t="shared" ca="1" si="106"/>
        <v>0</v>
      </c>
      <c r="Y334" s="4">
        <f t="shared" si="107"/>
        <v>0</v>
      </c>
      <c r="Z334" s="13">
        <f t="shared" ca="1" si="108"/>
        <v>7022.7000000000007</v>
      </c>
      <c r="AA334" s="4">
        <f t="shared" ca="1" si="109"/>
        <v>0</v>
      </c>
      <c r="AE334" s="4"/>
    </row>
    <row r="335" spans="1:31">
      <c r="A335">
        <v>2</v>
      </c>
      <c r="B335">
        <v>1</v>
      </c>
      <c r="C335">
        <f t="shared" ca="1" si="88"/>
        <v>4</v>
      </c>
      <c r="D335">
        <f t="shared" ca="1" si="89"/>
        <v>3</v>
      </c>
      <c r="E335">
        <f t="shared" ca="1" si="90"/>
        <v>2</v>
      </c>
      <c r="F335" s="110">
        <f t="shared" ca="1" si="91"/>
        <v>0</v>
      </c>
      <c r="G335">
        <v>0</v>
      </c>
      <c r="H335">
        <v>0</v>
      </c>
      <c r="I335">
        <v>2</v>
      </c>
      <c r="J335" s="1">
        <f t="shared" ca="1" si="92"/>
        <v>1.4355468750000001E-2</v>
      </c>
      <c r="K335" s="1">
        <f t="shared" ca="1" si="93"/>
        <v>0</v>
      </c>
      <c r="L335" s="13">
        <f t="shared" ca="1" si="94"/>
        <v>38</v>
      </c>
      <c r="M335" s="7">
        <f t="shared" ca="1" si="95"/>
        <v>962</v>
      </c>
      <c r="N335" s="26">
        <f t="shared" ca="1" si="96"/>
        <v>4</v>
      </c>
      <c r="O335" s="44">
        <f t="shared" ca="1" si="97"/>
        <v>2.8621467101781541</v>
      </c>
      <c r="P335" s="44">
        <f t="shared" ca="1" si="98"/>
        <v>28.621467101781548</v>
      </c>
      <c r="Q335" s="44">
        <f t="shared" ca="1" si="99"/>
        <v>28.621467101781548</v>
      </c>
      <c r="R335" s="44">
        <f t="shared" ca="1" si="100"/>
        <v>2.8621467101781546</v>
      </c>
      <c r="S335" s="44">
        <f t="shared" ca="1" si="101"/>
        <v>2.8621467101781541</v>
      </c>
      <c r="T335" s="4">
        <f t="shared" ca="1" si="102"/>
        <v>0</v>
      </c>
      <c r="U335" s="120">
        <f t="shared" ca="1" si="103"/>
        <v>1533.6385655333725</v>
      </c>
      <c r="V335" s="4">
        <f t="shared" ca="1" si="104"/>
        <v>0</v>
      </c>
      <c r="W335" s="13">
        <f t="shared" ca="1" si="105"/>
        <v>4681.8</v>
      </c>
      <c r="X335" s="4">
        <f t="shared" ca="1" si="106"/>
        <v>0</v>
      </c>
      <c r="Y335" s="4">
        <f t="shared" si="107"/>
        <v>0</v>
      </c>
      <c r="Z335" s="13">
        <f t="shared" ca="1" si="108"/>
        <v>4681.8</v>
      </c>
      <c r="AA335" s="4">
        <f t="shared" ca="1" si="109"/>
        <v>0</v>
      </c>
      <c r="AE335" s="4"/>
    </row>
    <row r="336" spans="1:31">
      <c r="A336">
        <v>2</v>
      </c>
      <c r="B336">
        <v>1</v>
      </c>
      <c r="C336">
        <f t="shared" ca="1" si="88"/>
        <v>4</v>
      </c>
      <c r="D336">
        <f t="shared" ca="1" si="89"/>
        <v>3</v>
      </c>
      <c r="E336">
        <f t="shared" ca="1" si="90"/>
        <v>2</v>
      </c>
      <c r="F336" s="110">
        <f t="shared" ca="1" si="91"/>
        <v>0</v>
      </c>
      <c r="G336">
        <v>0</v>
      </c>
      <c r="H336">
        <v>0</v>
      </c>
      <c r="I336">
        <v>1</v>
      </c>
      <c r="J336" s="1">
        <f t="shared" ca="1" si="92"/>
        <v>2.0507812500000001E-3</v>
      </c>
      <c r="K336" s="1">
        <f t="shared" ca="1" si="93"/>
        <v>0</v>
      </c>
      <c r="L336" s="13">
        <f t="shared" ca="1" si="94"/>
        <v>19</v>
      </c>
      <c r="M336" s="7">
        <f t="shared" ca="1" si="95"/>
        <v>981</v>
      </c>
      <c r="N336" s="26">
        <f t="shared" ca="1" si="96"/>
        <v>4</v>
      </c>
      <c r="O336" s="44">
        <f t="shared" ca="1" si="97"/>
        <v>2.8621467101781541</v>
      </c>
      <c r="P336" s="44">
        <f t="shared" ca="1" si="98"/>
        <v>28.621467101781548</v>
      </c>
      <c r="Q336" s="44">
        <f t="shared" ca="1" si="99"/>
        <v>28.621467101781548</v>
      </c>
      <c r="R336" s="44">
        <f t="shared" ca="1" si="100"/>
        <v>2.8621467101781546</v>
      </c>
      <c r="S336" s="44">
        <f t="shared" ca="1" si="101"/>
        <v>2.8621467101781541</v>
      </c>
      <c r="T336" s="4">
        <f t="shared" ca="1" si="102"/>
        <v>0</v>
      </c>
      <c r="U336" s="120">
        <f t="shared" ca="1" si="103"/>
        <v>1514.6385655333725</v>
      </c>
      <c r="V336" s="4">
        <f t="shared" ca="1" si="104"/>
        <v>0</v>
      </c>
      <c r="W336" s="13">
        <f t="shared" ca="1" si="105"/>
        <v>2340.9</v>
      </c>
      <c r="X336" s="4">
        <f t="shared" ca="1" si="106"/>
        <v>0</v>
      </c>
      <c r="Y336" s="4">
        <f t="shared" si="107"/>
        <v>0</v>
      </c>
      <c r="Z336" s="13">
        <f t="shared" ca="1" si="108"/>
        <v>2340.9</v>
      </c>
      <c r="AA336" s="4">
        <f t="shared" ca="1" si="109"/>
        <v>0</v>
      </c>
      <c r="AE336" s="4"/>
    </row>
    <row r="337" spans="1:31">
      <c r="A337">
        <v>2</v>
      </c>
      <c r="B337">
        <v>1</v>
      </c>
      <c r="C337">
        <f t="shared" ca="1" si="88"/>
        <v>4</v>
      </c>
      <c r="D337">
        <f t="shared" ca="1" si="89"/>
        <v>3</v>
      </c>
      <c r="E337">
        <f t="shared" ca="1" si="90"/>
        <v>2</v>
      </c>
      <c r="F337" s="110">
        <f t="shared" ca="1" si="91"/>
        <v>0</v>
      </c>
      <c r="G337">
        <v>0</v>
      </c>
      <c r="H337">
        <v>0</v>
      </c>
      <c r="I337">
        <v>0</v>
      </c>
      <c r="J337" s="1">
        <f t="shared" ca="1" si="92"/>
        <v>9.7656250000000005E-5</v>
      </c>
      <c r="K337" s="1">
        <f t="shared" ca="1" si="93"/>
        <v>0</v>
      </c>
      <c r="L337" s="13">
        <f t="shared" ca="1" si="94"/>
        <v>0</v>
      </c>
      <c r="M337" s="7">
        <f t="shared" ca="1" si="95"/>
        <v>1000</v>
      </c>
      <c r="N337" s="26">
        <f t="shared" ca="1" si="96"/>
        <v>4</v>
      </c>
      <c r="O337" s="44">
        <f t="shared" ca="1" si="97"/>
        <v>2.8621467101781541</v>
      </c>
      <c r="P337" s="44">
        <f t="shared" ca="1" si="98"/>
        <v>28.621467101781548</v>
      </c>
      <c r="Q337" s="44">
        <f t="shared" ca="1" si="99"/>
        <v>28.621467101781548</v>
      </c>
      <c r="R337" s="44">
        <f t="shared" ca="1" si="100"/>
        <v>2.8621467101781546</v>
      </c>
      <c r="S337" s="44">
        <f t="shared" ca="1" si="101"/>
        <v>2.8621467101781541</v>
      </c>
      <c r="T337" s="4">
        <f t="shared" ca="1" si="102"/>
        <v>0</v>
      </c>
      <c r="U337" s="120">
        <f t="shared" ca="1" si="103"/>
        <v>1495.6385655333725</v>
      </c>
      <c r="V337" s="4">
        <f t="shared" ca="1" si="104"/>
        <v>0</v>
      </c>
      <c r="W337" s="13">
        <f t="shared" ca="1" si="105"/>
        <v>0</v>
      </c>
      <c r="X337" s="4">
        <f t="shared" ca="1" si="106"/>
        <v>0</v>
      </c>
      <c r="Y337" s="4">
        <f t="shared" si="107"/>
        <v>0</v>
      </c>
      <c r="Z337" s="13">
        <f t="shared" ca="1" si="108"/>
        <v>0</v>
      </c>
      <c r="AA337" s="4">
        <f t="shared" ca="1" si="109"/>
        <v>0</v>
      </c>
      <c r="AE337" s="4"/>
    </row>
    <row r="338" spans="1:31">
      <c r="A338">
        <v>2</v>
      </c>
      <c r="B338">
        <v>2</v>
      </c>
      <c r="C338">
        <f t="shared" ref="C338:C401" ca="1" si="110">MIN(8, 1+$B$10+$B$9+A338+B338)</f>
        <v>5</v>
      </c>
      <c r="D338">
        <f t="shared" ref="D338:D401" ca="1" si="111">C338-(1+$B$10)</f>
        <v>4</v>
      </c>
      <c r="E338">
        <f t="shared" ref="E338:E401" ca="1" si="112">MIN(A338, C338-(1+$B$10+$B$9))</f>
        <v>2</v>
      </c>
      <c r="F338" s="110">
        <f t="shared" ref="F338:F401" ca="1" si="113">IF(A338=3, Set1QA, IF(A338=2, (1-Set1QA)*Set1TA + (1-Set1QA)*(1-Set1TA)*(1-Set1DA)*Set1AM3*Set1AM33, IF(A338=1, (1-Set1QA)*(1-Set1TA)*Set1DA + (1-Set1QA)*(1-Set1TA)*(1-Set1DA)*Set1AM3*Set1AM32, (1-Set1QA)*(1-Set1TA)*(1-Set1DA)*(1-Set1AM3)))) * IF($B$9+$B$10&gt;0, IF(B338=3, Set1QA, IF(B338=2, (1-Set1QA)*Set1TA, IF(B338=1, (1-Set1QA)*(1-Set1TA)*Set1DA, (1-Set1QA)*(1-Set1TA)*(1-Set1DA)))), IF(B338=0, 1, 0))</f>
        <v>0</v>
      </c>
      <c r="G338">
        <v>1</v>
      </c>
      <c r="H338">
        <v>1</v>
      </c>
      <c r="I338">
        <v>7</v>
      </c>
      <c r="J338" s="1">
        <f t="shared" ref="J338:J401" ca="1" si="114">POWER(95%,G338)*POWER(5%, 1-G338) * IF($B$10=0, IF(H338=0, 1, 0), POWER(Set1WSHitRate,H338)*POWER(1-Set1WSHitRate, 1-H338)) * IF(I338&lt;=D338, POWER(Set1WSHitRate, I338)*POWER(1-Set1WSHitRate, D338-I338)*COMBIN(D338,I338), 0)</f>
        <v>0</v>
      </c>
      <c r="K338" s="1">
        <f t="shared" ref="K338:K401" ca="1" si="115">F338*J338</f>
        <v>0</v>
      </c>
      <c r="L338" s="13">
        <f t="shared" ref="L338:L401" ca="1" si="116">MAX((G338+H338)*Set1WSTP + I338*$B$6, Set1SaveTP)</f>
        <v>615</v>
      </c>
      <c r="M338" s="7">
        <f t="shared" ref="M338:M401" ca="1" si="117">MAX(Set1MinTP-(L338+Set1Regain), 0)</f>
        <v>385</v>
      </c>
      <c r="N338" s="26">
        <f t="shared" ref="N338:N401" ca="1" si="118">CEILING(M338/Set1MeleeTP, 1)</f>
        <v>2</v>
      </c>
      <c r="O338" s="44">
        <f t="shared" ref="O338:O401" ca="1" si="119">VLOOKUP(N338,AvgRoundsSet1,2)</f>
        <v>1.5762319669595739</v>
      </c>
      <c r="P338" s="44">
        <f t="shared" ref="P338:P401" ca="1" si="120">VLOOKUP(CEILING(MAX(M338-1, 0)/Set1MeleeTP, 1), AvgRoundsSet1, 2) + VLOOKUP(CEILING(MAX(M338-2, 0)/Set1MeleeTP, 1), AvgRoundsSet1, 2) + VLOOKUP(CEILING(MAX(M338-3, 0)/Set1MeleeTP, 1), AvgRoundsSet1, 2) + VLOOKUP(CEILING(MAX(M338-4, 0)/Set1MeleeTP, 1), AvgRoundsSet1, 2) + VLOOKUP(CEILING(MAX(M338-5, 0)/Set1MeleeTP, 1), AvgRoundsSet1, 2) + VLOOKUP(CEILING(MAX(M338-6, 0)/Set1MeleeTP, 1), AvgRoundsSet1, 2) + VLOOKUP(CEILING(MAX(M338-7, 0)/Set1MeleeTP, 1), AvgRoundsSet1, 2) + VLOOKUP(CEILING(MAX(M338-8, 0)/Set1MeleeTP, 1), AvgRoundsSet1, 2) + VLOOKUP(CEILING(MAX(M338-9, 0)/Set1MeleeTP, 1), AvgRoundsSet1, 2) + VLOOKUP(CEILING(MAX(M338-10, 0)/Set1MeleeTP, 1), AvgRoundsSet1, 2)</f>
        <v>15.762319669595739</v>
      </c>
      <c r="Q338" s="44">
        <f t="shared" ref="Q338:Q401" ca="1" si="121">VLOOKUP(CEILING(MAX(M338-11, 0)/Set1MeleeTP, 1), AvgRoundsSet1, 2) + VLOOKUP(CEILING(MAX(M338-12, 0)/Set1MeleeTP, 1), AvgRoundsSet1, 2) + VLOOKUP(CEILING(MAX(M338-13, 0)/Set1MeleeTP, 1), AvgRoundsSet1, 2) + VLOOKUP(CEILING(MAX(M338-14, 0)/Set1MeleeTP, 1), AvgRoundsSet1, 2) + VLOOKUP(CEILING(MAX(M338-15, 0)/Set1MeleeTP, 1), AvgRoundsSet1, 2) + VLOOKUP(CEILING(MAX(M338-16, 0)/Set1MeleeTP, 1), AvgRoundsSet1, 2) + VLOOKUP(CEILING(MAX(M338-17, 0)/Set1MeleeTP, 1), AvgRoundsSet1, 2) + VLOOKUP(CEILING(MAX(M338-18, 0)/Set1MeleeTP, 1), AvgRoundsSet1, 2) + VLOOKUP(CEILING(MAX(M338-19, 0)/Set1MeleeTP, 1), AvgRoundsSet1, 2) + VLOOKUP(CEILING(MAX(M338-20, 0)/Set1MeleeTP, 1), AvgRoundsSet1, 2)</f>
        <v>15.762319669595739</v>
      </c>
      <c r="R338" s="44">
        <f t="shared" ref="R338:R401" ca="1" si="122">(P338+Q338)/20</f>
        <v>1.5762319669595739</v>
      </c>
      <c r="S338" s="44">
        <f t="shared" ref="S338:S401" ca="1" si="123">R338*Set1ConserveTP + O338*(1-Set1ConserveTP)</f>
        <v>1.5762319669595737</v>
      </c>
      <c r="T338" s="4">
        <f t="shared" ref="T338:T401" ca="1" si="124">K338*S338</f>
        <v>0</v>
      </c>
      <c r="U338" s="120">
        <f t="shared" ref="U338:U401" ca="1" si="125">MIN(L338+(S338+Set1OverTP)*AvgHitsPerRound1*Set1MeleeTP + Set1Regain + 10.5*Set1ConserveTP, 3000)</f>
        <v>1538.885248288175</v>
      </c>
      <c r="V338" s="4">
        <f t="shared" ref="V338:V401" ca="1" si="126">U338*K338</f>
        <v>0</v>
      </c>
      <c r="W338" s="13">
        <f t="shared" ref="W338:W401" ca="1" si="127">G338*$K$10*((1-$L$10)*$L$14 + $L$10*$M$14*$M$10)*Set1WSDmg + H338*$K$13*((1-$L$13)*$L$15 + $L$13*$M$15*$M$11) + I338*$K$11*((1-$L$11)*$L$14 + $L$11*$M$14*$M$11) + E338*$K$12*$L$12*$M$10</f>
        <v>40973.706000000006</v>
      </c>
      <c r="X338" s="4">
        <f t="shared" ref="X338:X401" ca="1" si="128">K338*W338</f>
        <v>0</v>
      </c>
      <c r="Y338" s="4">
        <f t="shared" ref="Y338:Y401" si="129">IF($B$12=1, (VLOOKUP(C338, IF($B$13=10%,Souleater10,Souleater12), 6, FALSE) * $B$14), 0)</f>
        <v>0</v>
      </c>
      <c r="Z338" s="13">
        <f t="shared" ca="1" si="108"/>
        <v>40973.706000000006</v>
      </c>
      <c r="AA338" s="4">
        <f t="shared" ca="1" si="109"/>
        <v>0</v>
      </c>
      <c r="AE338" s="4"/>
    </row>
    <row r="339" spans="1:31">
      <c r="A339">
        <v>2</v>
      </c>
      <c r="B339">
        <v>2</v>
      </c>
      <c r="C339">
        <f t="shared" ca="1" si="110"/>
        <v>5</v>
      </c>
      <c r="D339">
        <f t="shared" ca="1" si="111"/>
        <v>4</v>
      </c>
      <c r="E339">
        <f t="shared" ca="1" si="112"/>
        <v>2</v>
      </c>
      <c r="F339" s="110">
        <f t="shared" ca="1" si="113"/>
        <v>0</v>
      </c>
      <c r="G339">
        <v>1</v>
      </c>
      <c r="H339">
        <v>1</v>
      </c>
      <c r="I339">
        <v>6</v>
      </c>
      <c r="J339" s="1">
        <f t="shared" ca="1" si="114"/>
        <v>0</v>
      </c>
      <c r="K339" s="1">
        <f t="shared" ca="1" si="115"/>
        <v>0</v>
      </c>
      <c r="L339" s="13">
        <f t="shared" ca="1" si="116"/>
        <v>596</v>
      </c>
      <c r="M339" s="7">
        <f t="shared" ca="1" si="117"/>
        <v>404</v>
      </c>
      <c r="N339" s="26">
        <f t="shared" ca="1" si="118"/>
        <v>2</v>
      </c>
      <c r="O339" s="44">
        <f t="shared" ca="1" si="119"/>
        <v>1.5762319669595739</v>
      </c>
      <c r="P339" s="44">
        <f t="shared" ca="1" si="120"/>
        <v>15.762319669595739</v>
      </c>
      <c r="Q339" s="44">
        <f t="shared" ca="1" si="121"/>
        <v>15.762319669595739</v>
      </c>
      <c r="R339" s="44">
        <f t="shared" ca="1" si="122"/>
        <v>1.5762319669595739</v>
      </c>
      <c r="S339" s="44">
        <f t="shared" ca="1" si="123"/>
        <v>1.5762319669595737</v>
      </c>
      <c r="T339" s="4">
        <f t="shared" ca="1" si="124"/>
        <v>0</v>
      </c>
      <c r="U339" s="120">
        <f t="shared" ca="1" si="125"/>
        <v>1519.885248288175</v>
      </c>
      <c r="V339" s="4">
        <f t="shared" ca="1" si="126"/>
        <v>0</v>
      </c>
      <c r="W339" s="13">
        <f t="shared" ca="1" si="127"/>
        <v>38632.806000000004</v>
      </c>
      <c r="X339" s="4">
        <f t="shared" ca="1" si="128"/>
        <v>0</v>
      </c>
      <c r="Y339" s="4">
        <f t="shared" si="129"/>
        <v>0</v>
      </c>
      <c r="Z339" s="13">
        <f t="shared" ref="Z339:Z402" ca="1" si="130">Y339+W339</f>
        <v>38632.806000000004</v>
      </c>
      <c r="AA339" s="4">
        <f t="shared" ref="AA339:AA402" ca="1" si="131">Z339*K339</f>
        <v>0</v>
      </c>
      <c r="AE339" s="4"/>
    </row>
    <row r="340" spans="1:31">
      <c r="A340">
        <v>2</v>
      </c>
      <c r="B340">
        <v>2</v>
      </c>
      <c r="C340">
        <f t="shared" ca="1" si="110"/>
        <v>5</v>
      </c>
      <c r="D340">
        <f t="shared" ca="1" si="111"/>
        <v>4</v>
      </c>
      <c r="E340">
        <f t="shared" ca="1" si="112"/>
        <v>2</v>
      </c>
      <c r="F340" s="110">
        <f t="shared" ca="1" si="113"/>
        <v>0</v>
      </c>
      <c r="G340">
        <v>1</v>
      </c>
      <c r="H340">
        <v>1</v>
      </c>
      <c r="I340">
        <v>5</v>
      </c>
      <c r="J340" s="1">
        <f t="shared" ca="1" si="114"/>
        <v>0</v>
      </c>
      <c r="K340" s="1">
        <f t="shared" ca="1" si="115"/>
        <v>0</v>
      </c>
      <c r="L340" s="13">
        <f t="shared" ca="1" si="116"/>
        <v>577</v>
      </c>
      <c r="M340" s="7">
        <f t="shared" ca="1" si="117"/>
        <v>423</v>
      </c>
      <c r="N340" s="26">
        <f t="shared" ca="1" si="118"/>
        <v>2</v>
      </c>
      <c r="O340" s="44">
        <f t="shared" ca="1" si="119"/>
        <v>1.5762319669595739</v>
      </c>
      <c r="P340" s="44">
        <f t="shared" ca="1" si="120"/>
        <v>15.762319669595739</v>
      </c>
      <c r="Q340" s="44">
        <f t="shared" ca="1" si="121"/>
        <v>15.762319669595739</v>
      </c>
      <c r="R340" s="44">
        <f t="shared" ca="1" si="122"/>
        <v>1.5762319669595739</v>
      </c>
      <c r="S340" s="44">
        <f t="shared" ca="1" si="123"/>
        <v>1.5762319669595737</v>
      </c>
      <c r="T340" s="4">
        <f t="shared" ca="1" si="124"/>
        <v>0</v>
      </c>
      <c r="U340" s="120">
        <f t="shared" ca="1" si="125"/>
        <v>1500.885248288175</v>
      </c>
      <c r="V340" s="4">
        <f t="shared" ca="1" si="126"/>
        <v>0</v>
      </c>
      <c r="W340" s="13">
        <f t="shared" ca="1" si="127"/>
        <v>36291.906000000003</v>
      </c>
      <c r="X340" s="4">
        <f t="shared" ca="1" si="128"/>
        <v>0</v>
      </c>
      <c r="Y340" s="4">
        <f t="shared" si="129"/>
        <v>0</v>
      </c>
      <c r="Z340" s="13">
        <f t="shared" ca="1" si="130"/>
        <v>36291.906000000003</v>
      </c>
      <c r="AA340" s="4">
        <f t="shared" ca="1" si="131"/>
        <v>0</v>
      </c>
      <c r="AE340" s="4"/>
    </row>
    <row r="341" spans="1:31">
      <c r="A341">
        <v>2</v>
      </c>
      <c r="B341">
        <v>2</v>
      </c>
      <c r="C341">
        <f t="shared" ca="1" si="110"/>
        <v>5</v>
      </c>
      <c r="D341">
        <f t="shared" ca="1" si="111"/>
        <v>4</v>
      </c>
      <c r="E341">
        <f t="shared" ca="1" si="112"/>
        <v>2</v>
      </c>
      <c r="F341" s="110">
        <f t="shared" ca="1" si="113"/>
        <v>0</v>
      </c>
      <c r="G341">
        <v>1</v>
      </c>
      <c r="H341">
        <v>1</v>
      </c>
      <c r="I341">
        <v>4</v>
      </c>
      <c r="J341" s="1">
        <f t="shared" ca="1" si="114"/>
        <v>0</v>
      </c>
      <c r="K341" s="1">
        <f t="shared" ca="1" si="115"/>
        <v>0</v>
      </c>
      <c r="L341" s="13">
        <f t="shared" ca="1" si="116"/>
        <v>558</v>
      </c>
      <c r="M341" s="7">
        <f t="shared" ca="1" si="117"/>
        <v>442</v>
      </c>
      <c r="N341" s="26">
        <f t="shared" ca="1" si="118"/>
        <v>2</v>
      </c>
      <c r="O341" s="44">
        <f t="shared" ca="1" si="119"/>
        <v>1.5762319669595739</v>
      </c>
      <c r="P341" s="44">
        <f t="shared" ca="1" si="120"/>
        <v>15.762319669595739</v>
      </c>
      <c r="Q341" s="44">
        <f t="shared" ca="1" si="121"/>
        <v>15.762319669595739</v>
      </c>
      <c r="R341" s="44">
        <f t="shared" ca="1" si="122"/>
        <v>1.5762319669595739</v>
      </c>
      <c r="S341" s="44">
        <f t="shared" ca="1" si="123"/>
        <v>1.5762319669595737</v>
      </c>
      <c r="T341" s="4">
        <f t="shared" ca="1" si="124"/>
        <v>0</v>
      </c>
      <c r="U341" s="120">
        <f t="shared" ca="1" si="125"/>
        <v>1481.885248288175</v>
      </c>
      <c r="V341" s="4">
        <f t="shared" ca="1" si="126"/>
        <v>0</v>
      </c>
      <c r="W341" s="13">
        <f t="shared" ca="1" si="127"/>
        <v>33951.006000000001</v>
      </c>
      <c r="X341" s="4">
        <f t="shared" ca="1" si="128"/>
        <v>0</v>
      </c>
      <c r="Y341" s="4">
        <f t="shared" si="129"/>
        <v>0</v>
      </c>
      <c r="Z341" s="13">
        <f t="shared" ca="1" si="130"/>
        <v>33951.006000000001</v>
      </c>
      <c r="AA341" s="4">
        <f t="shared" ca="1" si="131"/>
        <v>0</v>
      </c>
      <c r="AE341" s="4"/>
    </row>
    <row r="342" spans="1:31">
      <c r="A342">
        <v>2</v>
      </c>
      <c r="B342">
        <v>2</v>
      </c>
      <c r="C342">
        <f t="shared" ca="1" si="110"/>
        <v>5</v>
      </c>
      <c r="D342">
        <f t="shared" ca="1" si="111"/>
        <v>4</v>
      </c>
      <c r="E342">
        <f t="shared" ca="1" si="112"/>
        <v>2</v>
      </c>
      <c r="F342" s="110">
        <f t="shared" ca="1" si="113"/>
        <v>0</v>
      </c>
      <c r="G342">
        <v>1</v>
      </c>
      <c r="H342">
        <v>1</v>
      </c>
      <c r="I342">
        <v>3</v>
      </c>
      <c r="J342" s="1">
        <f t="shared" ca="1" si="114"/>
        <v>0</v>
      </c>
      <c r="K342" s="1">
        <f t="shared" ca="1" si="115"/>
        <v>0</v>
      </c>
      <c r="L342" s="13">
        <f t="shared" ca="1" si="116"/>
        <v>539</v>
      </c>
      <c r="M342" s="7">
        <f t="shared" ca="1" si="117"/>
        <v>461</v>
      </c>
      <c r="N342" s="26">
        <f t="shared" ca="1" si="118"/>
        <v>2</v>
      </c>
      <c r="O342" s="44">
        <f t="shared" ca="1" si="119"/>
        <v>1.5762319669595739</v>
      </c>
      <c r="P342" s="44">
        <f t="shared" ca="1" si="120"/>
        <v>15.762319669595739</v>
      </c>
      <c r="Q342" s="44">
        <f t="shared" ca="1" si="121"/>
        <v>15.762319669595739</v>
      </c>
      <c r="R342" s="44">
        <f t="shared" ca="1" si="122"/>
        <v>1.5762319669595739</v>
      </c>
      <c r="S342" s="44">
        <f t="shared" ca="1" si="123"/>
        <v>1.5762319669595737</v>
      </c>
      <c r="T342" s="4">
        <f t="shared" ca="1" si="124"/>
        <v>0</v>
      </c>
      <c r="U342" s="120">
        <f t="shared" ca="1" si="125"/>
        <v>1462.885248288175</v>
      </c>
      <c r="V342" s="4">
        <f t="shared" ca="1" si="126"/>
        <v>0</v>
      </c>
      <c r="W342" s="13">
        <f t="shared" ca="1" si="127"/>
        <v>31610.106000000003</v>
      </c>
      <c r="X342" s="4">
        <f t="shared" ca="1" si="128"/>
        <v>0</v>
      </c>
      <c r="Y342" s="4">
        <f t="shared" si="129"/>
        <v>0</v>
      </c>
      <c r="Z342" s="13">
        <f t="shared" ca="1" si="130"/>
        <v>31610.106000000003</v>
      </c>
      <c r="AA342" s="4">
        <f t="shared" ca="1" si="131"/>
        <v>0</v>
      </c>
      <c r="AE342" s="4"/>
    </row>
    <row r="343" spans="1:31">
      <c r="A343">
        <v>2</v>
      </c>
      <c r="B343">
        <v>2</v>
      </c>
      <c r="C343">
        <f t="shared" ca="1" si="110"/>
        <v>5</v>
      </c>
      <c r="D343">
        <f t="shared" ca="1" si="111"/>
        <v>4</v>
      </c>
      <c r="E343">
        <f t="shared" ca="1" si="112"/>
        <v>2</v>
      </c>
      <c r="F343" s="110">
        <f t="shared" ca="1" si="113"/>
        <v>0</v>
      </c>
      <c r="G343">
        <v>1</v>
      </c>
      <c r="H343">
        <v>1</v>
      </c>
      <c r="I343">
        <v>2</v>
      </c>
      <c r="J343" s="1">
        <f t="shared" ca="1" si="114"/>
        <v>0</v>
      </c>
      <c r="K343" s="1">
        <f t="shared" ca="1" si="115"/>
        <v>0</v>
      </c>
      <c r="L343" s="13">
        <f t="shared" ca="1" si="116"/>
        <v>520</v>
      </c>
      <c r="M343" s="7">
        <f t="shared" ca="1" si="117"/>
        <v>480</v>
      </c>
      <c r="N343" s="26">
        <f t="shared" ca="1" si="118"/>
        <v>2</v>
      </c>
      <c r="O343" s="44">
        <f t="shared" ca="1" si="119"/>
        <v>1.5762319669595739</v>
      </c>
      <c r="P343" s="44">
        <f t="shared" ca="1" si="120"/>
        <v>15.762319669595739</v>
      </c>
      <c r="Q343" s="44">
        <f t="shared" ca="1" si="121"/>
        <v>15.762319669595739</v>
      </c>
      <c r="R343" s="44">
        <f t="shared" ca="1" si="122"/>
        <v>1.5762319669595739</v>
      </c>
      <c r="S343" s="44">
        <f t="shared" ca="1" si="123"/>
        <v>1.5762319669595737</v>
      </c>
      <c r="T343" s="4">
        <f t="shared" ca="1" si="124"/>
        <v>0</v>
      </c>
      <c r="U343" s="120">
        <f t="shared" ca="1" si="125"/>
        <v>1443.885248288175</v>
      </c>
      <c r="V343" s="4">
        <f t="shared" ca="1" si="126"/>
        <v>0</v>
      </c>
      <c r="W343" s="13">
        <f t="shared" ca="1" si="127"/>
        <v>29269.206000000002</v>
      </c>
      <c r="X343" s="4">
        <f t="shared" ca="1" si="128"/>
        <v>0</v>
      </c>
      <c r="Y343" s="4">
        <f t="shared" si="129"/>
        <v>0</v>
      </c>
      <c r="Z343" s="13">
        <f t="shared" ca="1" si="130"/>
        <v>29269.206000000002</v>
      </c>
      <c r="AA343" s="4">
        <f t="shared" ca="1" si="131"/>
        <v>0</v>
      </c>
      <c r="AE343" s="4"/>
    </row>
    <row r="344" spans="1:31">
      <c r="A344">
        <v>2</v>
      </c>
      <c r="B344">
        <v>2</v>
      </c>
      <c r="C344">
        <f t="shared" ca="1" si="110"/>
        <v>5</v>
      </c>
      <c r="D344">
        <f t="shared" ca="1" si="111"/>
        <v>4</v>
      </c>
      <c r="E344">
        <f t="shared" ca="1" si="112"/>
        <v>2</v>
      </c>
      <c r="F344" s="110">
        <f t="shared" ca="1" si="113"/>
        <v>0</v>
      </c>
      <c r="G344">
        <v>1</v>
      </c>
      <c r="H344">
        <v>1</v>
      </c>
      <c r="I344">
        <v>1</v>
      </c>
      <c r="J344" s="1">
        <f t="shared" ca="1" si="114"/>
        <v>0</v>
      </c>
      <c r="K344" s="1">
        <f t="shared" ca="1" si="115"/>
        <v>0</v>
      </c>
      <c r="L344" s="13">
        <f t="shared" ca="1" si="116"/>
        <v>501</v>
      </c>
      <c r="M344" s="7">
        <f t="shared" ca="1" si="117"/>
        <v>499</v>
      </c>
      <c r="N344" s="26">
        <f t="shared" ca="1" si="118"/>
        <v>2</v>
      </c>
      <c r="O344" s="44">
        <f t="shared" ca="1" si="119"/>
        <v>1.5762319669595739</v>
      </c>
      <c r="P344" s="44">
        <f t="shared" ca="1" si="120"/>
        <v>15.762319669595739</v>
      </c>
      <c r="Q344" s="44">
        <f t="shared" ca="1" si="121"/>
        <v>15.762319669595739</v>
      </c>
      <c r="R344" s="44">
        <f t="shared" ca="1" si="122"/>
        <v>1.5762319669595739</v>
      </c>
      <c r="S344" s="44">
        <f t="shared" ca="1" si="123"/>
        <v>1.5762319669595737</v>
      </c>
      <c r="T344" s="4">
        <f t="shared" ca="1" si="124"/>
        <v>0</v>
      </c>
      <c r="U344" s="120">
        <f t="shared" ca="1" si="125"/>
        <v>1424.885248288175</v>
      </c>
      <c r="V344" s="4">
        <f t="shared" ca="1" si="126"/>
        <v>0</v>
      </c>
      <c r="W344" s="13">
        <f t="shared" ca="1" si="127"/>
        <v>26928.306000000004</v>
      </c>
      <c r="X344" s="4">
        <f t="shared" ca="1" si="128"/>
        <v>0</v>
      </c>
      <c r="Y344" s="4">
        <f t="shared" si="129"/>
        <v>0</v>
      </c>
      <c r="Z344" s="13">
        <f t="shared" ca="1" si="130"/>
        <v>26928.306000000004</v>
      </c>
      <c r="AA344" s="4">
        <f t="shared" ca="1" si="131"/>
        <v>0</v>
      </c>
      <c r="AE344" s="4"/>
    </row>
    <row r="345" spans="1:31">
      <c r="A345">
        <v>2</v>
      </c>
      <c r="B345">
        <v>2</v>
      </c>
      <c r="C345">
        <f t="shared" ca="1" si="110"/>
        <v>5</v>
      </c>
      <c r="D345">
        <f t="shared" ca="1" si="111"/>
        <v>4</v>
      </c>
      <c r="E345">
        <f t="shared" ca="1" si="112"/>
        <v>2</v>
      </c>
      <c r="F345" s="110">
        <f t="shared" ca="1" si="113"/>
        <v>0</v>
      </c>
      <c r="G345">
        <v>1</v>
      </c>
      <c r="H345">
        <v>1</v>
      </c>
      <c r="I345">
        <v>0</v>
      </c>
      <c r="J345" s="1">
        <f t="shared" ca="1" si="114"/>
        <v>0</v>
      </c>
      <c r="K345" s="1">
        <f t="shared" ca="1" si="115"/>
        <v>0</v>
      </c>
      <c r="L345" s="13">
        <f t="shared" ca="1" si="116"/>
        <v>482</v>
      </c>
      <c r="M345" s="7">
        <f t="shared" ca="1" si="117"/>
        <v>518</v>
      </c>
      <c r="N345" s="26">
        <f t="shared" ca="1" si="118"/>
        <v>2</v>
      </c>
      <c r="O345" s="44">
        <f t="shared" ca="1" si="119"/>
        <v>1.5762319669595739</v>
      </c>
      <c r="P345" s="44">
        <f t="shared" ca="1" si="120"/>
        <v>15.762319669595739</v>
      </c>
      <c r="Q345" s="44">
        <f t="shared" ca="1" si="121"/>
        <v>15.762319669595739</v>
      </c>
      <c r="R345" s="44">
        <f t="shared" ca="1" si="122"/>
        <v>1.5762319669595739</v>
      </c>
      <c r="S345" s="44">
        <f t="shared" ca="1" si="123"/>
        <v>1.5762319669595737</v>
      </c>
      <c r="T345" s="4">
        <f t="shared" ca="1" si="124"/>
        <v>0</v>
      </c>
      <c r="U345" s="120">
        <f t="shared" ca="1" si="125"/>
        <v>1405.885248288175</v>
      </c>
      <c r="V345" s="4">
        <f t="shared" ca="1" si="126"/>
        <v>0</v>
      </c>
      <c r="W345" s="13">
        <f t="shared" ca="1" si="127"/>
        <v>24587.406000000003</v>
      </c>
      <c r="X345" s="4">
        <f t="shared" ca="1" si="128"/>
        <v>0</v>
      </c>
      <c r="Y345" s="4">
        <f t="shared" si="129"/>
        <v>0</v>
      </c>
      <c r="Z345" s="13">
        <f t="shared" ca="1" si="130"/>
        <v>24587.406000000003</v>
      </c>
      <c r="AA345" s="4">
        <f t="shared" ca="1" si="131"/>
        <v>0</v>
      </c>
      <c r="AE345" s="4"/>
    </row>
    <row r="346" spans="1:31">
      <c r="A346">
        <v>2</v>
      </c>
      <c r="B346">
        <v>2</v>
      </c>
      <c r="C346">
        <f t="shared" ca="1" si="110"/>
        <v>5</v>
      </c>
      <c r="D346">
        <f t="shared" ca="1" si="111"/>
        <v>4</v>
      </c>
      <c r="E346">
        <f t="shared" ca="1" si="112"/>
        <v>2</v>
      </c>
      <c r="F346" s="110">
        <f t="shared" ca="1" si="113"/>
        <v>0</v>
      </c>
      <c r="G346">
        <v>1</v>
      </c>
      <c r="H346">
        <v>0</v>
      </c>
      <c r="I346">
        <v>7</v>
      </c>
      <c r="J346" s="1">
        <f t="shared" ca="1" si="114"/>
        <v>0</v>
      </c>
      <c r="K346" s="1">
        <f t="shared" ca="1" si="115"/>
        <v>0</v>
      </c>
      <c r="L346" s="13">
        <f t="shared" ca="1" si="116"/>
        <v>374</v>
      </c>
      <c r="M346" s="7">
        <f t="shared" ca="1" si="117"/>
        <v>626</v>
      </c>
      <c r="N346" s="26">
        <f t="shared" ca="1" si="118"/>
        <v>3</v>
      </c>
      <c r="O346" s="44">
        <f t="shared" ca="1" si="119"/>
        <v>2.2442427272544552</v>
      </c>
      <c r="P346" s="44">
        <f t="shared" ca="1" si="120"/>
        <v>22.442427272544553</v>
      </c>
      <c r="Q346" s="44">
        <f t="shared" ca="1" si="121"/>
        <v>22.442427272544553</v>
      </c>
      <c r="R346" s="44">
        <f t="shared" ca="1" si="122"/>
        <v>2.2442427272544552</v>
      </c>
      <c r="S346" s="44">
        <f t="shared" ca="1" si="123"/>
        <v>2.2442427272544552</v>
      </c>
      <c r="T346" s="4">
        <f t="shared" ca="1" si="124"/>
        <v>0</v>
      </c>
      <c r="U346" s="120">
        <f t="shared" ca="1" si="125"/>
        <v>1594.901337549361</v>
      </c>
      <c r="V346" s="4">
        <f t="shared" ca="1" si="126"/>
        <v>0</v>
      </c>
      <c r="W346" s="13">
        <f t="shared" ca="1" si="127"/>
        <v>40973.706000000006</v>
      </c>
      <c r="X346" s="4">
        <f t="shared" ca="1" si="128"/>
        <v>0</v>
      </c>
      <c r="Y346" s="4">
        <f t="shared" si="129"/>
        <v>0</v>
      </c>
      <c r="Z346" s="13">
        <f t="shared" ca="1" si="130"/>
        <v>40973.706000000006</v>
      </c>
      <c r="AA346" s="4">
        <f t="shared" ca="1" si="131"/>
        <v>0</v>
      </c>
      <c r="AE346" s="4"/>
    </row>
    <row r="347" spans="1:31">
      <c r="A347">
        <v>2</v>
      </c>
      <c r="B347">
        <v>2</v>
      </c>
      <c r="C347">
        <f t="shared" ca="1" si="110"/>
        <v>5</v>
      </c>
      <c r="D347">
        <f t="shared" ca="1" si="111"/>
        <v>4</v>
      </c>
      <c r="E347">
        <f t="shared" ca="1" si="112"/>
        <v>2</v>
      </c>
      <c r="F347" s="110">
        <f t="shared" ca="1" si="113"/>
        <v>0</v>
      </c>
      <c r="G347">
        <v>1</v>
      </c>
      <c r="H347">
        <v>0</v>
      </c>
      <c r="I347">
        <v>6</v>
      </c>
      <c r="J347" s="1">
        <f t="shared" ca="1" si="114"/>
        <v>0</v>
      </c>
      <c r="K347" s="1">
        <f t="shared" ca="1" si="115"/>
        <v>0</v>
      </c>
      <c r="L347" s="13">
        <f t="shared" ca="1" si="116"/>
        <v>355</v>
      </c>
      <c r="M347" s="7">
        <f t="shared" ca="1" si="117"/>
        <v>645</v>
      </c>
      <c r="N347" s="26">
        <f t="shared" ca="1" si="118"/>
        <v>3</v>
      </c>
      <c r="O347" s="44">
        <f t="shared" ca="1" si="119"/>
        <v>2.2442427272544552</v>
      </c>
      <c r="P347" s="44">
        <f t="shared" ca="1" si="120"/>
        <v>22.442427272544553</v>
      </c>
      <c r="Q347" s="44">
        <f t="shared" ca="1" si="121"/>
        <v>22.442427272544553</v>
      </c>
      <c r="R347" s="44">
        <f t="shared" ca="1" si="122"/>
        <v>2.2442427272544552</v>
      </c>
      <c r="S347" s="44">
        <f t="shared" ca="1" si="123"/>
        <v>2.2442427272544552</v>
      </c>
      <c r="T347" s="4">
        <f t="shared" ca="1" si="124"/>
        <v>0</v>
      </c>
      <c r="U347" s="120">
        <f t="shared" ca="1" si="125"/>
        <v>1575.901337549361</v>
      </c>
      <c r="V347" s="4">
        <f t="shared" ca="1" si="126"/>
        <v>0</v>
      </c>
      <c r="W347" s="13">
        <f t="shared" ca="1" si="127"/>
        <v>38632.806000000004</v>
      </c>
      <c r="X347" s="4">
        <f t="shared" ca="1" si="128"/>
        <v>0</v>
      </c>
      <c r="Y347" s="4">
        <f t="shared" si="129"/>
        <v>0</v>
      </c>
      <c r="Z347" s="13">
        <f t="shared" ca="1" si="130"/>
        <v>38632.806000000004</v>
      </c>
      <c r="AA347" s="4">
        <f t="shared" ca="1" si="131"/>
        <v>0</v>
      </c>
      <c r="AE347" s="4"/>
    </row>
    <row r="348" spans="1:31">
      <c r="A348">
        <v>2</v>
      </c>
      <c r="B348">
        <v>2</v>
      </c>
      <c r="C348">
        <f t="shared" ca="1" si="110"/>
        <v>5</v>
      </c>
      <c r="D348">
        <f t="shared" ca="1" si="111"/>
        <v>4</v>
      </c>
      <c r="E348">
        <f t="shared" ca="1" si="112"/>
        <v>2</v>
      </c>
      <c r="F348" s="110">
        <f t="shared" ca="1" si="113"/>
        <v>0</v>
      </c>
      <c r="G348">
        <v>1</v>
      </c>
      <c r="H348">
        <v>0</v>
      </c>
      <c r="I348">
        <v>5</v>
      </c>
      <c r="J348" s="1">
        <f t="shared" ca="1" si="114"/>
        <v>0</v>
      </c>
      <c r="K348" s="1">
        <f t="shared" ca="1" si="115"/>
        <v>0</v>
      </c>
      <c r="L348" s="13">
        <f t="shared" ca="1" si="116"/>
        <v>336</v>
      </c>
      <c r="M348" s="7">
        <f t="shared" ca="1" si="117"/>
        <v>664</v>
      </c>
      <c r="N348" s="26">
        <f t="shared" ca="1" si="118"/>
        <v>3</v>
      </c>
      <c r="O348" s="44">
        <f t="shared" ca="1" si="119"/>
        <v>2.2442427272544552</v>
      </c>
      <c r="P348" s="44">
        <f t="shared" ca="1" si="120"/>
        <v>22.442427272544553</v>
      </c>
      <c r="Q348" s="44">
        <f t="shared" ca="1" si="121"/>
        <v>22.442427272544553</v>
      </c>
      <c r="R348" s="44">
        <f t="shared" ca="1" si="122"/>
        <v>2.2442427272544552</v>
      </c>
      <c r="S348" s="44">
        <f t="shared" ca="1" si="123"/>
        <v>2.2442427272544552</v>
      </c>
      <c r="T348" s="4">
        <f t="shared" ca="1" si="124"/>
        <v>0</v>
      </c>
      <c r="U348" s="120">
        <f t="shared" ca="1" si="125"/>
        <v>1556.901337549361</v>
      </c>
      <c r="V348" s="4">
        <f t="shared" ca="1" si="126"/>
        <v>0</v>
      </c>
      <c r="W348" s="13">
        <f t="shared" ca="1" si="127"/>
        <v>36291.906000000003</v>
      </c>
      <c r="X348" s="4">
        <f t="shared" ca="1" si="128"/>
        <v>0</v>
      </c>
      <c r="Y348" s="4">
        <f t="shared" si="129"/>
        <v>0</v>
      </c>
      <c r="Z348" s="13">
        <f t="shared" ca="1" si="130"/>
        <v>36291.906000000003</v>
      </c>
      <c r="AA348" s="4">
        <f t="shared" ca="1" si="131"/>
        <v>0</v>
      </c>
      <c r="AE348" s="4"/>
    </row>
    <row r="349" spans="1:31">
      <c r="A349">
        <v>2</v>
      </c>
      <c r="B349">
        <v>2</v>
      </c>
      <c r="C349">
        <f t="shared" ca="1" si="110"/>
        <v>5</v>
      </c>
      <c r="D349">
        <f t="shared" ca="1" si="111"/>
        <v>4</v>
      </c>
      <c r="E349">
        <f t="shared" ca="1" si="112"/>
        <v>2</v>
      </c>
      <c r="F349" s="110">
        <f t="shared" ca="1" si="113"/>
        <v>0</v>
      </c>
      <c r="G349">
        <v>1</v>
      </c>
      <c r="H349">
        <v>0</v>
      </c>
      <c r="I349">
        <v>4</v>
      </c>
      <c r="J349" s="1">
        <f t="shared" ca="1" si="114"/>
        <v>0.55687255859374996</v>
      </c>
      <c r="K349" s="1">
        <f t="shared" ca="1" si="115"/>
        <v>0</v>
      </c>
      <c r="L349" s="13">
        <f t="shared" ca="1" si="116"/>
        <v>317</v>
      </c>
      <c r="M349" s="7">
        <f t="shared" ca="1" si="117"/>
        <v>683</v>
      </c>
      <c r="N349" s="26">
        <f t="shared" ca="1" si="118"/>
        <v>3</v>
      </c>
      <c r="O349" s="44">
        <f t="shared" ca="1" si="119"/>
        <v>2.2442427272544552</v>
      </c>
      <c r="P349" s="44">
        <f t="shared" ca="1" si="120"/>
        <v>22.442427272544553</v>
      </c>
      <c r="Q349" s="44">
        <f t="shared" ca="1" si="121"/>
        <v>22.442427272544553</v>
      </c>
      <c r="R349" s="44">
        <f t="shared" ca="1" si="122"/>
        <v>2.2442427272544552</v>
      </c>
      <c r="S349" s="44">
        <f t="shared" ca="1" si="123"/>
        <v>2.2442427272544552</v>
      </c>
      <c r="T349" s="4">
        <f t="shared" ca="1" si="124"/>
        <v>0</v>
      </c>
      <c r="U349" s="120">
        <f t="shared" ca="1" si="125"/>
        <v>1537.901337549361</v>
      </c>
      <c r="V349" s="4">
        <f t="shared" ca="1" si="126"/>
        <v>0</v>
      </c>
      <c r="W349" s="13">
        <f t="shared" ca="1" si="127"/>
        <v>33951.006000000001</v>
      </c>
      <c r="X349" s="4">
        <f t="shared" ca="1" si="128"/>
        <v>0</v>
      </c>
      <c r="Y349" s="4">
        <f t="shared" si="129"/>
        <v>0</v>
      </c>
      <c r="Z349" s="13">
        <f t="shared" ca="1" si="130"/>
        <v>33951.006000000001</v>
      </c>
      <c r="AA349" s="4">
        <f t="shared" ca="1" si="131"/>
        <v>0</v>
      </c>
      <c r="AE349" s="4"/>
    </row>
    <row r="350" spans="1:31">
      <c r="A350">
        <v>2</v>
      </c>
      <c r="B350">
        <v>2</v>
      </c>
      <c r="C350">
        <f t="shared" ca="1" si="110"/>
        <v>5</v>
      </c>
      <c r="D350">
        <f t="shared" ca="1" si="111"/>
        <v>4</v>
      </c>
      <c r="E350">
        <f t="shared" ca="1" si="112"/>
        <v>2</v>
      </c>
      <c r="F350" s="110">
        <f t="shared" ca="1" si="113"/>
        <v>0</v>
      </c>
      <c r="G350">
        <v>1</v>
      </c>
      <c r="H350">
        <v>0</v>
      </c>
      <c r="I350">
        <v>3</v>
      </c>
      <c r="J350" s="1">
        <f t="shared" ca="1" si="114"/>
        <v>0.31821289062499997</v>
      </c>
      <c r="K350" s="1">
        <f t="shared" ca="1" si="115"/>
        <v>0</v>
      </c>
      <c r="L350" s="13">
        <f t="shared" ca="1" si="116"/>
        <v>298</v>
      </c>
      <c r="M350" s="7">
        <f t="shared" ca="1" si="117"/>
        <v>702</v>
      </c>
      <c r="N350" s="26">
        <f t="shared" ca="1" si="118"/>
        <v>3</v>
      </c>
      <c r="O350" s="44">
        <f t="shared" ca="1" si="119"/>
        <v>2.2442427272544552</v>
      </c>
      <c r="P350" s="44">
        <f t="shared" ca="1" si="120"/>
        <v>22.442427272544553</v>
      </c>
      <c r="Q350" s="44">
        <f t="shared" ca="1" si="121"/>
        <v>22.442427272544553</v>
      </c>
      <c r="R350" s="44">
        <f t="shared" ca="1" si="122"/>
        <v>2.2442427272544552</v>
      </c>
      <c r="S350" s="44">
        <f t="shared" ca="1" si="123"/>
        <v>2.2442427272544552</v>
      </c>
      <c r="T350" s="4">
        <f t="shared" ca="1" si="124"/>
        <v>0</v>
      </c>
      <c r="U350" s="120">
        <f t="shared" ca="1" si="125"/>
        <v>1518.901337549361</v>
      </c>
      <c r="V350" s="4">
        <f t="shared" ca="1" si="126"/>
        <v>0</v>
      </c>
      <c r="W350" s="13">
        <f t="shared" ca="1" si="127"/>
        <v>31610.106000000003</v>
      </c>
      <c r="X350" s="4">
        <f t="shared" ca="1" si="128"/>
        <v>0</v>
      </c>
      <c r="Y350" s="4">
        <f t="shared" si="129"/>
        <v>0</v>
      </c>
      <c r="Z350" s="13">
        <f t="shared" ca="1" si="130"/>
        <v>31610.106000000003</v>
      </c>
      <c r="AA350" s="4">
        <f t="shared" ca="1" si="131"/>
        <v>0</v>
      </c>
      <c r="AE350" s="4"/>
    </row>
    <row r="351" spans="1:31">
      <c r="A351">
        <v>2</v>
      </c>
      <c r="B351">
        <v>2</v>
      </c>
      <c r="C351">
        <f t="shared" ca="1" si="110"/>
        <v>5</v>
      </c>
      <c r="D351">
        <f t="shared" ca="1" si="111"/>
        <v>4</v>
      </c>
      <c r="E351">
        <f t="shared" ca="1" si="112"/>
        <v>2</v>
      </c>
      <c r="F351" s="110">
        <f t="shared" ca="1" si="113"/>
        <v>0</v>
      </c>
      <c r="G351">
        <v>1</v>
      </c>
      <c r="H351">
        <v>0</v>
      </c>
      <c r="I351">
        <v>2</v>
      </c>
      <c r="J351" s="1">
        <f t="shared" ca="1" si="114"/>
        <v>6.8188476562500003E-2</v>
      </c>
      <c r="K351" s="1">
        <f t="shared" ca="1" si="115"/>
        <v>0</v>
      </c>
      <c r="L351" s="13">
        <f t="shared" ca="1" si="116"/>
        <v>279</v>
      </c>
      <c r="M351" s="7">
        <f t="shared" ca="1" si="117"/>
        <v>721</v>
      </c>
      <c r="N351" s="26">
        <f t="shared" ca="1" si="118"/>
        <v>3</v>
      </c>
      <c r="O351" s="44">
        <f t="shared" ca="1" si="119"/>
        <v>2.2442427272544552</v>
      </c>
      <c r="P351" s="44">
        <f t="shared" ca="1" si="120"/>
        <v>22.442427272544553</v>
      </c>
      <c r="Q351" s="44">
        <f t="shared" ca="1" si="121"/>
        <v>22.442427272544553</v>
      </c>
      <c r="R351" s="44">
        <f t="shared" ca="1" si="122"/>
        <v>2.2442427272544552</v>
      </c>
      <c r="S351" s="44">
        <f t="shared" ca="1" si="123"/>
        <v>2.2442427272544552</v>
      </c>
      <c r="T351" s="4">
        <f t="shared" ca="1" si="124"/>
        <v>0</v>
      </c>
      <c r="U351" s="120">
        <f t="shared" ca="1" si="125"/>
        <v>1499.901337549361</v>
      </c>
      <c r="V351" s="4">
        <f t="shared" ca="1" si="126"/>
        <v>0</v>
      </c>
      <c r="W351" s="13">
        <f t="shared" ca="1" si="127"/>
        <v>29269.206000000002</v>
      </c>
      <c r="X351" s="4">
        <f t="shared" ca="1" si="128"/>
        <v>0</v>
      </c>
      <c r="Y351" s="4">
        <f t="shared" si="129"/>
        <v>0</v>
      </c>
      <c r="Z351" s="13">
        <f t="shared" ca="1" si="130"/>
        <v>29269.206000000002</v>
      </c>
      <c r="AA351" s="4">
        <f t="shared" ca="1" si="131"/>
        <v>0</v>
      </c>
      <c r="AE351" s="4"/>
    </row>
    <row r="352" spans="1:31">
      <c r="A352">
        <v>2</v>
      </c>
      <c r="B352">
        <v>2</v>
      </c>
      <c r="C352">
        <f t="shared" ca="1" si="110"/>
        <v>5</v>
      </c>
      <c r="D352">
        <f t="shared" ca="1" si="111"/>
        <v>4</v>
      </c>
      <c r="E352">
        <f t="shared" ca="1" si="112"/>
        <v>2</v>
      </c>
      <c r="F352" s="110">
        <f t="shared" ca="1" si="113"/>
        <v>0</v>
      </c>
      <c r="G352">
        <v>1</v>
      </c>
      <c r="H352">
        <v>0</v>
      </c>
      <c r="I352">
        <v>1</v>
      </c>
      <c r="J352" s="1">
        <f t="shared" ca="1" si="114"/>
        <v>6.4941406249999995E-3</v>
      </c>
      <c r="K352" s="1">
        <f t="shared" ca="1" si="115"/>
        <v>0</v>
      </c>
      <c r="L352" s="13">
        <f t="shared" ca="1" si="116"/>
        <v>260</v>
      </c>
      <c r="M352" s="7">
        <f t="shared" ca="1" si="117"/>
        <v>740</v>
      </c>
      <c r="N352" s="26">
        <f t="shared" ca="1" si="118"/>
        <v>3</v>
      </c>
      <c r="O352" s="44">
        <f t="shared" ca="1" si="119"/>
        <v>2.2442427272544552</v>
      </c>
      <c r="P352" s="44">
        <f t="shared" ca="1" si="120"/>
        <v>22.442427272544553</v>
      </c>
      <c r="Q352" s="44">
        <f t="shared" ca="1" si="121"/>
        <v>22.442427272544553</v>
      </c>
      <c r="R352" s="44">
        <f t="shared" ca="1" si="122"/>
        <v>2.2442427272544552</v>
      </c>
      <c r="S352" s="44">
        <f t="shared" ca="1" si="123"/>
        <v>2.2442427272544552</v>
      </c>
      <c r="T352" s="4">
        <f t="shared" ca="1" si="124"/>
        <v>0</v>
      </c>
      <c r="U352" s="120">
        <f t="shared" ca="1" si="125"/>
        <v>1480.901337549361</v>
      </c>
      <c r="V352" s="4">
        <f t="shared" ca="1" si="126"/>
        <v>0</v>
      </c>
      <c r="W352" s="13">
        <f t="shared" ca="1" si="127"/>
        <v>26928.306000000004</v>
      </c>
      <c r="X352" s="4">
        <f t="shared" ca="1" si="128"/>
        <v>0</v>
      </c>
      <c r="Y352" s="4">
        <f t="shared" si="129"/>
        <v>0</v>
      </c>
      <c r="Z352" s="13">
        <f t="shared" ca="1" si="130"/>
        <v>26928.306000000004</v>
      </c>
      <c r="AA352" s="4">
        <f t="shared" ca="1" si="131"/>
        <v>0</v>
      </c>
      <c r="AE352" s="4"/>
    </row>
    <row r="353" spans="1:31">
      <c r="A353">
        <v>2</v>
      </c>
      <c r="B353">
        <v>2</v>
      </c>
      <c r="C353">
        <f t="shared" ca="1" si="110"/>
        <v>5</v>
      </c>
      <c r="D353">
        <f t="shared" ca="1" si="111"/>
        <v>4</v>
      </c>
      <c r="E353">
        <f t="shared" ca="1" si="112"/>
        <v>2</v>
      </c>
      <c r="F353" s="110">
        <f t="shared" ca="1" si="113"/>
        <v>0</v>
      </c>
      <c r="G353">
        <v>1</v>
      </c>
      <c r="H353">
        <v>0</v>
      </c>
      <c r="I353">
        <v>0</v>
      </c>
      <c r="J353" s="1">
        <f t="shared" ca="1" si="114"/>
        <v>2.3193359374999999E-4</v>
      </c>
      <c r="K353" s="1">
        <f t="shared" ca="1" si="115"/>
        <v>0</v>
      </c>
      <c r="L353" s="13">
        <f t="shared" ca="1" si="116"/>
        <v>241</v>
      </c>
      <c r="M353" s="7">
        <f t="shared" ca="1" si="117"/>
        <v>759</v>
      </c>
      <c r="N353" s="26">
        <f t="shared" ca="1" si="118"/>
        <v>3</v>
      </c>
      <c r="O353" s="44">
        <f t="shared" ca="1" si="119"/>
        <v>2.2442427272544552</v>
      </c>
      <c r="P353" s="44">
        <f t="shared" ca="1" si="120"/>
        <v>22.442427272544553</v>
      </c>
      <c r="Q353" s="44">
        <f t="shared" ca="1" si="121"/>
        <v>22.442427272544553</v>
      </c>
      <c r="R353" s="44">
        <f t="shared" ca="1" si="122"/>
        <v>2.2442427272544552</v>
      </c>
      <c r="S353" s="44">
        <f t="shared" ca="1" si="123"/>
        <v>2.2442427272544552</v>
      </c>
      <c r="T353" s="4">
        <f t="shared" ca="1" si="124"/>
        <v>0</v>
      </c>
      <c r="U353" s="120">
        <f t="shared" ca="1" si="125"/>
        <v>1461.901337549361</v>
      </c>
      <c r="V353" s="4">
        <f t="shared" ca="1" si="126"/>
        <v>0</v>
      </c>
      <c r="W353" s="13">
        <f t="shared" ca="1" si="127"/>
        <v>24587.406000000003</v>
      </c>
      <c r="X353" s="4">
        <f t="shared" ca="1" si="128"/>
        <v>0</v>
      </c>
      <c r="Y353" s="4">
        <f t="shared" si="129"/>
        <v>0</v>
      </c>
      <c r="Z353" s="13">
        <f t="shared" ca="1" si="130"/>
        <v>24587.406000000003</v>
      </c>
      <c r="AA353" s="4">
        <f t="shared" ca="1" si="131"/>
        <v>0</v>
      </c>
      <c r="AE353" s="4"/>
    </row>
    <row r="354" spans="1:31">
      <c r="A354">
        <v>2</v>
      </c>
      <c r="B354">
        <v>2</v>
      </c>
      <c r="C354">
        <f t="shared" ca="1" si="110"/>
        <v>5</v>
      </c>
      <c r="D354">
        <f t="shared" ca="1" si="111"/>
        <v>4</v>
      </c>
      <c r="E354">
        <f t="shared" ca="1" si="112"/>
        <v>2</v>
      </c>
      <c r="F354" s="110">
        <f t="shared" ca="1" si="113"/>
        <v>0</v>
      </c>
      <c r="G354">
        <v>0</v>
      </c>
      <c r="H354">
        <v>1</v>
      </c>
      <c r="I354">
        <v>7</v>
      </c>
      <c r="J354" s="1">
        <f t="shared" ca="1" si="114"/>
        <v>0</v>
      </c>
      <c r="K354" s="1">
        <f t="shared" ca="1" si="115"/>
        <v>0</v>
      </c>
      <c r="L354" s="13">
        <f t="shared" ca="1" si="116"/>
        <v>374</v>
      </c>
      <c r="M354" s="7">
        <f t="shared" ca="1" si="117"/>
        <v>626</v>
      </c>
      <c r="N354" s="26">
        <f t="shared" ca="1" si="118"/>
        <v>3</v>
      </c>
      <c r="O354" s="44">
        <f t="shared" ca="1" si="119"/>
        <v>2.2442427272544552</v>
      </c>
      <c r="P354" s="44">
        <f t="shared" ca="1" si="120"/>
        <v>22.442427272544553</v>
      </c>
      <c r="Q354" s="44">
        <f t="shared" ca="1" si="121"/>
        <v>22.442427272544553</v>
      </c>
      <c r="R354" s="44">
        <f t="shared" ca="1" si="122"/>
        <v>2.2442427272544552</v>
      </c>
      <c r="S354" s="44">
        <f t="shared" ca="1" si="123"/>
        <v>2.2442427272544552</v>
      </c>
      <c r="T354" s="4">
        <f t="shared" ca="1" si="124"/>
        <v>0</v>
      </c>
      <c r="U354" s="120">
        <f t="shared" ca="1" si="125"/>
        <v>1594.901337549361</v>
      </c>
      <c r="V354" s="4">
        <f t="shared" ca="1" si="126"/>
        <v>0</v>
      </c>
      <c r="W354" s="13">
        <f t="shared" ca="1" si="127"/>
        <v>16386.3</v>
      </c>
      <c r="X354" s="4">
        <f t="shared" ca="1" si="128"/>
        <v>0</v>
      </c>
      <c r="Y354" s="4">
        <f t="shared" si="129"/>
        <v>0</v>
      </c>
      <c r="Z354" s="13">
        <f t="shared" ca="1" si="130"/>
        <v>16386.3</v>
      </c>
      <c r="AA354" s="4">
        <f t="shared" ca="1" si="131"/>
        <v>0</v>
      </c>
      <c r="AE354" s="4"/>
    </row>
    <row r="355" spans="1:31">
      <c r="A355">
        <v>2</v>
      </c>
      <c r="B355">
        <v>2</v>
      </c>
      <c r="C355">
        <f t="shared" ca="1" si="110"/>
        <v>5</v>
      </c>
      <c r="D355">
        <f t="shared" ca="1" si="111"/>
        <v>4</v>
      </c>
      <c r="E355">
        <f t="shared" ca="1" si="112"/>
        <v>2</v>
      </c>
      <c r="F355" s="110">
        <f t="shared" ca="1" si="113"/>
        <v>0</v>
      </c>
      <c r="G355">
        <v>0</v>
      </c>
      <c r="H355">
        <v>1</v>
      </c>
      <c r="I355">
        <v>6</v>
      </c>
      <c r="J355" s="1">
        <f t="shared" ca="1" si="114"/>
        <v>0</v>
      </c>
      <c r="K355" s="1">
        <f t="shared" ca="1" si="115"/>
        <v>0</v>
      </c>
      <c r="L355" s="13">
        <f t="shared" ca="1" si="116"/>
        <v>355</v>
      </c>
      <c r="M355" s="7">
        <f t="shared" ca="1" si="117"/>
        <v>645</v>
      </c>
      <c r="N355" s="26">
        <f t="shared" ca="1" si="118"/>
        <v>3</v>
      </c>
      <c r="O355" s="44">
        <f t="shared" ca="1" si="119"/>
        <v>2.2442427272544552</v>
      </c>
      <c r="P355" s="44">
        <f t="shared" ca="1" si="120"/>
        <v>22.442427272544553</v>
      </c>
      <c r="Q355" s="44">
        <f t="shared" ca="1" si="121"/>
        <v>22.442427272544553</v>
      </c>
      <c r="R355" s="44">
        <f t="shared" ca="1" si="122"/>
        <v>2.2442427272544552</v>
      </c>
      <c r="S355" s="44">
        <f t="shared" ca="1" si="123"/>
        <v>2.2442427272544552</v>
      </c>
      <c r="T355" s="4">
        <f t="shared" ca="1" si="124"/>
        <v>0</v>
      </c>
      <c r="U355" s="120">
        <f t="shared" ca="1" si="125"/>
        <v>1575.901337549361</v>
      </c>
      <c r="V355" s="4">
        <f t="shared" ca="1" si="126"/>
        <v>0</v>
      </c>
      <c r="W355" s="13">
        <f t="shared" ca="1" si="127"/>
        <v>14045.400000000001</v>
      </c>
      <c r="X355" s="4">
        <f t="shared" ca="1" si="128"/>
        <v>0</v>
      </c>
      <c r="Y355" s="4">
        <f t="shared" si="129"/>
        <v>0</v>
      </c>
      <c r="Z355" s="13">
        <f t="shared" ca="1" si="130"/>
        <v>14045.400000000001</v>
      </c>
      <c r="AA355" s="4">
        <f t="shared" ca="1" si="131"/>
        <v>0</v>
      </c>
      <c r="AE355" s="4"/>
    </row>
    <row r="356" spans="1:31">
      <c r="A356">
        <v>2</v>
      </c>
      <c r="B356">
        <v>2</v>
      </c>
      <c r="C356">
        <f t="shared" ca="1" si="110"/>
        <v>5</v>
      </c>
      <c r="D356">
        <f t="shared" ca="1" si="111"/>
        <v>4</v>
      </c>
      <c r="E356">
        <f t="shared" ca="1" si="112"/>
        <v>2</v>
      </c>
      <c r="F356" s="110">
        <f t="shared" ca="1" si="113"/>
        <v>0</v>
      </c>
      <c r="G356">
        <v>0</v>
      </c>
      <c r="H356">
        <v>1</v>
      </c>
      <c r="I356">
        <v>5</v>
      </c>
      <c r="J356" s="1">
        <f t="shared" ca="1" si="114"/>
        <v>0</v>
      </c>
      <c r="K356" s="1">
        <f t="shared" ca="1" si="115"/>
        <v>0</v>
      </c>
      <c r="L356" s="13">
        <f t="shared" ca="1" si="116"/>
        <v>336</v>
      </c>
      <c r="M356" s="7">
        <f t="shared" ca="1" si="117"/>
        <v>664</v>
      </c>
      <c r="N356" s="26">
        <f t="shared" ca="1" si="118"/>
        <v>3</v>
      </c>
      <c r="O356" s="44">
        <f t="shared" ca="1" si="119"/>
        <v>2.2442427272544552</v>
      </c>
      <c r="P356" s="44">
        <f t="shared" ca="1" si="120"/>
        <v>22.442427272544553</v>
      </c>
      <c r="Q356" s="44">
        <f t="shared" ca="1" si="121"/>
        <v>22.442427272544553</v>
      </c>
      <c r="R356" s="44">
        <f t="shared" ca="1" si="122"/>
        <v>2.2442427272544552</v>
      </c>
      <c r="S356" s="44">
        <f t="shared" ca="1" si="123"/>
        <v>2.2442427272544552</v>
      </c>
      <c r="T356" s="4">
        <f t="shared" ca="1" si="124"/>
        <v>0</v>
      </c>
      <c r="U356" s="120">
        <f t="shared" ca="1" si="125"/>
        <v>1556.901337549361</v>
      </c>
      <c r="V356" s="4">
        <f t="shared" ca="1" si="126"/>
        <v>0</v>
      </c>
      <c r="W356" s="13">
        <f t="shared" ca="1" si="127"/>
        <v>11704.5</v>
      </c>
      <c r="X356" s="4">
        <f t="shared" ca="1" si="128"/>
        <v>0</v>
      </c>
      <c r="Y356" s="4">
        <f t="shared" si="129"/>
        <v>0</v>
      </c>
      <c r="Z356" s="13">
        <f t="shared" ca="1" si="130"/>
        <v>11704.5</v>
      </c>
      <c r="AA356" s="4">
        <f t="shared" ca="1" si="131"/>
        <v>0</v>
      </c>
      <c r="AE356" s="4"/>
    </row>
    <row r="357" spans="1:31">
      <c r="A357">
        <v>2</v>
      </c>
      <c r="B357">
        <v>2</v>
      </c>
      <c r="C357">
        <f t="shared" ca="1" si="110"/>
        <v>5</v>
      </c>
      <c r="D357">
        <f t="shared" ca="1" si="111"/>
        <v>4</v>
      </c>
      <c r="E357">
        <f t="shared" ca="1" si="112"/>
        <v>2</v>
      </c>
      <c r="F357" s="110">
        <f t="shared" ca="1" si="113"/>
        <v>0</v>
      </c>
      <c r="G357">
        <v>0</v>
      </c>
      <c r="H357">
        <v>1</v>
      </c>
      <c r="I357">
        <v>4</v>
      </c>
      <c r="J357" s="1">
        <f t="shared" ca="1" si="114"/>
        <v>0</v>
      </c>
      <c r="K357" s="1">
        <f t="shared" ca="1" si="115"/>
        <v>0</v>
      </c>
      <c r="L357" s="13">
        <f t="shared" ca="1" si="116"/>
        <v>317</v>
      </c>
      <c r="M357" s="7">
        <f t="shared" ca="1" si="117"/>
        <v>683</v>
      </c>
      <c r="N357" s="26">
        <f t="shared" ca="1" si="118"/>
        <v>3</v>
      </c>
      <c r="O357" s="44">
        <f t="shared" ca="1" si="119"/>
        <v>2.2442427272544552</v>
      </c>
      <c r="P357" s="44">
        <f t="shared" ca="1" si="120"/>
        <v>22.442427272544553</v>
      </c>
      <c r="Q357" s="44">
        <f t="shared" ca="1" si="121"/>
        <v>22.442427272544553</v>
      </c>
      <c r="R357" s="44">
        <f t="shared" ca="1" si="122"/>
        <v>2.2442427272544552</v>
      </c>
      <c r="S357" s="44">
        <f t="shared" ca="1" si="123"/>
        <v>2.2442427272544552</v>
      </c>
      <c r="T357" s="4">
        <f t="shared" ca="1" si="124"/>
        <v>0</v>
      </c>
      <c r="U357" s="120">
        <f t="shared" ca="1" si="125"/>
        <v>1537.901337549361</v>
      </c>
      <c r="V357" s="4">
        <f t="shared" ca="1" si="126"/>
        <v>0</v>
      </c>
      <c r="W357" s="13">
        <f t="shared" ca="1" si="127"/>
        <v>9363.6</v>
      </c>
      <c r="X357" s="4">
        <f t="shared" ca="1" si="128"/>
        <v>0</v>
      </c>
      <c r="Y357" s="4">
        <f t="shared" si="129"/>
        <v>0</v>
      </c>
      <c r="Z357" s="13">
        <f t="shared" ca="1" si="130"/>
        <v>9363.6</v>
      </c>
      <c r="AA357" s="4">
        <f t="shared" ca="1" si="131"/>
        <v>0</v>
      </c>
      <c r="AE357" s="4"/>
    </row>
    <row r="358" spans="1:31">
      <c r="A358">
        <v>2</v>
      </c>
      <c r="B358">
        <v>2</v>
      </c>
      <c r="C358">
        <f t="shared" ca="1" si="110"/>
        <v>5</v>
      </c>
      <c r="D358">
        <f t="shared" ca="1" si="111"/>
        <v>4</v>
      </c>
      <c r="E358">
        <f t="shared" ca="1" si="112"/>
        <v>2</v>
      </c>
      <c r="F358" s="110">
        <f t="shared" ca="1" si="113"/>
        <v>0</v>
      </c>
      <c r="G358">
        <v>0</v>
      </c>
      <c r="H358">
        <v>1</v>
      </c>
      <c r="I358">
        <v>3</v>
      </c>
      <c r="J358" s="1">
        <f t="shared" ca="1" si="114"/>
        <v>0</v>
      </c>
      <c r="K358" s="1">
        <f t="shared" ca="1" si="115"/>
        <v>0</v>
      </c>
      <c r="L358" s="13">
        <f t="shared" ca="1" si="116"/>
        <v>298</v>
      </c>
      <c r="M358" s="7">
        <f t="shared" ca="1" si="117"/>
        <v>702</v>
      </c>
      <c r="N358" s="26">
        <f t="shared" ca="1" si="118"/>
        <v>3</v>
      </c>
      <c r="O358" s="44">
        <f t="shared" ca="1" si="119"/>
        <v>2.2442427272544552</v>
      </c>
      <c r="P358" s="44">
        <f t="shared" ca="1" si="120"/>
        <v>22.442427272544553</v>
      </c>
      <c r="Q358" s="44">
        <f t="shared" ca="1" si="121"/>
        <v>22.442427272544553</v>
      </c>
      <c r="R358" s="44">
        <f t="shared" ca="1" si="122"/>
        <v>2.2442427272544552</v>
      </c>
      <c r="S358" s="44">
        <f t="shared" ca="1" si="123"/>
        <v>2.2442427272544552</v>
      </c>
      <c r="T358" s="4">
        <f t="shared" ca="1" si="124"/>
        <v>0</v>
      </c>
      <c r="U358" s="120">
        <f t="shared" ca="1" si="125"/>
        <v>1518.901337549361</v>
      </c>
      <c r="V358" s="4">
        <f t="shared" ca="1" si="126"/>
        <v>0</v>
      </c>
      <c r="W358" s="13">
        <f t="shared" ca="1" si="127"/>
        <v>7022.7000000000007</v>
      </c>
      <c r="X358" s="4">
        <f t="shared" ca="1" si="128"/>
        <v>0</v>
      </c>
      <c r="Y358" s="4">
        <f t="shared" si="129"/>
        <v>0</v>
      </c>
      <c r="Z358" s="13">
        <f t="shared" ca="1" si="130"/>
        <v>7022.7000000000007</v>
      </c>
      <c r="AA358" s="4">
        <f t="shared" ca="1" si="131"/>
        <v>0</v>
      </c>
      <c r="AE358" s="4"/>
    </row>
    <row r="359" spans="1:31">
      <c r="A359">
        <v>2</v>
      </c>
      <c r="B359">
        <v>2</v>
      </c>
      <c r="C359">
        <f t="shared" ca="1" si="110"/>
        <v>5</v>
      </c>
      <c r="D359">
        <f t="shared" ca="1" si="111"/>
        <v>4</v>
      </c>
      <c r="E359">
        <f t="shared" ca="1" si="112"/>
        <v>2</v>
      </c>
      <c r="F359" s="110">
        <f t="shared" ca="1" si="113"/>
        <v>0</v>
      </c>
      <c r="G359">
        <v>0</v>
      </c>
      <c r="H359">
        <v>1</v>
      </c>
      <c r="I359">
        <v>2</v>
      </c>
      <c r="J359" s="1">
        <f t="shared" ca="1" si="114"/>
        <v>0</v>
      </c>
      <c r="K359" s="1">
        <f t="shared" ca="1" si="115"/>
        <v>0</v>
      </c>
      <c r="L359" s="13">
        <f t="shared" ca="1" si="116"/>
        <v>279</v>
      </c>
      <c r="M359" s="7">
        <f t="shared" ca="1" si="117"/>
        <v>721</v>
      </c>
      <c r="N359" s="26">
        <f t="shared" ca="1" si="118"/>
        <v>3</v>
      </c>
      <c r="O359" s="44">
        <f t="shared" ca="1" si="119"/>
        <v>2.2442427272544552</v>
      </c>
      <c r="P359" s="44">
        <f t="shared" ca="1" si="120"/>
        <v>22.442427272544553</v>
      </c>
      <c r="Q359" s="44">
        <f t="shared" ca="1" si="121"/>
        <v>22.442427272544553</v>
      </c>
      <c r="R359" s="44">
        <f t="shared" ca="1" si="122"/>
        <v>2.2442427272544552</v>
      </c>
      <c r="S359" s="44">
        <f t="shared" ca="1" si="123"/>
        <v>2.2442427272544552</v>
      </c>
      <c r="T359" s="4">
        <f t="shared" ca="1" si="124"/>
        <v>0</v>
      </c>
      <c r="U359" s="120">
        <f t="shared" ca="1" si="125"/>
        <v>1499.901337549361</v>
      </c>
      <c r="V359" s="4">
        <f t="shared" ca="1" si="126"/>
        <v>0</v>
      </c>
      <c r="W359" s="13">
        <f t="shared" ca="1" si="127"/>
        <v>4681.8</v>
      </c>
      <c r="X359" s="4">
        <f t="shared" ca="1" si="128"/>
        <v>0</v>
      </c>
      <c r="Y359" s="4">
        <f t="shared" si="129"/>
        <v>0</v>
      </c>
      <c r="Z359" s="13">
        <f t="shared" ca="1" si="130"/>
        <v>4681.8</v>
      </c>
      <c r="AA359" s="4">
        <f t="shared" ca="1" si="131"/>
        <v>0</v>
      </c>
      <c r="AE359" s="4"/>
    </row>
    <row r="360" spans="1:31">
      <c r="A360">
        <v>2</v>
      </c>
      <c r="B360">
        <v>2</v>
      </c>
      <c r="C360">
        <f t="shared" ca="1" si="110"/>
        <v>5</v>
      </c>
      <c r="D360">
        <f t="shared" ca="1" si="111"/>
        <v>4</v>
      </c>
      <c r="E360">
        <f t="shared" ca="1" si="112"/>
        <v>2</v>
      </c>
      <c r="F360" s="110">
        <f t="shared" ca="1" si="113"/>
        <v>0</v>
      </c>
      <c r="G360">
        <v>0</v>
      </c>
      <c r="H360">
        <v>1</v>
      </c>
      <c r="I360">
        <v>1</v>
      </c>
      <c r="J360" s="1">
        <f t="shared" ca="1" si="114"/>
        <v>0</v>
      </c>
      <c r="K360" s="1">
        <f t="shared" ca="1" si="115"/>
        <v>0</v>
      </c>
      <c r="L360" s="13">
        <f t="shared" ca="1" si="116"/>
        <v>260</v>
      </c>
      <c r="M360" s="7">
        <f t="shared" ca="1" si="117"/>
        <v>740</v>
      </c>
      <c r="N360" s="26">
        <f t="shared" ca="1" si="118"/>
        <v>3</v>
      </c>
      <c r="O360" s="44">
        <f t="shared" ca="1" si="119"/>
        <v>2.2442427272544552</v>
      </c>
      <c r="P360" s="44">
        <f t="shared" ca="1" si="120"/>
        <v>22.442427272544553</v>
      </c>
      <c r="Q360" s="44">
        <f t="shared" ca="1" si="121"/>
        <v>22.442427272544553</v>
      </c>
      <c r="R360" s="44">
        <f t="shared" ca="1" si="122"/>
        <v>2.2442427272544552</v>
      </c>
      <c r="S360" s="44">
        <f t="shared" ca="1" si="123"/>
        <v>2.2442427272544552</v>
      </c>
      <c r="T360" s="4">
        <f t="shared" ca="1" si="124"/>
        <v>0</v>
      </c>
      <c r="U360" s="120">
        <f t="shared" ca="1" si="125"/>
        <v>1480.901337549361</v>
      </c>
      <c r="V360" s="4">
        <f t="shared" ca="1" si="126"/>
        <v>0</v>
      </c>
      <c r="W360" s="13">
        <f t="shared" ca="1" si="127"/>
        <v>2340.9</v>
      </c>
      <c r="X360" s="4">
        <f t="shared" ca="1" si="128"/>
        <v>0</v>
      </c>
      <c r="Y360" s="4">
        <f t="shared" si="129"/>
        <v>0</v>
      </c>
      <c r="Z360" s="13">
        <f t="shared" ca="1" si="130"/>
        <v>2340.9</v>
      </c>
      <c r="AA360" s="4">
        <f t="shared" ca="1" si="131"/>
        <v>0</v>
      </c>
      <c r="AE360" s="4"/>
    </row>
    <row r="361" spans="1:31">
      <c r="A361">
        <v>2</v>
      </c>
      <c r="B361">
        <v>2</v>
      </c>
      <c r="C361">
        <f t="shared" ca="1" si="110"/>
        <v>5</v>
      </c>
      <c r="D361">
        <f t="shared" ca="1" si="111"/>
        <v>4</v>
      </c>
      <c r="E361">
        <f t="shared" ca="1" si="112"/>
        <v>2</v>
      </c>
      <c r="F361" s="110">
        <f t="shared" ca="1" si="113"/>
        <v>0</v>
      </c>
      <c r="G361">
        <v>0</v>
      </c>
      <c r="H361">
        <v>1</v>
      </c>
      <c r="I361">
        <v>0</v>
      </c>
      <c r="J361" s="1">
        <f t="shared" ca="1" si="114"/>
        <v>0</v>
      </c>
      <c r="K361" s="1">
        <f t="shared" ca="1" si="115"/>
        <v>0</v>
      </c>
      <c r="L361" s="13">
        <f t="shared" ca="1" si="116"/>
        <v>241</v>
      </c>
      <c r="M361" s="7">
        <f t="shared" ca="1" si="117"/>
        <v>759</v>
      </c>
      <c r="N361" s="26">
        <f t="shared" ca="1" si="118"/>
        <v>3</v>
      </c>
      <c r="O361" s="44">
        <f t="shared" ca="1" si="119"/>
        <v>2.2442427272544552</v>
      </c>
      <c r="P361" s="44">
        <f t="shared" ca="1" si="120"/>
        <v>22.442427272544553</v>
      </c>
      <c r="Q361" s="44">
        <f t="shared" ca="1" si="121"/>
        <v>22.442427272544553</v>
      </c>
      <c r="R361" s="44">
        <f t="shared" ca="1" si="122"/>
        <v>2.2442427272544552</v>
      </c>
      <c r="S361" s="44">
        <f t="shared" ca="1" si="123"/>
        <v>2.2442427272544552</v>
      </c>
      <c r="T361" s="4">
        <f t="shared" ca="1" si="124"/>
        <v>0</v>
      </c>
      <c r="U361" s="120">
        <f t="shared" ca="1" si="125"/>
        <v>1461.901337549361</v>
      </c>
      <c r="V361" s="4">
        <f t="shared" ca="1" si="126"/>
        <v>0</v>
      </c>
      <c r="W361" s="13">
        <f t="shared" ca="1" si="127"/>
        <v>0</v>
      </c>
      <c r="X361" s="4">
        <f t="shared" ca="1" si="128"/>
        <v>0</v>
      </c>
      <c r="Y361" s="4">
        <f t="shared" si="129"/>
        <v>0</v>
      </c>
      <c r="Z361" s="13">
        <f t="shared" ca="1" si="130"/>
        <v>0</v>
      </c>
      <c r="AA361" s="4">
        <f t="shared" ca="1" si="131"/>
        <v>0</v>
      </c>
      <c r="AE361" s="4"/>
    </row>
    <row r="362" spans="1:31">
      <c r="A362">
        <v>2</v>
      </c>
      <c r="B362">
        <v>2</v>
      </c>
      <c r="C362">
        <f t="shared" ca="1" si="110"/>
        <v>5</v>
      </c>
      <c r="D362">
        <f t="shared" ca="1" si="111"/>
        <v>4</v>
      </c>
      <c r="E362">
        <f t="shared" ca="1" si="112"/>
        <v>2</v>
      </c>
      <c r="F362" s="110">
        <f t="shared" ca="1" si="113"/>
        <v>0</v>
      </c>
      <c r="G362">
        <v>0</v>
      </c>
      <c r="H362">
        <v>0</v>
      </c>
      <c r="I362">
        <v>7</v>
      </c>
      <c r="J362" s="1">
        <f t="shared" ca="1" si="114"/>
        <v>0</v>
      </c>
      <c r="K362" s="1">
        <f t="shared" ca="1" si="115"/>
        <v>0</v>
      </c>
      <c r="L362" s="13">
        <f t="shared" ca="1" si="116"/>
        <v>133</v>
      </c>
      <c r="M362" s="7">
        <f t="shared" ca="1" si="117"/>
        <v>867</v>
      </c>
      <c r="N362" s="26">
        <f t="shared" ca="1" si="118"/>
        <v>4</v>
      </c>
      <c r="O362" s="44">
        <f t="shared" ca="1" si="119"/>
        <v>2.8621467101781541</v>
      </c>
      <c r="P362" s="44">
        <f t="shared" ca="1" si="120"/>
        <v>28.621467101781548</v>
      </c>
      <c r="Q362" s="44">
        <f t="shared" ca="1" si="121"/>
        <v>24.914043204239348</v>
      </c>
      <c r="R362" s="44">
        <f t="shared" ca="1" si="122"/>
        <v>2.6767755153010446</v>
      </c>
      <c r="S362" s="44">
        <f t="shared" ca="1" si="123"/>
        <v>2.8491707265367565</v>
      </c>
      <c r="T362" s="4">
        <f t="shared" ca="1" si="124"/>
        <v>0</v>
      </c>
      <c r="U362" s="120">
        <f t="shared" ca="1" si="125"/>
        <v>1622.8690837457082</v>
      </c>
      <c r="V362" s="4">
        <f t="shared" ca="1" si="126"/>
        <v>0</v>
      </c>
      <c r="W362" s="13">
        <f t="shared" ca="1" si="127"/>
        <v>16386.3</v>
      </c>
      <c r="X362" s="4">
        <f t="shared" ca="1" si="128"/>
        <v>0</v>
      </c>
      <c r="Y362" s="4">
        <f t="shared" si="129"/>
        <v>0</v>
      </c>
      <c r="Z362" s="13">
        <f t="shared" ca="1" si="130"/>
        <v>16386.3</v>
      </c>
      <c r="AA362" s="4">
        <f t="shared" ca="1" si="131"/>
        <v>0</v>
      </c>
      <c r="AE362" s="4"/>
    </row>
    <row r="363" spans="1:31">
      <c r="A363">
        <v>2</v>
      </c>
      <c r="B363">
        <v>2</v>
      </c>
      <c r="C363">
        <f t="shared" ca="1" si="110"/>
        <v>5</v>
      </c>
      <c r="D363">
        <f t="shared" ca="1" si="111"/>
        <v>4</v>
      </c>
      <c r="E363">
        <f t="shared" ca="1" si="112"/>
        <v>2</v>
      </c>
      <c r="F363" s="110">
        <f t="shared" ca="1" si="113"/>
        <v>0</v>
      </c>
      <c r="G363">
        <v>0</v>
      </c>
      <c r="H363">
        <v>0</v>
      </c>
      <c r="I363">
        <v>6</v>
      </c>
      <c r="J363" s="1">
        <f t="shared" ca="1" si="114"/>
        <v>0</v>
      </c>
      <c r="K363" s="1">
        <f t="shared" ca="1" si="115"/>
        <v>0</v>
      </c>
      <c r="L363" s="13">
        <f t="shared" ca="1" si="116"/>
        <v>114</v>
      </c>
      <c r="M363" s="7">
        <f t="shared" ca="1" si="117"/>
        <v>886</v>
      </c>
      <c r="N363" s="26">
        <f t="shared" ca="1" si="118"/>
        <v>4</v>
      </c>
      <c r="O363" s="44">
        <f t="shared" ca="1" si="119"/>
        <v>2.8621467101781541</v>
      </c>
      <c r="P363" s="44">
        <f t="shared" ca="1" si="120"/>
        <v>28.621467101781548</v>
      </c>
      <c r="Q363" s="44">
        <f t="shared" ca="1" si="121"/>
        <v>28.621467101781548</v>
      </c>
      <c r="R363" s="44">
        <f t="shared" ca="1" si="122"/>
        <v>2.8621467101781546</v>
      </c>
      <c r="S363" s="44">
        <f t="shared" ca="1" si="123"/>
        <v>2.8621467101781541</v>
      </c>
      <c r="T363" s="4">
        <f t="shared" ca="1" si="124"/>
        <v>0</v>
      </c>
      <c r="U363" s="120">
        <f t="shared" ca="1" si="125"/>
        <v>1609.6385655333725</v>
      </c>
      <c r="V363" s="4">
        <f t="shared" ca="1" si="126"/>
        <v>0</v>
      </c>
      <c r="W363" s="13">
        <f t="shared" ca="1" si="127"/>
        <v>14045.400000000001</v>
      </c>
      <c r="X363" s="4">
        <f t="shared" ca="1" si="128"/>
        <v>0</v>
      </c>
      <c r="Y363" s="4">
        <f t="shared" si="129"/>
        <v>0</v>
      </c>
      <c r="Z363" s="13">
        <f t="shared" ca="1" si="130"/>
        <v>14045.400000000001</v>
      </c>
      <c r="AA363" s="4">
        <f t="shared" ca="1" si="131"/>
        <v>0</v>
      </c>
      <c r="AE363" s="4"/>
    </row>
    <row r="364" spans="1:31">
      <c r="A364">
        <v>2</v>
      </c>
      <c r="B364">
        <v>2</v>
      </c>
      <c r="C364">
        <f t="shared" ca="1" si="110"/>
        <v>5</v>
      </c>
      <c r="D364">
        <f t="shared" ca="1" si="111"/>
        <v>4</v>
      </c>
      <c r="E364">
        <f t="shared" ca="1" si="112"/>
        <v>2</v>
      </c>
      <c r="F364" s="110">
        <f t="shared" ca="1" si="113"/>
        <v>0</v>
      </c>
      <c r="G364">
        <v>0</v>
      </c>
      <c r="H364">
        <v>0</v>
      </c>
      <c r="I364">
        <v>5</v>
      </c>
      <c r="J364" s="1">
        <f t="shared" ca="1" si="114"/>
        <v>0</v>
      </c>
      <c r="K364" s="1">
        <f t="shared" ca="1" si="115"/>
        <v>0</v>
      </c>
      <c r="L364" s="13">
        <f t="shared" ca="1" si="116"/>
        <v>95</v>
      </c>
      <c r="M364" s="7">
        <f t="shared" ca="1" si="117"/>
        <v>905</v>
      </c>
      <c r="N364" s="26">
        <f t="shared" ca="1" si="118"/>
        <v>4</v>
      </c>
      <c r="O364" s="44">
        <f t="shared" ca="1" si="119"/>
        <v>2.8621467101781541</v>
      </c>
      <c r="P364" s="44">
        <f t="shared" ca="1" si="120"/>
        <v>28.621467101781548</v>
      </c>
      <c r="Q364" s="44">
        <f t="shared" ca="1" si="121"/>
        <v>28.621467101781548</v>
      </c>
      <c r="R364" s="44">
        <f t="shared" ca="1" si="122"/>
        <v>2.8621467101781546</v>
      </c>
      <c r="S364" s="44">
        <f t="shared" ca="1" si="123"/>
        <v>2.8621467101781541</v>
      </c>
      <c r="T364" s="4">
        <f t="shared" ca="1" si="124"/>
        <v>0</v>
      </c>
      <c r="U364" s="120">
        <f t="shared" ca="1" si="125"/>
        <v>1590.6385655333725</v>
      </c>
      <c r="V364" s="4">
        <f t="shared" ca="1" si="126"/>
        <v>0</v>
      </c>
      <c r="W364" s="13">
        <f t="shared" ca="1" si="127"/>
        <v>11704.5</v>
      </c>
      <c r="X364" s="4">
        <f t="shared" ca="1" si="128"/>
        <v>0</v>
      </c>
      <c r="Y364" s="4">
        <f t="shared" si="129"/>
        <v>0</v>
      </c>
      <c r="Z364" s="13">
        <f t="shared" ca="1" si="130"/>
        <v>11704.5</v>
      </c>
      <c r="AA364" s="4">
        <f t="shared" ca="1" si="131"/>
        <v>0</v>
      </c>
      <c r="AE364" s="4"/>
    </row>
    <row r="365" spans="1:31">
      <c r="A365">
        <v>2</v>
      </c>
      <c r="B365">
        <v>2</v>
      </c>
      <c r="C365">
        <f t="shared" ca="1" si="110"/>
        <v>5</v>
      </c>
      <c r="D365">
        <f t="shared" ca="1" si="111"/>
        <v>4</v>
      </c>
      <c r="E365">
        <f t="shared" ca="1" si="112"/>
        <v>2</v>
      </c>
      <c r="F365" s="110">
        <f t="shared" ca="1" si="113"/>
        <v>0</v>
      </c>
      <c r="G365">
        <v>0</v>
      </c>
      <c r="H365">
        <v>0</v>
      </c>
      <c r="I365">
        <v>4</v>
      </c>
      <c r="J365" s="1">
        <f t="shared" ca="1" si="114"/>
        <v>2.9309082031250003E-2</v>
      </c>
      <c r="K365" s="1">
        <f t="shared" ca="1" si="115"/>
        <v>0</v>
      </c>
      <c r="L365" s="13">
        <f t="shared" ca="1" si="116"/>
        <v>76</v>
      </c>
      <c r="M365" s="7">
        <f t="shared" ca="1" si="117"/>
        <v>924</v>
      </c>
      <c r="N365" s="26">
        <f t="shared" ca="1" si="118"/>
        <v>4</v>
      </c>
      <c r="O365" s="44">
        <f t="shared" ca="1" si="119"/>
        <v>2.8621467101781541</v>
      </c>
      <c r="P365" s="44">
        <f t="shared" ca="1" si="120"/>
        <v>28.621467101781548</v>
      </c>
      <c r="Q365" s="44">
        <f t="shared" ca="1" si="121"/>
        <v>28.621467101781548</v>
      </c>
      <c r="R365" s="44">
        <f t="shared" ca="1" si="122"/>
        <v>2.8621467101781546</v>
      </c>
      <c r="S365" s="44">
        <f t="shared" ca="1" si="123"/>
        <v>2.8621467101781541</v>
      </c>
      <c r="T365" s="4">
        <f t="shared" ca="1" si="124"/>
        <v>0</v>
      </c>
      <c r="U365" s="120">
        <f t="shared" ca="1" si="125"/>
        <v>1571.6385655333725</v>
      </c>
      <c r="V365" s="4">
        <f t="shared" ca="1" si="126"/>
        <v>0</v>
      </c>
      <c r="W365" s="13">
        <f t="shared" ca="1" si="127"/>
        <v>9363.6</v>
      </c>
      <c r="X365" s="4">
        <f t="shared" ca="1" si="128"/>
        <v>0</v>
      </c>
      <c r="Y365" s="4">
        <f t="shared" si="129"/>
        <v>0</v>
      </c>
      <c r="Z365" s="13">
        <f t="shared" ca="1" si="130"/>
        <v>9363.6</v>
      </c>
      <c r="AA365" s="4">
        <f t="shared" ca="1" si="131"/>
        <v>0</v>
      </c>
      <c r="AE365" s="4"/>
    </row>
    <row r="366" spans="1:31">
      <c r="A366">
        <v>2</v>
      </c>
      <c r="B366">
        <v>2</v>
      </c>
      <c r="C366">
        <f t="shared" ca="1" si="110"/>
        <v>5</v>
      </c>
      <c r="D366">
        <f t="shared" ca="1" si="111"/>
        <v>4</v>
      </c>
      <c r="E366">
        <f t="shared" ca="1" si="112"/>
        <v>2</v>
      </c>
      <c r="F366" s="110">
        <f t="shared" ca="1" si="113"/>
        <v>0</v>
      </c>
      <c r="G366">
        <v>0</v>
      </c>
      <c r="H366">
        <v>0</v>
      </c>
      <c r="I366">
        <v>3</v>
      </c>
      <c r="J366" s="1">
        <f t="shared" ca="1" si="114"/>
        <v>1.6748046875000002E-2</v>
      </c>
      <c r="K366" s="1">
        <f t="shared" ca="1" si="115"/>
        <v>0</v>
      </c>
      <c r="L366" s="13">
        <f t="shared" ca="1" si="116"/>
        <v>57</v>
      </c>
      <c r="M366" s="7">
        <f t="shared" ca="1" si="117"/>
        <v>943</v>
      </c>
      <c r="N366" s="26">
        <f t="shared" ca="1" si="118"/>
        <v>4</v>
      </c>
      <c r="O366" s="44">
        <f t="shared" ca="1" si="119"/>
        <v>2.8621467101781541</v>
      </c>
      <c r="P366" s="44">
        <f t="shared" ca="1" si="120"/>
        <v>28.621467101781548</v>
      </c>
      <c r="Q366" s="44">
        <f t="shared" ca="1" si="121"/>
        <v>28.621467101781548</v>
      </c>
      <c r="R366" s="44">
        <f t="shared" ca="1" si="122"/>
        <v>2.8621467101781546</v>
      </c>
      <c r="S366" s="44">
        <f t="shared" ca="1" si="123"/>
        <v>2.8621467101781541</v>
      </c>
      <c r="T366" s="4">
        <f t="shared" ca="1" si="124"/>
        <v>0</v>
      </c>
      <c r="U366" s="120">
        <f t="shared" ca="1" si="125"/>
        <v>1552.6385655333725</v>
      </c>
      <c r="V366" s="4">
        <f t="shared" ca="1" si="126"/>
        <v>0</v>
      </c>
      <c r="W366" s="13">
        <f t="shared" ca="1" si="127"/>
        <v>7022.7000000000007</v>
      </c>
      <c r="X366" s="4">
        <f t="shared" ca="1" si="128"/>
        <v>0</v>
      </c>
      <c r="Y366" s="4">
        <f t="shared" si="129"/>
        <v>0</v>
      </c>
      <c r="Z366" s="13">
        <f t="shared" ca="1" si="130"/>
        <v>7022.7000000000007</v>
      </c>
      <c r="AA366" s="4">
        <f t="shared" ca="1" si="131"/>
        <v>0</v>
      </c>
      <c r="AE366" s="4"/>
    </row>
    <row r="367" spans="1:31">
      <c r="A367">
        <v>2</v>
      </c>
      <c r="B367">
        <v>2</v>
      </c>
      <c r="C367">
        <f t="shared" ca="1" si="110"/>
        <v>5</v>
      </c>
      <c r="D367">
        <f t="shared" ca="1" si="111"/>
        <v>4</v>
      </c>
      <c r="E367">
        <f t="shared" ca="1" si="112"/>
        <v>2</v>
      </c>
      <c r="F367" s="110">
        <f t="shared" ca="1" si="113"/>
        <v>0</v>
      </c>
      <c r="G367">
        <v>0</v>
      </c>
      <c r="H367">
        <v>0</v>
      </c>
      <c r="I367">
        <v>2</v>
      </c>
      <c r="J367" s="1">
        <f t="shared" ca="1" si="114"/>
        <v>3.5888671875000003E-3</v>
      </c>
      <c r="K367" s="1">
        <f t="shared" ca="1" si="115"/>
        <v>0</v>
      </c>
      <c r="L367" s="13">
        <f t="shared" ca="1" si="116"/>
        <v>38</v>
      </c>
      <c r="M367" s="7">
        <f t="shared" ca="1" si="117"/>
        <v>962</v>
      </c>
      <c r="N367" s="26">
        <f t="shared" ca="1" si="118"/>
        <v>4</v>
      </c>
      <c r="O367" s="44">
        <f t="shared" ca="1" si="119"/>
        <v>2.8621467101781541</v>
      </c>
      <c r="P367" s="44">
        <f t="shared" ca="1" si="120"/>
        <v>28.621467101781548</v>
      </c>
      <c r="Q367" s="44">
        <f t="shared" ca="1" si="121"/>
        <v>28.621467101781548</v>
      </c>
      <c r="R367" s="44">
        <f t="shared" ca="1" si="122"/>
        <v>2.8621467101781546</v>
      </c>
      <c r="S367" s="44">
        <f t="shared" ca="1" si="123"/>
        <v>2.8621467101781541</v>
      </c>
      <c r="T367" s="4">
        <f t="shared" ca="1" si="124"/>
        <v>0</v>
      </c>
      <c r="U367" s="120">
        <f t="shared" ca="1" si="125"/>
        <v>1533.6385655333725</v>
      </c>
      <c r="V367" s="4">
        <f t="shared" ca="1" si="126"/>
        <v>0</v>
      </c>
      <c r="W367" s="13">
        <f t="shared" ca="1" si="127"/>
        <v>4681.8</v>
      </c>
      <c r="X367" s="4">
        <f t="shared" ca="1" si="128"/>
        <v>0</v>
      </c>
      <c r="Y367" s="4">
        <f t="shared" si="129"/>
        <v>0</v>
      </c>
      <c r="Z367" s="13">
        <f t="shared" ca="1" si="130"/>
        <v>4681.8</v>
      </c>
      <c r="AA367" s="4">
        <f t="shared" ca="1" si="131"/>
        <v>0</v>
      </c>
      <c r="AE367" s="4"/>
    </row>
    <row r="368" spans="1:31">
      <c r="A368">
        <v>2</v>
      </c>
      <c r="B368">
        <v>2</v>
      </c>
      <c r="C368">
        <f t="shared" ca="1" si="110"/>
        <v>5</v>
      </c>
      <c r="D368">
        <f t="shared" ca="1" si="111"/>
        <v>4</v>
      </c>
      <c r="E368">
        <f t="shared" ca="1" si="112"/>
        <v>2</v>
      </c>
      <c r="F368" s="110">
        <f t="shared" ca="1" si="113"/>
        <v>0</v>
      </c>
      <c r="G368">
        <v>0</v>
      </c>
      <c r="H368">
        <v>0</v>
      </c>
      <c r="I368">
        <v>1</v>
      </c>
      <c r="J368" s="1">
        <f t="shared" ca="1" si="114"/>
        <v>3.4179687500000003E-4</v>
      </c>
      <c r="K368" s="1">
        <f t="shared" ca="1" si="115"/>
        <v>0</v>
      </c>
      <c r="L368" s="13">
        <f t="shared" ca="1" si="116"/>
        <v>19</v>
      </c>
      <c r="M368" s="7">
        <f t="shared" ca="1" si="117"/>
        <v>981</v>
      </c>
      <c r="N368" s="26">
        <f t="shared" ca="1" si="118"/>
        <v>4</v>
      </c>
      <c r="O368" s="44">
        <f t="shared" ca="1" si="119"/>
        <v>2.8621467101781541</v>
      </c>
      <c r="P368" s="44">
        <f t="shared" ca="1" si="120"/>
        <v>28.621467101781548</v>
      </c>
      <c r="Q368" s="44">
        <f t="shared" ca="1" si="121"/>
        <v>28.621467101781548</v>
      </c>
      <c r="R368" s="44">
        <f t="shared" ca="1" si="122"/>
        <v>2.8621467101781546</v>
      </c>
      <c r="S368" s="44">
        <f t="shared" ca="1" si="123"/>
        <v>2.8621467101781541</v>
      </c>
      <c r="T368" s="4">
        <f t="shared" ca="1" si="124"/>
        <v>0</v>
      </c>
      <c r="U368" s="120">
        <f t="shared" ca="1" si="125"/>
        <v>1514.6385655333725</v>
      </c>
      <c r="V368" s="4">
        <f t="shared" ca="1" si="126"/>
        <v>0</v>
      </c>
      <c r="W368" s="13">
        <f t="shared" ca="1" si="127"/>
        <v>2340.9</v>
      </c>
      <c r="X368" s="4">
        <f t="shared" ca="1" si="128"/>
        <v>0</v>
      </c>
      <c r="Y368" s="4">
        <f t="shared" si="129"/>
        <v>0</v>
      </c>
      <c r="Z368" s="13">
        <f t="shared" ca="1" si="130"/>
        <v>2340.9</v>
      </c>
      <c r="AA368" s="4">
        <f t="shared" ca="1" si="131"/>
        <v>0</v>
      </c>
      <c r="AE368" s="4"/>
    </row>
    <row r="369" spans="1:31">
      <c r="A369">
        <v>2</v>
      </c>
      <c r="B369">
        <v>2</v>
      </c>
      <c r="C369">
        <f t="shared" ca="1" si="110"/>
        <v>5</v>
      </c>
      <c r="D369">
        <f t="shared" ca="1" si="111"/>
        <v>4</v>
      </c>
      <c r="E369">
        <f t="shared" ca="1" si="112"/>
        <v>2</v>
      </c>
      <c r="F369" s="110">
        <f t="shared" ca="1" si="113"/>
        <v>0</v>
      </c>
      <c r="G369">
        <v>0</v>
      </c>
      <c r="H369">
        <v>0</v>
      </c>
      <c r="I369">
        <v>0</v>
      </c>
      <c r="J369" s="1">
        <f t="shared" ca="1" si="114"/>
        <v>1.2207031250000001E-5</v>
      </c>
      <c r="K369" s="1">
        <f t="shared" ca="1" si="115"/>
        <v>0</v>
      </c>
      <c r="L369" s="13">
        <f t="shared" ca="1" si="116"/>
        <v>0</v>
      </c>
      <c r="M369" s="7">
        <f t="shared" ca="1" si="117"/>
        <v>1000</v>
      </c>
      <c r="N369" s="26">
        <f t="shared" ca="1" si="118"/>
        <v>4</v>
      </c>
      <c r="O369" s="44">
        <f t="shared" ca="1" si="119"/>
        <v>2.8621467101781541</v>
      </c>
      <c r="P369" s="44">
        <f t="shared" ca="1" si="120"/>
        <v>28.621467101781548</v>
      </c>
      <c r="Q369" s="44">
        <f t="shared" ca="1" si="121"/>
        <v>28.621467101781548</v>
      </c>
      <c r="R369" s="44">
        <f t="shared" ca="1" si="122"/>
        <v>2.8621467101781546</v>
      </c>
      <c r="S369" s="44">
        <f t="shared" ca="1" si="123"/>
        <v>2.8621467101781541</v>
      </c>
      <c r="T369" s="4">
        <f t="shared" ca="1" si="124"/>
        <v>0</v>
      </c>
      <c r="U369" s="120">
        <f t="shared" ca="1" si="125"/>
        <v>1495.6385655333725</v>
      </c>
      <c r="V369" s="4">
        <f t="shared" ca="1" si="126"/>
        <v>0</v>
      </c>
      <c r="W369" s="13">
        <f t="shared" ca="1" si="127"/>
        <v>0</v>
      </c>
      <c r="X369" s="4">
        <f t="shared" ca="1" si="128"/>
        <v>0</v>
      </c>
      <c r="Y369" s="4">
        <f t="shared" si="129"/>
        <v>0</v>
      </c>
      <c r="Z369" s="13">
        <f t="shared" ca="1" si="130"/>
        <v>0</v>
      </c>
      <c r="AA369" s="4">
        <f t="shared" ca="1" si="131"/>
        <v>0</v>
      </c>
      <c r="AE369" s="4"/>
    </row>
    <row r="370" spans="1:31">
      <c r="A370">
        <v>2</v>
      </c>
      <c r="B370">
        <v>3</v>
      </c>
      <c r="C370">
        <f t="shared" ca="1" si="110"/>
        <v>6</v>
      </c>
      <c r="D370">
        <f t="shared" ca="1" si="111"/>
        <v>5</v>
      </c>
      <c r="E370">
        <f t="shared" ca="1" si="112"/>
        <v>2</v>
      </c>
      <c r="F370" s="110">
        <f t="shared" ca="1" si="113"/>
        <v>0</v>
      </c>
      <c r="G370">
        <v>1</v>
      </c>
      <c r="H370">
        <v>1</v>
      </c>
      <c r="I370">
        <v>7</v>
      </c>
      <c r="J370" s="1">
        <f t="shared" ca="1" si="114"/>
        <v>0</v>
      </c>
      <c r="K370" s="1">
        <f t="shared" ca="1" si="115"/>
        <v>0</v>
      </c>
      <c r="L370" s="13">
        <f t="shared" ca="1" si="116"/>
        <v>615</v>
      </c>
      <c r="M370" s="7">
        <f t="shared" ca="1" si="117"/>
        <v>385</v>
      </c>
      <c r="N370" s="26">
        <f t="shared" ca="1" si="118"/>
        <v>2</v>
      </c>
      <c r="O370" s="44">
        <f t="shared" ca="1" si="119"/>
        <v>1.5762319669595739</v>
      </c>
      <c r="P370" s="44">
        <f t="shared" ca="1" si="120"/>
        <v>15.762319669595739</v>
      </c>
      <c r="Q370" s="44">
        <f t="shared" ca="1" si="121"/>
        <v>15.762319669595739</v>
      </c>
      <c r="R370" s="44">
        <f t="shared" ca="1" si="122"/>
        <v>1.5762319669595739</v>
      </c>
      <c r="S370" s="44">
        <f t="shared" ca="1" si="123"/>
        <v>1.5762319669595737</v>
      </c>
      <c r="T370" s="4">
        <f t="shared" ca="1" si="124"/>
        <v>0</v>
      </c>
      <c r="U370" s="120">
        <f t="shared" ca="1" si="125"/>
        <v>1538.885248288175</v>
      </c>
      <c r="V370" s="4">
        <f t="shared" ca="1" si="126"/>
        <v>0</v>
      </c>
      <c r="W370" s="13">
        <f t="shared" ca="1" si="127"/>
        <v>40973.706000000006</v>
      </c>
      <c r="X370" s="4">
        <f t="shared" ca="1" si="128"/>
        <v>0</v>
      </c>
      <c r="Y370" s="4">
        <f t="shared" si="129"/>
        <v>0</v>
      </c>
      <c r="Z370" s="13">
        <f t="shared" ca="1" si="130"/>
        <v>40973.706000000006</v>
      </c>
      <c r="AA370" s="4">
        <f t="shared" ca="1" si="131"/>
        <v>0</v>
      </c>
      <c r="AE370" s="4"/>
    </row>
    <row r="371" spans="1:31">
      <c r="A371">
        <v>2</v>
      </c>
      <c r="B371">
        <v>3</v>
      </c>
      <c r="C371">
        <f t="shared" ca="1" si="110"/>
        <v>6</v>
      </c>
      <c r="D371">
        <f t="shared" ca="1" si="111"/>
        <v>5</v>
      </c>
      <c r="E371">
        <f t="shared" ca="1" si="112"/>
        <v>2</v>
      </c>
      <c r="F371" s="110">
        <f t="shared" ca="1" si="113"/>
        <v>0</v>
      </c>
      <c r="G371">
        <v>1</v>
      </c>
      <c r="H371">
        <v>1</v>
      </c>
      <c r="I371">
        <v>6</v>
      </c>
      <c r="J371" s="1">
        <f t="shared" ca="1" si="114"/>
        <v>0</v>
      </c>
      <c r="K371" s="1">
        <f t="shared" ca="1" si="115"/>
        <v>0</v>
      </c>
      <c r="L371" s="13">
        <f t="shared" ca="1" si="116"/>
        <v>596</v>
      </c>
      <c r="M371" s="7">
        <f t="shared" ca="1" si="117"/>
        <v>404</v>
      </c>
      <c r="N371" s="26">
        <f t="shared" ca="1" si="118"/>
        <v>2</v>
      </c>
      <c r="O371" s="44">
        <f t="shared" ca="1" si="119"/>
        <v>1.5762319669595739</v>
      </c>
      <c r="P371" s="44">
        <f t="shared" ca="1" si="120"/>
        <v>15.762319669595739</v>
      </c>
      <c r="Q371" s="44">
        <f t="shared" ca="1" si="121"/>
        <v>15.762319669595739</v>
      </c>
      <c r="R371" s="44">
        <f t="shared" ca="1" si="122"/>
        <v>1.5762319669595739</v>
      </c>
      <c r="S371" s="44">
        <f t="shared" ca="1" si="123"/>
        <v>1.5762319669595737</v>
      </c>
      <c r="T371" s="4">
        <f t="shared" ca="1" si="124"/>
        <v>0</v>
      </c>
      <c r="U371" s="120">
        <f t="shared" ca="1" si="125"/>
        <v>1519.885248288175</v>
      </c>
      <c r="V371" s="4">
        <f t="shared" ca="1" si="126"/>
        <v>0</v>
      </c>
      <c r="W371" s="13">
        <f t="shared" ca="1" si="127"/>
        <v>38632.806000000004</v>
      </c>
      <c r="X371" s="4">
        <f t="shared" ca="1" si="128"/>
        <v>0</v>
      </c>
      <c r="Y371" s="4">
        <f t="shared" si="129"/>
        <v>0</v>
      </c>
      <c r="Z371" s="13">
        <f t="shared" ca="1" si="130"/>
        <v>38632.806000000004</v>
      </c>
      <c r="AA371" s="4">
        <f t="shared" ca="1" si="131"/>
        <v>0</v>
      </c>
      <c r="AE371" s="4"/>
    </row>
    <row r="372" spans="1:31">
      <c r="A372">
        <v>2</v>
      </c>
      <c r="B372">
        <v>3</v>
      </c>
      <c r="C372">
        <f t="shared" ca="1" si="110"/>
        <v>6</v>
      </c>
      <c r="D372">
        <f t="shared" ca="1" si="111"/>
        <v>5</v>
      </c>
      <c r="E372">
        <f t="shared" ca="1" si="112"/>
        <v>2</v>
      </c>
      <c r="F372" s="110">
        <f t="shared" ca="1" si="113"/>
        <v>0</v>
      </c>
      <c r="G372">
        <v>1</v>
      </c>
      <c r="H372">
        <v>1</v>
      </c>
      <c r="I372">
        <v>5</v>
      </c>
      <c r="J372" s="1">
        <f t="shared" ca="1" si="114"/>
        <v>0</v>
      </c>
      <c r="K372" s="1">
        <f t="shared" ca="1" si="115"/>
        <v>0</v>
      </c>
      <c r="L372" s="13">
        <f t="shared" ca="1" si="116"/>
        <v>577</v>
      </c>
      <c r="M372" s="7">
        <f t="shared" ca="1" si="117"/>
        <v>423</v>
      </c>
      <c r="N372" s="26">
        <f t="shared" ca="1" si="118"/>
        <v>2</v>
      </c>
      <c r="O372" s="44">
        <f t="shared" ca="1" si="119"/>
        <v>1.5762319669595739</v>
      </c>
      <c r="P372" s="44">
        <f t="shared" ca="1" si="120"/>
        <v>15.762319669595739</v>
      </c>
      <c r="Q372" s="44">
        <f t="shared" ca="1" si="121"/>
        <v>15.762319669595739</v>
      </c>
      <c r="R372" s="44">
        <f t="shared" ca="1" si="122"/>
        <v>1.5762319669595739</v>
      </c>
      <c r="S372" s="44">
        <f t="shared" ca="1" si="123"/>
        <v>1.5762319669595737</v>
      </c>
      <c r="T372" s="4">
        <f t="shared" ca="1" si="124"/>
        <v>0</v>
      </c>
      <c r="U372" s="120">
        <f t="shared" ca="1" si="125"/>
        <v>1500.885248288175</v>
      </c>
      <c r="V372" s="4">
        <f t="shared" ca="1" si="126"/>
        <v>0</v>
      </c>
      <c r="W372" s="13">
        <f t="shared" ca="1" si="127"/>
        <v>36291.906000000003</v>
      </c>
      <c r="X372" s="4">
        <f t="shared" ca="1" si="128"/>
        <v>0</v>
      </c>
      <c r="Y372" s="4">
        <f t="shared" si="129"/>
        <v>0</v>
      </c>
      <c r="Z372" s="13">
        <f t="shared" ca="1" si="130"/>
        <v>36291.906000000003</v>
      </c>
      <c r="AA372" s="4">
        <f t="shared" ca="1" si="131"/>
        <v>0</v>
      </c>
      <c r="AE372" s="4"/>
    </row>
    <row r="373" spans="1:31">
      <c r="A373">
        <v>2</v>
      </c>
      <c r="B373">
        <v>3</v>
      </c>
      <c r="C373">
        <f t="shared" ca="1" si="110"/>
        <v>6</v>
      </c>
      <c r="D373">
        <f t="shared" ca="1" si="111"/>
        <v>5</v>
      </c>
      <c r="E373">
        <f t="shared" ca="1" si="112"/>
        <v>2</v>
      </c>
      <c r="F373" s="110">
        <f t="shared" ca="1" si="113"/>
        <v>0</v>
      </c>
      <c r="G373">
        <v>1</v>
      </c>
      <c r="H373">
        <v>1</v>
      </c>
      <c r="I373">
        <v>4</v>
      </c>
      <c r="J373" s="1">
        <f t="shared" ca="1" si="114"/>
        <v>0</v>
      </c>
      <c r="K373" s="1">
        <f t="shared" ca="1" si="115"/>
        <v>0</v>
      </c>
      <c r="L373" s="13">
        <f t="shared" ca="1" si="116"/>
        <v>558</v>
      </c>
      <c r="M373" s="7">
        <f t="shared" ca="1" si="117"/>
        <v>442</v>
      </c>
      <c r="N373" s="26">
        <f t="shared" ca="1" si="118"/>
        <v>2</v>
      </c>
      <c r="O373" s="44">
        <f t="shared" ca="1" si="119"/>
        <v>1.5762319669595739</v>
      </c>
      <c r="P373" s="44">
        <f t="shared" ca="1" si="120"/>
        <v>15.762319669595739</v>
      </c>
      <c r="Q373" s="44">
        <f t="shared" ca="1" si="121"/>
        <v>15.762319669595739</v>
      </c>
      <c r="R373" s="44">
        <f t="shared" ca="1" si="122"/>
        <v>1.5762319669595739</v>
      </c>
      <c r="S373" s="44">
        <f t="shared" ca="1" si="123"/>
        <v>1.5762319669595737</v>
      </c>
      <c r="T373" s="4">
        <f t="shared" ca="1" si="124"/>
        <v>0</v>
      </c>
      <c r="U373" s="120">
        <f t="shared" ca="1" si="125"/>
        <v>1481.885248288175</v>
      </c>
      <c r="V373" s="4">
        <f t="shared" ca="1" si="126"/>
        <v>0</v>
      </c>
      <c r="W373" s="13">
        <f t="shared" ca="1" si="127"/>
        <v>33951.006000000001</v>
      </c>
      <c r="X373" s="4">
        <f t="shared" ca="1" si="128"/>
        <v>0</v>
      </c>
      <c r="Y373" s="4">
        <f t="shared" si="129"/>
        <v>0</v>
      </c>
      <c r="Z373" s="13">
        <f t="shared" ca="1" si="130"/>
        <v>33951.006000000001</v>
      </c>
      <c r="AA373" s="4">
        <f t="shared" ca="1" si="131"/>
        <v>0</v>
      </c>
      <c r="AE373" s="4"/>
    </row>
    <row r="374" spans="1:31">
      <c r="A374">
        <v>2</v>
      </c>
      <c r="B374">
        <v>3</v>
      </c>
      <c r="C374">
        <f t="shared" ca="1" si="110"/>
        <v>6</v>
      </c>
      <c r="D374">
        <f t="shared" ca="1" si="111"/>
        <v>5</v>
      </c>
      <c r="E374">
        <f t="shared" ca="1" si="112"/>
        <v>2</v>
      </c>
      <c r="F374" s="110">
        <f t="shared" ca="1" si="113"/>
        <v>0</v>
      </c>
      <c r="G374">
        <v>1</v>
      </c>
      <c r="H374">
        <v>1</v>
      </c>
      <c r="I374">
        <v>3</v>
      </c>
      <c r="J374" s="1">
        <f t="shared" ca="1" si="114"/>
        <v>0</v>
      </c>
      <c r="K374" s="1">
        <f t="shared" ca="1" si="115"/>
        <v>0</v>
      </c>
      <c r="L374" s="13">
        <f t="shared" ca="1" si="116"/>
        <v>539</v>
      </c>
      <c r="M374" s="7">
        <f t="shared" ca="1" si="117"/>
        <v>461</v>
      </c>
      <c r="N374" s="26">
        <f t="shared" ca="1" si="118"/>
        <v>2</v>
      </c>
      <c r="O374" s="44">
        <f t="shared" ca="1" si="119"/>
        <v>1.5762319669595739</v>
      </c>
      <c r="P374" s="44">
        <f t="shared" ca="1" si="120"/>
        <v>15.762319669595739</v>
      </c>
      <c r="Q374" s="44">
        <f t="shared" ca="1" si="121"/>
        <v>15.762319669595739</v>
      </c>
      <c r="R374" s="44">
        <f t="shared" ca="1" si="122"/>
        <v>1.5762319669595739</v>
      </c>
      <c r="S374" s="44">
        <f t="shared" ca="1" si="123"/>
        <v>1.5762319669595737</v>
      </c>
      <c r="T374" s="4">
        <f t="shared" ca="1" si="124"/>
        <v>0</v>
      </c>
      <c r="U374" s="120">
        <f t="shared" ca="1" si="125"/>
        <v>1462.885248288175</v>
      </c>
      <c r="V374" s="4">
        <f t="shared" ca="1" si="126"/>
        <v>0</v>
      </c>
      <c r="W374" s="13">
        <f t="shared" ca="1" si="127"/>
        <v>31610.106000000003</v>
      </c>
      <c r="X374" s="4">
        <f t="shared" ca="1" si="128"/>
        <v>0</v>
      </c>
      <c r="Y374" s="4">
        <f t="shared" si="129"/>
        <v>0</v>
      </c>
      <c r="Z374" s="13">
        <f t="shared" ca="1" si="130"/>
        <v>31610.106000000003</v>
      </c>
      <c r="AA374" s="4">
        <f t="shared" ca="1" si="131"/>
        <v>0</v>
      </c>
      <c r="AE374" s="4"/>
    </row>
    <row r="375" spans="1:31">
      <c r="A375">
        <v>2</v>
      </c>
      <c r="B375">
        <v>3</v>
      </c>
      <c r="C375">
        <f t="shared" ca="1" si="110"/>
        <v>6</v>
      </c>
      <c r="D375">
        <f t="shared" ca="1" si="111"/>
        <v>5</v>
      </c>
      <c r="E375">
        <f t="shared" ca="1" si="112"/>
        <v>2</v>
      </c>
      <c r="F375" s="110">
        <f t="shared" ca="1" si="113"/>
        <v>0</v>
      </c>
      <c r="G375">
        <v>1</v>
      </c>
      <c r="H375">
        <v>1</v>
      </c>
      <c r="I375">
        <v>2</v>
      </c>
      <c r="J375" s="1">
        <f t="shared" ca="1" si="114"/>
        <v>0</v>
      </c>
      <c r="K375" s="1">
        <f t="shared" ca="1" si="115"/>
        <v>0</v>
      </c>
      <c r="L375" s="13">
        <f t="shared" ca="1" si="116"/>
        <v>520</v>
      </c>
      <c r="M375" s="7">
        <f t="shared" ca="1" si="117"/>
        <v>480</v>
      </c>
      <c r="N375" s="26">
        <f t="shared" ca="1" si="118"/>
        <v>2</v>
      </c>
      <c r="O375" s="44">
        <f t="shared" ca="1" si="119"/>
        <v>1.5762319669595739</v>
      </c>
      <c r="P375" s="44">
        <f t="shared" ca="1" si="120"/>
        <v>15.762319669595739</v>
      </c>
      <c r="Q375" s="44">
        <f t="shared" ca="1" si="121"/>
        <v>15.762319669595739</v>
      </c>
      <c r="R375" s="44">
        <f t="shared" ca="1" si="122"/>
        <v>1.5762319669595739</v>
      </c>
      <c r="S375" s="44">
        <f t="shared" ca="1" si="123"/>
        <v>1.5762319669595737</v>
      </c>
      <c r="T375" s="4">
        <f t="shared" ca="1" si="124"/>
        <v>0</v>
      </c>
      <c r="U375" s="120">
        <f t="shared" ca="1" si="125"/>
        <v>1443.885248288175</v>
      </c>
      <c r="V375" s="4">
        <f t="shared" ca="1" si="126"/>
        <v>0</v>
      </c>
      <c r="W375" s="13">
        <f t="shared" ca="1" si="127"/>
        <v>29269.206000000002</v>
      </c>
      <c r="X375" s="4">
        <f t="shared" ca="1" si="128"/>
        <v>0</v>
      </c>
      <c r="Y375" s="4">
        <f t="shared" si="129"/>
        <v>0</v>
      </c>
      <c r="Z375" s="13">
        <f t="shared" ca="1" si="130"/>
        <v>29269.206000000002</v>
      </c>
      <c r="AA375" s="4">
        <f t="shared" ca="1" si="131"/>
        <v>0</v>
      </c>
      <c r="AE375" s="4"/>
    </row>
    <row r="376" spans="1:31">
      <c r="A376">
        <v>2</v>
      </c>
      <c r="B376">
        <v>3</v>
      </c>
      <c r="C376">
        <f t="shared" ca="1" si="110"/>
        <v>6</v>
      </c>
      <c r="D376">
        <f t="shared" ca="1" si="111"/>
        <v>5</v>
      </c>
      <c r="E376">
        <f t="shared" ca="1" si="112"/>
        <v>2</v>
      </c>
      <c r="F376" s="110">
        <f t="shared" ca="1" si="113"/>
        <v>0</v>
      </c>
      <c r="G376">
        <v>1</v>
      </c>
      <c r="H376">
        <v>1</v>
      </c>
      <c r="I376">
        <v>1</v>
      </c>
      <c r="J376" s="1">
        <f t="shared" ca="1" si="114"/>
        <v>0</v>
      </c>
      <c r="K376" s="1">
        <f t="shared" ca="1" si="115"/>
        <v>0</v>
      </c>
      <c r="L376" s="13">
        <f t="shared" ca="1" si="116"/>
        <v>501</v>
      </c>
      <c r="M376" s="7">
        <f t="shared" ca="1" si="117"/>
        <v>499</v>
      </c>
      <c r="N376" s="26">
        <f t="shared" ca="1" si="118"/>
        <v>2</v>
      </c>
      <c r="O376" s="44">
        <f t="shared" ca="1" si="119"/>
        <v>1.5762319669595739</v>
      </c>
      <c r="P376" s="44">
        <f t="shared" ca="1" si="120"/>
        <v>15.762319669595739</v>
      </c>
      <c r="Q376" s="44">
        <f t="shared" ca="1" si="121"/>
        <v>15.762319669595739</v>
      </c>
      <c r="R376" s="44">
        <f t="shared" ca="1" si="122"/>
        <v>1.5762319669595739</v>
      </c>
      <c r="S376" s="44">
        <f t="shared" ca="1" si="123"/>
        <v>1.5762319669595737</v>
      </c>
      <c r="T376" s="4">
        <f t="shared" ca="1" si="124"/>
        <v>0</v>
      </c>
      <c r="U376" s="120">
        <f t="shared" ca="1" si="125"/>
        <v>1424.885248288175</v>
      </c>
      <c r="V376" s="4">
        <f t="shared" ca="1" si="126"/>
        <v>0</v>
      </c>
      <c r="W376" s="13">
        <f t="shared" ca="1" si="127"/>
        <v>26928.306000000004</v>
      </c>
      <c r="X376" s="4">
        <f t="shared" ca="1" si="128"/>
        <v>0</v>
      </c>
      <c r="Y376" s="4">
        <f t="shared" si="129"/>
        <v>0</v>
      </c>
      <c r="Z376" s="13">
        <f t="shared" ca="1" si="130"/>
        <v>26928.306000000004</v>
      </c>
      <c r="AA376" s="4">
        <f t="shared" ca="1" si="131"/>
        <v>0</v>
      </c>
      <c r="AE376" s="4"/>
    </row>
    <row r="377" spans="1:31">
      <c r="A377">
        <v>2</v>
      </c>
      <c r="B377">
        <v>3</v>
      </c>
      <c r="C377">
        <f t="shared" ca="1" si="110"/>
        <v>6</v>
      </c>
      <c r="D377">
        <f t="shared" ca="1" si="111"/>
        <v>5</v>
      </c>
      <c r="E377">
        <f t="shared" ca="1" si="112"/>
        <v>2</v>
      </c>
      <c r="F377" s="110">
        <f t="shared" ca="1" si="113"/>
        <v>0</v>
      </c>
      <c r="G377">
        <v>1</v>
      </c>
      <c r="H377">
        <v>1</v>
      </c>
      <c r="I377">
        <v>0</v>
      </c>
      <c r="J377" s="1">
        <f t="shared" ca="1" si="114"/>
        <v>0</v>
      </c>
      <c r="K377" s="1">
        <f t="shared" ca="1" si="115"/>
        <v>0</v>
      </c>
      <c r="L377" s="13">
        <f t="shared" ca="1" si="116"/>
        <v>482</v>
      </c>
      <c r="M377" s="7">
        <f t="shared" ca="1" si="117"/>
        <v>518</v>
      </c>
      <c r="N377" s="26">
        <f t="shared" ca="1" si="118"/>
        <v>2</v>
      </c>
      <c r="O377" s="44">
        <f t="shared" ca="1" si="119"/>
        <v>1.5762319669595739</v>
      </c>
      <c r="P377" s="44">
        <f t="shared" ca="1" si="120"/>
        <v>15.762319669595739</v>
      </c>
      <c r="Q377" s="44">
        <f t="shared" ca="1" si="121"/>
        <v>15.762319669595739</v>
      </c>
      <c r="R377" s="44">
        <f t="shared" ca="1" si="122"/>
        <v>1.5762319669595739</v>
      </c>
      <c r="S377" s="44">
        <f t="shared" ca="1" si="123"/>
        <v>1.5762319669595737</v>
      </c>
      <c r="T377" s="4">
        <f t="shared" ca="1" si="124"/>
        <v>0</v>
      </c>
      <c r="U377" s="120">
        <f t="shared" ca="1" si="125"/>
        <v>1405.885248288175</v>
      </c>
      <c r="V377" s="4">
        <f t="shared" ca="1" si="126"/>
        <v>0</v>
      </c>
      <c r="W377" s="13">
        <f t="shared" ca="1" si="127"/>
        <v>24587.406000000003</v>
      </c>
      <c r="X377" s="4">
        <f t="shared" ca="1" si="128"/>
        <v>0</v>
      </c>
      <c r="Y377" s="4">
        <f t="shared" si="129"/>
        <v>0</v>
      </c>
      <c r="Z377" s="13">
        <f t="shared" ca="1" si="130"/>
        <v>24587.406000000003</v>
      </c>
      <c r="AA377" s="4">
        <f t="shared" ca="1" si="131"/>
        <v>0</v>
      </c>
      <c r="AE377" s="4"/>
    </row>
    <row r="378" spans="1:31">
      <c r="A378">
        <v>2</v>
      </c>
      <c r="B378">
        <v>3</v>
      </c>
      <c r="C378">
        <f t="shared" ca="1" si="110"/>
        <v>6</v>
      </c>
      <c r="D378">
        <f t="shared" ca="1" si="111"/>
        <v>5</v>
      </c>
      <c r="E378">
        <f t="shared" ca="1" si="112"/>
        <v>2</v>
      </c>
      <c r="F378" s="110">
        <f t="shared" ca="1" si="113"/>
        <v>0</v>
      </c>
      <c r="G378">
        <v>1</v>
      </c>
      <c r="H378">
        <v>0</v>
      </c>
      <c r="I378">
        <v>7</v>
      </c>
      <c r="J378" s="1">
        <f t="shared" ca="1" si="114"/>
        <v>0</v>
      </c>
      <c r="K378" s="1">
        <f t="shared" ca="1" si="115"/>
        <v>0</v>
      </c>
      <c r="L378" s="13">
        <f t="shared" ca="1" si="116"/>
        <v>374</v>
      </c>
      <c r="M378" s="7">
        <f t="shared" ca="1" si="117"/>
        <v>626</v>
      </c>
      <c r="N378" s="26">
        <f t="shared" ca="1" si="118"/>
        <v>3</v>
      </c>
      <c r="O378" s="44">
        <f t="shared" ca="1" si="119"/>
        <v>2.2442427272544552</v>
      </c>
      <c r="P378" s="44">
        <f t="shared" ca="1" si="120"/>
        <v>22.442427272544553</v>
      </c>
      <c r="Q378" s="44">
        <f t="shared" ca="1" si="121"/>
        <v>22.442427272544553</v>
      </c>
      <c r="R378" s="44">
        <f t="shared" ca="1" si="122"/>
        <v>2.2442427272544552</v>
      </c>
      <c r="S378" s="44">
        <f t="shared" ca="1" si="123"/>
        <v>2.2442427272544552</v>
      </c>
      <c r="T378" s="4">
        <f t="shared" ca="1" si="124"/>
        <v>0</v>
      </c>
      <c r="U378" s="120">
        <f t="shared" ca="1" si="125"/>
        <v>1594.901337549361</v>
      </c>
      <c r="V378" s="4">
        <f t="shared" ca="1" si="126"/>
        <v>0</v>
      </c>
      <c r="W378" s="13">
        <f t="shared" ca="1" si="127"/>
        <v>40973.706000000006</v>
      </c>
      <c r="X378" s="4">
        <f t="shared" ca="1" si="128"/>
        <v>0</v>
      </c>
      <c r="Y378" s="4">
        <f t="shared" si="129"/>
        <v>0</v>
      </c>
      <c r="Z378" s="13">
        <f t="shared" ca="1" si="130"/>
        <v>40973.706000000006</v>
      </c>
      <c r="AA378" s="4">
        <f t="shared" ca="1" si="131"/>
        <v>0</v>
      </c>
      <c r="AE378" s="4"/>
    </row>
    <row r="379" spans="1:31">
      <c r="A379">
        <v>2</v>
      </c>
      <c r="B379">
        <v>3</v>
      </c>
      <c r="C379">
        <f t="shared" ca="1" si="110"/>
        <v>6</v>
      </c>
      <c r="D379">
        <f t="shared" ca="1" si="111"/>
        <v>5</v>
      </c>
      <c r="E379">
        <f t="shared" ca="1" si="112"/>
        <v>2</v>
      </c>
      <c r="F379" s="110">
        <f t="shared" ca="1" si="113"/>
        <v>0</v>
      </c>
      <c r="G379">
        <v>1</v>
      </c>
      <c r="H379">
        <v>0</v>
      </c>
      <c r="I379">
        <v>6</v>
      </c>
      <c r="J379" s="1">
        <f t="shared" ca="1" si="114"/>
        <v>0</v>
      </c>
      <c r="K379" s="1">
        <f t="shared" ca="1" si="115"/>
        <v>0</v>
      </c>
      <c r="L379" s="13">
        <f t="shared" ca="1" si="116"/>
        <v>355</v>
      </c>
      <c r="M379" s="7">
        <f t="shared" ca="1" si="117"/>
        <v>645</v>
      </c>
      <c r="N379" s="26">
        <f t="shared" ca="1" si="118"/>
        <v>3</v>
      </c>
      <c r="O379" s="44">
        <f t="shared" ca="1" si="119"/>
        <v>2.2442427272544552</v>
      </c>
      <c r="P379" s="44">
        <f t="shared" ca="1" si="120"/>
        <v>22.442427272544553</v>
      </c>
      <c r="Q379" s="44">
        <f t="shared" ca="1" si="121"/>
        <v>22.442427272544553</v>
      </c>
      <c r="R379" s="44">
        <f t="shared" ca="1" si="122"/>
        <v>2.2442427272544552</v>
      </c>
      <c r="S379" s="44">
        <f t="shared" ca="1" si="123"/>
        <v>2.2442427272544552</v>
      </c>
      <c r="T379" s="4">
        <f t="shared" ca="1" si="124"/>
        <v>0</v>
      </c>
      <c r="U379" s="120">
        <f t="shared" ca="1" si="125"/>
        <v>1575.901337549361</v>
      </c>
      <c r="V379" s="4">
        <f t="shared" ca="1" si="126"/>
        <v>0</v>
      </c>
      <c r="W379" s="13">
        <f t="shared" ca="1" si="127"/>
        <v>38632.806000000004</v>
      </c>
      <c r="X379" s="4">
        <f t="shared" ca="1" si="128"/>
        <v>0</v>
      </c>
      <c r="Y379" s="4">
        <f t="shared" si="129"/>
        <v>0</v>
      </c>
      <c r="Z379" s="13">
        <f t="shared" ca="1" si="130"/>
        <v>38632.806000000004</v>
      </c>
      <c r="AA379" s="4">
        <f t="shared" ca="1" si="131"/>
        <v>0</v>
      </c>
      <c r="AE379" s="4"/>
    </row>
    <row r="380" spans="1:31">
      <c r="A380">
        <v>2</v>
      </c>
      <c r="B380">
        <v>3</v>
      </c>
      <c r="C380">
        <f t="shared" ca="1" si="110"/>
        <v>6</v>
      </c>
      <c r="D380">
        <f t="shared" ca="1" si="111"/>
        <v>5</v>
      </c>
      <c r="E380">
        <f t="shared" ca="1" si="112"/>
        <v>2</v>
      </c>
      <c r="F380" s="110">
        <f t="shared" ca="1" si="113"/>
        <v>0</v>
      </c>
      <c r="G380">
        <v>1</v>
      </c>
      <c r="H380">
        <v>0</v>
      </c>
      <c r="I380">
        <v>5</v>
      </c>
      <c r="J380" s="1">
        <f t="shared" ca="1" si="114"/>
        <v>0.48726348876953124</v>
      </c>
      <c r="K380" s="1">
        <f t="shared" ca="1" si="115"/>
        <v>0</v>
      </c>
      <c r="L380" s="13">
        <f t="shared" ca="1" si="116"/>
        <v>336</v>
      </c>
      <c r="M380" s="7">
        <f t="shared" ca="1" si="117"/>
        <v>664</v>
      </c>
      <c r="N380" s="26">
        <f t="shared" ca="1" si="118"/>
        <v>3</v>
      </c>
      <c r="O380" s="44">
        <f t="shared" ca="1" si="119"/>
        <v>2.2442427272544552</v>
      </c>
      <c r="P380" s="44">
        <f t="shared" ca="1" si="120"/>
        <v>22.442427272544553</v>
      </c>
      <c r="Q380" s="44">
        <f t="shared" ca="1" si="121"/>
        <v>22.442427272544553</v>
      </c>
      <c r="R380" s="44">
        <f t="shared" ca="1" si="122"/>
        <v>2.2442427272544552</v>
      </c>
      <c r="S380" s="44">
        <f t="shared" ca="1" si="123"/>
        <v>2.2442427272544552</v>
      </c>
      <c r="T380" s="4">
        <f t="shared" ca="1" si="124"/>
        <v>0</v>
      </c>
      <c r="U380" s="120">
        <f t="shared" ca="1" si="125"/>
        <v>1556.901337549361</v>
      </c>
      <c r="V380" s="4">
        <f t="shared" ca="1" si="126"/>
        <v>0</v>
      </c>
      <c r="W380" s="13">
        <f t="shared" ca="1" si="127"/>
        <v>36291.906000000003</v>
      </c>
      <c r="X380" s="4">
        <f t="shared" ca="1" si="128"/>
        <v>0</v>
      </c>
      <c r="Y380" s="4">
        <f t="shared" si="129"/>
        <v>0</v>
      </c>
      <c r="Z380" s="13">
        <f t="shared" ca="1" si="130"/>
        <v>36291.906000000003</v>
      </c>
      <c r="AA380" s="4">
        <f t="shared" ca="1" si="131"/>
        <v>0</v>
      </c>
      <c r="AE380" s="4"/>
    </row>
    <row r="381" spans="1:31">
      <c r="A381">
        <v>2</v>
      </c>
      <c r="B381">
        <v>3</v>
      </c>
      <c r="C381">
        <f t="shared" ca="1" si="110"/>
        <v>6</v>
      </c>
      <c r="D381">
        <f t="shared" ca="1" si="111"/>
        <v>5</v>
      </c>
      <c r="E381">
        <f t="shared" ca="1" si="112"/>
        <v>2</v>
      </c>
      <c r="F381" s="110">
        <f t="shared" ca="1" si="113"/>
        <v>0</v>
      </c>
      <c r="G381">
        <v>1</v>
      </c>
      <c r="H381">
        <v>0</v>
      </c>
      <c r="I381">
        <v>4</v>
      </c>
      <c r="J381" s="1">
        <f t="shared" ca="1" si="114"/>
        <v>0.34804534912109375</v>
      </c>
      <c r="K381" s="1">
        <f t="shared" ca="1" si="115"/>
        <v>0</v>
      </c>
      <c r="L381" s="13">
        <f t="shared" ca="1" si="116"/>
        <v>317</v>
      </c>
      <c r="M381" s="7">
        <f t="shared" ca="1" si="117"/>
        <v>683</v>
      </c>
      <c r="N381" s="26">
        <f t="shared" ca="1" si="118"/>
        <v>3</v>
      </c>
      <c r="O381" s="44">
        <f t="shared" ca="1" si="119"/>
        <v>2.2442427272544552</v>
      </c>
      <c r="P381" s="44">
        <f t="shared" ca="1" si="120"/>
        <v>22.442427272544553</v>
      </c>
      <c r="Q381" s="44">
        <f t="shared" ca="1" si="121"/>
        <v>22.442427272544553</v>
      </c>
      <c r="R381" s="44">
        <f t="shared" ca="1" si="122"/>
        <v>2.2442427272544552</v>
      </c>
      <c r="S381" s="44">
        <f t="shared" ca="1" si="123"/>
        <v>2.2442427272544552</v>
      </c>
      <c r="T381" s="4">
        <f t="shared" ca="1" si="124"/>
        <v>0</v>
      </c>
      <c r="U381" s="120">
        <f t="shared" ca="1" si="125"/>
        <v>1537.901337549361</v>
      </c>
      <c r="V381" s="4">
        <f t="shared" ca="1" si="126"/>
        <v>0</v>
      </c>
      <c r="W381" s="13">
        <f t="shared" ca="1" si="127"/>
        <v>33951.006000000001</v>
      </c>
      <c r="X381" s="4">
        <f t="shared" ca="1" si="128"/>
        <v>0</v>
      </c>
      <c r="Y381" s="4">
        <f t="shared" si="129"/>
        <v>0</v>
      </c>
      <c r="Z381" s="13">
        <f t="shared" ca="1" si="130"/>
        <v>33951.006000000001</v>
      </c>
      <c r="AA381" s="4">
        <f t="shared" ca="1" si="131"/>
        <v>0</v>
      </c>
      <c r="AE381" s="4"/>
    </row>
    <row r="382" spans="1:31">
      <c r="A382">
        <v>2</v>
      </c>
      <c r="B382">
        <v>3</v>
      </c>
      <c r="C382">
        <f t="shared" ca="1" si="110"/>
        <v>6</v>
      </c>
      <c r="D382">
        <f t="shared" ca="1" si="111"/>
        <v>5</v>
      </c>
      <c r="E382">
        <f t="shared" ca="1" si="112"/>
        <v>2</v>
      </c>
      <c r="F382" s="110">
        <f t="shared" ca="1" si="113"/>
        <v>0</v>
      </c>
      <c r="G382">
        <v>1</v>
      </c>
      <c r="H382">
        <v>0</v>
      </c>
      <c r="I382">
        <v>3</v>
      </c>
      <c r="J382" s="1">
        <f t="shared" ca="1" si="114"/>
        <v>9.94415283203125E-2</v>
      </c>
      <c r="K382" s="1">
        <f t="shared" ca="1" si="115"/>
        <v>0</v>
      </c>
      <c r="L382" s="13">
        <f t="shared" ca="1" si="116"/>
        <v>298</v>
      </c>
      <c r="M382" s="7">
        <f t="shared" ca="1" si="117"/>
        <v>702</v>
      </c>
      <c r="N382" s="26">
        <f t="shared" ca="1" si="118"/>
        <v>3</v>
      </c>
      <c r="O382" s="44">
        <f t="shared" ca="1" si="119"/>
        <v>2.2442427272544552</v>
      </c>
      <c r="P382" s="44">
        <f t="shared" ca="1" si="120"/>
        <v>22.442427272544553</v>
      </c>
      <c r="Q382" s="44">
        <f t="shared" ca="1" si="121"/>
        <v>22.442427272544553</v>
      </c>
      <c r="R382" s="44">
        <f t="shared" ca="1" si="122"/>
        <v>2.2442427272544552</v>
      </c>
      <c r="S382" s="44">
        <f t="shared" ca="1" si="123"/>
        <v>2.2442427272544552</v>
      </c>
      <c r="T382" s="4">
        <f t="shared" ca="1" si="124"/>
        <v>0</v>
      </c>
      <c r="U382" s="120">
        <f t="shared" ca="1" si="125"/>
        <v>1518.901337549361</v>
      </c>
      <c r="V382" s="4">
        <f t="shared" ca="1" si="126"/>
        <v>0</v>
      </c>
      <c r="W382" s="13">
        <f t="shared" ca="1" si="127"/>
        <v>31610.106000000003</v>
      </c>
      <c r="X382" s="4">
        <f t="shared" ca="1" si="128"/>
        <v>0</v>
      </c>
      <c r="Y382" s="4">
        <f t="shared" si="129"/>
        <v>0</v>
      </c>
      <c r="Z382" s="13">
        <f t="shared" ca="1" si="130"/>
        <v>31610.106000000003</v>
      </c>
      <c r="AA382" s="4">
        <f t="shared" ca="1" si="131"/>
        <v>0</v>
      </c>
      <c r="AE382" s="4"/>
    </row>
    <row r="383" spans="1:31">
      <c r="A383">
        <v>2</v>
      </c>
      <c r="B383">
        <v>3</v>
      </c>
      <c r="C383">
        <f t="shared" ca="1" si="110"/>
        <v>6</v>
      </c>
      <c r="D383">
        <f t="shared" ca="1" si="111"/>
        <v>5</v>
      </c>
      <c r="E383">
        <f t="shared" ca="1" si="112"/>
        <v>2</v>
      </c>
      <c r="F383" s="110">
        <f t="shared" ca="1" si="113"/>
        <v>0</v>
      </c>
      <c r="G383">
        <v>1</v>
      </c>
      <c r="H383">
        <v>0</v>
      </c>
      <c r="I383">
        <v>2</v>
      </c>
      <c r="J383" s="1">
        <f t="shared" ca="1" si="114"/>
        <v>1.42059326171875E-2</v>
      </c>
      <c r="K383" s="1">
        <f t="shared" ca="1" si="115"/>
        <v>0</v>
      </c>
      <c r="L383" s="13">
        <f t="shared" ca="1" si="116"/>
        <v>279</v>
      </c>
      <c r="M383" s="7">
        <f t="shared" ca="1" si="117"/>
        <v>721</v>
      </c>
      <c r="N383" s="26">
        <f t="shared" ca="1" si="118"/>
        <v>3</v>
      </c>
      <c r="O383" s="44">
        <f t="shared" ca="1" si="119"/>
        <v>2.2442427272544552</v>
      </c>
      <c r="P383" s="44">
        <f t="shared" ca="1" si="120"/>
        <v>22.442427272544553</v>
      </c>
      <c r="Q383" s="44">
        <f t="shared" ca="1" si="121"/>
        <v>22.442427272544553</v>
      </c>
      <c r="R383" s="44">
        <f t="shared" ca="1" si="122"/>
        <v>2.2442427272544552</v>
      </c>
      <c r="S383" s="44">
        <f t="shared" ca="1" si="123"/>
        <v>2.2442427272544552</v>
      </c>
      <c r="T383" s="4">
        <f t="shared" ca="1" si="124"/>
        <v>0</v>
      </c>
      <c r="U383" s="120">
        <f t="shared" ca="1" si="125"/>
        <v>1499.901337549361</v>
      </c>
      <c r="V383" s="4">
        <f t="shared" ca="1" si="126"/>
        <v>0</v>
      </c>
      <c r="W383" s="13">
        <f t="shared" ca="1" si="127"/>
        <v>29269.206000000002</v>
      </c>
      <c r="X383" s="4">
        <f t="shared" ca="1" si="128"/>
        <v>0</v>
      </c>
      <c r="Y383" s="4">
        <f t="shared" si="129"/>
        <v>0</v>
      </c>
      <c r="Z383" s="13">
        <f t="shared" ca="1" si="130"/>
        <v>29269.206000000002</v>
      </c>
      <c r="AA383" s="4">
        <f t="shared" ca="1" si="131"/>
        <v>0</v>
      </c>
      <c r="AE383" s="4"/>
    </row>
    <row r="384" spans="1:31">
      <c r="A384">
        <v>2</v>
      </c>
      <c r="B384">
        <v>3</v>
      </c>
      <c r="C384">
        <f t="shared" ca="1" si="110"/>
        <v>6</v>
      </c>
      <c r="D384">
        <f t="shared" ca="1" si="111"/>
        <v>5</v>
      </c>
      <c r="E384">
        <f t="shared" ca="1" si="112"/>
        <v>2</v>
      </c>
      <c r="F384" s="110">
        <f t="shared" ca="1" si="113"/>
        <v>0</v>
      </c>
      <c r="G384">
        <v>1</v>
      </c>
      <c r="H384">
        <v>0</v>
      </c>
      <c r="I384">
        <v>1</v>
      </c>
      <c r="J384" s="1">
        <f t="shared" ca="1" si="114"/>
        <v>1.01470947265625E-3</v>
      </c>
      <c r="K384" s="1">
        <f t="shared" ca="1" si="115"/>
        <v>0</v>
      </c>
      <c r="L384" s="13">
        <f t="shared" ca="1" si="116"/>
        <v>260</v>
      </c>
      <c r="M384" s="7">
        <f t="shared" ca="1" si="117"/>
        <v>740</v>
      </c>
      <c r="N384" s="26">
        <f t="shared" ca="1" si="118"/>
        <v>3</v>
      </c>
      <c r="O384" s="44">
        <f t="shared" ca="1" si="119"/>
        <v>2.2442427272544552</v>
      </c>
      <c r="P384" s="44">
        <f t="shared" ca="1" si="120"/>
        <v>22.442427272544553</v>
      </c>
      <c r="Q384" s="44">
        <f t="shared" ca="1" si="121"/>
        <v>22.442427272544553</v>
      </c>
      <c r="R384" s="44">
        <f t="shared" ca="1" si="122"/>
        <v>2.2442427272544552</v>
      </c>
      <c r="S384" s="44">
        <f t="shared" ca="1" si="123"/>
        <v>2.2442427272544552</v>
      </c>
      <c r="T384" s="4">
        <f t="shared" ca="1" si="124"/>
        <v>0</v>
      </c>
      <c r="U384" s="120">
        <f t="shared" ca="1" si="125"/>
        <v>1480.901337549361</v>
      </c>
      <c r="V384" s="4">
        <f t="shared" ca="1" si="126"/>
        <v>0</v>
      </c>
      <c r="W384" s="13">
        <f t="shared" ca="1" si="127"/>
        <v>26928.306000000004</v>
      </c>
      <c r="X384" s="4">
        <f t="shared" ca="1" si="128"/>
        <v>0</v>
      </c>
      <c r="Y384" s="4">
        <f t="shared" si="129"/>
        <v>0</v>
      </c>
      <c r="Z384" s="13">
        <f t="shared" ca="1" si="130"/>
        <v>26928.306000000004</v>
      </c>
      <c r="AA384" s="4">
        <f t="shared" ca="1" si="131"/>
        <v>0</v>
      </c>
      <c r="AE384" s="4"/>
    </row>
    <row r="385" spans="1:31">
      <c r="A385">
        <v>2</v>
      </c>
      <c r="B385">
        <v>3</v>
      </c>
      <c r="C385">
        <f t="shared" ca="1" si="110"/>
        <v>6</v>
      </c>
      <c r="D385">
        <f t="shared" ca="1" si="111"/>
        <v>5</v>
      </c>
      <c r="E385">
        <f t="shared" ca="1" si="112"/>
        <v>2</v>
      </c>
      <c r="F385" s="110">
        <f t="shared" ca="1" si="113"/>
        <v>0</v>
      </c>
      <c r="G385">
        <v>1</v>
      </c>
      <c r="H385">
        <v>0</v>
      </c>
      <c r="I385">
        <v>0</v>
      </c>
      <c r="J385" s="1">
        <f t="shared" ca="1" si="114"/>
        <v>2.8991699218749999E-5</v>
      </c>
      <c r="K385" s="1">
        <f t="shared" ca="1" si="115"/>
        <v>0</v>
      </c>
      <c r="L385" s="13">
        <f t="shared" ca="1" si="116"/>
        <v>241</v>
      </c>
      <c r="M385" s="7">
        <f t="shared" ca="1" si="117"/>
        <v>759</v>
      </c>
      <c r="N385" s="26">
        <f t="shared" ca="1" si="118"/>
        <v>3</v>
      </c>
      <c r="O385" s="44">
        <f t="shared" ca="1" si="119"/>
        <v>2.2442427272544552</v>
      </c>
      <c r="P385" s="44">
        <f t="shared" ca="1" si="120"/>
        <v>22.442427272544553</v>
      </c>
      <c r="Q385" s="44">
        <f t="shared" ca="1" si="121"/>
        <v>22.442427272544553</v>
      </c>
      <c r="R385" s="44">
        <f t="shared" ca="1" si="122"/>
        <v>2.2442427272544552</v>
      </c>
      <c r="S385" s="44">
        <f t="shared" ca="1" si="123"/>
        <v>2.2442427272544552</v>
      </c>
      <c r="T385" s="4">
        <f t="shared" ca="1" si="124"/>
        <v>0</v>
      </c>
      <c r="U385" s="120">
        <f t="shared" ca="1" si="125"/>
        <v>1461.901337549361</v>
      </c>
      <c r="V385" s="4">
        <f t="shared" ca="1" si="126"/>
        <v>0</v>
      </c>
      <c r="W385" s="13">
        <f t="shared" ca="1" si="127"/>
        <v>24587.406000000003</v>
      </c>
      <c r="X385" s="4">
        <f t="shared" ca="1" si="128"/>
        <v>0</v>
      </c>
      <c r="Y385" s="4">
        <f t="shared" si="129"/>
        <v>0</v>
      </c>
      <c r="Z385" s="13">
        <f t="shared" ca="1" si="130"/>
        <v>24587.406000000003</v>
      </c>
      <c r="AA385" s="4">
        <f t="shared" ca="1" si="131"/>
        <v>0</v>
      </c>
      <c r="AE385" s="4"/>
    </row>
    <row r="386" spans="1:31">
      <c r="A386">
        <v>2</v>
      </c>
      <c r="B386">
        <v>3</v>
      </c>
      <c r="C386">
        <f t="shared" ca="1" si="110"/>
        <v>6</v>
      </c>
      <c r="D386">
        <f t="shared" ca="1" si="111"/>
        <v>5</v>
      </c>
      <c r="E386">
        <f t="shared" ca="1" si="112"/>
        <v>2</v>
      </c>
      <c r="F386" s="110">
        <f t="shared" ca="1" si="113"/>
        <v>0</v>
      </c>
      <c r="G386">
        <v>0</v>
      </c>
      <c r="H386">
        <v>1</v>
      </c>
      <c r="I386">
        <v>7</v>
      </c>
      <c r="J386" s="1">
        <f t="shared" ca="1" si="114"/>
        <v>0</v>
      </c>
      <c r="K386" s="1">
        <f t="shared" ca="1" si="115"/>
        <v>0</v>
      </c>
      <c r="L386" s="13">
        <f t="shared" ca="1" si="116"/>
        <v>374</v>
      </c>
      <c r="M386" s="7">
        <f t="shared" ca="1" si="117"/>
        <v>626</v>
      </c>
      <c r="N386" s="26">
        <f t="shared" ca="1" si="118"/>
        <v>3</v>
      </c>
      <c r="O386" s="44">
        <f t="shared" ca="1" si="119"/>
        <v>2.2442427272544552</v>
      </c>
      <c r="P386" s="44">
        <f t="shared" ca="1" si="120"/>
        <v>22.442427272544553</v>
      </c>
      <c r="Q386" s="44">
        <f t="shared" ca="1" si="121"/>
        <v>22.442427272544553</v>
      </c>
      <c r="R386" s="44">
        <f t="shared" ca="1" si="122"/>
        <v>2.2442427272544552</v>
      </c>
      <c r="S386" s="44">
        <f t="shared" ca="1" si="123"/>
        <v>2.2442427272544552</v>
      </c>
      <c r="T386" s="4">
        <f t="shared" ca="1" si="124"/>
        <v>0</v>
      </c>
      <c r="U386" s="120">
        <f t="shared" ca="1" si="125"/>
        <v>1594.901337549361</v>
      </c>
      <c r="V386" s="4">
        <f t="shared" ca="1" si="126"/>
        <v>0</v>
      </c>
      <c r="W386" s="13">
        <f t="shared" ca="1" si="127"/>
        <v>16386.3</v>
      </c>
      <c r="X386" s="4">
        <f t="shared" ca="1" si="128"/>
        <v>0</v>
      </c>
      <c r="Y386" s="4">
        <f t="shared" si="129"/>
        <v>0</v>
      </c>
      <c r="Z386" s="13">
        <f t="shared" ca="1" si="130"/>
        <v>16386.3</v>
      </c>
      <c r="AA386" s="4">
        <f t="shared" ca="1" si="131"/>
        <v>0</v>
      </c>
      <c r="AE386" s="4"/>
    </row>
    <row r="387" spans="1:31">
      <c r="A387">
        <v>2</v>
      </c>
      <c r="B387">
        <v>3</v>
      </c>
      <c r="C387">
        <f t="shared" ca="1" si="110"/>
        <v>6</v>
      </c>
      <c r="D387">
        <f t="shared" ca="1" si="111"/>
        <v>5</v>
      </c>
      <c r="E387">
        <f t="shared" ca="1" si="112"/>
        <v>2</v>
      </c>
      <c r="F387" s="110">
        <f t="shared" ca="1" si="113"/>
        <v>0</v>
      </c>
      <c r="G387">
        <v>0</v>
      </c>
      <c r="H387">
        <v>1</v>
      </c>
      <c r="I387">
        <v>6</v>
      </c>
      <c r="J387" s="1">
        <f t="shared" ca="1" si="114"/>
        <v>0</v>
      </c>
      <c r="K387" s="1">
        <f t="shared" ca="1" si="115"/>
        <v>0</v>
      </c>
      <c r="L387" s="13">
        <f t="shared" ca="1" si="116"/>
        <v>355</v>
      </c>
      <c r="M387" s="7">
        <f t="shared" ca="1" si="117"/>
        <v>645</v>
      </c>
      <c r="N387" s="26">
        <f t="shared" ca="1" si="118"/>
        <v>3</v>
      </c>
      <c r="O387" s="44">
        <f t="shared" ca="1" si="119"/>
        <v>2.2442427272544552</v>
      </c>
      <c r="P387" s="44">
        <f t="shared" ca="1" si="120"/>
        <v>22.442427272544553</v>
      </c>
      <c r="Q387" s="44">
        <f t="shared" ca="1" si="121"/>
        <v>22.442427272544553</v>
      </c>
      <c r="R387" s="44">
        <f t="shared" ca="1" si="122"/>
        <v>2.2442427272544552</v>
      </c>
      <c r="S387" s="44">
        <f t="shared" ca="1" si="123"/>
        <v>2.2442427272544552</v>
      </c>
      <c r="T387" s="4">
        <f t="shared" ca="1" si="124"/>
        <v>0</v>
      </c>
      <c r="U387" s="120">
        <f t="shared" ca="1" si="125"/>
        <v>1575.901337549361</v>
      </c>
      <c r="V387" s="4">
        <f t="shared" ca="1" si="126"/>
        <v>0</v>
      </c>
      <c r="W387" s="13">
        <f t="shared" ca="1" si="127"/>
        <v>14045.400000000001</v>
      </c>
      <c r="X387" s="4">
        <f t="shared" ca="1" si="128"/>
        <v>0</v>
      </c>
      <c r="Y387" s="4">
        <f t="shared" si="129"/>
        <v>0</v>
      </c>
      <c r="Z387" s="13">
        <f t="shared" ca="1" si="130"/>
        <v>14045.400000000001</v>
      </c>
      <c r="AA387" s="4">
        <f t="shared" ca="1" si="131"/>
        <v>0</v>
      </c>
      <c r="AE387" s="4"/>
    </row>
    <row r="388" spans="1:31">
      <c r="A388">
        <v>2</v>
      </c>
      <c r="B388">
        <v>3</v>
      </c>
      <c r="C388">
        <f t="shared" ca="1" si="110"/>
        <v>6</v>
      </c>
      <c r="D388">
        <f t="shared" ca="1" si="111"/>
        <v>5</v>
      </c>
      <c r="E388">
        <f t="shared" ca="1" si="112"/>
        <v>2</v>
      </c>
      <c r="F388" s="110">
        <f t="shared" ca="1" si="113"/>
        <v>0</v>
      </c>
      <c r="G388">
        <v>0</v>
      </c>
      <c r="H388">
        <v>1</v>
      </c>
      <c r="I388">
        <v>5</v>
      </c>
      <c r="J388" s="1">
        <f t="shared" ca="1" si="114"/>
        <v>0</v>
      </c>
      <c r="K388" s="1">
        <f t="shared" ca="1" si="115"/>
        <v>0</v>
      </c>
      <c r="L388" s="13">
        <f t="shared" ca="1" si="116"/>
        <v>336</v>
      </c>
      <c r="M388" s="7">
        <f t="shared" ca="1" si="117"/>
        <v>664</v>
      </c>
      <c r="N388" s="26">
        <f t="shared" ca="1" si="118"/>
        <v>3</v>
      </c>
      <c r="O388" s="44">
        <f t="shared" ca="1" si="119"/>
        <v>2.2442427272544552</v>
      </c>
      <c r="P388" s="44">
        <f t="shared" ca="1" si="120"/>
        <v>22.442427272544553</v>
      </c>
      <c r="Q388" s="44">
        <f t="shared" ca="1" si="121"/>
        <v>22.442427272544553</v>
      </c>
      <c r="R388" s="44">
        <f t="shared" ca="1" si="122"/>
        <v>2.2442427272544552</v>
      </c>
      <c r="S388" s="44">
        <f t="shared" ca="1" si="123"/>
        <v>2.2442427272544552</v>
      </c>
      <c r="T388" s="4">
        <f t="shared" ca="1" si="124"/>
        <v>0</v>
      </c>
      <c r="U388" s="120">
        <f t="shared" ca="1" si="125"/>
        <v>1556.901337549361</v>
      </c>
      <c r="V388" s="4">
        <f t="shared" ca="1" si="126"/>
        <v>0</v>
      </c>
      <c r="W388" s="13">
        <f t="shared" ca="1" si="127"/>
        <v>11704.5</v>
      </c>
      <c r="X388" s="4">
        <f t="shared" ca="1" si="128"/>
        <v>0</v>
      </c>
      <c r="Y388" s="4">
        <f t="shared" si="129"/>
        <v>0</v>
      </c>
      <c r="Z388" s="13">
        <f t="shared" ca="1" si="130"/>
        <v>11704.5</v>
      </c>
      <c r="AA388" s="4">
        <f t="shared" ca="1" si="131"/>
        <v>0</v>
      </c>
      <c r="AE388" s="4"/>
    </row>
    <row r="389" spans="1:31">
      <c r="A389">
        <v>2</v>
      </c>
      <c r="B389">
        <v>3</v>
      </c>
      <c r="C389">
        <f t="shared" ca="1" si="110"/>
        <v>6</v>
      </c>
      <c r="D389">
        <f t="shared" ca="1" si="111"/>
        <v>5</v>
      </c>
      <c r="E389">
        <f t="shared" ca="1" si="112"/>
        <v>2</v>
      </c>
      <c r="F389" s="110">
        <f t="shared" ca="1" si="113"/>
        <v>0</v>
      </c>
      <c r="G389">
        <v>0</v>
      </c>
      <c r="H389">
        <v>1</v>
      </c>
      <c r="I389">
        <v>4</v>
      </c>
      <c r="J389" s="1">
        <f t="shared" ca="1" si="114"/>
        <v>0</v>
      </c>
      <c r="K389" s="1">
        <f t="shared" ca="1" si="115"/>
        <v>0</v>
      </c>
      <c r="L389" s="13">
        <f t="shared" ca="1" si="116"/>
        <v>317</v>
      </c>
      <c r="M389" s="7">
        <f t="shared" ca="1" si="117"/>
        <v>683</v>
      </c>
      <c r="N389" s="26">
        <f t="shared" ca="1" si="118"/>
        <v>3</v>
      </c>
      <c r="O389" s="44">
        <f t="shared" ca="1" si="119"/>
        <v>2.2442427272544552</v>
      </c>
      <c r="P389" s="44">
        <f t="shared" ca="1" si="120"/>
        <v>22.442427272544553</v>
      </c>
      <c r="Q389" s="44">
        <f t="shared" ca="1" si="121"/>
        <v>22.442427272544553</v>
      </c>
      <c r="R389" s="44">
        <f t="shared" ca="1" si="122"/>
        <v>2.2442427272544552</v>
      </c>
      <c r="S389" s="44">
        <f t="shared" ca="1" si="123"/>
        <v>2.2442427272544552</v>
      </c>
      <c r="T389" s="4">
        <f t="shared" ca="1" si="124"/>
        <v>0</v>
      </c>
      <c r="U389" s="120">
        <f t="shared" ca="1" si="125"/>
        <v>1537.901337549361</v>
      </c>
      <c r="V389" s="4">
        <f t="shared" ca="1" si="126"/>
        <v>0</v>
      </c>
      <c r="W389" s="13">
        <f t="shared" ca="1" si="127"/>
        <v>9363.6</v>
      </c>
      <c r="X389" s="4">
        <f t="shared" ca="1" si="128"/>
        <v>0</v>
      </c>
      <c r="Y389" s="4">
        <f t="shared" si="129"/>
        <v>0</v>
      </c>
      <c r="Z389" s="13">
        <f t="shared" ca="1" si="130"/>
        <v>9363.6</v>
      </c>
      <c r="AA389" s="4">
        <f t="shared" ca="1" si="131"/>
        <v>0</v>
      </c>
      <c r="AE389" s="4"/>
    </row>
    <row r="390" spans="1:31">
      <c r="A390">
        <v>2</v>
      </c>
      <c r="B390">
        <v>3</v>
      </c>
      <c r="C390">
        <f t="shared" ca="1" si="110"/>
        <v>6</v>
      </c>
      <c r="D390">
        <f t="shared" ca="1" si="111"/>
        <v>5</v>
      </c>
      <c r="E390">
        <f t="shared" ca="1" si="112"/>
        <v>2</v>
      </c>
      <c r="F390" s="110">
        <f t="shared" ca="1" si="113"/>
        <v>0</v>
      </c>
      <c r="G390">
        <v>0</v>
      </c>
      <c r="H390">
        <v>1</v>
      </c>
      <c r="I390">
        <v>3</v>
      </c>
      <c r="J390" s="1">
        <f t="shared" ca="1" si="114"/>
        <v>0</v>
      </c>
      <c r="K390" s="1">
        <f t="shared" ca="1" si="115"/>
        <v>0</v>
      </c>
      <c r="L390" s="13">
        <f t="shared" ca="1" si="116"/>
        <v>298</v>
      </c>
      <c r="M390" s="7">
        <f t="shared" ca="1" si="117"/>
        <v>702</v>
      </c>
      <c r="N390" s="26">
        <f t="shared" ca="1" si="118"/>
        <v>3</v>
      </c>
      <c r="O390" s="44">
        <f t="shared" ca="1" si="119"/>
        <v>2.2442427272544552</v>
      </c>
      <c r="P390" s="44">
        <f t="shared" ca="1" si="120"/>
        <v>22.442427272544553</v>
      </c>
      <c r="Q390" s="44">
        <f t="shared" ca="1" si="121"/>
        <v>22.442427272544553</v>
      </c>
      <c r="R390" s="44">
        <f t="shared" ca="1" si="122"/>
        <v>2.2442427272544552</v>
      </c>
      <c r="S390" s="44">
        <f t="shared" ca="1" si="123"/>
        <v>2.2442427272544552</v>
      </c>
      <c r="T390" s="4">
        <f t="shared" ca="1" si="124"/>
        <v>0</v>
      </c>
      <c r="U390" s="120">
        <f t="shared" ca="1" si="125"/>
        <v>1518.901337549361</v>
      </c>
      <c r="V390" s="4">
        <f t="shared" ca="1" si="126"/>
        <v>0</v>
      </c>
      <c r="W390" s="13">
        <f t="shared" ca="1" si="127"/>
        <v>7022.7000000000007</v>
      </c>
      <c r="X390" s="4">
        <f t="shared" ca="1" si="128"/>
        <v>0</v>
      </c>
      <c r="Y390" s="4">
        <f t="shared" si="129"/>
        <v>0</v>
      </c>
      <c r="Z390" s="13">
        <f t="shared" ca="1" si="130"/>
        <v>7022.7000000000007</v>
      </c>
      <c r="AA390" s="4">
        <f t="shared" ca="1" si="131"/>
        <v>0</v>
      </c>
      <c r="AE390" s="4"/>
    </row>
    <row r="391" spans="1:31">
      <c r="A391">
        <v>2</v>
      </c>
      <c r="B391">
        <v>3</v>
      </c>
      <c r="C391">
        <f t="shared" ca="1" si="110"/>
        <v>6</v>
      </c>
      <c r="D391">
        <f t="shared" ca="1" si="111"/>
        <v>5</v>
      </c>
      <c r="E391">
        <f t="shared" ca="1" si="112"/>
        <v>2</v>
      </c>
      <c r="F391" s="110">
        <f t="shared" ca="1" si="113"/>
        <v>0</v>
      </c>
      <c r="G391">
        <v>0</v>
      </c>
      <c r="H391">
        <v>1</v>
      </c>
      <c r="I391">
        <v>2</v>
      </c>
      <c r="J391" s="1">
        <f t="shared" ca="1" si="114"/>
        <v>0</v>
      </c>
      <c r="K391" s="1">
        <f t="shared" ca="1" si="115"/>
        <v>0</v>
      </c>
      <c r="L391" s="13">
        <f t="shared" ca="1" si="116"/>
        <v>279</v>
      </c>
      <c r="M391" s="7">
        <f t="shared" ca="1" si="117"/>
        <v>721</v>
      </c>
      <c r="N391" s="26">
        <f t="shared" ca="1" si="118"/>
        <v>3</v>
      </c>
      <c r="O391" s="44">
        <f t="shared" ca="1" si="119"/>
        <v>2.2442427272544552</v>
      </c>
      <c r="P391" s="44">
        <f t="shared" ca="1" si="120"/>
        <v>22.442427272544553</v>
      </c>
      <c r="Q391" s="44">
        <f t="shared" ca="1" si="121"/>
        <v>22.442427272544553</v>
      </c>
      <c r="R391" s="44">
        <f t="shared" ca="1" si="122"/>
        <v>2.2442427272544552</v>
      </c>
      <c r="S391" s="44">
        <f t="shared" ca="1" si="123"/>
        <v>2.2442427272544552</v>
      </c>
      <c r="T391" s="4">
        <f t="shared" ca="1" si="124"/>
        <v>0</v>
      </c>
      <c r="U391" s="120">
        <f t="shared" ca="1" si="125"/>
        <v>1499.901337549361</v>
      </c>
      <c r="V391" s="4">
        <f t="shared" ca="1" si="126"/>
        <v>0</v>
      </c>
      <c r="W391" s="13">
        <f t="shared" ca="1" si="127"/>
        <v>4681.8</v>
      </c>
      <c r="X391" s="4">
        <f t="shared" ca="1" si="128"/>
        <v>0</v>
      </c>
      <c r="Y391" s="4">
        <f t="shared" si="129"/>
        <v>0</v>
      </c>
      <c r="Z391" s="13">
        <f t="shared" ca="1" si="130"/>
        <v>4681.8</v>
      </c>
      <c r="AA391" s="4">
        <f t="shared" ca="1" si="131"/>
        <v>0</v>
      </c>
      <c r="AE391" s="4"/>
    </row>
    <row r="392" spans="1:31">
      <c r="A392">
        <v>2</v>
      </c>
      <c r="B392">
        <v>3</v>
      </c>
      <c r="C392">
        <f t="shared" ca="1" si="110"/>
        <v>6</v>
      </c>
      <c r="D392">
        <f t="shared" ca="1" si="111"/>
        <v>5</v>
      </c>
      <c r="E392">
        <f t="shared" ca="1" si="112"/>
        <v>2</v>
      </c>
      <c r="F392" s="110">
        <f t="shared" ca="1" si="113"/>
        <v>0</v>
      </c>
      <c r="G392">
        <v>0</v>
      </c>
      <c r="H392">
        <v>1</v>
      </c>
      <c r="I392">
        <v>1</v>
      </c>
      <c r="J392" s="1">
        <f t="shared" ca="1" si="114"/>
        <v>0</v>
      </c>
      <c r="K392" s="1">
        <f t="shared" ca="1" si="115"/>
        <v>0</v>
      </c>
      <c r="L392" s="13">
        <f t="shared" ca="1" si="116"/>
        <v>260</v>
      </c>
      <c r="M392" s="7">
        <f t="shared" ca="1" si="117"/>
        <v>740</v>
      </c>
      <c r="N392" s="26">
        <f t="shared" ca="1" si="118"/>
        <v>3</v>
      </c>
      <c r="O392" s="44">
        <f t="shared" ca="1" si="119"/>
        <v>2.2442427272544552</v>
      </c>
      <c r="P392" s="44">
        <f t="shared" ca="1" si="120"/>
        <v>22.442427272544553</v>
      </c>
      <c r="Q392" s="44">
        <f t="shared" ca="1" si="121"/>
        <v>22.442427272544553</v>
      </c>
      <c r="R392" s="44">
        <f t="shared" ca="1" si="122"/>
        <v>2.2442427272544552</v>
      </c>
      <c r="S392" s="44">
        <f t="shared" ca="1" si="123"/>
        <v>2.2442427272544552</v>
      </c>
      <c r="T392" s="4">
        <f t="shared" ca="1" si="124"/>
        <v>0</v>
      </c>
      <c r="U392" s="120">
        <f t="shared" ca="1" si="125"/>
        <v>1480.901337549361</v>
      </c>
      <c r="V392" s="4">
        <f t="shared" ca="1" si="126"/>
        <v>0</v>
      </c>
      <c r="W392" s="13">
        <f t="shared" ca="1" si="127"/>
        <v>2340.9</v>
      </c>
      <c r="X392" s="4">
        <f t="shared" ca="1" si="128"/>
        <v>0</v>
      </c>
      <c r="Y392" s="4">
        <f t="shared" si="129"/>
        <v>0</v>
      </c>
      <c r="Z392" s="13">
        <f t="shared" ca="1" si="130"/>
        <v>2340.9</v>
      </c>
      <c r="AA392" s="4">
        <f t="shared" ca="1" si="131"/>
        <v>0</v>
      </c>
      <c r="AE392" s="4"/>
    </row>
    <row r="393" spans="1:31">
      <c r="A393">
        <v>2</v>
      </c>
      <c r="B393">
        <v>3</v>
      </c>
      <c r="C393">
        <f t="shared" ca="1" si="110"/>
        <v>6</v>
      </c>
      <c r="D393">
        <f t="shared" ca="1" si="111"/>
        <v>5</v>
      </c>
      <c r="E393">
        <f t="shared" ca="1" si="112"/>
        <v>2</v>
      </c>
      <c r="F393" s="110">
        <f t="shared" ca="1" si="113"/>
        <v>0</v>
      </c>
      <c r="G393">
        <v>0</v>
      </c>
      <c r="H393">
        <v>1</v>
      </c>
      <c r="I393">
        <v>0</v>
      </c>
      <c r="J393" s="1">
        <f t="shared" ca="1" si="114"/>
        <v>0</v>
      </c>
      <c r="K393" s="1">
        <f t="shared" ca="1" si="115"/>
        <v>0</v>
      </c>
      <c r="L393" s="13">
        <f t="shared" ca="1" si="116"/>
        <v>241</v>
      </c>
      <c r="M393" s="7">
        <f t="shared" ca="1" si="117"/>
        <v>759</v>
      </c>
      <c r="N393" s="26">
        <f t="shared" ca="1" si="118"/>
        <v>3</v>
      </c>
      <c r="O393" s="44">
        <f t="shared" ca="1" si="119"/>
        <v>2.2442427272544552</v>
      </c>
      <c r="P393" s="44">
        <f t="shared" ca="1" si="120"/>
        <v>22.442427272544553</v>
      </c>
      <c r="Q393" s="44">
        <f t="shared" ca="1" si="121"/>
        <v>22.442427272544553</v>
      </c>
      <c r="R393" s="44">
        <f t="shared" ca="1" si="122"/>
        <v>2.2442427272544552</v>
      </c>
      <c r="S393" s="44">
        <f t="shared" ca="1" si="123"/>
        <v>2.2442427272544552</v>
      </c>
      <c r="T393" s="4">
        <f t="shared" ca="1" si="124"/>
        <v>0</v>
      </c>
      <c r="U393" s="120">
        <f t="shared" ca="1" si="125"/>
        <v>1461.901337549361</v>
      </c>
      <c r="V393" s="4">
        <f t="shared" ca="1" si="126"/>
        <v>0</v>
      </c>
      <c r="W393" s="13">
        <f t="shared" ca="1" si="127"/>
        <v>0</v>
      </c>
      <c r="X393" s="4">
        <f t="shared" ca="1" si="128"/>
        <v>0</v>
      </c>
      <c r="Y393" s="4">
        <f t="shared" si="129"/>
        <v>0</v>
      </c>
      <c r="Z393" s="13">
        <f t="shared" ca="1" si="130"/>
        <v>0</v>
      </c>
      <c r="AA393" s="4">
        <f t="shared" ca="1" si="131"/>
        <v>0</v>
      </c>
      <c r="AE393" s="4"/>
    </row>
    <row r="394" spans="1:31">
      <c r="A394">
        <v>2</v>
      </c>
      <c r="B394">
        <v>3</v>
      </c>
      <c r="C394">
        <f t="shared" ca="1" si="110"/>
        <v>6</v>
      </c>
      <c r="D394">
        <f t="shared" ca="1" si="111"/>
        <v>5</v>
      </c>
      <c r="E394">
        <f t="shared" ca="1" si="112"/>
        <v>2</v>
      </c>
      <c r="F394" s="110">
        <f t="shared" ca="1" si="113"/>
        <v>0</v>
      </c>
      <c r="G394">
        <v>0</v>
      </c>
      <c r="H394">
        <v>0</v>
      </c>
      <c r="I394">
        <v>7</v>
      </c>
      <c r="J394" s="1">
        <f t="shared" ca="1" si="114"/>
        <v>0</v>
      </c>
      <c r="K394" s="1">
        <f t="shared" ca="1" si="115"/>
        <v>0</v>
      </c>
      <c r="L394" s="13">
        <f t="shared" ca="1" si="116"/>
        <v>133</v>
      </c>
      <c r="M394" s="7">
        <f t="shared" ca="1" si="117"/>
        <v>867</v>
      </c>
      <c r="N394" s="26">
        <f t="shared" ca="1" si="118"/>
        <v>4</v>
      </c>
      <c r="O394" s="44">
        <f t="shared" ca="1" si="119"/>
        <v>2.8621467101781541</v>
      </c>
      <c r="P394" s="44">
        <f t="shared" ca="1" si="120"/>
        <v>28.621467101781548</v>
      </c>
      <c r="Q394" s="44">
        <f t="shared" ca="1" si="121"/>
        <v>24.914043204239348</v>
      </c>
      <c r="R394" s="44">
        <f t="shared" ca="1" si="122"/>
        <v>2.6767755153010446</v>
      </c>
      <c r="S394" s="44">
        <f t="shared" ca="1" si="123"/>
        <v>2.8491707265367565</v>
      </c>
      <c r="T394" s="4">
        <f t="shared" ca="1" si="124"/>
        <v>0</v>
      </c>
      <c r="U394" s="120">
        <f t="shared" ca="1" si="125"/>
        <v>1622.8690837457082</v>
      </c>
      <c r="V394" s="4">
        <f t="shared" ca="1" si="126"/>
        <v>0</v>
      </c>
      <c r="W394" s="13">
        <f t="shared" ca="1" si="127"/>
        <v>16386.3</v>
      </c>
      <c r="X394" s="4">
        <f t="shared" ca="1" si="128"/>
        <v>0</v>
      </c>
      <c r="Y394" s="4">
        <f t="shared" si="129"/>
        <v>0</v>
      </c>
      <c r="Z394" s="13">
        <f t="shared" ca="1" si="130"/>
        <v>16386.3</v>
      </c>
      <c r="AA394" s="4">
        <f t="shared" ca="1" si="131"/>
        <v>0</v>
      </c>
      <c r="AE394" s="4"/>
    </row>
    <row r="395" spans="1:31">
      <c r="A395">
        <v>2</v>
      </c>
      <c r="B395">
        <v>3</v>
      </c>
      <c r="C395">
        <f t="shared" ca="1" si="110"/>
        <v>6</v>
      </c>
      <c r="D395">
        <f t="shared" ca="1" si="111"/>
        <v>5</v>
      </c>
      <c r="E395">
        <f t="shared" ca="1" si="112"/>
        <v>2</v>
      </c>
      <c r="F395" s="110">
        <f t="shared" ca="1" si="113"/>
        <v>0</v>
      </c>
      <c r="G395">
        <v>0</v>
      </c>
      <c r="H395">
        <v>0</v>
      </c>
      <c r="I395">
        <v>6</v>
      </c>
      <c r="J395" s="1">
        <f t="shared" ca="1" si="114"/>
        <v>0</v>
      </c>
      <c r="K395" s="1">
        <f t="shared" ca="1" si="115"/>
        <v>0</v>
      </c>
      <c r="L395" s="13">
        <f t="shared" ca="1" si="116"/>
        <v>114</v>
      </c>
      <c r="M395" s="7">
        <f t="shared" ca="1" si="117"/>
        <v>886</v>
      </c>
      <c r="N395" s="26">
        <f t="shared" ca="1" si="118"/>
        <v>4</v>
      </c>
      <c r="O395" s="44">
        <f t="shared" ca="1" si="119"/>
        <v>2.8621467101781541</v>
      </c>
      <c r="P395" s="44">
        <f t="shared" ca="1" si="120"/>
        <v>28.621467101781548</v>
      </c>
      <c r="Q395" s="44">
        <f t="shared" ca="1" si="121"/>
        <v>28.621467101781548</v>
      </c>
      <c r="R395" s="44">
        <f t="shared" ca="1" si="122"/>
        <v>2.8621467101781546</v>
      </c>
      <c r="S395" s="44">
        <f t="shared" ca="1" si="123"/>
        <v>2.8621467101781541</v>
      </c>
      <c r="T395" s="4">
        <f t="shared" ca="1" si="124"/>
        <v>0</v>
      </c>
      <c r="U395" s="120">
        <f t="shared" ca="1" si="125"/>
        <v>1609.6385655333725</v>
      </c>
      <c r="V395" s="4">
        <f t="shared" ca="1" si="126"/>
        <v>0</v>
      </c>
      <c r="W395" s="13">
        <f t="shared" ca="1" si="127"/>
        <v>14045.400000000001</v>
      </c>
      <c r="X395" s="4">
        <f t="shared" ca="1" si="128"/>
        <v>0</v>
      </c>
      <c r="Y395" s="4">
        <f t="shared" si="129"/>
        <v>0</v>
      </c>
      <c r="Z395" s="13">
        <f t="shared" ca="1" si="130"/>
        <v>14045.400000000001</v>
      </c>
      <c r="AA395" s="4">
        <f t="shared" ca="1" si="131"/>
        <v>0</v>
      </c>
      <c r="AE395" s="4"/>
    </row>
    <row r="396" spans="1:31">
      <c r="A396">
        <v>2</v>
      </c>
      <c r="B396">
        <v>3</v>
      </c>
      <c r="C396">
        <f t="shared" ca="1" si="110"/>
        <v>6</v>
      </c>
      <c r="D396">
        <f t="shared" ca="1" si="111"/>
        <v>5</v>
      </c>
      <c r="E396">
        <f t="shared" ca="1" si="112"/>
        <v>2</v>
      </c>
      <c r="F396" s="110">
        <f t="shared" ca="1" si="113"/>
        <v>0</v>
      </c>
      <c r="G396">
        <v>0</v>
      </c>
      <c r="H396">
        <v>0</v>
      </c>
      <c r="I396">
        <v>5</v>
      </c>
      <c r="J396" s="1">
        <f t="shared" ca="1" si="114"/>
        <v>2.5645446777343751E-2</v>
      </c>
      <c r="K396" s="1">
        <f t="shared" ca="1" si="115"/>
        <v>0</v>
      </c>
      <c r="L396" s="13">
        <f t="shared" ca="1" si="116"/>
        <v>95</v>
      </c>
      <c r="M396" s="7">
        <f t="shared" ca="1" si="117"/>
        <v>905</v>
      </c>
      <c r="N396" s="26">
        <f t="shared" ca="1" si="118"/>
        <v>4</v>
      </c>
      <c r="O396" s="44">
        <f t="shared" ca="1" si="119"/>
        <v>2.8621467101781541</v>
      </c>
      <c r="P396" s="44">
        <f t="shared" ca="1" si="120"/>
        <v>28.621467101781548</v>
      </c>
      <c r="Q396" s="44">
        <f t="shared" ca="1" si="121"/>
        <v>28.621467101781548</v>
      </c>
      <c r="R396" s="44">
        <f t="shared" ca="1" si="122"/>
        <v>2.8621467101781546</v>
      </c>
      <c r="S396" s="44">
        <f t="shared" ca="1" si="123"/>
        <v>2.8621467101781541</v>
      </c>
      <c r="T396" s="4">
        <f t="shared" ca="1" si="124"/>
        <v>0</v>
      </c>
      <c r="U396" s="120">
        <f t="shared" ca="1" si="125"/>
        <v>1590.6385655333725</v>
      </c>
      <c r="V396" s="4">
        <f t="shared" ca="1" si="126"/>
        <v>0</v>
      </c>
      <c r="W396" s="13">
        <f t="shared" ca="1" si="127"/>
        <v>11704.5</v>
      </c>
      <c r="X396" s="4">
        <f t="shared" ca="1" si="128"/>
        <v>0</v>
      </c>
      <c r="Y396" s="4">
        <f t="shared" si="129"/>
        <v>0</v>
      </c>
      <c r="Z396" s="13">
        <f t="shared" ca="1" si="130"/>
        <v>11704.5</v>
      </c>
      <c r="AA396" s="4">
        <f t="shared" ca="1" si="131"/>
        <v>0</v>
      </c>
      <c r="AE396" s="4"/>
    </row>
    <row r="397" spans="1:31">
      <c r="A397">
        <v>2</v>
      </c>
      <c r="B397">
        <v>3</v>
      </c>
      <c r="C397">
        <f t="shared" ca="1" si="110"/>
        <v>6</v>
      </c>
      <c r="D397">
        <f t="shared" ca="1" si="111"/>
        <v>5</v>
      </c>
      <c r="E397">
        <f t="shared" ca="1" si="112"/>
        <v>2</v>
      </c>
      <c r="F397" s="110">
        <f t="shared" ca="1" si="113"/>
        <v>0</v>
      </c>
      <c r="G397">
        <v>0</v>
      </c>
      <c r="H397">
        <v>0</v>
      </c>
      <c r="I397">
        <v>4</v>
      </c>
      <c r="J397" s="1">
        <f t="shared" ca="1" si="114"/>
        <v>1.831817626953125E-2</v>
      </c>
      <c r="K397" s="1">
        <f t="shared" ca="1" si="115"/>
        <v>0</v>
      </c>
      <c r="L397" s="13">
        <f t="shared" ca="1" si="116"/>
        <v>76</v>
      </c>
      <c r="M397" s="7">
        <f t="shared" ca="1" si="117"/>
        <v>924</v>
      </c>
      <c r="N397" s="26">
        <f t="shared" ca="1" si="118"/>
        <v>4</v>
      </c>
      <c r="O397" s="44">
        <f t="shared" ca="1" si="119"/>
        <v>2.8621467101781541</v>
      </c>
      <c r="P397" s="44">
        <f t="shared" ca="1" si="120"/>
        <v>28.621467101781548</v>
      </c>
      <c r="Q397" s="44">
        <f t="shared" ca="1" si="121"/>
        <v>28.621467101781548</v>
      </c>
      <c r="R397" s="44">
        <f t="shared" ca="1" si="122"/>
        <v>2.8621467101781546</v>
      </c>
      <c r="S397" s="44">
        <f t="shared" ca="1" si="123"/>
        <v>2.8621467101781541</v>
      </c>
      <c r="T397" s="4">
        <f t="shared" ca="1" si="124"/>
        <v>0</v>
      </c>
      <c r="U397" s="120">
        <f t="shared" ca="1" si="125"/>
        <v>1571.6385655333725</v>
      </c>
      <c r="V397" s="4">
        <f t="shared" ca="1" si="126"/>
        <v>0</v>
      </c>
      <c r="W397" s="13">
        <f t="shared" ca="1" si="127"/>
        <v>9363.6</v>
      </c>
      <c r="X397" s="4">
        <f t="shared" ca="1" si="128"/>
        <v>0</v>
      </c>
      <c r="Y397" s="4">
        <f t="shared" si="129"/>
        <v>0</v>
      </c>
      <c r="Z397" s="13">
        <f t="shared" ca="1" si="130"/>
        <v>9363.6</v>
      </c>
      <c r="AA397" s="4">
        <f t="shared" ca="1" si="131"/>
        <v>0</v>
      </c>
      <c r="AE397" s="4"/>
    </row>
    <row r="398" spans="1:31">
      <c r="A398">
        <v>2</v>
      </c>
      <c r="B398">
        <v>3</v>
      </c>
      <c r="C398">
        <f t="shared" ca="1" si="110"/>
        <v>6</v>
      </c>
      <c r="D398">
        <f t="shared" ca="1" si="111"/>
        <v>5</v>
      </c>
      <c r="E398">
        <f t="shared" ca="1" si="112"/>
        <v>2</v>
      </c>
      <c r="F398" s="110">
        <f t="shared" ca="1" si="113"/>
        <v>0</v>
      </c>
      <c r="G398">
        <v>0</v>
      </c>
      <c r="H398">
        <v>0</v>
      </c>
      <c r="I398">
        <v>3</v>
      </c>
      <c r="J398" s="1">
        <f t="shared" ca="1" si="114"/>
        <v>5.2337646484375E-3</v>
      </c>
      <c r="K398" s="1">
        <f t="shared" ca="1" si="115"/>
        <v>0</v>
      </c>
      <c r="L398" s="13">
        <f t="shared" ca="1" si="116"/>
        <v>57</v>
      </c>
      <c r="M398" s="7">
        <f t="shared" ca="1" si="117"/>
        <v>943</v>
      </c>
      <c r="N398" s="26">
        <f t="shared" ca="1" si="118"/>
        <v>4</v>
      </c>
      <c r="O398" s="44">
        <f t="shared" ca="1" si="119"/>
        <v>2.8621467101781541</v>
      </c>
      <c r="P398" s="44">
        <f t="shared" ca="1" si="120"/>
        <v>28.621467101781548</v>
      </c>
      <c r="Q398" s="44">
        <f t="shared" ca="1" si="121"/>
        <v>28.621467101781548</v>
      </c>
      <c r="R398" s="44">
        <f t="shared" ca="1" si="122"/>
        <v>2.8621467101781546</v>
      </c>
      <c r="S398" s="44">
        <f t="shared" ca="1" si="123"/>
        <v>2.8621467101781541</v>
      </c>
      <c r="T398" s="4">
        <f t="shared" ca="1" si="124"/>
        <v>0</v>
      </c>
      <c r="U398" s="120">
        <f t="shared" ca="1" si="125"/>
        <v>1552.6385655333725</v>
      </c>
      <c r="V398" s="4">
        <f t="shared" ca="1" si="126"/>
        <v>0</v>
      </c>
      <c r="W398" s="13">
        <f t="shared" ca="1" si="127"/>
        <v>7022.7000000000007</v>
      </c>
      <c r="X398" s="4">
        <f t="shared" ca="1" si="128"/>
        <v>0</v>
      </c>
      <c r="Y398" s="4">
        <f t="shared" si="129"/>
        <v>0</v>
      </c>
      <c r="Z398" s="13">
        <f t="shared" ca="1" si="130"/>
        <v>7022.7000000000007</v>
      </c>
      <c r="AA398" s="4">
        <f t="shared" ca="1" si="131"/>
        <v>0</v>
      </c>
      <c r="AE398" s="4"/>
    </row>
    <row r="399" spans="1:31">
      <c r="A399">
        <v>2</v>
      </c>
      <c r="B399">
        <v>3</v>
      </c>
      <c r="C399">
        <f t="shared" ca="1" si="110"/>
        <v>6</v>
      </c>
      <c r="D399">
        <f t="shared" ca="1" si="111"/>
        <v>5</v>
      </c>
      <c r="E399">
        <f t="shared" ca="1" si="112"/>
        <v>2</v>
      </c>
      <c r="F399" s="110">
        <f t="shared" ca="1" si="113"/>
        <v>0</v>
      </c>
      <c r="G399">
        <v>0</v>
      </c>
      <c r="H399">
        <v>0</v>
      </c>
      <c r="I399">
        <v>2</v>
      </c>
      <c r="J399" s="1">
        <f t="shared" ca="1" si="114"/>
        <v>7.476806640625E-4</v>
      </c>
      <c r="K399" s="1">
        <f t="shared" ca="1" si="115"/>
        <v>0</v>
      </c>
      <c r="L399" s="13">
        <f t="shared" ca="1" si="116"/>
        <v>38</v>
      </c>
      <c r="M399" s="7">
        <f t="shared" ca="1" si="117"/>
        <v>962</v>
      </c>
      <c r="N399" s="26">
        <f t="shared" ca="1" si="118"/>
        <v>4</v>
      </c>
      <c r="O399" s="44">
        <f t="shared" ca="1" si="119"/>
        <v>2.8621467101781541</v>
      </c>
      <c r="P399" s="44">
        <f t="shared" ca="1" si="120"/>
        <v>28.621467101781548</v>
      </c>
      <c r="Q399" s="44">
        <f t="shared" ca="1" si="121"/>
        <v>28.621467101781548</v>
      </c>
      <c r="R399" s="44">
        <f t="shared" ca="1" si="122"/>
        <v>2.8621467101781546</v>
      </c>
      <c r="S399" s="44">
        <f t="shared" ca="1" si="123"/>
        <v>2.8621467101781541</v>
      </c>
      <c r="T399" s="4">
        <f t="shared" ca="1" si="124"/>
        <v>0</v>
      </c>
      <c r="U399" s="120">
        <f t="shared" ca="1" si="125"/>
        <v>1533.6385655333725</v>
      </c>
      <c r="V399" s="4">
        <f t="shared" ca="1" si="126"/>
        <v>0</v>
      </c>
      <c r="W399" s="13">
        <f t="shared" ca="1" si="127"/>
        <v>4681.8</v>
      </c>
      <c r="X399" s="4">
        <f t="shared" ca="1" si="128"/>
        <v>0</v>
      </c>
      <c r="Y399" s="4">
        <f t="shared" si="129"/>
        <v>0</v>
      </c>
      <c r="Z399" s="13">
        <f t="shared" ca="1" si="130"/>
        <v>4681.8</v>
      </c>
      <c r="AA399" s="4">
        <f t="shared" ca="1" si="131"/>
        <v>0</v>
      </c>
      <c r="AE399" s="4"/>
    </row>
    <row r="400" spans="1:31">
      <c r="A400">
        <v>2</v>
      </c>
      <c r="B400">
        <v>3</v>
      </c>
      <c r="C400">
        <f t="shared" ca="1" si="110"/>
        <v>6</v>
      </c>
      <c r="D400">
        <f t="shared" ca="1" si="111"/>
        <v>5</v>
      </c>
      <c r="E400">
        <f t="shared" ca="1" si="112"/>
        <v>2</v>
      </c>
      <c r="F400" s="110">
        <f t="shared" ca="1" si="113"/>
        <v>0</v>
      </c>
      <c r="G400">
        <v>0</v>
      </c>
      <c r="H400">
        <v>0</v>
      </c>
      <c r="I400">
        <v>1</v>
      </c>
      <c r="J400" s="1">
        <f t="shared" ca="1" si="114"/>
        <v>5.340576171875E-5</v>
      </c>
      <c r="K400" s="1">
        <f t="shared" ca="1" si="115"/>
        <v>0</v>
      </c>
      <c r="L400" s="13">
        <f t="shared" ca="1" si="116"/>
        <v>19</v>
      </c>
      <c r="M400" s="7">
        <f t="shared" ca="1" si="117"/>
        <v>981</v>
      </c>
      <c r="N400" s="26">
        <f t="shared" ca="1" si="118"/>
        <v>4</v>
      </c>
      <c r="O400" s="44">
        <f t="shared" ca="1" si="119"/>
        <v>2.8621467101781541</v>
      </c>
      <c r="P400" s="44">
        <f t="shared" ca="1" si="120"/>
        <v>28.621467101781548</v>
      </c>
      <c r="Q400" s="44">
        <f t="shared" ca="1" si="121"/>
        <v>28.621467101781548</v>
      </c>
      <c r="R400" s="44">
        <f t="shared" ca="1" si="122"/>
        <v>2.8621467101781546</v>
      </c>
      <c r="S400" s="44">
        <f t="shared" ca="1" si="123"/>
        <v>2.8621467101781541</v>
      </c>
      <c r="T400" s="4">
        <f t="shared" ca="1" si="124"/>
        <v>0</v>
      </c>
      <c r="U400" s="120">
        <f t="shared" ca="1" si="125"/>
        <v>1514.6385655333725</v>
      </c>
      <c r="V400" s="4">
        <f t="shared" ca="1" si="126"/>
        <v>0</v>
      </c>
      <c r="W400" s="13">
        <f t="shared" ca="1" si="127"/>
        <v>2340.9</v>
      </c>
      <c r="X400" s="4">
        <f t="shared" ca="1" si="128"/>
        <v>0</v>
      </c>
      <c r="Y400" s="4">
        <f t="shared" si="129"/>
        <v>0</v>
      </c>
      <c r="Z400" s="13">
        <f t="shared" ca="1" si="130"/>
        <v>2340.9</v>
      </c>
      <c r="AA400" s="4">
        <f t="shared" ca="1" si="131"/>
        <v>0</v>
      </c>
      <c r="AE400" s="4"/>
    </row>
    <row r="401" spans="1:31">
      <c r="A401">
        <v>2</v>
      </c>
      <c r="B401">
        <v>3</v>
      </c>
      <c r="C401">
        <f t="shared" ca="1" si="110"/>
        <v>6</v>
      </c>
      <c r="D401">
        <f t="shared" ca="1" si="111"/>
        <v>5</v>
      </c>
      <c r="E401">
        <f t="shared" ca="1" si="112"/>
        <v>2</v>
      </c>
      <c r="F401" s="110">
        <f t="shared" ca="1" si="113"/>
        <v>0</v>
      </c>
      <c r="G401">
        <v>0</v>
      </c>
      <c r="H401">
        <v>0</v>
      </c>
      <c r="I401">
        <v>0</v>
      </c>
      <c r="J401" s="1">
        <f t="shared" ca="1" si="114"/>
        <v>1.5258789062500001E-6</v>
      </c>
      <c r="K401" s="1">
        <f t="shared" ca="1" si="115"/>
        <v>0</v>
      </c>
      <c r="L401" s="13">
        <f t="shared" ca="1" si="116"/>
        <v>0</v>
      </c>
      <c r="M401" s="7">
        <f t="shared" ca="1" si="117"/>
        <v>1000</v>
      </c>
      <c r="N401" s="26">
        <f t="shared" ca="1" si="118"/>
        <v>4</v>
      </c>
      <c r="O401" s="44">
        <f t="shared" ca="1" si="119"/>
        <v>2.8621467101781541</v>
      </c>
      <c r="P401" s="44">
        <f t="shared" ca="1" si="120"/>
        <v>28.621467101781548</v>
      </c>
      <c r="Q401" s="44">
        <f t="shared" ca="1" si="121"/>
        <v>28.621467101781548</v>
      </c>
      <c r="R401" s="44">
        <f t="shared" ca="1" si="122"/>
        <v>2.8621467101781546</v>
      </c>
      <c r="S401" s="44">
        <f t="shared" ca="1" si="123"/>
        <v>2.8621467101781541</v>
      </c>
      <c r="T401" s="4">
        <f t="shared" ca="1" si="124"/>
        <v>0</v>
      </c>
      <c r="U401" s="120">
        <f t="shared" ca="1" si="125"/>
        <v>1495.6385655333725</v>
      </c>
      <c r="V401" s="4">
        <f t="shared" ca="1" si="126"/>
        <v>0</v>
      </c>
      <c r="W401" s="13">
        <f t="shared" ca="1" si="127"/>
        <v>0</v>
      </c>
      <c r="X401" s="4">
        <f t="shared" ca="1" si="128"/>
        <v>0</v>
      </c>
      <c r="Y401" s="4">
        <f t="shared" si="129"/>
        <v>0</v>
      </c>
      <c r="Z401" s="13">
        <f t="shared" ca="1" si="130"/>
        <v>0</v>
      </c>
      <c r="AA401" s="4">
        <f t="shared" ca="1" si="131"/>
        <v>0</v>
      </c>
      <c r="AE401" s="4"/>
    </row>
    <row r="402" spans="1:31">
      <c r="A402">
        <v>3</v>
      </c>
      <c r="B402">
        <v>0</v>
      </c>
      <c r="C402">
        <f t="shared" ref="C402:C465" ca="1" si="132">MIN(8, 1+$B$10+$B$9+A402+B402)</f>
        <v>4</v>
      </c>
      <c r="D402">
        <f t="shared" ref="D402:D465" ca="1" si="133">C402-(1+$B$10)</f>
        <v>3</v>
      </c>
      <c r="E402">
        <f t="shared" ref="E402:E465" ca="1" si="134">MIN(A402, C402-(1+$B$10+$B$9))</f>
        <v>3</v>
      </c>
      <c r="F402" s="110">
        <f t="shared" ref="F402:F465" ca="1" si="135">IF(A402=3, Set1QA, IF(A402=2, (1-Set1QA)*Set1TA + (1-Set1QA)*(1-Set1TA)*(1-Set1DA)*Set1AM3*Set1AM33, IF(A402=1, (1-Set1QA)*(1-Set1TA)*Set1DA + (1-Set1QA)*(1-Set1TA)*(1-Set1DA)*Set1AM3*Set1AM32, (1-Set1QA)*(1-Set1TA)*(1-Set1DA)*(1-Set1AM3)))) * IF($B$9+$B$10&gt;0, IF(B402=3, Set1QA, IF(B402=2, (1-Set1QA)*Set1TA, IF(B402=1, (1-Set1QA)*(1-Set1TA)*Set1DA, (1-Set1QA)*(1-Set1TA)*(1-Set1DA)))), IF(B402=0, 1, 0))</f>
        <v>0</v>
      </c>
      <c r="G402">
        <v>1</v>
      </c>
      <c r="H402">
        <v>1</v>
      </c>
      <c r="I402">
        <v>7</v>
      </c>
      <c r="J402" s="1">
        <f t="shared" ref="J402:J465" ca="1" si="136">POWER(95%,G402)*POWER(5%, 1-G402) * IF($B$10=0, IF(H402=0, 1, 0), POWER(Set1WSHitRate,H402)*POWER(1-Set1WSHitRate, 1-H402)) * IF(I402&lt;=D402, POWER(Set1WSHitRate, I402)*POWER(1-Set1WSHitRate, D402-I402)*COMBIN(D402,I402), 0)</f>
        <v>0</v>
      </c>
      <c r="K402" s="1">
        <f t="shared" ref="K402:K465" ca="1" si="137">F402*J402</f>
        <v>0</v>
      </c>
      <c r="L402" s="13">
        <f t="shared" ref="L402:L465" ca="1" si="138">MAX((G402+H402)*Set1WSTP + I402*$B$6, Set1SaveTP)</f>
        <v>615</v>
      </c>
      <c r="M402" s="7">
        <f t="shared" ref="M402:M465" ca="1" si="139">MAX(Set1MinTP-(L402+Set1Regain), 0)</f>
        <v>385</v>
      </c>
      <c r="N402" s="26">
        <f t="shared" ref="N402:N465" ca="1" si="140">CEILING(M402/Set1MeleeTP, 1)</f>
        <v>2</v>
      </c>
      <c r="O402" s="44">
        <f t="shared" ref="O402:O465" ca="1" si="141">VLOOKUP(N402,AvgRoundsSet1,2)</f>
        <v>1.5762319669595739</v>
      </c>
      <c r="P402" s="44">
        <f t="shared" ref="P402:P465" ca="1" si="142">VLOOKUP(CEILING(MAX(M402-1, 0)/Set1MeleeTP, 1), AvgRoundsSet1, 2) + VLOOKUP(CEILING(MAX(M402-2, 0)/Set1MeleeTP, 1), AvgRoundsSet1, 2) + VLOOKUP(CEILING(MAX(M402-3, 0)/Set1MeleeTP, 1), AvgRoundsSet1, 2) + VLOOKUP(CEILING(MAX(M402-4, 0)/Set1MeleeTP, 1), AvgRoundsSet1, 2) + VLOOKUP(CEILING(MAX(M402-5, 0)/Set1MeleeTP, 1), AvgRoundsSet1, 2) + VLOOKUP(CEILING(MAX(M402-6, 0)/Set1MeleeTP, 1), AvgRoundsSet1, 2) + VLOOKUP(CEILING(MAX(M402-7, 0)/Set1MeleeTP, 1), AvgRoundsSet1, 2) + VLOOKUP(CEILING(MAX(M402-8, 0)/Set1MeleeTP, 1), AvgRoundsSet1, 2) + VLOOKUP(CEILING(MAX(M402-9, 0)/Set1MeleeTP, 1), AvgRoundsSet1, 2) + VLOOKUP(CEILING(MAX(M402-10, 0)/Set1MeleeTP, 1), AvgRoundsSet1, 2)</f>
        <v>15.762319669595739</v>
      </c>
      <c r="Q402" s="44">
        <f t="shared" ref="Q402:Q465" ca="1" si="143">VLOOKUP(CEILING(MAX(M402-11, 0)/Set1MeleeTP, 1), AvgRoundsSet1, 2) + VLOOKUP(CEILING(MAX(M402-12, 0)/Set1MeleeTP, 1), AvgRoundsSet1, 2) + VLOOKUP(CEILING(MAX(M402-13, 0)/Set1MeleeTP, 1), AvgRoundsSet1, 2) + VLOOKUP(CEILING(MAX(M402-14, 0)/Set1MeleeTP, 1), AvgRoundsSet1, 2) + VLOOKUP(CEILING(MAX(M402-15, 0)/Set1MeleeTP, 1), AvgRoundsSet1, 2) + VLOOKUP(CEILING(MAX(M402-16, 0)/Set1MeleeTP, 1), AvgRoundsSet1, 2) + VLOOKUP(CEILING(MAX(M402-17, 0)/Set1MeleeTP, 1), AvgRoundsSet1, 2) + VLOOKUP(CEILING(MAX(M402-18, 0)/Set1MeleeTP, 1), AvgRoundsSet1, 2) + VLOOKUP(CEILING(MAX(M402-19, 0)/Set1MeleeTP, 1), AvgRoundsSet1, 2) + VLOOKUP(CEILING(MAX(M402-20, 0)/Set1MeleeTP, 1), AvgRoundsSet1, 2)</f>
        <v>15.762319669595739</v>
      </c>
      <c r="R402" s="44">
        <f t="shared" ref="R402:R465" ca="1" si="144">(P402+Q402)/20</f>
        <v>1.5762319669595739</v>
      </c>
      <c r="S402" s="44">
        <f t="shared" ref="S402:S465" ca="1" si="145">R402*Set1ConserveTP + O402*(1-Set1ConserveTP)</f>
        <v>1.5762319669595737</v>
      </c>
      <c r="T402" s="4">
        <f t="shared" ref="T402:T465" ca="1" si="146">K402*S402</f>
        <v>0</v>
      </c>
      <c r="U402" s="120">
        <f t="shared" ref="U402:U465" ca="1" si="147">MIN(L402+(S402+Set1OverTP)*AvgHitsPerRound1*Set1MeleeTP + Set1Regain + 10.5*Set1ConserveTP, 3000)</f>
        <v>1538.885248288175</v>
      </c>
      <c r="V402" s="4">
        <f t="shared" ref="V402:V465" ca="1" si="148">U402*K402</f>
        <v>0</v>
      </c>
      <c r="W402" s="13">
        <f t="shared" ref="W402:W465" ca="1" si="149">G402*$K$10*((1-$L$10)*$L$14 + $L$10*$M$14*$M$10)*Set1WSDmg + H402*$K$13*((1-$L$13)*$L$15 + $L$13*$M$15*$M$11) + I402*$K$11*((1-$L$11)*$L$14 + $L$11*$M$14*$M$11) + E402*$K$12*$L$12*$M$10</f>
        <v>40973.706000000006</v>
      </c>
      <c r="X402" s="4">
        <f t="shared" ref="X402:X465" ca="1" si="150">K402*W402</f>
        <v>0</v>
      </c>
      <c r="Y402" s="4">
        <f t="shared" ref="Y402:Y465" si="151">IF($B$12=1, (VLOOKUP(C402, IF($B$13=10%,Souleater10,Souleater12), 6, FALSE) * $B$14), 0)</f>
        <v>0</v>
      </c>
      <c r="Z402" s="13">
        <f t="shared" ca="1" si="130"/>
        <v>40973.706000000006</v>
      </c>
      <c r="AA402" s="4">
        <f t="shared" ca="1" si="131"/>
        <v>0</v>
      </c>
      <c r="AE402" s="4"/>
    </row>
    <row r="403" spans="1:31">
      <c r="A403">
        <v>3</v>
      </c>
      <c r="B403">
        <v>0</v>
      </c>
      <c r="C403">
        <f t="shared" ca="1" si="132"/>
        <v>4</v>
      </c>
      <c r="D403">
        <f t="shared" ca="1" si="133"/>
        <v>3</v>
      </c>
      <c r="E403">
        <f t="shared" ca="1" si="134"/>
        <v>3</v>
      </c>
      <c r="F403" s="110">
        <f t="shared" ca="1" si="135"/>
        <v>0</v>
      </c>
      <c r="G403">
        <v>1</v>
      </c>
      <c r="H403">
        <v>1</v>
      </c>
      <c r="I403">
        <v>6</v>
      </c>
      <c r="J403" s="1">
        <f t="shared" ca="1" si="136"/>
        <v>0</v>
      </c>
      <c r="K403" s="1">
        <f t="shared" ca="1" si="137"/>
        <v>0</v>
      </c>
      <c r="L403" s="13">
        <f t="shared" ca="1" si="138"/>
        <v>596</v>
      </c>
      <c r="M403" s="7">
        <f t="shared" ca="1" si="139"/>
        <v>404</v>
      </c>
      <c r="N403" s="26">
        <f t="shared" ca="1" si="140"/>
        <v>2</v>
      </c>
      <c r="O403" s="44">
        <f t="shared" ca="1" si="141"/>
        <v>1.5762319669595739</v>
      </c>
      <c r="P403" s="44">
        <f t="shared" ca="1" si="142"/>
        <v>15.762319669595739</v>
      </c>
      <c r="Q403" s="44">
        <f t="shared" ca="1" si="143"/>
        <v>15.762319669595739</v>
      </c>
      <c r="R403" s="44">
        <f t="shared" ca="1" si="144"/>
        <v>1.5762319669595739</v>
      </c>
      <c r="S403" s="44">
        <f t="shared" ca="1" si="145"/>
        <v>1.5762319669595737</v>
      </c>
      <c r="T403" s="4">
        <f t="shared" ca="1" si="146"/>
        <v>0</v>
      </c>
      <c r="U403" s="120">
        <f t="shared" ca="1" si="147"/>
        <v>1519.885248288175</v>
      </c>
      <c r="V403" s="4">
        <f t="shared" ca="1" si="148"/>
        <v>0</v>
      </c>
      <c r="W403" s="13">
        <f t="shared" ca="1" si="149"/>
        <v>38632.806000000004</v>
      </c>
      <c r="X403" s="4">
        <f t="shared" ca="1" si="150"/>
        <v>0</v>
      </c>
      <c r="Y403" s="4">
        <f t="shared" si="151"/>
        <v>0</v>
      </c>
      <c r="Z403" s="13">
        <f t="shared" ref="Z403:Z466" ca="1" si="152">Y403+W403</f>
        <v>38632.806000000004</v>
      </c>
      <c r="AA403" s="4">
        <f t="shared" ref="AA403:AA466" ca="1" si="153">Z403*K403</f>
        <v>0</v>
      </c>
      <c r="AE403" s="4"/>
    </row>
    <row r="404" spans="1:31">
      <c r="A404">
        <v>3</v>
      </c>
      <c r="B404">
        <v>0</v>
      </c>
      <c r="C404">
        <f t="shared" ca="1" si="132"/>
        <v>4</v>
      </c>
      <c r="D404">
        <f t="shared" ca="1" si="133"/>
        <v>3</v>
      </c>
      <c r="E404">
        <f t="shared" ca="1" si="134"/>
        <v>3</v>
      </c>
      <c r="F404" s="110">
        <f t="shared" ca="1" si="135"/>
        <v>0</v>
      </c>
      <c r="G404">
        <v>1</v>
      </c>
      <c r="H404">
        <v>1</v>
      </c>
      <c r="I404">
        <v>5</v>
      </c>
      <c r="J404" s="1">
        <f t="shared" ca="1" si="136"/>
        <v>0</v>
      </c>
      <c r="K404" s="1">
        <f t="shared" ca="1" si="137"/>
        <v>0</v>
      </c>
      <c r="L404" s="13">
        <f t="shared" ca="1" si="138"/>
        <v>577</v>
      </c>
      <c r="M404" s="7">
        <f t="shared" ca="1" si="139"/>
        <v>423</v>
      </c>
      <c r="N404" s="26">
        <f t="shared" ca="1" si="140"/>
        <v>2</v>
      </c>
      <c r="O404" s="44">
        <f t="shared" ca="1" si="141"/>
        <v>1.5762319669595739</v>
      </c>
      <c r="P404" s="44">
        <f t="shared" ca="1" si="142"/>
        <v>15.762319669595739</v>
      </c>
      <c r="Q404" s="44">
        <f t="shared" ca="1" si="143"/>
        <v>15.762319669595739</v>
      </c>
      <c r="R404" s="44">
        <f t="shared" ca="1" si="144"/>
        <v>1.5762319669595739</v>
      </c>
      <c r="S404" s="44">
        <f t="shared" ca="1" si="145"/>
        <v>1.5762319669595737</v>
      </c>
      <c r="T404" s="4">
        <f t="shared" ca="1" si="146"/>
        <v>0</v>
      </c>
      <c r="U404" s="120">
        <f t="shared" ca="1" si="147"/>
        <v>1500.885248288175</v>
      </c>
      <c r="V404" s="4">
        <f t="shared" ca="1" si="148"/>
        <v>0</v>
      </c>
      <c r="W404" s="13">
        <f t="shared" ca="1" si="149"/>
        <v>36291.906000000003</v>
      </c>
      <c r="X404" s="4">
        <f t="shared" ca="1" si="150"/>
        <v>0</v>
      </c>
      <c r="Y404" s="4">
        <f t="shared" si="151"/>
        <v>0</v>
      </c>
      <c r="Z404" s="13">
        <f t="shared" ca="1" si="152"/>
        <v>36291.906000000003</v>
      </c>
      <c r="AA404" s="4">
        <f t="shared" ca="1" si="153"/>
        <v>0</v>
      </c>
      <c r="AE404" s="4"/>
    </row>
    <row r="405" spans="1:31">
      <c r="A405">
        <v>3</v>
      </c>
      <c r="B405">
        <v>0</v>
      </c>
      <c r="C405">
        <f t="shared" ca="1" si="132"/>
        <v>4</v>
      </c>
      <c r="D405">
        <f t="shared" ca="1" si="133"/>
        <v>3</v>
      </c>
      <c r="E405">
        <f t="shared" ca="1" si="134"/>
        <v>3</v>
      </c>
      <c r="F405" s="110">
        <f t="shared" ca="1" si="135"/>
        <v>0</v>
      </c>
      <c r="G405">
        <v>1</v>
      </c>
      <c r="H405">
        <v>1</v>
      </c>
      <c r="I405">
        <v>4</v>
      </c>
      <c r="J405" s="1">
        <f t="shared" ca="1" si="136"/>
        <v>0</v>
      </c>
      <c r="K405" s="1">
        <f t="shared" ca="1" si="137"/>
        <v>0</v>
      </c>
      <c r="L405" s="13">
        <f t="shared" ca="1" si="138"/>
        <v>558</v>
      </c>
      <c r="M405" s="7">
        <f t="shared" ca="1" si="139"/>
        <v>442</v>
      </c>
      <c r="N405" s="26">
        <f t="shared" ca="1" si="140"/>
        <v>2</v>
      </c>
      <c r="O405" s="44">
        <f t="shared" ca="1" si="141"/>
        <v>1.5762319669595739</v>
      </c>
      <c r="P405" s="44">
        <f t="shared" ca="1" si="142"/>
        <v>15.762319669595739</v>
      </c>
      <c r="Q405" s="44">
        <f t="shared" ca="1" si="143"/>
        <v>15.762319669595739</v>
      </c>
      <c r="R405" s="44">
        <f t="shared" ca="1" si="144"/>
        <v>1.5762319669595739</v>
      </c>
      <c r="S405" s="44">
        <f t="shared" ca="1" si="145"/>
        <v>1.5762319669595737</v>
      </c>
      <c r="T405" s="4">
        <f t="shared" ca="1" si="146"/>
        <v>0</v>
      </c>
      <c r="U405" s="120">
        <f t="shared" ca="1" si="147"/>
        <v>1481.885248288175</v>
      </c>
      <c r="V405" s="4">
        <f t="shared" ca="1" si="148"/>
        <v>0</v>
      </c>
      <c r="W405" s="13">
        <f t="shared" ca="1" si="149"/>
        <v>33951.006000000001</v>
      </c>
      <c r="X405" s="4">
        <f t="shared" ca="1" si="150"/>
        <v>0</v>
      </c>
      <c r="Y405" s="4">
        <f t="shared" si="151"/>
        <v>0</v>
      </c>
      <c r="Z405" s="13">
        <f t="shared" ca="1" si="152"/>
        <v>33951.006000000001</v>
      </c>
      <c r="AA405" s="4">
        <f t="shared" ca="1" si="153"/>
        <v>0</v>
      </c>
      <c r="AE405" s="4"/>
    </row>
    <row r="406" spans="1:31">
      <c r="A406">
        <v>3</v>
      </c>
      <c r="B406">
        <v>0</v>
      </c>
      <c r="C406">
        <f t="shared" ca="1" si="132"/>
        <v>4</v>
      </c>
      <c r="D406">
        <f t="shared" ca="1" si="133"/>
        <v>3</v>
      </c>
      <c r="E406">
        <f t="shared" ca="1" si="134"/>
        <v>3</v>
      </c>
      <c r="F406" s="110">
        <f t="shared" ca="1" si="135"/>
        <v>0</v>
      </c>
      <c r="G406">
        <v>1</v>
      </c>
      <c r="H406">
        <v>1</v>
      </c>
      <c r="I406">
        <v>3</v>
      </c>
      <c r="J406" s="1">
        <f t="shared" ca="1" si="136"/>
        <v>0</v>
      </c>
      <c r="K406" s="1">
        <f t="shared" ca="1" si="137"/>
        <v>0</v>
      </c>
      <c r="L406" s="13">
        <f t="shared" ca="1" si="138"/>
        <v>539</v>
      </c>
      <c r="M406" s="7">
        <f t="shared" ca="1" si="139"/>
        <v>461</v>
      </c>
      <c r="N406" s="26">
        <f t="shared" ca="1" si="140"/>
        <v>2</v>
      </c>
      <c r="O406" s="44">
        <f t="shared" ca="1" si="141"/>
        <v>1.5762319669595739</v>
      </c>
      <c r="P406" s="44">
        <f t="shared" ca="1" si="142"/>
        <v>15.762319669595739</v>
      </c>
      <c r="Q406" s="44">
        <f t="shared" ca="1" si="143"/>
        <v>15.762319669595739</v>
      </c>
      <c r="R406" s="44">
        <f t="shared" ca="1" si="144"/>
        <v>1.5762319669595739</v>
      </c>
      <c r="S406" s="44">
        <f t="shared" ca="1" si="145"/>
        <v>1.5762319669595737</v>
      </c>
      <c r="T406" s="4">
        <f t="shared" ca="1" si="146"/>
        <v>0</v>
      </c>
      <c r="U406" s="120">
        <f t="shared" ca="1" si="147"/>
        <v>1462.885248288175</v>
      </c>
      <c r="V406" s="4">
        <f t="shared" ca="1" si="148"/>
        <v>0</v>
      </c>
      <c r="W406" s="13">
        <f t="shared" ca="1" si="149"/>
        <v>31610.106000000003</v>
      </c>
      <c r="X406" s="4">
        <f t="shared" ca="1" si="150"/>
        <v>0</v>
      </c>
      <c r="Y406" s="4">
        <f t="shared" si="151"/>
        <v>0</v>
      </c>
      <c r="Z406" s="13">
        <f t="shared" ca="1" si="152"/>
        <v>31610.106000000003</v>
      </c>
      <c r="AA406" s="4">
        <f t="shared" ca="1" si="153"/>
        <v>0</v>
      </c>
      <c r="AE406" s="4"/>
    </row>
    <row r="407" spans="1:31">
      <c r="A407">
        <v>3</v>
      </c>
      <c r="B407">
        <v>0</v>
      </c>
      <c r="C407">
        <f t="shared" ca="1" si="132"/>
        <v>4</v>
      </c>
      <c r="D407">
        <f t="shared" ca="1" si="133"/>
        <v>3</v>
      </c>
      <c r="E407">
        <f t="shared" ca="1" si="134"/>
        <v>3</v>
      </c>
      <c r="F407" s="110">
        <f t="shared" ca="1" si="135"/>
        <v>0</v>
      </c>
      <c r="G407">
        <v>1</v>
      </c>
      <c r="H407">
        <v>1</v>
      </c>
      <c r="I407">
        <v>2</v>
      </c>
      <c r="J407" s="1">
        <f t="shared" ca="1" si="136"/>
        <v>0</v>
      </c>
      <c r="K407" s="1">
        <f t="shared" ca="1" si="137"/>
        <v>0</v>
      </c>
      <c r="L407" s="13">
        <f t="shared" ca="1" si="138"/>
        <v>520</v>
      </c>
      <c r="M407" s="7">
        <f t="shared" ca="1" si="139"/>
        <v>480</v>
      </c>
      <c r="N407" s="26">
        <f t="shared" ca="1" si="140"/>
        <v>2</v>
      </c>
      <c r="O407" s="44">
        <f t="shared" ca="1" si="141"/>
        <v>1.5762319669595739</v>
      </c>
      <c r="P407" s="44">
        <f t="shared" ca="1" si="142"/>
        <v>15.762319669595739</v>
      </c>
      <c r="Q407" s="44">
        <f t="shared" ca="1" si="143"/>
        <v>15.762319669595739</v>
      </c>
      <c r="R407" s="44">
        <f t="shared" ca="1" si="144"/>
        <v>1.5762319669595739</v>
      </c>
      <c r="S407" s="44">
        <f t="shared" ca="1" si="145"/>
        <v>1.5762319669595737</v>
      </c>
      <c r="T407" s="4">
        <f t="shared" ca="1" si="146"/>
        <v>0</v>
      </c>
      <c r="U407" s="120">
        <f t="shared" ca="1" si="147"/>
        <v>1443.885248288175</v>
      </c>
      <c r="V407" s="4">
        <f t="shared" ca="1" si="148"/>
        <v>0</v>
      </c>
      <c r="W407" s="13">
        <f t="shared" ca="1" si="149"/>
        <v>29269.206000000002</v>
      </c>
      <c r="X407" s="4">
        <f t="shared" ca="1" si="150"/>
        <v>0</v>
      </c>
      <c r="Y407" s="4">
        <f t="shared" si="151"/>
        <v>0</v>
      </c>
      <c r="Z407" s="13">
        <f t="shared" ca="1" si="152"/>
        <v>29269.206000000002</v>
      </c>
      <c r="AA407" s="4">
        <f t="shared" ca="1" si="153"/>
        <v>0</v>
      </c>
      <c r="AE407" s="4"/>
    </row>
    <row r="408" spans="1:31">
      <c r="A408">
        <v>3</v>
      </c>
      <c r="B408">
        <v>0</v>
      </c>
      <c r="C408">
        <f t="shared" ca="1" si="132"/>
        <v>4</v>
      </c>
      <c r="D408">
        <f t="shared" ca="1" si="133"/>
        <v>3</v>
      </c>
      <c r="E408">
        <f t="shared" ca="1" si="134"/>
        <v>3</v>
      </c>
      <c r="F408" s="110">
        <f t="shared" ca="1" si="135"/>
        <v>0</v>
      </c>
      <c r="G408">
        <v>1</v>
      </c>
      <c r="H408">
        <v>1</v>
      </c>
      <c r="I408">
        <v>1</v>
      </c>
      <c r="J408" s="1">
        <f t="shared" ca="1" si="136"/>
        <v>0</v>
      </c>
      <c r="K408" s="1">
        <f t="shared" ca="1" si="137"/>
        <v>0</v>
      </c>
      <c r="L408" s="13">
        <f t="shared" ca="1" si="138"/>
        <v>501</v>
      </c>
      <c r="M408" s="7">
        <f t="shared" ca="1" si="139"/>
        <v>499</v>
      </c>
      <c r="N408" s="26">
        <f t="shared" ca="1" si="140"/>
        <v>2</v>
      </c>
      <c r="O408" s="44">
        <f t="shared" ca="1" si="141"/>
        <v>1.5762319669595739</v>
      </c>
      <c r="P408" s="44">
        <f t="shared" ca="1" si="142"/>
        <v>15.762319669595739</v>
      </c>
      <c r="Q408" s="44">
        <f t="shared" ca="1" si="143"/>
        <v>15.762319669595739</v>
      </c>
      <c r="R408" s="44">
        <f t="shared" ca="1" si="144"/>
        <v>1.5762319669595739</v>
      </c>
      <c r="S408" s="44">
        <f t="shared" ca="1" si="145"/>
        <v>1.5762319669595737</v>
      </c>
      <c r="T408" s="4">
        <f t="shared" ca="1" si="146"/>
        <v>0</v>
      </c>
      <c r="U408" s="120">
        <f t="shared" ca="1" si="147"/>
        <v>1424.885248288175</v>
      </c>
      <c r="V408" s="4">
        <f t="shared" ca="1" si="148"/>
        <v>0</v>
      </c>
      <c r="W408" s="13">
        <f t="shared" ca="1" si="149"/>
        <v>26928.306000000004</v>
      </c>
      <c r="X408" s="4">
        <f t="shared" ca="1" si="150"/>
        <v>0</v>
      </c>
      <c r="Y408" s="4">
        <f t="shared" si="151"/>
        <v>0</v>
      </c>
      <c r="Z408" s="13">
        <f t="shared" ca="1" si="152"/>
        <v>26928.306000000004</v>
      </c>
      <c r="AA408" s="4">
        <f t="shared" ca="1" si="153"/>
        <v>0</v>
      </c>
      <c r="AE408" s="4"/>
    </row>
    <row r="409" spans="1:31">
      <c r="A409">
        <v>3</v>
      </c>
      <c r="B409">
        <v>0</v>
      </c>
      <c r="C409">
        <f t="shared" ca="1" si="132"/>
        <v>4</v>
      </c>
      <c r="D409">
        <f t="shared" ca="1" si="133"/>
        <v>3</v>
      </c>
      <c r="E409">
        <f t="shared" ca="1" si="134"/>
        <v>3</v>
      </c>
      <c r="F409" s="110">
        <f t="shared" ca="1" si="135"/>
        <v>0</v>
      </c>
      <c r="G409">
        <v>1</v>
      </c>
      <c r="H409">
        <v>1</v>
      </c>
      <c r="I409">
        <v>0</v>
      </c>
      <c r="J409" s="1">
        <f t="shared" ca="1" si="136"/>
        <v>0</v>
      </c>
      <c r="K409" s="1">
        <f t="shared" ca="1" si="137"/>
        <v>0</v>
      </c>
      <c r="L409" s="13">
        <f t="shared" ca="1" si="138"/>
        <v>482</v>
      </c>
      <c r="M409" s="7">
        <f t="shared" ca="1" si="139"/>
        <v>518</v>
      </c>
      <c r="N409" s="26">
        <f t="shared" ca="1" si="140"/>
        <v>2</v>
      </c>
      <c r="O409" s="44">
        <f t="shared" ca="1" si="141"/>
        <v>1.5762319669595739</v>
      </c>
      <c r="P409" s="44">
        <f t="shared" ca="1" si="142"/>
        <v>15.762319669595739</v>
      </c>
      <c r="Q409" s="44">
        <f t="shared" ca="1" si="143"/>
        <v>15.762319669595739</v>
      </c>
      <c r="R409" s="44">
        <f t="shared" ca="1" si="144"/>
        <v>1.5762319669595739</v>
      </c>
      <c r="S409" s="44">
        <f t="shared" ca="1" si="145"/>
        <v>1.5762319669595737</v>
      </c>
      <c r="T409" s="4">
        <f t="shared" ca="1" si="146"/>
        <v>0</v>
      </c>
      <c r="U409" s="120">
        <f t="shared" ca="1" si="147"/>
        <v>1405.885248288175</v>
      </c>
      <c r="V409" s="4">
        <f t="shared" ca="1" si="148"/>
        <v>0</v>
      </c>
      <c r="W409" s="13">
        <f t="shared" ca="1" si="149"/>
        <v>24587.406000000003</v>
      </c>
      <c r="X409" s="4">
        <f t="shared" ca="1" si="150"/>
        <v>0</v>
      </c>
      <c r="Y409" s="4">
        <f t="shared" si="151"/>
        <v>0</v>
      </c>
      <c r="Z409" s="13">
        <f t="shared" ca="1" si="152"/>
        <v>24587.406000000003</v>
      </c>
      <c r="AA409" s="4">
        <f t="shared" ca="1" si="153"/>
        <v>0</v>
      </c>
      <c r="AE409" s="4"/>
    </row>
    <row r="410" spans="1:31">
      <c r="A410">
        <v>3</v>
      </c>
      <c r="B410">
        <v>0</v>
      </c>
      <c r="C410">
        <f t="shared" ca="1" si="132"/>
        <v>4</v>
      </c>
      <c r="D410">
        <f t="shared" ca="1" si="133"/>
        <v>3</v>
      </c>
      <c r="E410">
        <f t="shared" ca="1" si="134"/>
        <v>3</v>
      </c>
      <c r="F410" s="110">
        <f t="shared" ca="1" si="135"/>
        <v>0</v>
      </c>
      <c r="G410">
        <v>1</v>
      </c>
      <c r="H410">
        <v>0</v>
      </c>
      <c r="I410">
        <v>7</v>
      </c>
      <c r="J410" s="1">
        <f t="shared" ca="1" si="136"/>
        <v>0</v>
      </c>
      <c r="K410" s="1">
        <f t="shared" ca="1" si="137"/>
        <v>0</v>
      </c>
      <c r="L410" s="13">
        <f t="shared" ca="1" si="138"/>
        <v>374</v>
      </c>
      <c r="M410" s="7">
        <f t="shared" ca="1" si="139"/>
        <v>626</v>
      </c>
      <c r="N410" s="26">
        <f t="shared" ca="1" si="140"/>
        <v>3</v>
      </c>
      <c r="O410" s="44">
        <f t="shared" ca="1" si="141"/>
        <v>2.2442427272544552</v>
      </c>
      <c r="P410" s="44">
        <f t="shared" ca="1" si="142"/>
        <v>22.442427272544553</v>
      </c>
      <c r="Q410" s="44">
        <f t="shared" ca="1" si="143"/>
        <v>22.442427272544553</v>
      </c>
      <c r="R410" s="44">
        <f t="shared" ca="1" si="144"/>
        <v>2.2442427272544552</v>
      </c>
      <c r="S410" s="44">
        <f t="shared" ca="1" si="145"/>
        <v>2.2442427272544552</v>
      </c>
      <c r="T410" s="4">
        <f t="shared" ca="1" si="146"/>
        <v>0</v>
      </c>
      <c r="U410" s="120">
        <f t="shared" ca="1" si="147"/>
        <v>1594.901337549361</v>
      </c>
      <c r="V410" s="4">
        <f t="shared" ca="1" si="148"/>
        <v>0</v>
      </c>
      <c r="W410" s="13">
        <f t="shared" ca="1" si="149"/>
        <v>40973.706000000006</v>
      </c>
      <c r="X410" s="4">
        <f t="shared" ca="1" si="150"/>
        <v>0</v>
      </c>
      <c r="Y410" s="4">
        <f t="shared" si="151"/>
        <v>0</v>
      </c>
      <c r="Z410" s="13">
        <f t="shared" ca="1" si="152"/>
        <v>40973.706000000006</v>
      </c>
      <c r="AA410" s="4">
        <f t="shared" ca="1" si="153"/>
        <v>0</v>
      </c>
      <c r="AE410" s="4"/>
    </row>
    <row r="411" spans="1:31">
      <c r="A411">
        <v>3</v>
      </c>
      <c r="B411">
        <v>0</v>
      </c>
      <c r="C411">
        <f t="shared" ca="1" si="132"/>
        <v>4</v>
      </c>
      <c r="D411">
        <f t="shared" ca="1" si="133"/>
        <v>3</v>
      </c>
      <c r="E411">
        <f t="shared" ca="1" si="134"/>
        <v>3</v>
      </c>
      <c r="F411" s="110">
        <f t="shared" ca="1" si="135"/>
        <v>0</v>
      </c>
      <c r="G411">
        <v>1</v>
      </c>
      <c r="H411">
        <v>0</v>
      </c>
      <c r="I411">
        <v>6</v>
      </c>
      <c r="J411" s="1">
        <f t="shared" ca="1" si="136"/>
        <v>0</v>
      </c>
      <c r="K411" s="1">
        <f t="shared" ca="1" si="137"/>
        <v>0</v>
      </c>
      <c r="L411" s="13">
        <f t="shared" ca="1" si="138"/>
        <v>355</v>
      </c>
      <c r="M411" s="7">
        <f t="shared" ca="1" si="139"/>
        <v>645</v>
      </c>
      <c r="N411" s="26">
        <f t="shared" ca="1" si="140"/>
        <v>3</v>
      </c>
      <c r="O411" s="44">
        <f t="shared" ca="1" si="141"/>
        <v>2.2442427272544552</v>
      </c>
      <c r="P411" s="44">
        <f t="shared" ca="1" si="142"/>
        <v>22.442427272544553</v>
      </c>
      <c r="Q411" s="44">
        <f t="shared" ca="1" si="143"/>
        <v>22.442427272544553</v>
      </c>
      <c r="R411" s="44">
        <f t="shared" ca="1" si="144"/>
        <v>2.2442427272544552</v>
      </c>
      <c r="S411" s="44">
        <f t="shared" ca="1" si="145"/>
        <v>2.2442427272544552</v>
      </c>
      <c r="T411" s="4">
        <f t="shared" ca="1" si="146"/>
        <v>0</v>
      </c>
      <c r="U411" s="120">
        <f t="shared" ca="1" si="147"/>
        <v>1575.901337549361</v>
      </c>
      <c r="V411" s="4">
        <f t="shared" ca="1" si="148"/>
        <v>0</v>
      </c>
      <c r="W411" s="13">
        <f t="shared" ca="1" si="149"/>
        <v>38632.806000000004</v>
      </c>
      <c r="X411" s="4">
        <f t="shared" ca="1" si="150"/>
        <v>0</v>
      </c>
      <c r="Y411" s="4">
        <f t="shared" si="151"/>
        <v>0</v>
      </c>
      <c r="Z411" s="13">
        <f t="shared" ca="1" si="152"/>
        <v>38632.806000000004</v>
      </c>
      <c r="AA411" s="4">
        <f t="shared" ca="1" si="153"/>
        <v>0</v>
      </c>
      <c r="AE411" s="4"/>
    </row>
    <row r="412" spans="1:31">
      <c r="A412">
        <v>3</v>
      </c>
      <c r="B412">
        <v>0</v>
      </c>
      <c r="C412">
        <f t="shared" ca="1" si="132"/>
        <v>4</v>
      </c>
      <c r="D412">
        <f t="shared" ca="1" si="133"/>
        <v>3</v>
      </c>
      <c r="E412">
        <f t="shared" ca="1" si="134"/>
        <v>3</v>
      </c>
      <c r="F412" s="110">
        <f t="shared" ca="1" si="135"/>
        <v>0</v>
      </c>
      <c r="G412">
        <v>1</v>
      </c>
      <c r="H412">
        <v>0</v>
      </c>
      <c r="I412">
        <v>5</v>
      </c>
      <c r="J412" s="1">
        <f t="shared" ca="1" si="136"/>
        <v>0</v>
      </c>
      <c r="K412" s="1">
        <f t="shared" ca="1" si="137"/>
        <v>0</v>
      </c>
      <c r="L412" s="13">
        <f t="shared" ca="1" si="138"/>
        <v>336</v>
      </c>
      <c r="M412" s="7">
        <f t="shared" ca="1" si="139"/>
        <v>664</v>
      </c>
      <c r="N412" s="26">
        <f t="shared" ca="1" si="140"/>
        <v>3</v>
      </c>
      <c r="O412" s="44">
        <f t="shared" ca="1" si="141"/>
        <v>2.2442427272544552</v>
      </c>
      <c r="P412" s="44">
        <f t="shared" ca="1" si="142"/>
        <v>22.442427272544553</v>
      </c>
      <c r="Q412" s="44">
        <f t="shared" ca="1" si="143"/>
        <v>22.442427272544553</v>
      </c>
      <c r="R412" s="44">
        <f t="shared" ca="1" si="144"/>
        <v>2.2442427272544552</v>
      </c>
      <c r="S412" s="44">
        <f t="shared" ca="1" si="145"/>
        <v>2.2442427272544552</v>
      </c>
      <c r="T412" s="4">
        <f t="shared" ca="1" si="146"/>
        <v>0</v>
      </c>
      <c r="U412" s="120">
        <f t="shared" ca="1" si="147"/>
        <v>1556.901337549361</v>
      </c>
      <c r="V412" s="4">
        <f t="shared" ca="1" si="148"/>
        <v>0</v>
      </c>
      <c r="W412" s="13">
        <f t="shared" ca="1" si="149"/>
        <v>36291.906000000003</v>
      </c>
      <c r="X412" s="4">
        <f t="shared" ca="1" si="150"/>
        <v>0</v>
      </c>
      <c r="Y412" s="4">
        <f t="shared" si="151"/>
        <v>0</v>
      </c>
      <c r="Z412" s="13">
        <f t="shared" ca="1" si="152"/>
        <v>36291.906000000003</v>
      </c>
      <c r="AA412" s="4">
        <f t="shared" ca="1" si="153"/>
        <v>0</v>
      </c>
      <c r="AE412" s="4"/>
    </row>
    <row r="413" spans="1:31">
      <c r="A413">
        <v>3</v>
      </c>
      <c r="B413">
        <v>0</v>
      </c>
      <c r="C413">
        <f t="shared" ca="1" si="132"/>
        <v>4</v>
      </c>
      <c r="D413">
        <f t="shared" ca="1" si="133"/>
        <v>3</v>
      </c>
      <c r="E413">
        <f t="shared" ca="1" si="134"/>
        <v>3</v>
      </c>
      <c r="F413" s="110">
        <f t="shared" ca="1" si="135"/>
        <v>0</v>
      </c>
      <c r="G413">
        <v>1</v>
      </c>
      <c r="H413">
        <v>0</v>
      </c>
      <c r="I413">
        <v>4</v>
      </c>
      <c r="J413" s="1">
        <f t="shared" ca="1" si="136"/>
        <v>0</v>
      </c>
      <c r="K413" s="1">
        <f t="shared" ca="1" si="137"/>
        <v>0</v>
      </c>
      <c r="L413" s="13">
        <f t="shared" ca="1" si="138"/>
        <v>317</v>
      </c>
      <c r="M413" s="7">
        <f t="shared" ca="1" si="139"/>
        <v>683</v>
      </c>
      <c r="N413" s="26">
        <f t="shared" ca="1" si="140"/>
        <v>3</v>
      </c>
      <c r="O413" s="44">
        <f t="shared" ca="1" si="141"/>
        <v>2.2442427272544552</v>
      </c>
      <c r="P413" s="44">
        <f t="shared" ca="1" si="142"/>
        <v>22.442427272544553</v>
      </c>
      <c r="Q413" s="44">
        <f t="shared" ca="1" si="143"/>
        <v>22.442427272544553</v>
      </c>
      <c r="R413" s="44">
        <f t="shared" ca="1" si="144"/>
        <v>2.2442427272544552</v>
      </c>
      <c r="S413" s="44">
        <f t="shared" ca="1" si="145"/>
        <v>2.2442427272544552</v>
      </c>
      <c r="T413" s="4">
        <f t="shared" ca="1" si="146"/>
        <v>0</v>
      </c>
      <c r="U413" s="120">
        <f t="shared" ca="1" si="147"/>
        <v>1537.901337549361</v>
      </c>
      <c r="V413" s="4">
        <f t="shared" ca="1" si="148"/>
        <v>0</v>
      </c>
      <c r="W413" s="13">
        <f t="shared" ca="1" si="149"/>
        <v>33951.006000000001</v>
      </c>
      <c r="X413" s="4">
        <f t="shared" ca="1" si="150"/>
        <v>0</v>
      </c>
      <c r="Y413" s="4">
        <f t="shared" si="151"/>
        <v>0</v>
      </c>
      <c r="Z413" s="13">
        <f t="shared" ca="1" si="152"/>
        <v>33951.006000000001</v>
      </c>
      <c r="AA413" s="4">
        <f t="shared" ca="1" si="153"/>
        <v>0</v>
      </c>
      <c r="AE413" s="4"/>
    </row>
    <row r="414" spans="1:31">
      <c r="A414">
        <v>3</v>
      </c>
      <c r="B414">
        <v>0</v>
      </c>
      <c r="C414">
        <f t="shared" ca="1" si="132"/>
        <v>4</v>
      </c>
      <c r="D414">
        <f t="shared" ca="1" si="133"/>
        <v>3</v>
      </c>
      <c r="E414">
        <f t="shared" ca="1" si="134"/>
        <v>3</v>
      </c>
      <c r="F414" s="110">
        <f t="shared" ca="1" si="135"/>
        <v>0</v>
      </c>
      <c r="G414">
        <v>1</v>
      </c>
      <c r="H414">
        <v>0</v>
      </c>
      <c r="I414">
        <v>3</v>
      </c>
      <c r="J414" s="1">
        <f t="shared" ca="1" si="136"/>
        <v>0.63642578124999993</v>
      </c>
      <c r="K414" s="1">
        <f t="shared" ca="1" si="137"/>
        <v>0</v>
      </c>
      <c r="L414" s="13">
        <f t="shared" ca="1" si="138"/>
        <v>298</v>
      </c>
      <c r="M414" s="7">
        <f t="shared" ca="1" si="139"/>
        <v>702</v>
      </c>
      <c r="N414" s="26">
        <f t="shared" ca="1" si="140"/>
        <v>3</v>
      </c>
      <c r="O414" s="44">
        <f t="shared" ca="1" si="141"/>
        <v>2.2442427272544552</v>
      </c>
      <c r="P414" s="44">
        <f t="shared" ca="1" si="142"/>
        <v>22.442427272544553</v>
      </c>
      <c r="Q414" s="44">
        <f t="shared" ca="1" si="143"/>
        <v>22.442427272544553</v>
      </c>
      <c r="R414" s="44">
        <f t="shared" ca="1" si="144"/>
        <v>2.2442427272544552</v>
      </c>
      <c r="S414" s="44">
        <f t="shared" ca="1" si="145"/>
        <v>2.2442427272544552</v>
      </c>
      <c r="T414" s="4">
        <f t="shared" ca="1" si="146"/>
        <v>0</v>
      </c>
      <c r="U414" s="120">
        <f t="shared" ca="1" si="147"/>
        <v>1518.901337549361</v>
      </c>
      <c r="V414" s="4">
        <f t="shared" ca="1" si="148"/>
        <v>0</v>
      </c>
      <c r="W414" s="13">
        <f t="shared" ca="1" si="149"/>
        <v>31610.106000000003</v>
      </c>
      <c r="X414" s="4">
        <f t="shared" ca="1" si="150"/>
        <v>0</v>
      </c>
      <c r="Y414" s="4">
        <f t="shared" si="151"/>
        <v>0</v>
      </c>
      <c r="Z414" s="13">
        <f t="shared" ca="1" si="152"/>
        <v>31610.106000000003</v>
      </c>
      <c r="AA414" s="4">
        <f t="shared" ca="1" si="153"/>
        <v>0</v>
      </c>
      <c r="AE414" s="4"/>
    </row>
    <row r="415" spans="1:31">
      <c r="A415">
        <v>3</v>
      </c>
      <c r="B415">
        <v>0</v>
      </c>
      <c r="C415">
        <f t="shared" ca="1" si="132"/>
        <v>4</v>
      </c>
      <c r="D415">
        <f t="shared" ca="1" si="133"/>
        <v>3</v>
      </c>
      <c r="E415">
        <f t="shared" ca="1" si="134"/>
        <v>3</v>
      </c>
      <c r="F415" s="110">
        <f t="shared" ca="1" si="135"/>
        <v>0</v>
      </c>
      <c r="G415">
        <v>1</v>
      </c>
      <c r="H415">
        <v>0</v>
      </c>
      <c r="I415">
        <v>2</v>
      </c>
      <c r="J415" s="1">
        <f t="shared" ca="1" si="136"/>
        <v>0.27275390625000001</v>
      </c>
      <c r="K415" s="1">
        <f t="shared" ca="1" si="137"/>
        <v>0</v>
      </c>
      <c r="L415" s="13">
        <f t="shared" ca="1" si="138"/>
        <v>279</v>
      </c>
      <c r="M415" s="7">
        <f t="shared" ca="1" si="139"/>
        <v>721</v>
      </c>
      <c r="N415" s="26">
        <f t="shared" ca="1" si="140"/>
        <v>3</v>
      </c>
      <c r="O415" s="44">
        <f t="shared" ca="1" si="141"/>
        <v>2.2442427272544552</v>
      </c>
      <c r="P415" s="44">
        <f t="shared" ca="1" si="142"/>
        <v>22.442427272544553</v>
      </c>
      <c r="Q415" s="44">
        <f t="shared" ca="1" si="143"/>
        <v>22.442427272544553</v>
      </c>
      <c r="R415" s="44">
        <f t="shared" ca="1" si="144"/>
        <v>2.2442427272544552</v>
      </c>
      <c r="S415" s="44">
        <f t="shared" ca="1" si="145"/>
        <v>2.2442427272544552</v>
      </c>
      <c r="T415" s="4">
        <f t="shared" ca="1" si="146"/>
        <v>0</v>
      </c>
      <c r="U415" s="120">
        <f t="shared" ca="1" si="147"/>
        <v>1499.901337549361</v>
      </c>
      <c r="V415" s="4">
        <f t="shared" ca="1" si="148"/>
        <v>0</v>
      </c>
      <c r="W415" s="13">
        <f t="shared" ca="1" si="149"/>
        <v>29269.206000000002</v>
      </c>
      <c r="X415" s="4">
        <f t="shared" ca="1" si="150"/>
        <v>0</v>
      </c>
      <c r="Y415" s="4">
        <f t="shared" si="151"/>
        <v>0</v>
      </c>
      <c r="Z415" s="13">
        <f t="shared" ca="1" si="152"/>
        <v>29269.206000000002</v>
      </c>
      <c r="AA415" s="4">
        <f t="shared" ca="1" si="153"/>
        <v>0</v>
      </c>
      <c r="AE415" s="4"/>
    </row>
    <row r="416" spans="1:31">
      <c r="A416">
        <v>3</v>
      </c>
      <c r="B416">
        <v>0</v>
      </c>
      <c r="C416">
        <f t="shared" ca="1" si="132"/>
        <v>4</v>
      </c>
      <c r="D416">
        <f t="shared" ca="1" si="133"/>
        <v>3</v>
      </c>
      <c r="E416">
        <f t="shared" ca="1" si="134"/>
        <v>3</v>
      </c>
      <c r="F416" s="110">
        <f t="shared" ca="1" si="135"/>
        <v>0</v>
      </c>
      <c r="G416">
        <v>1</v>
      </c>
      <c r="H416">
        <v>0</v>
      </c>
      <c r="I416">
        <v>1</v>
      </c>
      <c r="J416" s="1">
        <f t="shared" ca="1" si="136"/>
        <v>3.8964843749999999E-2</v>
      </c>
      <c r="K416" s="1">
        <f t="shared" ca="1" si="137"/>
        <v>0</v>
      </c>
      <c r="L416" s="13">
        <f t="shared" ca="1" si="138"/>
        <v>260</v>
      </c>
      <c r="M416" s="7">
        <f t="shared" ca="1" si="139"/>
        <v>740</v>
      </c>
      <c r="N416" s="26">
        <f t="shared" ca="1" si="140"/>
        <v>3</v>
      </c>
      <c r="O416" s="44">
        <f t="shared" ca="1" si="141"/>
        <v>2.2442427272544552</v>
      </c>
      <c r="P416" s="44">
        <f t="shared" ca="1" si="142"/>
        <v>22.442427272544553</v>
      </c>
      <c r="Q416" s="44">
        <f t="shared" ca="1" si="143"/>
        <v>22.442427272544553</v>
      </c>
      <c r="R416" s="44">
        <f t="shared" ca="1" si="144"/>
        <v>2.2442427272544552</v>
      </c>
      <c r="S416" s="44">
        <f t="shared" ca="1" si="145"/>
        <v>2.2442427272544552</v>
      </c>
      <c r="T416" s="4">
        <f t="shared" ca="1" si="146"/>
        <v>0</v>
      </c>
      <c r="U416" s="120">
        <f t="shared" ca="1" si="147"/>
        <v>1480.901337549361</v>
      </c>
      <c r="V416" s="4">
        <f t="shared" ca="1" si="148"/>
        <v>0</v>
      </c>
      <c r="W416" s="13">
        <f t="shared" ca="1" si="149"/>
        <v>26928.306000000004</v>
      </c>
      <c r="X416" s="4">
        <f t="shared" ca="1" si="150"/>
        <v>0</v>
      </c>
      <c r="Y416" s="4">
        <f t="shared" si="151"/>
        <v>0</v>
      </c>
      <c r="Z416" s="13">
        <f t="shared" ca="1" si="152"/>
        <v>26928.306000000004</v>
      </c>
      <c r="AA416" s="4">
        <f t="shared" ca="1" si="153"/>
        <v>0</v>
      </c>
      <c r="AE416" s="4"/>
    </row>
    <row r="417" spans="1:31">
      <c r="A417">
        <v>3</v>
      </c>
      <c r="B417">
        <v>0</v>
      </c>
      <c r="C417">
        <f t="shared" ca="1" si="132"/>
        <v>4</v>
      </c>
      <c r="D417">
        <f t="shared" ca="1" si="133"/>
        <v>3</v>
      </c>
      <c r="E417">
        <f t="shared" ca="1" si="134"/>
        <v>3</v>
      </c>
      <c r="F417" s="110">
        <f t="shared" ca="1" si="135"/>
        <v>0</v>
      </c>
      <c r="G417">
        <v>1</v>
      </c>
      <c r="H417">
        <v>0</v>
      </c>
      <c r="I417">
        <v>0</v>
      </c>
      <c r="J417" s="1">
        <f t="shared" ca="1" si="136"/>
        <v>1.8554687499999999E-3</v>
      </c>
      <c r="K417" s="1">
        <f t="shared" ca="1" si="137"/>
        <v>0</v>
      </c>
      <c r="L417" s="13">
        <f t="shared" ca="1" si="138"/>
        <v>241</v>
      </c>
      <c r="M417" s="7">
        <f t="shared" ca="1" si="139"/>
        <v>759</v>
      </c>
      <c r="N417" s="26">
        <f t="shared" ca="1" si="140"/>
        <v>3</v>
      </c>
      <c r="O417" s="44">
        <f t="shared" ca="1" si="141"/>
        <v>2.2442427272544552</v>
      </c>
      <c r="P417" s="44">
        <f t="shared" ca="1" si="142"/>
        <v>22.442427272544553</v>
      </c>
      <c r="Q417" s="44">
        <f t="shared" ca="1" si="143"/>
        <v>22.442427272544553</v>
      </c>
      <c r="R417" s="44">
        <f t="shared" ca="1" si="144"/>
        <v>2.2442427272544552</v>
      </c>
      <c r="S417" s="44">
        <f t="shared" ca="1" si="145"/>
        <v>2.2442427272544552</v>
      </c>
      <c r="T417" s="4">
        <f t="shared" ca="1" si="146"/>
        <v>0</v>
      </c>
      <c r="U417" s="120">
        <f t="shared" ca="1" si="147"/>
        <v>1461.901337549361</v>
      </c>
      <c r="V417" s="4">
        <f t="shared" ca="1" si="148"/>
        <v>0</v>
      </c>
      <c r="W417" s="13">
        <f t="shared" ca="1" si="149"/>
        <v>24587.406000000003</v>
      </c>
      <c r="X417" s="4">
        <f t="shared" ca="1" si="150"/>
        <v>0</v>
      </c>
      <c r="Y417" s="4">
        <f t="shared" si="151"/>
        <v>0</v>
      </c>
      <c r="Z417" s="13">
        <f t="shared" ca="1" si="152"/>
        <v>24587.406000000003</v>
      </c>
      <c r="AA417" s="4">
        <f t="shared" ca="1" si="153"/>
        <v>0</v>
      </c>
      <c r="AE417" s="4"/>
    </row>
    <row r="418" spans="1:31">
      <c r="A418">
        <v>3</v>
      </c>
      <c r="B418">
        <v>0</v>
      </c>
      <c r="C418">
        <f t="shared" ca="1" si="132"/>
        <v>4</v>
      </c>
      <c r="D418">
        <f t="shared" ca="1" si="133"/>
        <v>3</v>
      </c>
      <c r="E418">
        <f t="shared" ca="1" si="134"/>
        <v>3</v>
      </c>
      <c r="F418" s="110">
        <f t="shared" ca="1" si="135"/>
        <v>0</v>
      </c>
      <c r="G418">
        <v>0</v>
      </c>
      <c r="H418">
        <v>1</v>
      </c>
      <c r="I418">
        <v>7</v>
      </c>
      <c r="J418" s="1">
        <f t="shared" ca="1" si="136"/>
        <v>0</v>
      </c>
      <c r="K418" s="1">
        <f t="shared" ca="1" si="137"/>
        <v>0</v>
      </c>
      <c r="L418" s="13">
        <f t="shared" ca="1" si="138"/>
        <v>374</v>
      </c>
      <c r="M418" s="7">
        <f t="shared" ca="1" si="139"/>
        <v>626</v>
      </c>
      <c r="N418" s="26">
        <f t="shared" ca="1" si="140"/>
        <v>3</v>
      </c>
      <c r="O418" s="44">
        <f t="shared" ca="1" si="141"/>
        <v>2.2442427272544552</v>
      </c>
      <c r="P418" s="44">
        <f t="shared" ca="1" si="142"/>
        <v>22.442427272544553</v>
      </c>
      <c r="Q418" s="44">
        <f t="shared" ca="1" si="143"/>
        <v>22.442427272544553</v>
      </c>
      <c r="R418" s="44">
        <f t="shared" ca="1" si="144"/>
        <v>2.2442427272544552</v>
      </c>
      <c r="S418" s="44">
        <f t="shared" ca="1" si="145"/>
        <v>2.2442427272544552</v>
      </c>
      <c r="T418" s="4">
        <f t="shared" ca="1" si="146"/>
        <v>0</v>
      </c>
      <c r="U418" s="120">
        <f t="shared" ca="1" si="147"/>
        <v>1594.901337549361</v>
      </c>
      <c r="V418" s="4">
        <f t="shared" ca="1" si="148"/>
        <v>0</v>
      </c>
      <c r="W418" s="13">
        <f t="shared" ca="1" si="149"/>
        <v>16386.3</v>
      </c>
      <c r="X418" s="4">
        <f t="shared" ca="1" si="150"/>
        <v>0</v>
      </c>
      <c r="Y418" s="4">
        <f t="shared" si="151"/>
        <v>0</v>
      </c>
      <c r="Z418" s="13">
        <f t="shared" ca="1" si="152"/>
        <v>16386.3</v>
      </c>
      <c r="AA418" s="4">
        <f t="shared" ca="1" si="153"/>
        <v>0</v>
      </c>
      <c r="AE418" s="4"/>
    </row>
    <row r="419" spans="1:31">
      <c r="A419">
        <v>3</v>
      </c>
      <c r="B419">
        <v>0</v>
      </c>
      <c r="C419">
        <f t="shared" ca="1" si="132"/>
        <v>4</v>
      </c>
      <c r="D419">
        <f t="shared" ca="1" si="133"/>
        <v>3</v>
      </c>
      <c r="E419">
        <f t="shared" ca="1" si="134"/>
        <v>3</v>
      </c>
      <c r="F419" s="110">
        <f t="shared" ca="1" si="135"/>
        <v>0</v>
      </c>
      <c r="G419">
        <v>0</v>
      </c>
      <c r="H419">
        <v>1</v>
      </c>
      <c r="I419">
        <v>6</v>
      </c>
      <c r="J419" s="1">
        <f t="shared" ca="1" si="136"/>
        <v>0</v>
      </c>
      <c r="K419" s="1">
        <f t="shared" ca="1" si="137"/>
        <v>0</v>
      </c>
      <c r="L419" s="13">
        <f t="shared" ca="1" si="138"/>
        <v>355</v>
      </c>
      <c r="M419" s="7">
        <f t="shared" ca="1" si="139"/>
        <v>645</v>
      </c>
      <c r="N419" s="26">
        <f t="shared" ca="1" si="140"/>
        <v>3</v>
      </c>
      <c r="O419" s="44">
        <f t="shared" ca="1" si="141"/>
        <v>2.2442427272544552</v>
      </c>
      <c r="P419" s="44">
        <f t="shared" ca="1" si="142"/>
        <v>22.442427272544553</v>
      </c>
      <c r="Q419" s="44">
        <f t="shared" ca="1" si="143"/>
        <v>22.442427272544553</v>
      </c>
      <c r="R419" s="44">
        <f t="shared" ca="1" si="144"/>
        <v>2.2442427272544552</v>
      </c>
      <c r="S419" s="44">
        <f t="shared" ca="1" si="145"/>
        <v>2.2442427272544552</v>
      </c>
      <c r="T419" s="4">
        <f t="shared" ca="1" si="146"/>
        <v>0</v>
      </c>
      <c r="U419" s="120">
        <f t="shared" ca="1" si="147"/>
        <v>1575.901337549361</v>
      </c>
      <c r="V419" s="4">
        <f t="shared" ca="1" si="148"/>
        <v>0</v>
      </c>
      <c r="W419" s="13">
        <f t="shared" ca="1" si="149"/>
        <v>14045.400000000001</v>
      </c>
      <c r="X419" s="4">
        <f t="shared" ca="1" si="150"/>
        <v>0</v>
      </c>
      <c r="Y419" s="4">
        <f t="shared" si="151"/>
        <v>0</v>
      </c>
      <c r="Z419" s="13">
        <f t="shared" ca="1" si="152"/>
        <v>14045.400000000001</v>
      </c>
      <c r="AA419" s="4">
        <f t="shared" ca="1" si="153"/>
        <v>0</v>
      </c>
      <c r="AE419" s="4"/>
    </row>
    <row r="420" spans="1:31">
      <c r="A420">
        <v>3</v>
      </c>
      <c r="B420">
        <v>0</v>
      </c>
      <c r="C420">
        <f t="shared" ca="1" si="132"/>
        <v>4</v>
      </c>
      <c r="D420">
        <f t="shared" ca="1" si="133"/>
        <v>3</v>
      </c>
      <c r="E420">
        <f t="shared" ca="1" si="134"/>
        <v>3</v>
      </c>
      <c r="F420" s="110">
        <f t="shared" ca="1" si="135"/>
        <v>0</v>
      </c>
      <c r="G420">
        <v>0</v>
      </c>
      <c r="H420">
        <v>1</v>
      </c>
      <c r="I420">
        <v>5</v>
      </c>
      <c r="J420" s="1">
        <f t="shared" ca="1" si="136"/>
        <v>0</v>
      </c>
      <c r="K420" s="1">
        <f t="shared" ca="1" si="137"/>
        <v>0</v>
      </c>
      <c r="L420" s="13">
        <f t="shared" ca="1" si="138"/>
        <v>336</v>
      </c>
      <c r="M420" s="7">
        <f t="shared" ca="1" si="139"/>
        <v>664</v>
      </c>
      <c r="N420" s="26">
        <f t="shared" ca="1" si="140"/>
        <v>3</v>
      </c>
      <c r="O420" s="44">
        <f t="shared" ca="1" si="141"/>
        <v>2.2442427272544552</v>
      </c>
      <c r="P420" s="44">
        <f t="shared" ca="1" si="142"/>
        <v>22.442427272544553</v>
      </c>
      <c r="Q420" s="44">
        <f t="shared" ca="1" si="143"/>
        <v>22.442427272544553</v>
      </c>
      <c r="R420" s="44">
        <f t="shared" ca="1" si="144"/>
        <v>2.2442427272544552</v>
      </c>
      <c r="S420" s="44">
        <f t="shared" ca="1" si="145"/>
        <v>2.2442427272544552</v>
      </c>
      <c r="T420" s="4">
        <f t="shared" ca="1" si="146"/>
        <v>0</v>
      </c>
      <c r="U420" s="120">
        <f t="shared" ca="1" si="147"/>
        <v>1556.901337549361</v>
      </c>
      <c r="V420" s="4">
        <f t="shared" ca="1" si="148"/>
        <v>0</v>
      </c>
      <c r="W420" s="13">
        <f t="shared" ca="1" si="149"/>
        <v>11704.5</v>
      </c>
      <c r="X420" s="4">
        <f t="shared" ca="1" si="150"/>
        <v>0</v>
      </c>
      <c r="Y420" s="4">
        <f t="shared" si="151"/>
        <v>0</v>
      </c>
      <c r="Z420" s="13">
        <f t="shared" ca="1" si="152"/>
        <v>11704.5</v>
      </c>
      <c r="AA420" s="4">
        <f t="shared" ca="1" si="153"/>
        <v>0</v>
      </c>
      <c r="AE420" s="4"/>
    </row>
    <row r="421" spans="1:31">
      <c r="A421">
        <v>3</v>
      </c>
      <c r="B421">
        <v>0</v>
      </c>
      <c r="C421">
        <f t="shared" ca="1" si="132"/>
        <v>4</v>
      </c>
      <c r="D421">
        <f t="shared" ca="1" si="133"/>
        <v>3</v>
      </c>
      <c r="E421">
        <f t="shared" ca="1" si="134"/>
        <v>3</v>
      </c>
      <c r="F421" s="110">
        <f t="shared" ca="1" si="135"/>
        <v>0</v>
      </c>
      <c r="G421">
        <v>0</v>
      </c>
      <c r="H421">
        <v>1</v>
      </c>
      <c r="I421">
        <v>4</v>
      </c>
      <c r="J421" s="1">
        <f t="shared" ca="1" si="136"/>
        <v>0</v>
      </c>
      <c r="K421" s="1">
        <f t="shared" ca="1" si="137"/>
        <v>0</v>
      </c>
      <c r="L421" s="13">
        <f t="shared" ca="1" si="138"/>
        <v>317</v>
      </c>
      <c r="M421" s="7">
        <f t="shared" ca="1" si="139"/>
        <v>683</v>
      </c>
      <c r="N421" s="26">
        <f t="shared" ca="1" si="140"/>
        <v>3</v>
      </c>
      <c r="O421" s="44">
        <f t="shared" ca="1" si="141"/>
        <v>2.2442427272544552</v>
      </c>
      <c r="P421" s="44">
        <f t="shared" ca="1" si="142"/>
        <v>22.442427272544553</v>
      </c>
      <c r="Q421" s="44">
        <f t="shared" ca="1" si="143"/>
        <v>22.442427272544553</v>
      </c>
      <c r="R421" s="44">
        <f t="shared" ca="1" si="144"/>
        <v>2.2442427272544552</v>
      </c>
      <c r="S421" s="44">
        <f t="shared" ca="1" si="145"/>
        <v>2.2442427272544552</v>
      </c>
      <c r="T421" s="4">
        <f t="shared" ca="1" si="146"/>
        <v>0</v>
      </c>
      <c r="U421" s="120">
        <f t="shared" ca="1" si="147"/>
        <v>1537.901337549361</v>
      </c>
      <c r="V421" s="4">
        <f t="shared" ca="1" si="148"/>
        <v>0</v>
      </c>
      <c r="W421" s="13">
        <f t="shared" ca="1" si="149"/>
        <v>9363.6</v>
      </c>
      <c r="X421" s="4">
        <f t="shared" ca="1" si="150"/>
        <v>0</v>
      </c>
      <c r="Y421" s="4">
        <f t="shared" si="151"/>
        <v>0</v>
      </c>
      <c r="Z421" s="13">
        <f t="shared" ca="1" si="152"/>
        <v>9363.6</v>
      </c>
      <c r="AA421" s="4">
        <f t="shared" ca="1" si="153"/>
        <v>0</v>
      </c>
      <c r="AE421" s="4"/>
    </row>
    <row r="422" spans="1:31">
      <c r="A422">
        <v>3</v>
      </c>
      <c r="B422">
        <v>0</v>
      </c>
      <c r="C422">
        <f t="shared" ca="1" si="132"/>
        <v>4</v>
      </c>
      <c r="D422">
        <f t="shared" ca="1" si="133"/>
        <v>3</v>
      </c>
      <c r="E422">
        <f t="shared" ca="1" si="134"/>
        <v>3</v>
      </c>
      <c r="F422" s="110">
        <f t="shared" ca="1" si="135"/>
        <v>0</v>
      </c>
      <c r="G422">
        <v>0</v>
      </c>
      <c r="H422">
        <v>1</v>
      </c>
      <c r="I422">
        <v>3</v>
      </c>
      <c r="J422" s="1">
        <f t="shared" ca="1" si="136"/>
        <v>0</v>
      </c>
      <c r="K422" s="1">
        <f t="shared" ca="1" si="137"/>
        <v>0</v>
      </c>
      <c r="L422" s="13">
        <f t="shared" ca="1" si="138"/>
        <v>298</v>
      </c>
      <c r="M422" s="7">
        <f t="shared" ca="1" si="139"/>
        <v>702</v>
      </c>
      <c r="N422" s="26">
        <f t="shared" ca="1" si="140"/>
        <v>3</v>
      </c>
      <c r="O422" s="44">
        <f t="shared" ca="1" si="141"/>
        <v>2.2442427272544552</v>
      </c>
      <c r="P422" s="44">
        <f t="shared" ca="1" si="142"/>
        <v>22.442427272544553</v>
      </c>
      <c r="Q422" s="44">
        <f t="shared" ca="1" si="143"/>
        <v>22.442427272544553</v>
      </c>
      <c r="R422" s="44">
        <f t="shared" ca="1" si="144"/>
        <v>2.2442427272544552</v>
      </c>
      <c r="S422" s="44">
        <f t="shared" ca="1" si="145"/>
        <v>2.2442427272544552</v>
      </c>
      <c r="T422" s="4">
        <f t="shared" ca="1" si="146"/>
        <v>0</v>
      </c>
      <c r="U422" s="120">
        <f t="shared" ca="1" si="147"/>
        <v>1518.901337549361</v>
      </c>
      <c r="V422" s="4">
        <f t="shared" ca="1" si="148"/>
        <v>0</v>
      </c>
      <c r="W422" s="13">
        <f t="shared" ca="1" si="149"/>
        <v>7022.7000000000007</v>
      </c>
      <c r="X422" s="4">
        <f t="shared" ca="1" si="150"/>
        <v>0</v>
      </c>
      <c r="Y422" s="4">
        <f t="shared" si="151"/>
        <v>0</v>
      </c>
      <c r="Z422" s="13">
        <f t="shared" ca="1" si="152"/>
        <v>7022.7000000000007</v>
      </c>
      <c r="AA422" s="4">
        <f t="shared" ca="1" si="153"/>
        <v>0</v>
      </c>
      <c r="AE422" s="4"/>
    </row>
    <row r="423" spans="1:31">
      <c r="A423">
        <v>3</v>
      </c>
      <c r="B423">
        <v>0</v>
      </c>
      <c r="C423">
        <f t="shared" ca="1" si="132"/>
        <v>4</v>
      </c>
      <c r="D423">
        <f t="shared" ca="1" si="133"/>
        <v>3</v>
      </c>
      <c r="E423">
        <f t="shared" ca="1" si="134"/>
        <v>3</v>
      </c>
      <c r="F423" s="110">
        <f t="shared" ca="1" si="135"/>
        <v>0</v>
      </c>
      <c r="G423">
        <v>0</v>
      </c>
      <c r="H423">
        <v>1</v>
      </c>
      <c r="I423">
        <v>2</v>
      </c>
      <c r="J423" s="1">
        <f t="shared" ca="1" si="136"/>
        <v>0</v>
      </c>
      <c r="K423" s="1">
        <f t="shared" ca="1" si="137"/>
        <v>0</v>
      </c>
      <c r="L423" s="13">
        <f t="shared" ca="1" si="138"/>
        <v>279</v>
      </c>
      <c r="M423" s="7">
        <f t="shared" ca="1" si="139"/>
        <v>721</v>
      </c>
      <c r="N423" s="26">
        <f t="shared" ca="1" si="140"/>
        <v>3</v>
      </c>
      <c r="O423" s="44">
        <f t="shared" ca="1" si="141"/>
        <v>2.2442427272544552</v>
      </c>
      <c r="P423" s="44">
        <f t="shared" ca="1" si="142"/>
        <v>22.442427272544553</v>
      </c>
      <c r="Q423" s="44">
        <f t="shared" ca="1" si="143"/>
        <v>22.442427272544553</v>
      </c>
      <c r="R423" s="44">
        <f t="shared" ca="1" si="144"/>
        <v>2.2442427272544552</v>
      </c>
      <c r="S423" s="44">
        <f t="shared" ca="1" si="145"/>
        <v>2.2442427272544552</v>
      </c>
      <c r="T423" s="4">
        <f t="shared" ca="1" si="146"/>
        <v>0</v>
      </c>
      <c r="U423" s="120">
        <f t="shared" ca="1" si="147"/>
        <v>1499.901337549361</v>
      </c>
      <c r="V423" s="4">
        <f t="shared" ca="1" si="148"/>
        <v>0</v>
      </c>
      <c r="W423" s="13">
        <f t="shared" ca="1" si="149"/>
        <v>4681.8</v>
      </c>
      <c r="X423" s="4">
        <f t="shared" ca="1" si="150"/>
        <v>0</v>
      </c>
      <c r="Y423" s="4">
        <f t="shared" si="151"/>
        <v>0</v>
      </c>
      <c r="Z423" s="13">
        <f t="shared" ca="1" si="152"/>
        <v>4681.8</v>
      </c>
      <c r="AA423" s="4">
        <f t="shared" ca="1" si="153"/>
        <v>0</v>
      </c>
      <c r="AE423" s="4"/>
    </row>
    <row r="424" spans="1:31">
      <c r="A424">
        <v>3</v>
      </c>
      <c r="B424">
        <v>0</v>
      </c>
      <c r="C424">
        <f t="shared" ca="1" si="132"/>
        <v>4</v>
      </c>
      <c r="D424">
        <f t="shared" ca="1" si="133"/>
        <v>3</v>
      </c>
      <c r="E424">
        <f t="shared" ca="1" si="134"/>
        <v>3</v>
      </c>
      <c r="F424" s="110">
        <f t="shared" ca="1" si="135"/>
        <v>0</v>
      </c>
      <c r="G424">
        <v>0</v>
      </c>
      <c r="H424">
        <v>1</v>
      </c>
      <c r="I424">
        <v>1</v>
      </c>
      <c r="J424" s="1">
        <f t="shared" ca="1" si="136"/>
        <v>0</v>
      </c>
      <c r="K424" s="1">
        <f t="shared" ca="1" si="137"/>
        <v>0</v>
      </c>
      <c r="L424" s="13">
        <f t="shared" ca="1" si="138"/>
        <v>260</v>
      </c>
      <c r="M424" s="7">
        <f t="shared" ca="1" si="139"/>
        <v>740</v>
      </c>
      <c r="N424" s="26">
        <f t="shared" ca="1" si="140"/>
        <v>3</v>
      </c>
      <c r="O424" s="44">
        <f t="shared" ca="1" si="141"/>
        <v>2.2442427272544552</v>
      </c>
      <c r="P424" s="44">
        <f t="shared" ca="1" si="142"/>
        <v>22.442427272544553</v>
      </c>
      <c r="Q424" s="44">
        <f t="shared" ca="1" si="143"/>
        <v>22.442427272544553</v>
      </c>
      <c r="R424" s="44">
        <f t="shared" ca="1" si="144"/>
        <v>2.2442427272544552</v>
      </c>
      <c r="S424" s="44">
        <f t="shared" ca="1" si="145"/>
        <v>2.2442427272544552</v>
      </c>
      <c r="T424" s="4">
        <f t="shared" ca="1" si="146"/>
        <v>0</v>
      </c>
      <c r="U424" s="120">
        <f t="shared" ca="1" si="147"/>
        <v>1480.901337549361</v>
      </c>
      <c r="V424" s="4">
        <f t="shared" ca="1" si="148"/>
        <v>0</v>
      </c>
      <c r="W424" s="13">
        <f t="shared" ca="1" si="149"/>
        <v>2340.9</v>
      </c>
      <c r="X424" s="4">
        <f t="shared" ca="1" si="150"/>
        <v>0</v>
      </c>
      <c r="Y424" s="4">
        <f t="shared" si="151"/>
        <v>0</v>
      </c>
      <c r="Z424" s="13">
        <f t="shared" ca="1" si="152"/>
        <v>2340.9</v>
      </c>
      <c r="AA424" s="4">
        <f t="shared" ca="1" si="153"/>
        <v>0</v>
      </c>
      <c r="AE424" s="4"/>
    </row>
    <row r="425" spans="1:31">
      <c r="A425">
        <v>3</v>
      </c>
      <c r="B425">
        <v>0</v>
      </c>
      <c r="C425">
        <f t="shared" ca="1" si="132"/>
        <v>4</v>
      </c>
      <c r="D425">
        <f t="shared" ca="1" si="133"/>
        <v>3</v>
      </c>
      <c r="E425">
        <f t="shared" ca="1" si="134"/>
        <v>3</v>
      </c>
      <c r="F425" s="110">
        <f t="shared" ca="1" si="135"/>
        <v>0</v>
      </c>
      <c r="G425">
        <v>0</v>
      </c>
      <c r="H425">
        <v>1</v>
      </c>
      <c r="I425">
        <v>0</v>
      </c>
      <c r="J425" s="1">
        <f t="shared" ca="1" si="136"/>
        <v>0</v>
      </c>
      <c r="K425" s="1">
        <f t="shared" ca="1" si="137"/>
        <v>0</v>
      </c>
      <c r="L425" s="13">
        <f t="shared" ca="1" si="138"/>
        <v>241</v>
      </c>
      <c r="M425" s="7">
        <f t="shared" ca="1" si="139"/>
        <v>759</v>
      </c>
      <c r="N425" s="26">
        <f t="shared" ca="1" si="140"/>
        <v>3</v>
      </c>
      <c r="O425" s="44">
        <f t="shared" ca="1" si="141"/>
        <v>2.2442427272544552</v>
      </c>
      <c r="P425" s="44">
        <f t="shared" ca="1" si="142"/>
        <v>22.442427272544553</v>
      </c>
      <c r="Q425" s="44">
        <f t="shared" ca="1" si="143"/>
        <v>22.442427272544553</v>
      </c>
      <c r="R425" s="44">
        <f t="shared" ca="1" si="144"/>
        <v>2.2442427272544552</v>
      </c>
      <c r="S425" s="44">
        <f t="shared" ca="1" si="145"/>
        <v>2.2442427272544552</v>
      </c>
      <c r="T425" s="4">
        <f t="shared" ca="1" si="146"/>
        <v>0</v>
      </c>
      <c r="U425" s="120">
        <f t="shared" ca="1" si="147"/>
        <v>1461.901337549361</v>
      </c>
      <c r="V425" s="4">
        <f t="shared" ca="1" si="148"/>
        <v>0</v>
      </c>
      <c r="W425" s="13">
        <f t="shared" ca="1" si="149"/>
        <v>0</v>
      </c>
      <c r="X425" s="4">
        <f t="shared" ca="1" si="150"/>
        <v>0</v>
      </c>
      <c r="Y425" s="4">
        <f t="shared" si="151"/>
        <v>0</v>
      </c>
      <c r="Z425" s="13">
        <f t="shared" ca="1" si="152"/>
        <v>0</v>
      </c>
      <c r="AA425" s="4">
        <f t="shared" ca="1" si="153"/>
        <v>0</v>
      </c>
      <c r="AE425" s="4"/>
    </row>
    <row r="426" spans="1:31">
      <c r="A426">
        <v>3</v>
      </c>
      <c r="B426">
        <v>0</v>
      </c>
      <c r="C426">
        <f t="shared" ca="1" si="132"/>
        <v>4</v>
      </c>
      <c r="D426">
        <f t="shared" ca="1" si="133"/>
        <v>3</v>
      </c>
      <c r="E426">
        <f t="shared" ca="1" si="134"/>
        <v>3</v>
      </c>
      <c r="F426" s="110">
        <f t="shared" ca="1" si="135"/>
        <v>0</v>
      </c>
      <c r="G426">
        <v>0</v>
      </c>
      <c r="H426">
        <v>0</v>
      </c>
      <c r="I426">
        <v>7</v>
      </c>
      <c r="J426" s="1">
        <f t="shared" ca="1" si="136"/>
        <v>0</v>
      </c>
      <c r="K426" s="1">
        <f t="shared" ca="1" si="137"/>
        <v>0</v>
      </c>
      <c r="L426" s="13">
        <f t="shared" ca="1" si="138"/>
        <v>133</v>
      </c>
      <c r="M426" s="7">
        <f t="shared" ca="1" si="139"/>
        <v>867</v>
      </c>
      <c r="N426" s="26">
        <f t="shared" ca="1" si="140"/>
        <v>4</v>
      </c>
      <c r="O426" s="44">
        <f t="shared" ca="1" si="141"/>
        <v>2.8621467101781541</v>
      </c>
      <c r="P426" s="44">
        <f t="shared" ca="1" si="142"/>
        <v>28.621467101781548</v>
      </c>
      <c r="Q426" s="44">
        <f t="shared" ca="1" si="143"/>
        <v>24.914043204239348</v>
      </c>
      <c r="R426" s="44">
        <f t="shared" ca="1" si="144"/>
        <v>2.6767755153010446</v>
      </c>
      <c r="S426" s="44">
        <f t="shared" ca="1" si="145"/>
        <v>2.8491707265367565</v>
      </c>
      <c r="T426" s="4">
        <f t="shared" ca="1" si="146"/>
        <v>0</v>
      </c>
      <c r="U426" s="120">
        <f t="shared" ca="1" si="147"/>
        <v>1622.8690837457082</v>
      </c>
      <c r="V426" s="4">
        <f t="shared" ca="1" si="148"/>
        <v>0</v>
      </c>
      <c r="W426" s="13">
        <f t="shared" ca="1" si="149"/>
        <v>16386.3</v>
      </c>
      <c r="X426" s="4">
        <f t="shared" ca="1" si="150"/>
        <v>0</v>
      </c>
      <c r="Y426" s="4">
        <f t="shared" si="151"/>
        <v>0</v>
      </c>
      <c r="Z426" s="13">
        <f t="shared" ca="1" si="152"/>
        <v>16386.3</v>
      </c>
      <c r="AA426" s="4">
        <f t="shared" ca="1" si="153"/>
        <v>0</v>
      </c>
      <c r="AE426" s="4"/>
    </row>
    <row r="427" spans="1:31">
      <c r="A427">
        <v>3</v>
      </c>
      <c r="B427">
        <v>0</v>
      </c>
      <c r="C427">
        <f t="shared" ca="1" si="132"/>
        <v>4</v>
      </c>
      <c r="D427">
        <f t="shared" ca="1" si="133"/>
        <v>3</v>
      </c>
      <c r="E427">
        <f t="shared" ca="1" si="134"/>
        <v>3</v>
      </c>
      <c r="F427" s="110">
        <f t="shared" ca="1" si="135"/>
        <v>0</v>
      </c>
      <c r="G427">
        <v>0</v>
      </c>
      <c r="H427">
        <v>0</v>
      </c>
      <c r="I427">
        <v>6</v>
      </c>
      <c r="J427" s="1">
        <f t="shared" ca="1" si="136"/>
        <v>0</v>
      </c>
      <c r="K427" s="1">
        <f t="shared" ca="1" si="137"/>
        <v>0</v>
      </c>
      <c r="L427" s="13">
        <f t="shared" ca="1" si="138"/>
        <v>114</v>
      </c>
      <c r="M427" s="7">
        <f t="shared" ca="1" si="139"/>
        <v>886</v>
      </c>
      <c r="N427" s="26">
        <f t="shared" ca="1" si="140"/>
        <v>4</v>
      </c>
      <c r="O427" s="44">
        <f t="shared" ca="1" si="141"/>
        <v>2.8621467101781541</v>
      </c>
      <c r="P427" s="44">
        <f t="shared" ca="1" si="142"/>
        <v>28.621467101781548</v>
      </c>
      <c r="Q427" s="44">
        <f t="shared" ca="1" si="143"/>
        <v>28.621467101781548</v>
      </c>
      <c r="R427" s="44">
        <f t="shared" ca="1" si="144"/>
        <v>2.8621467101781546</v>
      </c>
      <c r="S427" s="44">
        <f t="shared" ca="1" si="145"/>
        <v>2.8621467101781541</v>
      </c>
      <c r="T427" s="4">
        <f t="shared" ca="1" si="146"/>
        <v>0</v>
      </c>
      <c r="U427" s="120">
        <f t="shared" ca="1" si="147"/>
        <v>1609.6385655333725</v>
      </c>
      <c r="V427" s="4">
        <f t="shared" ca="1" si="148"/>
        <v>0</v>
      </c>
      <c r="W427" s="13">
        <f t="shared" ca="1" si="149"/>
        <v>14045.400000000001</v>
      </c>
      <c r="X427" s="4">
        <f t="shared" ca="1" si="150"/>
        <v>0</v>
      </c>
      <c r="Y427" s="4">
        <f t="shared" si="151"/>
        <v>0</v>
      </c>
      <c r="Z427" s="13">
        <f t="shared" ca="1" si="152"/>
        <v>14045.400000000001</v>
      </c>
      <c r="AA427" s="4">
        <f t="shared" ca="1" si="153"/>
        <v>0</v>
      </c>
      <c r="AE427" s="4"/>
    </row>
    <row r="428" spans="1:31">
      <c r="A428">
        <v>3</v>
      </c>
      <c r="B428">
        <v>0</v>
      </c>
      <c r="C428">
        <f t="shared" ca="1" si="132"/>
        <v>4</v>
      </c>
      <c r="D428">
        <f t="shared" ca="1" si="133"/>
        <v>3</v>
      </c>
      <c r="E428">
        <f t="shared" ca="1" si="134"/>
        <v>3</v>
      </c>
      <c r="F428" s="110">
        <f t="shared" ca="1" si="135"/>
        <v>0</v>
      </c>
      <c r="G428">
        <v>0</v>
      </c>
      <c r="H428">
        <v>0</v>
      </c>
      <c r="I428">
        <v>5</v>
      </c>
      <c r="J428" s="1">
        <f t="shared" ca="1" si="136"/>
        <v>0</v>
      </c>
      <c r="K428" s="1">
        <f t="shared" ca="1" si="137"/>
        <v>0</v>
      </c>
      <c r="L428" s="13">
        <f t="shared" ca="1" si="138"/>
        <v>95</v>
      </c>
      <c r="M428" s="7">
        <f t="shared" ca="1" si="139"/>
        <v>905</v>
      </c>
      <c r="N428" s="26">
        <f t="shared" ca="1" si="140"/>
        <v>4</v>
      </c>
      <c r="O428" s="44">
        <f t="shared" ca="1" si="141"/>
        <v>2.8621467101781541</v>
      </c>
      <c r="P428" s="44">
        <f t="shared" ca="1" si="142"/>
        <v>28.621467101781548</v>
      </c>
      <c r="Q428" s="44">
        <f t="shared" ca="1" si="143"/>
        <v>28.621467101781548</v>
      </c>
      <c r="R428" s="44">
        <f t="shared" ca="1" si="144"/>
        <v>2.8621467101781546</v>
      </c>
      <c r="S428" s="44">
        <f t="shared" ca="1" si="145"/>
        <v>2.8621467101781541</v>
      </c>
      <c r="T428" s="4">
        <f t="shared" ca="1" si="146"/>
        <v>0</v>
      </c>
      <c r="U428" s="120">
        <f t="shared" ca="1" si="147"/>
        <v>1590.6385655333725</v>
      </c>
      <c r="V428" s="4">
        <f t="shared" ca="1" si="148"/>
        <v>0</v>
      </c>
      <c r="W428" s="13">
        <f t="shared" ca="1" si="149"/>
        <v>11704.5</v>
      </c>
      <c r="X428" s="4">
        <f t="shared" ca="1" si="150"/>
        <v>0</v>
      </c>
      <c r="Y428" s="4">
        <f t="shared" si="151"/>
        <v>0</v>
      </c>
      <c r="Z428" s="13">
        <f t="shared" ca="1" si="152"/>
        <v>11704.5</v>
      </c>
      <c r="AA428" s="4">
        <f t="shared" ca="1" si="153"/>
        <v>0</v>
      </c>
      <c r="AE428" s="4"/>
    </row>
    <row r="429" spans="1:31">
      <c r="A429">
        <v>3</v>
      </c>
      <c r="B429">
        <v>0</v>
      </c>
      <c r="C429">
        <f t="shared" ca="1" si="132"/>
        <v>4</v>
      </c>
      <c r="D429">
        <f t="shared" ca="1" si="133"/>
        <v>3</v>
      </c>
      <c r="E429">
        <f t="shared" ca="1" si="134"/>
        <v>3</v>
      </c>
      <c r="F429" s="110">
        <f t="shared" ca="1" si="135"/>
        <v>0</v>
      </c>
      <c r="G429">
        <v>0</v>
      </c>
      <c r="H429">
        <v>0</v>
      </c>
      <c r="I429">
        <v>4</v>
      </c>
      <c r="J429" s="1">
        <f t="shared" ca="1" si="136"/>
        <v>0</v>
      </c>
      <c r="K429" s="1">
        <f t="shared" ca="1" si="137"/>
        <v>0</v>
      </c>
      <c r="L429" s="13">
        <f t="shared" ca="1" si="138"/>
        <v>76</v>
      </c>
      <c r="M429" s="7">
        <f t="shared" ca="1" si="139"/>
        <v>924</v>
      </c>
      <c r="N429" s="26">
        <f t="shared" ca="1" si="140"/>
        <v>4</v>
      </c>
      <c r="O429" s="44">
        <f t="shared" ca="1" si="141"/>
        <v>2.8621467101781541</v>
      </c>
      <c r="P429" s="44">
        <f t="shared" ca="1" si="142"/>
        <v>28.621467101781548</v>
      </c>
      <c r="Q429" s="44">
        <f t="shared" ca="1" si="143"/>
        <v>28.621467101781548</v>
      </c>
      <c r="R429" s="44">
        <f t="shared" ca="1" si="144"/>
        <v>2.8621467101781546</v>
      </c>
      <c r="S429" s="44">
        <f t="shared" ca="1" si="145"/>
        <v>2.8621467101781541</v>
      </c>
      <c r="T429" s="4">
        <f t="shared" ca="1" si="146"/>
        <v>0</v>
      </c>
      <c r="U429" s="120">
        <f t="shared" ca="1" si="147"/>
        <v>1571.6385655333725</v>
      </c>
      <c r="V429" s="4">
        <f t="shared" ca="1" si="148"/>
        <v>0</v>
      </c>
      <c r="W429" s="13">
        <f t="shared" ca="1" si="149"/>
        <v>9363.6</v>
      </c>
      <c r="X429" s="4">
        <f t="shared" ca="1" si="150"/>
        <v>0</v>
      </c>
      <c r="Y429" s="4">
        <f t="shared" si="151"/>
        <v>0</v>
      </c>
      <c r="Z429" s="13">
        <f t="shared" ca="1" si="152"/>
        <v>9363.6</v>
      </c>
      <c r="AA429" s="4">
        <f t="shared" ca="1" si="153"/>
        <v>0</v>
      </c>
      <c r="AE429" s="4"/>
    </row>
    <row r="430" spans="1:31">
      <c r="A430">
        <v>3</v>
      </c>
      <c r="B430">
        <v>0</v>
      </c>
      <c r="C430">
        <f t="shared" ca="1" si="132"/>
        <v>4</v>
      </c>
      <c r="D430">
        <f t="shared" ca="1" si="133"/>
        <v>3</v>
      </c>
      <c r="E430">
        <f t="shared" ca="1" si="134"/>
        <v>3</v>
      </c>
      <c r="F430" s="110">
        <f t="shared" ca="1" si="135"/>
        <v>0</v>
      </c>
      <c r="G430">
        <v>0</v>
      </c>
      <c r="H430">
        <v>0</v>
      </c>
      <c r="I430">
        <v>3</v>
      </c>
      <c r="J430" s="1">
        <f t="shared" ca="1" si="136"/>
        <v>3.3496093750000004E-2</v>
      </c>
      <c r="K430" s="1">
        <f t="shared" ca="1" si="137"/>
        <v>0</v>
      </c>
      <c r="L430" s="13">
        <f t="shared" ca="1" si="138"/>
        <v>57</v>
      </c>
      <c r="M430" s="7">
        <f t="shared" ca="1" si="139"/>
        <v>943</v>
      </c>
      <c r="N430" s="26">
        <f t="shared" ca="1" si="140"/>
        <v>4</v>
      </c>
      <c r="O430" s="44">
        <f t="shared" ca="1" si="141"/>
        <v>2.8621467101781541</v>
      </c>
      <c r="P430" s="44">
        <f t="shared" ca="1" si="142"/>
        <v>28.621467101781548</v>
      </c>
      <c r="Q430" s="44">
        <f t="shared" ca="1" si="143"/>
        <v>28.621467101781548</v>
      </c>
      <c r="R430" s="44">
        <f t="shared" ca="1" si="144"/>
        <v>2.8621467101781546</v>
      </c>
      <c r="S430" s="44">
        <f t="shared" ca="1" si="145"/>
        <v>2.8621467101781541</v>
      </c>
      <c r="T430" s="4">
        <f t="shared" ca="1" si="146"/>
        <v>0</v>
      </c>
      <c r="U430" s="120">
        <f t="shared" ca="1" si="147"/>
        <v>1552.6385655333725</v>
      </c>
      <c r="V430" s="4">
        <f t="shared" ca="1" si="148"/>
        <v>0</v>
      </c>
      <c r="W430" s="13">
        <f t="shared" ca="1" si="149"/>
        <v>7022.7000000000007</v>
      </c>
      <c r="X430" s="4">
        <f t="shared" ca="1" si="150"/>
        <v>0</v>
      </c>
      <c r="Y430" s="4">
        <f t="shared" si="151"/>
        <v>0</v>
      </c>
      <c r="Z430" s="13">
        <f t="shared" ca="1" si="152"/>
        <v>7022.7000000000007</v>
      </c>
      <c r="AA430" s="4">
        <f t="shared" ca="1" si="153"/>
        <v>0</v>
      </c>
      <c r="AE430" s="4"/>
    </row>
    <row r="431" spans="1:31">
      <c r="A431">
        <v>3</v>
      </c>
      <c r="B431">
        <v>0</v>
      </c>
      <c r="C431">
        <f t="shared" ca="1" si="132"/>
        <v>4</v>
      </c>
      <c r="D431">
        <f t="shared" ca="1" si="133"/>
        <v>3</v>
      </c>
      <c r="E431">
        <f t="shared" ca="1" si="134"/>
        <v>3</v>
      </c>
      <c r="F431" s="110">
        <f t="shared" ca="1" si="135"/>
        <v>0</v>
      </c>
      <c r="G431">
        <v>0</v>
      </c>
      <c r="H431">
        <v>0</v>
      </c>
      <c r="I431">
        <v>2</v>
      </c>
      <c r="J431" s="1">
        <f t="shared" ca="1" si="136"/>
        <v>1.4355468750000001E-2</v>
      </c>
      <c r="K431" s="1">
        <f t="shared" ca="1" si="137"/>
        <v>0</v>
      </c>
      <c r="L431" s="13">
        <f t="shared" ca="1" si="138"/>
        <v>38</v>
      </c>
      <c r="M431" s="7">
        <f t="shared" ca="1" si="139"/>
        <v>962</v>
      </c>
      <c r="N431" s="26">
        <f t="shared" ca="1" si="140"/>
        <v>4</v>
      </c>
      <c r="O431" s="44">
        <f t="shared" ca="1" si="141"/>
        <v>2.8621467101781541</v>
      </c>
      <c r="P431" s="44">
        <f t="shared" ca="1" si="142"/>
        <v>28.621467101781548</v>
      </c>
      <c r="Q431" s="44">
        <f t="shared" ca="1" si="143"/>
        <v>28.621467101781548</v>
      </c>
      <c r="R431" s="44">
        <f t="shared" ca="1" si="144"/>
        <v>2.8621467101781546</v>
      </c>
      <c r="S431" s="44">
        <f t="shared" ca="1" si="145"/>
        <v>2.8621467101781541</v>
      </c>
      <c r="T431" s="4">
        <f t="shared" ca="1" si="146"/>
        <v>0</v>
      </c>
      <c r="U431" s="120">
        <f t="shared" ca="1" si="147"/>
        <v>1533.6385655333725</v>
      </c>
      <c r="V431" s="4">
        <f t="shared" ca="1" si="148"/>
        <v>0</v>
      </c>
      <c r="W431" s="13">
        <f t="shared" ca="1" si="149"/>
        <v>4681.8</v>
      </c>
      <c r="X431" s="4">
        <f t="shared" ca="1" si="150"/>
        <v>0</v>
      </c>
      <c r="Y431" s="4">
        <f t="shared" si="151"/>
        <v>0</v>
      </c>
      <c r="Z431" s="13">
        <f t="shared" ca="1" si="152"/>
        <v>4681.8</v>
      </c>
      <c r="AA431" s="4">
        <f t="shared" ca="1" si="153"/>
        <v>0</v>
      </c>
      <c r="AE431" s="4"/>
    </row>
    <row r="432" spans="1:31">
      <c r="A432">
        <v>3</v>
      </c>
      <c r="B432">
        <v>0</v>
      </c>
      <c r="C432">
        <f t="shared" ca="1" si="132"/>
        <v>4</v>
      </c>
      <c r="D432">
        <f t="shared" ca="1" si="133"/>
        <v>3</v>
      </c>
      <c r="E432">
        <f t="shared" ca="1" si="134"/>
        <v>3</v>
      </c>
      <c r="F432" s="110">
        <f t="shared" ca="1" si="135"/>
        <v>0</v>
      </c>
      <c r="G432">
        <v>0</v>
      </c>
      <c r="H432">
        <v>0</v>
      </c>
      <c r="I432">
        <v>1</v>
      </c>
      <c r="J432" s="1">
        <f t="shared" ca="1" si="136"/>
        <v>2.0507812500000001E-3</v>
      </c>
      <c r="K432" s="1">
        <f t="shared" ca="1" si="137"/>
        <v>0</v>
      </c>
      <c r="L432" s="13">
        <f t="shared" ca="1" si="138"/>
        <v>19</v>
      </c>
      <c r="M432" s="7">
        <f t="shared" ca="1" si="139"/>
        <v>981</v>
      </c>
      <c r="N432" s="26">
        <f t="shared" ca="1" si="140"/>
        <v>4</v>
      </c>
      <c r="O432" s="44">
        <f t="shared" ca="1" si="141"/>
        <v>2.8621467101781541</v>
      </c>
      <c r="P432" s="44">
        <f t="shared" ca="1" si="142"/>
        <v>28.621467101781548</v>
      </c>
      <c r="Q432" s="44">
        <f t="shared" ca="1" si="143"/>
        <v>28.621467101781548</v>
      </c>
      <c r="R432" s="44">
        <f t="shared" ca="1" si="144"/>
        <v>2.8621467101781546</v>
      </c>
      <c r="S432" s="44">
        <f t="shared" ca="1" si="145"/>
        <v>2.8621467101781541</v>
      </c>
      <c r="T432" s="4">
        <f t="shared" ca="1" si="146"/>
        <v>0</v>
      </c>
      <c r="U432" s="120">
        <f t="shared" ca="1" si="147"/>
        <v>1514.6385655333725</v>
      </c>
      <c r="V432" s="4">
        <f t="shared" ca="1" si="148"/>
        <v>0</v>
      </c>
      <c r="W432" s="13">
        <f t="shared" ca="1" si="149"/>
        <v>2340.9</v>
      </c>
      <c r="X432" s="4">
        <f t="shared" ca="1" si="150"/>
        <v>0</v>
      </c>
      <c r="Y432" s="4">
        <f t="shared" si="151"/>
        <v>0</v>
      </c>
      <c r="Z432" s="13">
        <f t="shared" ca="1" si="152"/>
        <v>2340.9</v>
      </c>
      <c r="AA432" s="4">
        <f t="shared" ca="1" si="153"/>
        <v>0</v>
      </c>
      <c r="AE432" s="4"/>
    </row>
    <row r="433" spans="1:31">
      <c r="A433">
        <v>3</v>
      </c>
      <c r="B433">
        <v>0</v>
      </c>
      <c r="C433">
        <f t="shared" ca="1" si="132"/>
        <v>4</v>
      </c>
      <c r="D433">
        <f t="shared" ca="1" si="133"/>
        <v>3</v>
      </c>
      <c r="E433">
        <f t="shared" ca="1" si="134"/>
        <v>3</v>
      </c>
      <c r="F433" s="110">
        <f t="shared" ca="1" si="135"/>
        <v>0</v>
      </c>
      <c r="G433">
        <v>0</v>
      </c>
      <c r="H433">
        <v>0</v>
      </c>
      <c r="I433">
        <v>0</v>
      </c>
      <c r="J433" s="1">
        <f t="shared" ca="1" si="136"/>
        <v>9.7656250000000005E-5</v>
      </c>
      <c r="K433" s="1">
        <f t="shared" ca="1" si="137"/>
        <v>0</v>
      </c>
      <c r="L433" s="13">
        <f t="shared" ca="1" si="138"/>
        <v>0</v>
      </c>
      <c r="M433" s="7">
        <f t="shared" ca="1" si="139"/>
        <v>1000</v>
      </c>
      <c r="N433" s="26">
        <f t="shared" ca="1" si="140"/>
        <v>4</v>
      </c>
      <c r="O433" s="44">
        <f t="shared" ca="1" si="141"/>
        <v>2.8621467101781541</v>
      </c>
      <c r="P433" s="44">
        <f t="shared" ca="1" si="142"/>
        <v>28.621467101781548</v>
      </c>
      <c r="Q433" s="44">
        <f t="shared" ca="1" si="143"/>
        <v>28.621467101781548</v>
      </c>
      <c r="R433" s="44">
        <f t="shared" ca="1" si="144"/>
        <v>2.8621467101781546</v>
      </c>
      <c r="S433" s="44">
        <f t="shared" ca="1" si="145"/>
        <v>2.8621467101781541</v>
      </c>
      <c r="T433" s="4">
        <f t="shared" ca="1" si="146"/>
        <v>0</v>
      </c>
      <c r="U433" s="120">
        <f t="shared" ca="1" si="147"/>
        <v>1495.6385655333725</v>
      </c>
      <c r="V433" s="4">
        <f t="shared" ca="1" si="148"/>
        <v>0</v>
      </c>
      <c r="W433" s="13">
        <f t="shared" ca="1" si="149"/>
        <v>0</v>
      </c>
      <c r="X433" s="4">
        <f t="shared" ca="1" si="150"/>
        <v>0</v>
      </c>
      <c r="Y433" s="4">
        <f t="shared" si="151"/>
        <v>0</v>
      </c>
      <c r="Z433" s="13">
        <f t="shared" ca="1" si="152"/>
        <v>0</v>
      </c>
      <c r="AA433" s="4">
        <f t="shared" ca="1" si="153"/>
        <v>0</v>
      </c>
      <c r="AE433" s="4"/>
    </row>
    <row r="434" spans="1:31">
      <c r="A434">
        <v>3</v>
      </c>
      <c r="B434">
        <v>1</v>
      </c>
      <c r="C434">
        <f t="shared" ca="1" si="132"/>
        <v>5</v>
      </c>
      <c r="D434">
        <f t="shared" ca="1" si="133"/>
        <v>4</v>
      </c>
      <c r="E434">
        <f t="shared" ca="1" si="134"/>
        <v>3</v>
      </c>
      <c r="F434" s="110">
        <f t="shared" ca="1" si="135"/>
        <v>0</v>
      </c>
      <c r="G434">
        <v>1</v>
      </c>
      <c r="H434">
        <v>1</v>
      </c>
      <c r="I434">
        <v>7</v>
      </c>
      <c r="J434" s="1">
        <f t="shared" ca="1" si="136"/>
        <v>0</v>
      </c>
      <c r="K434" s="1">
        <f t="shared" ca="1" si="137"/>
        <v>0</v>
      </c>
      <c r="L434" s="13">
        <f t="shared" ca="1" si="138"/>
        <v>615</v>
      </c>
      <c r="M434" s="7">
        <f t="shared" ca="1" si="139"/>
        <v>385</v>
      </c>
      <c r="N434" s="26">
        <f t="shared" ca="1" si="140"/>
        <v>2</v>
      </c>
      <c r="O434" s="44">
        <f t="shared" ca="1" si="141"/>
        <v>1.5762319669595739</v>
      </c>
      <c r="P434" s="44">
        <f t="shared" ca="1" si="142"/>
        <v>15.762319669595739</v>
      </c>
      <c r="Q434" s="44">
        <f t="shared" ca="1" si="143"/>
        <v>15.762319669595739</v>
      </c>
      <c r="R434" s="44">
        <f t="shared" ca="1" si="144"/>
        <v>1.5762319669595739</v>
      </c>
      <c r="S434" s="44">
        <f t="shared" ca="1" si="145"/>
        <v>1.5762319669595737</v>
      </c>
      <c r="T434" s="4">
        <f t="shared" ca="1" si="146"/>
        <v>0</v>
      </c>
      <c r="U434" s="120">
        <f t="shared" ca="1" si="147"/>
        <v>1538.885248288175</v>
      </c>
      <c r="V434" s="4">
        <f t="shared" ca="1" si="148"/>
        <v>0</v>
      </c>
      <c r="W434" s="13">
        <f t="shared" ca="1" si="149"/>
        <v>40973.706000000006</v>
      </c>
      <c r="X434" s="4">
        <f t="shared" ca="1" si="150"/>
        <v>0</v>
      </c>
      <c r="Y434" s="4">
        <f t="shared" si="151"/>
        <v>0</v>
      </c>
      <c r="Z434" s="13">
        <f t="shared" ca="1" si="152"/>
        <v>40973.706000000006</v>
      </c>
      <c r="AA434" s="4">
        <f t="shared" ca="1" si="153"/>
        <v>0</v>
      </c>
      <c r="AE434" s="4"/>
    </row>
    <row r="435" spans="1:31">
      <c r="A435">
        <v>3</v>
      </c>
      <c r="B435">
        <v>1</v>
      </c>
      <c r="C435">
        <f t="shared" ca="1" si="132"/>
        <v>5</v>
      </c>
      <c r="D435">
        <f t="shared" ca="1" si="133"/>
        <v>4</v>
      </c>
      <c r="E435">
        <f t="shared" ca="1" si="134"/>
        <v>3</v>
      </c>
      <c r="F435" s="110">
        <f t="shared" ca="1" si="135"/>
        <v>0</v>
      </c>
      <c r="G435">
        <v>1</v>
      </c>
      <c r="H435">
        <v>1</v>
      </c>
      <c r="I435">
        <v>6</v>
      </c>
      <c r="J435" s="1">
        <f t="shared" ca="1" si="136"/>
        <v>0</v>
      </c>
      <c r="K435" s="1">
        <f t="shared" ca="1" si="137"/>
        <v>0</v>
      </c>
      <c r="L435" s="13">
        <f t="shared" ca="1" si="138"/>
        <v>596</v>
      </c>
      <c r="M435" s="7">
        <f t="shared" ca="1" si="139"/>
        <v>404</v>
      </c>
      <c r="N435" s="26">
        <f t="shared" ca="1" si="140"/>
        <v>2</v>
      </c>
      <c r="O435" s="44">
        <f t="shared" ca="1" si="141"/>
        <v>1.5762319669595739</v>
      </c>
      <c r="P435" s="44">
        <f t="shared" ca="1" si="142"/>
        <v>15.762319669595739</v>
      </c>
      <c r="Q435" s="44">
        <f t="shared" ca="1" si="143"/>
        <v>15.762319669595739</v>
      </c>
      <c r="R435" s="44">
        <f t="shared" ca="1" si="144"/>
        <v>1.5762319669595739</v>
      </c>
      <c r="S435" s="44">
        <f t="shared" ca="1" si="145"/>
        <v>1.5762319669595737</v>
      </c>
      <c r="T435" s="4">
        <f t="shared" ca="1" si="146"/>
        <v>0</v>
      </c>
      <c r="U435" s="120">
        <f t="shared" ca="1" si="147"/>
        <v>1519.885248288175</v>
      </c>
      <c r="V435" s="4">
        <f t="shared" ca="1" si="148"/>
        <v>0</v>
      </c>
      <c r="W435" s="13">
        <f t="shared" ca="1" si="149"/>
        <v>38632.806000000004</v>
      </c>
      <c r="X435" s="4">
        <f t="shared" ca="1" si="150"/>
        <v>0</v>
      </c>
      <c r="Y435" s="4">
        <f t="shared" si="151"/>
        <v>0</v>
      </c>
      <c r="Z435" s="13">
        <f t="shared" ca="1" si="152"/>
        <v>38632.806000000004</v>
      </c>
      <c r="AA435" s="4">
        <f t="shared" ca="1" si="153"/>
        <v>0</v>
      </c>
      <c r="AE435" s="4"/>
    </row>
    <row r="436" spans="1:31">
      <c r="A436">
        <v>3</v>
      </c>
      <c r="B436">
        <v>1</v>
      </c>
      <c r="C436">
        <f t="shared" ca="1" si="132"/>
        <v>5</v>
      </c>
      <c r="D436">
        <f t="shared" ca="1" si="133"/>
        <v>4</v>
      </c>
      <c r="E436">
        <f t="shared" ca="1" si="134"/>
        <v>3</v>
      </c>
      <c r="F436" s="110">
        <f t="shared" ca="1" si="135"/>
        <v>0</v>
      </c>
      <c r="G436">
        <v>1</v>
      </c>
      <c r="H436">
        <v>1</v>
      </c>
      <c r="I436">
        <v>5</v>
      </c>
      <c r="J436" s="1">
        <f t="shared" ca="1" si="136"/>
        <v>0</v>
      </c>
      <c r="K436" s="1">
        <f t="shared" ca="1" si="137"/>
        <v>0</v>
      </c>
      <c r="L436" s="13">
        <f t="shared" ca="1" si="138"/>
        <v>577</v>
      </c>
      <c r="M436" s="7">
        <f t="shared" ca="1" si="139"/>
        <v>423</v>
      </c>
      <c r="N436" s="26">
        <f t="shared" ca="1" si="140"/>
        <v>2</v>
      </c>
      <c r="O436" s="44">
        <f t="shared" ca="1" si="141"/>
        <v>1.5762319669595739</v>
      </c>
      <c r="P436" s="44">
        <f t="shared" ca="1" si="142"/>
        <v>15.762319669595739</v>
      </c>
      <c r="Q436" s="44">
        <f t="shared" ca="1" si="143"/>
        <v>15.762319669595739</v>
      </c>
      <c r="R436" s="44">
        <f t="shared" ca="1" si="144"/>
        <v>1.5762319669595739</v>
      </c>
      <c r="S436" s="44">
        <f t="shared" ca="1" si="145"/>
        <v>1.5762319669595737</v>
      </c>
      <c r="T436" s="4">
        <f t="shared" ca="1" si="146"/>
        <v>0</v>
      </c>
      <c r="U436" s="120">
        <f t="shared" ca="1" si="147"/>
        <v>1500.885248288175</v>
      </c>
      <c r="V436" s="4">
        <f t="shared" ca="1" si="148"/>
        <v>0</v>
      </c>
      <c r="W436" s="13">
        <f t="shared" ca="1" si="149"/>
        <v>36291.906000000003</v>
      </c>
      <c r="X436" s="4">
        <f t="shared" ca="1" si="150"/>
        <v>0</v>
      </c>
      <c r="Y436" s="4">
        <f t="shared" si="151"/>
        <v>0</v>
      </c>
      <c r="Z436" s="13">
        <f t="shared" ca="1" si="152"/>
        <v>36291.906000000003</v>
      </c>
      <c r="AA436" s="4">
        <f t="shared" ca="1" si="153"/>
        <v>0</v>
      </c>
      <c r="AE436" s="4"/>
    </row>
    <row r="437" spans="1:31">
      <c r="A437">
        <v>3</v>
      </c>
      <c r="B437">
        <v>1</v>
      </c>
      <c r="C437">
        <f t="shared" ca="1" si="132"/>
        <v>5</v>
      </c>
      <c r="D437">
        <f t="shared" ca="1" si="133"/>
        <v>4</v>
      </c>
      <c r="E437">
        <f t="shared" ca="1" si="134"/>
        <v>3</v>
      </c>
      <c r="F437" s="110">
        <f t="shared" ca="1" si="135"/>
        <v>0</v>
      </c>
      <c r="G437">
        <v>1</v>
      </c>
      <c r="H437">
        <v>1</v>
      </c>
      <c r="I437">
        <v>4</v>
      </c>
      <c r="J437" s="1">
        <f t="shared" ca="1" si="136"/>
        <v>0</v>
      </c>
      <c r="K437" s="1">
        <f t="shared" ca="1" si="137"/>
        <v>0</v>
      </c>
      <c r="L437" s="13">
        <f t="shared" ca="1" si="138"/>
        <v>558</v>
      </c>
      <c r="M437" s="7">
        <f t="shared" ca="1" si="139"/>
        <v>442</v>
      </c>
      <c r="N437" s="26">
        <f t="shared" ca="1" si="140"/>
        <v>2</v>
      </c>
      <c r="O437" s="44">
        <f t="shared" ca="1" si="141"/>
        <v>1.5762319669595739</v>
      </c>
      <c r="P437" s="44">
        <f t="shared" ca="1" si="142"/>
        <v>15.762319669595739</v>
      </c>
      <c r="Q437" s="44">
        <f t="shared" ca="1" si="143"/>
        <v>15.762319669595739</v>
      </c>
      <c r="R437" s="44">
        <f t="shared" ca="1" si="144"/>
        <v>1.5762319669595739</v>
      </c>
      <c r="S437" s="44">
        <f t="shared" ca="1" si="145"/>
        <v>1.5762319669595737</v>
      </c>
      <c r="T437" s="4">
        <f t="shared" ca="1" si="146"/>
        <v>0</v>
      </c>
      <c r="U437" s="120">
        <f t="shared" ca="1" si="147"/>
        <v>1481.885248288175</v>
      </c>
      <c r="V437" s="4">
        <f t="shared" ca="1" si="148"/>
        <v>0</v>
      </c>
      <c r="W437" s="13">
        <f t="shared" ca="1" si="149"/>
        <v>33951.006000000001</v>
      </c>
      <c r="X437" s="4">
        <f t="shared" ca="1" si="150"/>
        <v>0</v>
      </c>
      <c r="Y437" s="4">
        <f t="shared" si="151"/>
        <v>0</v>
      </c>
      <c r="Z437" s="13">
        <f t="shared" ca="1" si="152"/>
        <v>33951.006000000001</v>
      </c>
      <c r="AA437" s="4">
        <f t="shared" ca="1" si="153"/>
        <v>0</v>
      </c>
      <c r="AE437" s="4"/>
    </row>
    <row r="438" spans="1:31">
      <c r="A438">
        <v>3</v>
      </c>
      <c r="B438">
        <v>1</v>
      </c>
      <c r="C438">
        <f t="shared" ca="1" si="132"/>
        <v>5</v>
      </c>
      <c r="D438">
        <f t="shared" ca="1" si="133"/>
        <v>4</v>
      </c>
      <c r="E438">
        <f t="shared" ca="1" si="134"/>
        <v>3</v>
      </c>
      <c r="F438" s="110">
        <f t="shared" ca="1" si="135"/>
        <v>0</v>
      </c>
      <c r="G438">
        <v>1</v>
      </c>
      <c r="H438">
        <v>1</v>
      </c>
      <c r="I438">
        <v>3</v>
      </c>
      <c r="J438" s="1">
        <f t="shared" ca="1" si="136"/>
        <v>0</v>
      </c>
      <c r="K438" s="1">
        <f t="shared" ca="1" si="137"/>
        <v>0</v>
      </c>
      <c r="L438" s="13">
        <f t="shared" ca="1" si="138"/>
        <v>539</v>
      </c>
      <c r="M438" s="7">
        <f t="shared" ca="1" si="139"/>
        <v>461</v>
      </c>
      <c r="N438" s="26">
        <f t="shared" ca="1" si="140"/>
        <v>2</v>
      </c>
      <c r="O438" s="44">
        <f t="shared" ca="1" si="141"/>
        <v>1.5762319669595739</v>
      </c>
      <c r="P438" s="44">
        <f t="shared" ca="1" si="142"/>
        <v>15.762319669595739</v>
      </c>
      <c r="Q438" s="44">
        <f t="shared" ca="1" si="143"/>
        <v>15.762319669595739</v>
      </c>
      <c r="R438" s="44">
        <f t="shared" ca="1" si="144"/>
        <v>1.5762319669595739</v>
      </c>
      <c r="S438" s="44">
        <f t="shared" ca="1" si="145"/>
        <v>1.5762319669595737</v>
      </c>
      <c r="T438" s="4">
        <f t="shared" ca="1" si="146"/>
        <v>0</v>
      </c>
      <c r="U438" s="120">
        <f t="shared" ca="1" si="147"/>
        <v>1462.885248288175</v>
      </c>
      <c r="V438" s="4">
        <f t="shared" ca="1" si="148"/>
        <v>0</v>
      </c>
      <c r="W438" s="13">
        <f t="shared" ca="1" si="149"/>
        <v>31610.106000000003</v>
      </c>
      <c r="X438" s="4">
        <f t="shared" ca="1" si="150"/>
        <v>0</v>
      </c>
      <c r="Y438" s="4">
        <f t="shared" si="151"/>
        <v>0</v>
      </c>
      <c r="Z438" s="13">
        <f t="shared" ca="1" si="152"/>
        <v>31610.106000000003</v>
      </c>
      <c r="AA438" s="4">
        <f t="shared" ca="1" si="153"/>
        <v>0</v>
      </c>
      <c r="AE438" s="4"/>
    </row>
    <row r="439" spans="1:31">
      <c r="A439">
        <v>3</v>
      </c>
      <c r="B439">
        <v>1</v>
      </c>
      <c r="C439">
        <f t="shared" ca="1" si="132"/>
        <v>5</v>
      </c>
      <c r="D439">
        <f t="shared" ca="1" si="133"/>
        <v>4</v>
      </c>
      <c r="E439">
        <f t="shared" ca="1" si="134"/>
        <v>3</v>
      </c>
      <c r="F439" s="110">
        <f t="shared" ca="1" si="135"/>
        <v>0</v>
      </c>
      <c r="G439">
        <v>1</v>
      </c>
      <c r="H439">
        <v>1</v>
      </c>
      <c r="I439">
        <v>2</v>
      </c>
      <c r="J439" s="1">
        <f t="shared" ca="1" si="136"/>
        <v>0</v>
      </c>
      <c r="K439" s="1">
        <f t="shared" ca="1" si="137"/>
        <v>0</v>
      </c>
      <c r="L439" s="13">
        <f t="shared" ca="1" si="138"/>
        <v>520</v>
      </c>
      <c r="M439" s="7">
        <f t="shared" ca="1" si="139"/>
        <v>480</v>
      </c>
      <c r="N439" s="26">
        <f t="shared" ca="1" si="140"/>
        <v>2</v>
      </c>
      <c r="O439" s="44">
        <f t="shared" ca="1" si="141"/>
        <v>1.5762319669595739</v>
      </c>
      <c r="P439" s="44">
        <f t="shared" ca="1" si="142"/>
        <v>15.762319669595739</v>
      </c>
      <c r="Q439" s="44">
        <f t="shared" ca="1" si="143"/>
        <v>15.762319669595739</v>
      </c>
      <c r="R439" s="44">
        <f t="shared" ca="1" si="144"/>
        <v>1.5762319669595739</v>
      </c>
      <c r="S439" s="44">
        <f t="shared" ca="1" si="145"/>
        <v>1.5762319669595737</v>
      </c>
      <c r="T439" s="4">
        <f t="shared" ca="1" si="146"/>
        <v>0</v>
      </c>
      <c r="U439" s="120">
        <f t="shared" ca="1" si="147"/>
        <v>1443.885248288175</v>
      </c>
      <c r="V439" s="4">
        <f t="shared" ca="1" si="148"/>
        <v>0</v>
      </c>
      <c r="W439" s="13">
        <f t="shared" ca="1" si="149"/>
        <v>29269.206000000002</v>
      </c>
      <c r="X439" s="4">
        <f t="shared" ca="1" si="150"/>
        <v>0</v>
      </c>
      <c r="Y439" s="4">
        <f t="shared" si="151"/>
        <v>0</v>
      </c>
      <c r="Z439" s="13">
        <f t="shared" ca="1" si="152"/>
        <v>29269.206000000002</v>
      </c>
      <c r="AA439" s="4">
        <f t="shared" ca="1" si="153"/>
        <v>0</v>
      </c>
      <c r="AE439" s="4"/>
    </row>
    <row r="440" spans="1:31">
      <c r="A440">
        <v>3</v>
      </c>
      <c r="B440">
        <v>1</v>
      </c>
      <c r="C440">
        <f t="shared" ca="1" si="132"/>
        <v>5</v>
      </c>
      <c r="D440">
        <f t="shared" ca="1" si="133"/>
        <v>4</v>
      </c>
      <c r="E440">
        <f t="shared" ca="1" si="134"/>
        <v>3</v>
      </c>
      <c r="F440" s="110">
        <f t="shared" ca="1" si="135"/>
        <v>0</v>
      </c>
      <c r="G440">
        <v>1</v>
      </c>
      <c r="H440">
        <v>1</v>
      </c>
      <c r="I440">
        <v>1</v>
      </c>
      <c r="J440" s="1">
        <f t="shared" ca="1" si="136"/>
        <v>0</v>
      </c>
      <c r="K440" s="1">
        <f t="shared" ca="1" si="137"/>
        <v>0</v>
      </c>
      <c r="L440" s="13">
        <f t="shared" ca="1" si="138"/>
        <v>501</v>
      </c>
      <c r="M440" s="7">
        <f t="shared" ca="1" si="139"/>
        <v>499</v>
      </c>
      <c r="N440" s="26">
        <f t="shared" ca="1" si="140"/>
        <v>2</v>
      </c>
      <c r="O440" s="44">
        <f t="shared" ca="1" si="141"/>
        <v>1.5762319669595739</v>
      </c>
      <c r="P440" s="44">
        <f t="shared" ca="1" si="142"/>
        <v>15.762319669595739</v>
      </c>
      <c r="Q440" s="44">
        <f t="shared" ca="1" si="143"/>
        <v>15.762319669595739</v>
      </c>
      <c r="R440" s="44">
        <f t="shared" ca="1" si="144"/>
        <v>1.5762319669595739</v>
      </c>
      <c r="S440" s="44">
        <f t="shared" ca="1" si="145"/>
        <v>1.5762319669595737</v>
      </c>
      <c r="T440" s="4">
        <f t="shared" ca="1" si="146"/>
        <v>0</v>
      </c>
      <c r="U440" s="120">
        <f t="shared" ca="1" si="147"/>
        <v>1424.885248288175</v>
      </c>
      <c r="V440" s="4">
        <f t="shared" ca="1" si="148"/>
        <v>0</v>
      </c>
      <c r="W440" s="13">
        <f t="shared" ca="1" si="149"/>
        <v>26928.306000000004</v>
      </c>
      <c r="X440" s="4">
        <f t="shared" ca="1" si="150"/>
        <v>0</v>
      </c>
      <c r="Y440" s="4">
        <f t="shared" si="151"/>
        <v>0</v>
      </c>
      <c r="Z440" s="13">
        <f t="shared" ca="1" si="152"/>
        <v>26928.306000000004</v>
      </c>
      <c r="AA440" s="4">
        <f t="shared" ca="1" si="153"/>
        <v>0</v>
      </c>
      <c r="AE440" s="4"/>
    </row>
    <row r="441" spans="1:31">
      <c r="A441">
        <v>3</v>
      </c>
      <c r="B441">
        <v>1</v>
      </c>
      <c r="C441">
        <f t="shared" ca="1" si="132"/>
        <v>5</v>
      </c>
      <c r="D441">
        <f t="shared" ca="1" si="133"/>
        <v>4</v>
      </c>
      <c r="E441">
        <f t="shared" ca="1" si="134"/>
        <v>3</v>
      </c>
      <c r="F441" s="110">
        <f t="shared" ca="1" si="135"/>
        <v>0</v>
      </c>
      <c r="G441">
        <v>1</v>
      </c>
      <c r="H441">
        <v>1</v>
      </c>
      <c r="I441">
        <v>0</v>
      </c>
      <c r="J441" s="1">
        <f t="shared" ca="1" si="136"/>
        <v>0</v>
      </c>
      <c r="K441" s="1">
        <f t="shared" ca="1" si="137"/>
        <v>0</v>
      </c>
      <c r="L441" s="13">
        <f t="shared" ca="1" si="138"/>
        <v>482</v>
      </c>
      <c r="M441" s="7">
        <f t="shared" ca="1" si="139"/>
        <v>518</v>
      </c>
      <c r="N441" s="26">
        <f t="shared" ca="1" si="140"/>
        <v>2</v>
      </c>
      <c r="O441" s="44">
        <f t="shared" ca="1" si="141"/>
        <v>1.5762319669595739</v>
      </c>
      <c r="P441" s="44">
        <f t="shared" ca="1" si="142"/>
        <v>15.762319669595739</v>
      </c>
      <c r="Q441" s="44">
        <f t="shared" ca="1" si="143"/>
        <v>15.762319669595739</v>
      </c>
      <c r="R441" s="44">
        <f t="shared" ca="1" si="144"/>
        <v>1.5762319669595739</v>
      </c>
      <c r="S441" s="44">
        <f t="shared" ca="1" si="145"/>
        <v>1.5762319669595737</v>
      </c>
      <c r="T441" s="4">
        <f t="shared" ca="1" si="146"/>
        <v>0</v>
      </c>
      <c r="U441" s="120">
        <f t="shared" ca="1" si="147"/>
        <v>1405.885248288175</v>
      </c>
      <c r="V441" s="4">
        <f t="shared" ca="1" si="148"/>
        <v>0</v>
      </c>
      <c r="W441" s="13">
        <f t="shared" ca="1" si="149"/>
        <v>24587.406000000003</v>
      </c>
      <c r="X441" s="4">
        <f t="shared" ca="1" si="150"/>
        <v>0</v>
      </c>
      <c r="Y441" s="4">
        <f t="shared" si="151"/>
        <v>0</v>
      </c>
      <c r="Z441" s="13">
        <f t="shared" ca="1" si="152"/>
        <v>24587.406000000003</v>
      </c>
      <c r="AA441" s="4">
        <f t="shared" ca="1" si="153"/>
        <v>0</v>
      </c>
      <c r="AE441" s="4"/>
    </row>
    <row r="442" spans="1:31">
      <c r="A442">
        <v>3</v>
      </c>
      <c r="B442">
        <v>1</v>
      </c>
      <c r="C442">
        <f t="shared" ca="1" si="132"/>
        <v>5</v>
      </c>
      <c r="D442">
        <f t="shared" ca="1" si="133"/>
        <v>4</v>
      </c>
      <c r="E442">
        <f t="shared" ca="1" si="134"/>
        <v>3</v>
      </c>
      <c r="F442" s="110">
        <f t="shared" ca="1" si="135"/>
        <v>0</v>
      </c>
      <c r="G442">
        <v>1</v>
      </c>
      <c r="H442">
        <v>0</v>
      </c>
      <c r="I442">
        <v>7</v>
      </c>
      <c r="J442" s="1">
        <f t="shared" ca="1" si="136"/>
        <v>0</v>
      </c>
      <c r="K442" s="1">
        <f t="shared" ca="1" si="137"/>
        <v>0</v>
      </c>
      <c r="L442" s="13">
        <f t="shared" ca="1" si="138"/>
        <v>374</v>
      </c>
      <c r="M442" s="7">
        <f t="shared" ca="1" si="139"/>
        <v>626</v>
      </c>
      <c r="N442" s="26">
        <f t="shared" ca="1" si="140"/>
        <v>3</v>
      </c>
      <c r="O442" s="44">
        <f t="shared" ca="1" si="141"/>
        <v>2.2442427272544552</v>
      </c>
      <c r="P442" s="44">
        <f t="shared" ca="1" si="142"/>
        <v>22.442427272544553</v>
      </c>
      <c r="Q442" s="44">
        <f t="shared" ca="1" si="143"/>
        <v>22.442427272544553</v>
      </c>
      <c r="R442" s="44">
        <f t="shared" ca="1" si="144"/>
        <v>2.2442427272544552</v>
      </c>
      <c r="S442" s="44">
        <f t="shared" ca="1" si="145"/>
        <v>2.2442427272544552</v>
      </c>
      <c r="T442" s="4">
        <f t="shared" ca="1" si="146"/>
        <v>0</v>
      </c>
      <c r="U442" s="120">
        <f t="shared" ca="1" si="147"/>
        <v>1594.901337549361</v>
      </c>
      <c r="V442" s="4">
        <f t="shared" ca="1" si="148"/>
        <v>0</v>
      </c>
      <c r="W442" s="13">
        <f t="shared" ca="1" si="149"/>
        <v>40973.706000000006</v>
      </c>
      <c r="X442" s="4">
        <f t="shared" ca="1" si="150"/>
        <v>0</v>
      </c>
      <c r="Y442" s="4">
        <f t="shared" si="151"/>
        <v>0</v>
      </c>
      <c r="Z442" s="13">
        <f t="shared" ca="1" si="152"/>
        <v>40973.706000000006</v>
      </c>
      <c r="AA442" s="4">
        <f t="shared" ca="1" si="153"/>
        <v>0</v>
      </c>
      <c r="AE442" s="4"/>
    </row>
    <row r="443" spans="1:31">
      <c r="A443">
        <v>3</v>
      </c>
      <c r="B443">
        <v>1</v>
      </c>
      <c r="C443">
        <f t="shared" ca="1" si="132"/>
        <v>5</v>
      </c>
      <c r="D443">
        <f t="shared" ca="1" si="133"/>
        <v>4</v>
      </c>
      <c r="E443">
        <f t="shared" ca="1" si="134"/>
        <v>3</v>
      </c>
      <c r="F443" s="110">
        <f t="shared" ca="1" si="135"/>
        <v>0</v>
      </c>
      <c r="G443">
        <v>1</v>
      </c>
      <c r="H443">
        <v>0</v>
      </c>
      <c r="I443">
        <v>6</v>
      </c>
      <c r="J443" s="1">
        <f t="shared" ca="1" si="136"/>
        <v>0</v>
      </c>
      <c r="K443" s="1">
        <f t="shared" ca="1" si="137"/>
        <v>0</v>
      </c>
      <c r="L443" s="13">
        <f t="shared" ca="1" si="138"/>
        <v>355</v>
      </c>
      <c r="M443" s="7">
        <f t="shared" ca="1" si="139"/>
        <v>645</v>
      </c>
      <c r="N443" s="26">
        <f t="shared" ca="1" si="140"/>
        <v>3</v>
      </c>
      <c r="O443" s="44">
        <f t="shared" ca="1" si="141"/>
        <v>2.2442427272544552</v>
      </c>
      <c r="P443" s="44">
        <f t="shared" ca="1" si="142"/>
        <v>22.442427272544553</v>
      </c>
      <c r="Q443" s="44">
        <f t="shared" ca="1" si="143"/>
        <v>22.442427272544553</v>
      </c>
      <c r="R443" s="44">
        <f t="shared" ca="1" si="144"/>
        <v>2.2442427272544552</v>
      </c>
      <c r="S443" s="44">
        <f t="shared" ca="1" si="145"/>
        <v>2.2442427272544552</v>
      </c>
      <c r="T443" s="4">
        <f t="shared" ca="1" si="146"/>
        <v>0</v>
      </c>
      <c r="U443" s="120">
        <f t="shared" ca="1" si="147"/>
        <v>1575.901337549361</v>
      </c>
      <c r="V443" s="4">
        <f t="shared" ca="1" si="148"/>
        <v>0</v>
      </c>
      <c r="W443" s="13">
        <f t="shared" ca="1" si="149"/>
        <v>38632.806000000004</v>
      </c>
      <c r="X443" s="4">
        <f t="shared" ca="1" si="150"/>
        <v>0</v>
      </c>
      <c r="Y443" s="4">
        <f t="shared" si="151"/>
        <v>0</v>
      </c>
      <c r="Z443" s="13">
        <f t="shared" ca="1" si="152"/>
        <v>38632.806000000004</v>
      </c>
      <c r="AA443" s="4">
        <f t="shared" ca="1" si="153"/>
        <v>0</v>
      </c>
      <c r="AE443" s="4"/>
    </row>
    <row r="444" spans="1:31">
      <c r="A444">
        <v>3</v>
      </c>
      <c r="B444">
        <v>1</v>
      </c>
      <c r="C444">
        <f t="shared" ca="1" si="132"/>
        <v>5</v>
      </c>
      <c r="D444">
        <f t="shared" ca="1" si="133"/>
        <v>4</v>
      </c>
      <c r="E444">
        <f t="shared" ca="1" si="134"/>
        <v>3</v>
      </c>
      <c r="F444" s="110">
        <f t="shared" ca="1" si="135"/>
        <v>0</v>
      </c>
      <c r="G444">
        <v>1</v>
      </c>
      <c r="H444">
        <v>0</v>
      </c>
      <c r="I444">
        <v>5</v>
      </c>
      <c r="J444" s="1">
        <f t="shared" ca="1" si="136"/>
        <v>0</v>
      </c>
      <c r="K444" s="1">
        <f t="shared" ca="1" si="137"/>
        <v>0</v>
      </c>
      <c r="L444" s="13">
        <f t="shared" ca="1" si="138"/>
        <v>336</v>
      </c>
      <c r="M444" s="7">
        <f t="shared" ca="1" si="139"/>
        <v>664</v>
      </c>
      <c r="N444" s="26">
        <f t="shared" ca="1" si="140"/>
        <v>3</v>
      </c>
      <c r="O444" s="44">
        <f t="shared" ca="1" si="141"/>
        <v>2.2442427272544552</v>
      </c>
      <c r="P444" s="44">
        <f t="shared" ca="1" si="142"/>
        <v>22.442427272544553</v>
      </c>
      <c r="Q444" s="44">
        <f t="shared" ca="1" si="143"/>
        <v>22.442427272544553</v>
      </c>
      <c r="R444" s="44">
        <f t="shared" ca="1" si="144"/>
        <v>2.2442427272544552</v>
      </c>
      <c r="S444" s="44">
        <f t="shared" ca="1" si="145"/>
        <v>2.2442427272544552</v>
      </c>
      <c r="T444" s="4">
        <f t="shared" ca="1" si="146"/>
        <v>0</v>
      </c>
      <c r="U444" s="120">
        <f t="shared" ca="1" si="147"/>
        <v>1556.901337549361</v>
      </c>
      <c r="V444" s="4">
        <f t="shared" ca="1" si="148"/>
        <v>0</v>
      </c>
      <c r="W444" s="13">
        <f t="shared" ca="1" si="149"/>
        <v>36291.906000000003</v>
      </c>
      <c r="X444" s="4">
        <f t="shared" ca="1" si="150"/>
        <v>0</v>
      </c>
      <c r="Y444" s="4">
        <f t="shared" si="151"/>
        <v>0</v>
      </c>
      <c r="Z444" s="13">
        <f t="shared" ca="1" si="152"/>
        <v>36291.906000000003</v>
      </c>
      <c r="AA444" s="4">
        <f t="shared" ca="1" si="153"/>
        <v>0</v>
      </c>
      <c r="AE444" s="4"/>
    </row>
    <row r="445" spans="1:31">
      <c r="A445">
        <v>3</v>
      </c>
      <c r="B445">
        <v>1</v>
      </c>
      <c r="C445">
        <f t="shared" ca="1" si="132"/>
        <v>5</v>
      </c>
      <c r="D445">
        <f t="shared" ca="1" si="133"/>
        <v>4</v>
      </c>
      <c r="E445">
        <f t="shared" ca="1" si="134"/>
        <v>3</v>
      </c>
      <c r="F445" s="110">
        <f t="shared" ca="1" si="135"/>
        <v>0</v>
      </c>
      <c r="G445">
        <v>1</v>
      </c>
      <c r="H445">
        <v>0</v>
      </c>
      <c r="I445">
        <v>4</v>
      </c>
      <c r="J445" s="1">
        <f t="shared" ca="1" si="136"/>
        <v>0.55687255859374996</v>
      </c>
      <c r="K445" s="1">
        <f t="shared" ca="1" si="137"/>
        <v>0</v>
      </c>
      <c r="L445" s="13">
        <f t="shared" ca="1" si="138"/>
        <v>317</v>
      </c>
      <c r="M445" s="7">
        <f t="shared" ca="1" si="139"/>
        <v>683</v>
      </c>
      <c r="N445" s="26">
        <f t="shared" ca="1" si="140"/>
        <v>3</v>
      </c>
      <c r="O445" s="44">
        <f t="shared" ca="1" si="141"/>
        <v>2.2442427272544552</v>
      </c>
      <c r="P445" s="44">
        <f t="shared" ca="1" si="142"/>
        <v>22.442427272544553</v>
      </c>
      <c r="Q445" s="44">
        <f t="shared" ca="1" si="143"/>
        <v>22.442427272544553</v>
      </c>
      <c r="R445" s="44">
        <f t="shared" ca="1" si="144"/>
        <v>2.2442427272544552</v>
      </c>
      <c r="S445" s="44">
        <f t="shared" ca="1" si="145"/>
        <v>2.2442427272544552</v>
      </c>
      <c r="T445" s="4">
        <f t="shared" ca="1" si="146"/>
        <v>0</v>
      </c>
      <c r="U445" s="120">
        <f t="shared" ca="1" si="147"/>
        <v>1537.901337549361</v>
      </c>
      <c r="V445" s="4">
        <f t="shared" ca="1" si="148"/>
        <v>0</v>
      </c>
      <c r="W445" s="13">
        <f t="shared" ca="1" si="149"/>
        <v>33951.006000000001</v>
      </c>
      <c r="X445" s="4">
        <f t="shared" ca="1" si="150"/>
        <v>0</v>
      </c>
      <c r="Y445" s="4">
        <f t="shared" si="151"/>
        <v>0</v>
      </c>
      <c r="Z445" s="13">
        <f t="shared" ca="1" si="152"/>
        <v>33951.006000000001</v>
      </c>
      <c r="AA445" s="4">
        <f t="shared" ca="1" si="153"/>
        <v>0</v>
      </c>
      <c r="AE445" s="4"/>
    </row>
    <row r="446" spans="1:31">
      <c r="A446">
        <v>3</v>
      </c>
      <c r="B446">
        <v>1</v>
      </c>
      <c r="C446">
        <f t="shared" ca="1" si="132"/>
        <v>5</v>
      </c>
      <c r="D446">
        <f t="shared" ca="1" si="133"/>
        <v>4</v>
      </c>
      <c r="E446">
        <f t="shared" ca="1" si="134"/>
        <v>3</v>
      </c>
      <c r="F446" s="110">
        <f t="shared" ca="1" si="135"/>
        <v>0</v>
      </c>
      <c r="G446">
        <v>1</v>
      </c>
      <c r="H446">
        <v>0</v>
      </c>
      <c r="I446">
        <v>3</v>
      </c>
      <c r="J446" s="1">
        <f t="shared" ca="1" si="136"/>
        <v>0.31821289062499997</v>
      </c>
      <c r="K446" s="1">
        <f t="shared" ca="1" si="137"/>
        <v>0</v>
      </c>
      <c r="L446" s="13">
        <f t="shared" ca="1" si="138"/>
        <v>298</v>
      </c>
      <c r="M446" s="7">
        <f t="shared" ca="1" si="139"/>
        <v>702</v>
      </c>
      <c r="N446" s="26">
        <f t="shared" ca="1" si="140"/>
        <v>3</v>
      </c>
      <c r="O446" s="44">
        <f t="shared" ca="1" si="141"/>
        <v>2.2442427272544552</v>
      </c>
      <c r="P446" s="44">
        <f t="shared" ca="1" si="142"/>
        <v>22.442427272544553</v>
      </c>
      <c r="Q446" s="44">
        <f t="shared" ca="1" si="143"/>
        <v>22.442427272544553</v>
      </c>
      <c r="R446" s="44">
        <f t="shared" ca="1" si="144"/>
        <v>2.2442427272544552</v>
      </c>
      <c r="S446" s="44">
        <f t="shared" ca="1" si="145"/>
        <v>2.2442427272544552</v>
      </c>
      <c r="T446" s="4">
        <f t="shared" ca="1" si="146"/>
        <v>0</v>
      </c>
      <c r="U446" s="120">
        <f t="shared" ca="1" si="147"/>
        <v>1518.901337549361</v>
      </c>
      <c r="V446" s="4">
        <f t="shared" ca="1" si="148"/>
        <v>0</v>
      </c>
      <c r="W446" s="13">
        <f t="shared" ca="1" si="149"/>
        <v>31610.106000000003</v>
      </c>
      <c r="X446" s="4">
        <f t="shared" ca="1" si="150"/>
        <v>0</v>
      </c>
      <c r="Y446" s="4">
        <f t="shared" si="151"/>
        <v>0</v>
      </c>
      <c r="Z446" s="13">
        <f t="shared" ca="1" si="152"/>
        <v>31610.106000000003</v>
      </c>
      <c r="AA446" s="4">
        <f t="shared" ca="1" si="153"/>
        <v>0</v>
      </c>
      <c r="AE446" s="4"/>
    </row>
    <row r="447" spans="1:31">
      <c r="A447">
        <v>3</v>
      </c>
      <c r="B447">
        <v>1</v>
      </c>
      <c r="C447">
        <f t="shared" ca="1" si="132"/>
        <v>5</v>
      </c>
      <c r="D447">
        <f t="shared" ca="1" si="133"/>
        <v>4</v>
      </c>
      <c r="E447">
        <f t="shared" ca="1" si="134"/>
        <v>3</v>
      </c>
      <c r="F447" s="110">
        <f t="shared" ca="1" si="135"/>
        <v>0</v>
      </c>
      <c r="G447">
        <v>1</v>
      </c>
      <c r="H447">
        <v>0</v>
      </c>
      <c r="I447">
        <v>2</v>
      </c>
      <c r="J447" s="1">
        <f t="shared" ca="1" si="136"/>
        <v>6.8188476562500003E-2</v>
      </c>
      <c r="K447" s="1">
        <f t="shared" ca="1" si="137"/>
        <v>0</v>
      </c>
      <c r="L447" s="13">
        <f t="shared" ca="1" si="138"/>
        <v>279</v>
      </c>
      <c r="M447" s="7">
        <f t="shared" ca="1" si="139"/>
        <v>721</v>
      </c>
      <c r="N447" s="26">
        <f t="shared" ca="1" si="140"/>
        <v>3</v>
      </c>
      <c r="O447" s="44">
        <f t="shared" ca="1" si="141"/>
        <v>2.2442427272544552</v>
      </c>
      <c r="P447" s="44">
        <f t="shared" ca="1" si="142"/>
        <v>22.442427272544553</v>
      </c>
      <c r="Q447" s="44">
        <f t="shared" ca="1" si="143"/>
        <v>22.442427272544553</v>
      </c>
      <c r="R447" s="44">
        <f t="shared" ca="1" si="144"/>
        <v>2.2442427272544552</v>
      </c>
      <c r="S447" s="44">
        <f t="shared" ca="1" si="145"/>
        <v>2.2442427272544552</v>
      </c>
      <c r="T447" s="4">
        <f t="shared" ca="1" si="146"/>
        <v>0</v>
      </c>
      <c r="U447" s="120">
        <f t="shared" ca="1" si="147"/>
        <v>1499.901337549361</v>
      </c>
      <c r="V447" s="4">
        <f t="shared" ca="1" si="148"/>
        <v>0</v>
      </c>
      <c r="W447" s="13">
        <f t="shared" ca="1" si="149"/>
        <v>29269.206000000002</v>
      </c>
      <c r="X447" s="4">
        <f t="shared" ca="1" si="150"/>
        <v>0</v>
      </c>
      <c r="Y447" s="4">
        <f t="shared" si="151"/>
        <v>0</v>
      </c>
      <c r="Z447" s="13">
        <f t="shared" ca="1" si="152"/>
        <v>29269.206000000002</v>
      </c>
      <c r="AA447" s="4">
        <f t="shared" ca="1" si="153"/>
        <v>0</v>
      </c>
      <c r="AE447" s="4"/>
    </row>
    <row r="448" spans="1:31">
      <c r="A448">
        <v>3</v>
      </c>
      <c r="B448">
        <v>1</v>
      </c>
      <c r="C448">
        <f t="shared" ca="1" si="132"/>
        <v>5</v>
      </c>
      <c r="D448">
        <f t="shared" ca="1" si="133"/>
        <v>4</v>
      </c>
      <c r="E448">
        <f t="shared" ca="1" si="134"/>
        <v>3</v>
      </c>
      <c r="F448" s="110">
        <f t="shared" ca="1" si="135"/>
        <v>0</v>
      </c>
      <c r="G448">
        <v>1</v>
      </c>
      <c r="H448">
        <v>0</v>
      </c>
      <c r="I448">
        <v>1</v>
      </c>
      <c r="J448" s="1">
        <f t="shared" ca="1" si="136"/>
        <v>6.4941406249999995E-3</v>
      </c>
      <c r="K448" s="1">
        <f t="shared" ca="1" si="137"/>
        <v>0</v>
      </c>
      <c r="L448" s="13">
        <f t="shared" ca="1" si="138"/>
        <v>260</v>
      </c>
      <c r="M448" s="7">
        <f t="shared" ca="1" si="139"/>
        <v>740</v>
      </c>
      <c r="N448" s="26">
        <f t="shared" ca="1" si="140"/>
        <v>3</v>
      </c>
      <c r="O448" s="44">
        <f t="shared" ca="1" si="141"/>
        <v>2.2442427272544552</v>
      </c>
      <c r="P448" s="44">
        <f t="shared" ca="1" si="142"/>
        <v>22.442427272544553</v>
      </c>
      <c r="Q448" s="44">
        <f t="shared" ca="1" si="143"/>
        <v>22.442427272544553</v>
      </c>
      <c r="R448" s="44">
        <f t="shared" ca="1" si="144"/>
        <v>2.2442427272544552</v>
      </c>
      <c r="S448" s="44">
        <f t="shared" ca="1" si="145"/>
        <v>2.2442427272544552</v>
      </c>
      <c r="T448" s="4">
        <f t="shared" ca="1" si="146"/>
        <v>0</v>
      </c>
      <c r="U448" s="120">
        <f t="shared" ca="1" si="147"/>
        <v>1480.901337549361</v>
      </c>
      <c r="V448" s="4">
        <f t="shared" ca="1" si="148"/>
        <v>0</v>
      </c>
      <c r="W448" s="13">
        <f t="shared" ca="1" si="149"/>
        <v>26928.306000000004</v>
      </c>
      <c r="X448" s="4">
        <f t="shared" ca="1" si="150"/>
        <v>0</v>
      </c>
      <c r="Y448" s="4">
        <f t="shared" si="151"/>
        <v>0</v>
      </c>
      <c r="Z448" s="13">
        <f t="shared" ca="1" si="152"/>
        <v>26928.306000000004</v>
      </c>
      <c r="AA448" s="4">
        <f t="shared" ca="1" si="153"/>
        <v>0</v>
      </c>
      <c r="AE448" s="4"/>
    </row>
    <row r="449" spans="1:31">
      <c r="A449">
        <v>3</v>
      </c>
      <c r="B449">
        <v>1</v>
      </c>
      <c r="C449">
        <f t="shared" ca="1" si="132"/>
        <v>5</v>
      </c>
      <c r="D449">
        <f t="shared" ca="1" si="133"/>
        <v>4</v>
      </c>
      <c r="E449">
        <f t="shared" ca="1" si="134"/>
        <v>3</v>
      </c>
      <c r="F449" s="110">
        <f t="shared" ca="1" si="135"/>
        <v>0</v>
      </c>
      <c r="G449">
        <v>1</v>
      </c>
      <c r="H449">
        <v>0</v>
      </c>
      <c r="I449">
        <v>0</v>
      </c>
      <c r="J449" s="1">
        <f t="shared" ca="1" si="136"/>
        <v>2.3193359374999999E-4</v>
      </c>
      <c r="K449" s="1">
        <f t="shared" ca="1" si="137"/>
        <v>0</v>
      </c>
      <c r="L449" s="13">
        <f t="shared" ca="1" si="138"/>
        <v>241</v>
      </c>
      <c r="M449" s="7">
        <f t="shared" ca="1" si="139"/>
        <v>759</v>
      </c>
      <c r="N449" s="26">
        <f t="shared" ca="1" si="140"/>
        <v>3</v>
      </c>
      <c r="O449" s="44">
        <f t="shared" ca="1" si="141"/>
        <v>2.2442427272544552</v>
      </c>
      <c r="P449" s="44">
        <f t="shared" ca="1" si="142"/>
        <v>22.442427272544553</v>
      </c>
      <c r="Q449" s="44">
        <f t="shared" ca="1" si="143"/>
        <v>22.442427272544553</v>
      </c>
      <c r="R449" s="44">
        <f t="shared" ca="1" si="144"/>
        <v>2.2442427272544552</v>
      </c>
      <c r="S449" s="44">
        <f t="shared" ca="1" si="145"/>
        <v>2.2442427272544552</v>
      </c>
      <c r="T449" s="4">
        <f t="shared" ca="1" si="146"/>
        <v>0</v>
      </c>
      <c r="U449" s="120">
        <f t="shared" ca="1" si="147"/>
        <v>1461.901337549361</v>
      </c>
      <c r="V449" s="4">
        <f t="shared" ca="1" si="148"/>
        <v>0</v>
      </c>
      <c r="W449" s="13">
        <f t="shared" ca="1" si="149"/>
        <v>24587.406000000003</v>
      </c>
      <c r="X449" s="4">
        <f t="shared" ca="1" si="150"/>
        <v>0</v>
      </c>
      <c r="Y449" s="4">
        <f t="shared" si="151"/>
        <v>0</v>
      </c>
      <c r="Z449" s="13">
        <f t="shared" ca="1" si="152"/>
        <v>24587.406000000003</v>
      </c>
      <c r="AA449" s="4">
        <f t="shared" ca="1" si="153"/>
        <v>0</v>
      </c>
      <c r="AE449" s="4"/>
    </row>
    <row r="450" spans="1:31">
      <c r="A450">
        <v>3</v>
      </c>
      <c r="B450">
        <v>1</v>
      </c>
      <c r="C450">
        <f t="shared" ca="1" si="132"/>
        <v>5</v>
      </c>
      <c r="D450">
        <f t="shared" ca="1" si="133"/>
        <v>4</v>
      </c>
      <c r="E450">
        <f t="shared" ca="1" si="134"/>
        <v>3</v>
      </c>
      <c r="F450" s="110">
        <f t="shared" ca="1" si="135"/>
        <v>0</v>
      </c>
      <c r="G450">
        <v>0</v>
      </c>
      <c r="H450">
        <v>1</v>
      </c>
      <c r="I450">
        <v>7</v>
      </c>
      <c r="J450" s="1">
        <f t="shared" ca="1" si="136"/>
        <v>0</v>
      </c>
      <c r="K450" s="1">
        <f t="shared" ca="1" si="137"/>
        <v>0</v>
      </c>
      <c r="L450" s="13">
        <f t="shared" ca="1" si="138"/>
        <v>374</v>
      </c>
      <c r="M450" s="7">
        <f t="shared" ca="1" si="139"/>
        <v>626</v>
      </c>
      <c r="N450" s="26">
        <f t="shared" ca="1" si="140"/>
        <v>3</v>
      </c>
      <c r="O450" s="44">
        <f t="shared" ca="1" si="141"/>
        <v>2.2442427272544552</v>
      </c>
      <c r="P450" s="44">
        <f t="shared" ca="1" si="142"/>
        <v>22.442427272544553</v>
      </c>
      <c r="Q450" s="44">
        <f t="shared" ca="1" si="143"/>
        <v>22.442427272544553</v>
      </c>
      <c r="R450" s="44">
        <f t="shared" ca="1" si="144"/>
        <v>2.2442427272544552</v>
      </c>
      <c r="S450" s="44">
        <f t="shared" ca="1" si="145"/>
        <v>2.2442427272544552</v>
      </c>
      <c r="T450" s="4">
        <f t="shared" ca="1" si="146"/>
        <v>0</v>
      </c>
      <c r="U450" s="120">
        <f t="shared" ca="1" si="147"/>
        <v>1594.901337549361</v>
      </c>
      <c r="V450" s="4">
        <f t="shared" ca="1" si="148"/>
        <v>0</v>
      </c>
      <c r="W450" s="13">
        <f t="shared" ca="1" si="149"/>
        <v>16386.3</v>
      </c>
      <c r="X450" s="4">
        <f t="shared" ca="1" si="150"/>
        <v>0</v>
      </c>
      <c r="Y450" s="4">
        <f t="shared" si="151"/>
        <v>0</v>
      </c>
      <c r="Z450" s="13">
        <f t="shared" ca="1" si="152"/>
        <v>16386.3</v>
      </c>
      <c r="AA450" s="4">
        <f t="shared" ca="1" si="153"/>
        <v>0</v>
      </c>
      <c r="AE450" s="4"/>
    </row>
    <row r="451" spans="1:31">
      <c r="A451">
        <v>3</v>
      </c>
      <c r="B451">
        <v>1</v>
      </c>
      <c r="C451">
        <f t="shared" ca="1" si="132"/>
        <v>5</v>
      </c>
      <c r="D451">
        <f t="shared" ca="1" si="133"/>
        <v>4</v>
      </c>
      <c r="E451">
        <f t="shared" ca="1" si="134"/>
        <v>3</v>
      </c>
      <c r="F451" s="110">
        <f t="shared" ca="1" si="135"/>
        <v>0</v>
      </c>
      <c r="G451">
        <v>0</v>
      </c>
      <c r="H451">
        <v>1</v>
      </c>
      <c r="I451">
        <v>6</v>
      </c>
      <c r="J451" s="1">
        <f t="shared" ca="1" si="136"/>
        <v>0</v>
      </c>
      <c r="K451" s="1">
        <f t="shared" ca="1" si="137"/>
        <v>0</v>
      </c>
      <c r="L451" s="13">
        <f t="shared" ca="1" si="138"/>
        <v>355</v>
      </c>
      <c r="M451" s="7">
        <f t="shared" ca="1" si="139"/>
        <v>645</v>
      </c>
      <c r="N451" s="26">
        <f t="shared" ca="1" si="140"/>
        <v>3</v>
      </c>
      <c r="O451" s="44">
        <f t="shared" ca="1" si="141"/>
        <v>2.2442427272544552</v>
      </c>
      <c r="P451" s="44">
        <f t="shared" ca="1" si="142"/>
        <v>22.442427272544553</v>
      </c>
      <c r="Q451" s="44">
        <f t="shared" ca="1" si="143"/>
        <v>22.442427272544553</v>
      </c>
      <c r="R451" s="44">
        <f t="shared" ca="1" si="144"/>
        <v>2.2442427272544552</v>
      </c>
      <c r="S451" s="44">
        <f t="shared" ca="1" si="145"/>
        <v>2.2442427272544552</v>
      </c>
      <c r="T451" s="4">
        <f t="shared" ca="1" si="146"/>
        <v>0</v>
      </c>
      <c r="U451" s="120">
        <f t="shared" ca="1" si="147"/>
        <v>1575.901337549361</v>
      </c>
      <c r="V451" s="4">
        <f t="shared" ca="1" si="148"/>
        <v>0</v>
      </c>
      <c r="W451" s="13">
        <f t="shared" ca="1" si="149"/>
        <v>14045.400000000001</v>
      </c>
      <c r="X451" s="4">
        <f t="shared" ca="1" si="150"/>
        <v>0</v>
      </c>
      <c r="Y451" s="4">
        <f t="shared" si="151"/>
        <v>0</v>
      </c>
      <c r="Z451" s="13">
        <f t="shared" ca="1" si="152"/>
        <v>14045.400000000001</v>
      </c>
      <c r="AA451" s="4">
        <f t="shared" ca="1" si="153"/>
        <v>0</v>
      </c>
      <c r="AE451" s="4"/>
    </row>
    <row r="452" spans="1:31">
      <c r="A452">
        <v>3</v>
      </c>
      <c r="B452">
        <v>1</v>
      </c>
      <c r="C452">
        <f t="shared" ca="1" si="132"/>
        <v>5</v>
      </c>
      <c r="D452">
        <f t="shared" ca="1" si="133"/>
        <v>4</v>
      </c>
      <c r="E452">
        <f t="shared" ca="1" si="134"/>
        <v>3</v>
      </c>
      <c r="F452" s="110">
        <f t="shared" ca="1" si="135"/>
        <v>0</v>
      </c>
      <c r="G452">
        <v>0</v>
      </c>
      <c r="H452">
        <v>1</v>
      </c>
      <c r="I452">
        <v>5</v>
      </c>
      <c r="J452" s="1">
        <f t="shared" ca="1" si="136"/>
        <v>0</v>
      </c>
      <c r="K452" s="1">
        <f t="shared" ca="1" si="137"/>
        <v>0</v>
      </c>
      <c r="L452" s="13">
        <f t="shared" ca="1" si="138"/>
        <v>336</v>
      </c>
      <c r="M452" s="7">
        <f t="shared" ca="1" si="139"/>
        <v>664</v>
      </c>
      <c r="N452" s="26">
        <f t="shared" ca="1" si="140"/>
        <v>3</v>
      </c>
      <c r="O452" s="44">
        <f t="shared" ca="1" si="141"/>
        <v>2.2442427272544552</v>
      </c>
      <c r="P452" s="44">
        <f t="shared" ca="1" si="142"/>
        <v>22.442427272544553</v>
      </c>
      <c r="Q452" s="44">
        <f t="shared" ca="1" si="143"/>
        <v>22.442427272544553</v>
      </c>
      <c r="R452" s="44">
        <f t="shared" ca="1" si="144"/>
        <v>2.2442427272544552</v>
      </c>
      <c r="S452" s="44">
        <f t="shared" ca="1" si="145"/>
        <v>2.2442427272544552</v>
      </c>
      <c r="T452" s="4">
        <f t="shared" ca="1" si="146"/>
        <v>0</v>
      </c>
      <c r="U452" s="120">
        <f t="shared" ca="1" si="147"/>
        <v>1556.901337549361</v>
      </c>
      <c r="V452" s="4">
        <f t="shared" ca="1" si="148"/>
        <v>0</v>
      </c>
      <c r="W452" s="13">
        <f t="shared" ca="1" si="149"/>
        <v>11704.5</v>
      </c>
      <c r="X452" s="4">
        <f t="shared" ca="1" si="150"/>
        <v>0</v>
      </c>
      <c r="Y452" s="4">
        <f t="shared" si="151"/>
        <v>0</v>
      </c>
      <c r="Z452" s="13">
        <f t="shared" ca="1" si="152"/>
        <v>11704.5</v>
      </c>
      <c r="AA452" s="4">
        <f t="shared" ca="1" si="153"/>
        <v>0</v>
      </c>
      <c r="AE452" s="4"/>
    </row>
    <row r="453" spans="1:31">
      <c r="A453">
        <v>3</v>
      </c>
      <c r="B453">
        <v>1</v>
      </c>
      <c r="C453">
        <f t="shared" ca="1" si="132"/>
        <v>5</v>
      </c>
      <c r="D453">
        <f t="shared" ca="1" si="133"/>
        <v>4</v>
      </c>
      <c r="E453">
        <f t="shared" ca="1" si="134"/>
        <v>3</v>
      </c>
      <c r="F453" s="110">
        <f t="shared" ca="1" si="135"/>
        <v>0</v>
      </c>
      <c r="G453">
        <v>0</v>
      </c>
      <c r="H453">
        <v>1</v>
      </c>
      <c r="I453">
        <v>4</v>
      </c>
      <c r="J453" s="1">
        <f t="shared" ca="1" si="136"/>
        <v>0</v>
      </c>
      <c r="K453" s="1">
        <f t="shared" ca="1" si="137"/>
        <v>0</v>
      </c>
      <c r="L453" s="13">
        <f t="shared" ca="1" si="138"/>
        <v>317</v>
      </c>
      <c r="M453" s="7">
        <f t="shared" ca="1" si="139"/>
        <v>683</v>
      </c>
      <c r="N453" s="26">
        <f t="shared" ca="1" si="140"/>
        <v>3</v>
      </c>
      <c r="O453" s="44">
        <f t="shared" ca="1" si="141"/>
        <v>2.2442427272544552</v>
      </c>
      <c r="P453" s="44">
        <f t="shared" ca="1" si="142"/>
        <v>22.442427272544553</v>
      </c>
      <c r="Q453" s="44">
        <f t="shared" ca="1" si="143"/>
        <v>22.442427272544553</v>
      </c>
      <c r="R453" s="44">
        <f t="shared" ca="1" si="144"/>
        <v>2.2442427272544552</v>
      </c>
      <c r="S453" s="44">
        <f t="shared" ca="1" si="145"/>
        <v>2.2442427272544552</v>
      </c>
      <c r="T453" s="4">
        <f t="shared" ca="1" si="146"/>
        <v>0</v>
      </c>
      <c r="U453" s="120">
        <f t="shared" ca="1" si="147"/>
        <v>1537.901337549361</v>
      </c>
      <c r="V453" s="4">
        <f t="shared" ca="1" si="148"/>
        <v>0</v>
      </c>
      <c r="W453" s="13">
        <f t="shared" ca="1" si="149"/>
        <v>9363.6</v>
      </c>
      <c r="X453" s="4">
        <f t="shared" ca="1" si="150"/>
        <v>0</v>
      </c>
      <c r="Y453" s="4">
        <f t="shared" si="151"/>
        <v>0</v>
      </c>
      <c r="Z453" s="13">
        <f t="shared" ca="1" si="152"/>
        <v>9363.6</v>
      </c>
      <c r="AA453" s="4">
        <f t="shared" ca="1" si="153"/>
        <v>0</v>
      </c>
      <c r="AE453" s="4"/>
    </row>
    <row r="454" spans="1:31">
      <c r="A454">
        <v>3</v>
      </c>
      <c r="B454">
        <v>1</v>
      </c>
      <c r="C454">
        <f t="shared" ca="1" si="132"/>
        <v>5</v>
      </c>
      <c r="D454">
        <f t="shared" ca="1" si="133"/>
        <v>4</v>
      </c>
      <c r="E454">
        <f t="shared" ca="1" si="134"/>
        <v>3</v>
      </c>
      <c r="F454" s="110">
        <f t="shared" ca="1" si="135"/>
        <v>0</v>
      </c>
      <c r="G454">
        <v>0</v>
      </c>
      <c r="H454">
        <v>1</v>
      </c>
      <c r="I454">
        <v>3</v>
      </c>
      <c r="J454" s="1">
        <f t="shared" ca="1" si="136"/>
        <v>0</v>
      </c>
      <c r="K454" s="1">
        <f t="shared" ca="1" si="137"/>
        <v>0</v>
      </c>
      <c r="L454" s="13">
        <f t="shared" ca="1" si="138"/>
        <v>298</v>
      </c>
      <c r="M454" s="7">
        <f t="shared" ca="1" si="139"/>
        <v>702</v>
      </c>
      <c r="N454" s="26">
        <f t="shared" ca="1" si="140"/>
        <v>3</v>
      </c>
      <c r="O454" s="44">
        <f t="shared" ca="1" si="141"/>
        <v>2.2442427272544552</v>
      </c>
      <c r="P454" s="44">
        <f t="shared" ca="1" si="142"/>
        <v>22.442427272544553</v>
      </c>
      <c r="Q454" s="44">
        <f t="shared" ca="1" si="143"/>
        <v>22.442427272544553</v>
      </c>
      <c r="R454" s="44">
        <f t="shared" ca="1" si="144"/>
        <v>2.2442427272544552</v>
      </c>
      <c r="S454" s="44">
        <f t="shared" ca="1" si="145"/>
        <v>2.2442427272544552</v>
      </c>
      <c r="T454" s="4">
        <f t="shared" ca="1" si="146"/>
        <v>0</v>
      </c>
      <c r="U454" s="120">
        <f t="shared" ca="1" si="147"/>
        <v>1518.901337549361</v>
      </c>
      <c r="V454" s="4">
        <f t="shared" ca="1" si="148"/>
        <v>0</v>
      </c>
      <c r="W454" s="13">
        <f t="shared" ca="1" si="149"/>
        <v>7022.7000000000007</v>
      </c>
      <c r="X454" s="4">
        <f t="shared" ca="1" si="150"/>
        <v>0</v>
      </c>
      <c r="Y454" s="4">
        <f t="shared" si="151"/>
        <v>0</v>
      </c>
      <c r="Z454" s="13">
        <f t="shared" ca="1" si="152"/>
        <v>7022.7000000000007</v>
      </c>
      <c r="AA454" s="4">
        <f t="shared" ca="1" si="153"/>
        <v>0</v>
      </c>
      <c r="AE454" s="4"/>
    </row>
    <row r="455" spans="1:31">
      <c r="A455">
        <v>3</v>
      </c>
      <c r="B455">
        <v>1</v>
      </c>
      <c r="C455">
        <f t="shared" ca="1" si="132"/>
        <v>5</v>
      </c>
      <c r="D455">
        <f t="shared" ca="1" si="133"/>
        <v>4</v>
      </c>
      <c r="E455">
        <f t="shared" ca="1" si="134"/>
        <v>3</v>
      </c>
      <c r="F455" s="110">
        <f t="shared" ca="1" si="135"/>
        <v>0</v>
      </c>
      <c r="G455">
        <v>0</v>
      </c>
      <c r="H455">
        <v>1</v>
      </c>
      <c r="I455">
        <v>2</v>
      </c>
      <c r="J455" s="1">
        <f t="shared" ca="1" si="136"/>
        <v>0</v>
      </c>
      <c r="K455" s="1">
        <f t="shared" ca="1" si="137"/>
        <v>0</v>
      </c>
      <c r="L455" s="13">
        <f t="shared" ca="1" si="138"/>
        <v>279</v>
      </c>
      <c r="M455" s="7">
        <f t="shared" ca="1" si="139"/>
        <v>721</v>
      </c>
      <c r="N455" s="26">
        <f t="shared" ca="1" si="140"/>
        <v>3</v>
      </c>
      <c r="O455" s="44">
        <f t="shared" ca="1" si="141"/>
        <v>2.2442427272544552</v>
      </c>
      <c r="P455" s="44">
        <f t="shared" ca="1" si="142"/>
        <v>22.442427272544553</v>
      </c>
      <c r="Q455" s="44">
        <f t="shared" ca="1" si="143"/>
        <v>22.442427272544553</v>
      </c>
      <c r="R455" s="44">
        <f t="shared" ca="1" si="144"/>
        <v>2.2442427272544552</v>
      </c>
      <c r="S455" s="44">
        <f t="shared" ca="1" si="145"/>
        <v>2.2442427272544552</v>
      </c>
      <c r="T455" s="4">
        <f t="shared" ca="1" si="146"/>
        <v>0</v>
      </c>
      <c r="U455" s="120">
        <f t="shared" ca="1" si="147"/>
        <v>1499.901337549361</v>
      </c>
      <c r="V455" s="4">
        <f t="shared" ca="1" si="148"/>
        <v>0</v>
      </c>
      <c r="W455" s="13">
        <f t="shared" ca="1" si="149"/>
        <v>4681.8</v>
      </c>
      <c r="X455" s="4">
        <f t="shared" ca="1" si="150"/>
        <v>0</v>
      </c>
      <c r="Y455" s="4">
        <f t="shared" si="151"/>
        <v>0</v>
      </c>
      <c r="Z455" s="13">
        <f t="shared" ca="1" si="152"/>
        <v>4681.8</v>
      </c>
      <c r="AA455" s="4">
        <f t="shared" ca="1" si="153"/>
        <v>0</v>
      </c>
      <c r="AE455" s="4"/>
    </row>
    <row r="456" spans="1:31">
      <c r="A456">
        <v>3</v>
      </c>
      <c r="B456">
        <v>1</v>
      </c>
      <c r="C456">
        <f t="shared" ca="1" si="132"/>
        <v>5</v>
      </c>
      <c r="D456">
        <f t="shared" ca="1" si="133"/>
        <v>4</v>
      </c>
      <c r="E456">
        <f t="shared" ca="1" si="134"/>
        <v>3</v>
      </c>
      <c r="F456" s="110">
        <f t="shared" ca="1" si="135"/>
        <v>0</v>
      </c>
      <c r="G456">
        <v>0</v>
      </c>
      <c r="H456">
        <v>1</v>
      </c>
      <c r="I456">
        <v>1</v>
      </c>
      <c r="J456" s="1">
        <f t="shared" ca="1" si="136"/>
        <v>0</v>
      </c>
      <c r="K456" s="1">
        <f t="shared" ca="1" si="137"/>
        <v>0</v>
      </c>
      <c r="L456" s="13">
        <f t="shared" ca="1" si="138"/>
        <v>260</v>
      </c>
      <c r="M456" s="7">
        <f t="shared" ca="1" si="139"/>
        <v>740</v>
      </c>
      <c r="N456" s="26">
        <f t="shared" ca="1" si="140"/>
        <v>3</v>
      </c>
      <c r="O456" s="44">
        <f t="shared" ca="1" si="141"/>
        <v>2.2442427272544552</v>
      </c>
      <c r="P456" s="44">
        <f t="shared" ca="1" si="142"/>
        <v>22.442427272544553</v>
      </c>
      <c r="Q456" s="44">
        <f t="shared" ca="1" si="143"/>
        <v>22.442427272544553</v>
      </c>
      <c r="R456" s="44">
        <f t="shared" ca="1" si="144"/>
        <v>2.2442427272544552</v>
      </c>
      <c r="S456" s="44">
        <f t="shared" ca="1" si="145"/>
        <v>2.2442427272544552</v>
      </c>
      <c r="T456" s="4">
        <f t="shared" ca="1" si="146"/>
        <v>0</v>
      </c>
      <c r="U456" s="120">
        <f t="shared" ca="1" si="147"/>
        <v>1480.901337549361</v>
      </c>
      <c r="V456" s="4">
        <f t="shared" ca="1" si="148"/>
        <v>0</v>
      </c>
      <c r="W456" s="13">
        <f t="shared" ca="1" si="149"/>
        <v>2340.9</v>
      </c>
      <c r="X456" s="4">
        <f t="shared" ca="1" si="150"/>
        <v>0</v>
      </c>
      <c r="Y456" s="4">
        <f t="shared" si="151"/>
        <v>0</v>
      </c>
      <c r="Z456" s="13">
        <f t="shared" ca="1" si="152"/>
        <v>2340.9</v>
      </c>
      <c r="AA456" s="4">
        <f t="shared" ca="1" si="153"/>
        <v>0</v>
      </c>
      <c r="AE456" s="4"/>
    </row>
    <row r="457" spans="1:31">
      <c r="A457">
        <v>3</v>
      </c>
      <c r="B457">
        <v>1</v>
      </c>
      <c r="C457">
        <f t="shared" ca="1" si="132"/>
        <v>5</v>
      </c>
      <c r="D457">
        <f t="shared" ca="1" si="133"/>
        <v>4</v>
      </c>
      <c r="E457">
        <f t="shared" ca="1" si="134"/>
        <v>3</v>
      </c>
      <c r="F457" s="110">
        <f t="shared" ca="1" si="135"/>
        <v>0</v>
      </c>
      <c r="G457">
        <v>0</v>
      </c>
      <c r="H457">
        <v>1</v>
      </c>
      <c r="I457">
        <v>0</v>
      </c>
      <c r="J457" s="1">
        <f t="shared" ca="1" si="136"/>
        <v>0</v>
      </c>
      <c r="K457" s="1">
        <f t="shared" ca="1" si="137"/>
        <v>0</v>
      </c>
      <c r="L457" s="13">
        <f t="shared" ca="1" si="138"/>
        <v>241</v>
      </c>
      <c r="M457" s="7">
        <f t="shared" ca="1" si="139"/>
        <v>759</v>
      </c>
      <c r="N457" s="26">
        <f t="shared" ca="1" si="140"/>
        <v>3</v>
      </c>
      <c r="O457" s="44">
        <f t="shared" ca="1" si="141"/>
        <v>2.2442427272544552</v>
      </c>
      <c r="P457" s="44">
        <f t="shared" ca="1" si="142"/>
        <v>22.442427272544553</v>
      </c>
      <c r="Q457" s="44">
        <f t="shared" ca="1" si="143"/>
        <v>22.442427272544553</v>
      </c>
      <c r="R457" s="44">
        <f t="shared" ca="1" si="144"/>
        <v>2.2442427272544552</v>
      </c>
      <c r="S457" s="44">
        <f t="shared" ca="1" si="145"/>
        <v>2.2442427272544552</v>
      </c>
      <c r="T457" s="4">
        <f t="shared" ca="1" si="146"/>
        <v>0</v>
      </c>
      <c r="U457" s="120">
        <f t="shared" ca="1" si="147"/>
        <v>1461.901337549361</v>
      </c>
      <c r="V457" s="4">
        <f t="shared" ca="1" si="148"/>
        <v>0</v>
      </c>
      <c r="W457" s="13">
        <f t="shared" ca="1" si="149"/>
        <v>0</v>
      </c>
      <c r="X457" s="4">
        <f t="shared" ca="1" si="150"/>
        <v>0</v>
      </c>
      <c r="Y457" s="4">
        <f t="shared" si="151"/>
        <v>0</v>
      </c>
      <c r="Z457" s="13">
        <f t="shared" ca="1" si="152"/>
        <v>0</v>
      </c>
      <c r="AA457" s="4">
        <f t="shared" ca="1" si="153"/>
        <v>0</v>
      </c>
      <c r="AE457" s="4"/>
    </row>
    <row r="458" spans="1:31">
      <c r="A458">
        <v>3</v>
      </c>
      <c r="B458">
        <v>1</v>
      </c>
      <c r="C458">
        <f t="shared" ca="1" si="132"/>
        <v>5</v>
      </c>
      <c r="D458">
        <f t="shared" ca="1" si="133"/>
        <v>4</v>
      </c>
      <c r="E458">
        <f t="shared" ca="1" si="134"/>
        <v>3</v>
      </c>
      <c r="F458" s="110">
        <f t="shared" ca="1" si="135"/>
        <v>0</v>
      </c>
      <c r="G458">
        <v>0</v>
      </c>
      <c r="H458">
        <v>0</v>
      </c>
      <c r="I458">
        <v>7</v>
      </c>
      <c r="J458" s="1">
        <f t="shared" ca="1" si="136"/>
        <v>0</v>
      </c>
      <c r="K458" s="1">
        <f t="shared" ca="1" si="137"/>
        <v>0</v>
      </c>
      <c r="L458" s="13">
        <f t="shared" ca="1" si="138"/>
        <v>133</v>
      </c>
      <c r="M458" s="7">
        <f t="shared" ca="1" si="139"/>
        <v>867</v>
      </c>
      <c r="N458" s="26">
        <f t="shared" ca="1" si="140"/>
        <v>4</v>
      </c>
      <c r="O458" s="44">
        <f t="shared" ca="1" si="141"/>
        <v>2.8621467101781541</v>
      </c>
      <c r="P458" s="44">
        <f t="shared" ca="1" si="142"/>
        <v>28.621467101781548</v>
      </c>
      <c r="Q458" s="44">
        <f t="shared" ca="1" si="143"/>
        <v>24.914043204239348</v>
      </c>
      <c r="R458" s="44">
        <f t="shared" ca="1" si="144"/>
        <v>2.6767755153010446</v>
      </c>
      <c r="S458" s="44">
        <f t="shared" ca="1" si="145"/>
        <v>2.8491707265367565</v>
      </c>
      <c r="T458" s="4">
        <f t="shared" ca="1" si="146"/>
        <v>0</v>
      </c>
      <c r="U458" s="120">
        <f t="shared" ca="1" si="147"/>
        <v>1622.8690837457082</v>
      </c>
      <c r="V458" s="4">
        <f t="shared" ca="1" si="148"/>
        <v>0</v>
      </c>
      <c r="W458" s="13">
        <f t="shared" ca="1" si="149"/>
        <v>16386.3</v>
      </c>
      <c r="X458" s="4">
        <f t="shared" ca="1" si="150"/>
        <v>0</v>
      </c>
      <c r="Y458" s="4">
        <f t="shared" si="151"/>
        <v>0</v>
      </c>
      <c r="Z458" s="13">
        <f t="shared" ca="1" si="152"/>
        <v>16386.3</v>
      </c>
      <c r="AA458" s="4">
        <f t="shared" ca="1" si="153"/>
        <v>0</v>
      </c>
      <c r="AE458" s="4"/>
    </row>
    <row r="459" spans="1:31">
      <c r="A459">
        <v>3</v>
      </c>
      <c r="B459">
        <v>1</v>
      </c>
      <c r="C459">
        <f t="shared" ca="1" si="132"/>
        <v>5</v>
      </c>
      <c r="D459">
        <f t="shared" ca="1" si="133"/>
        <v>4</v>
      </c>
      <c r="E459">
        <f t="shared" ca="1" si="134"/>
        <v>3</v>
      </c>
      <c r="F459" s="110">
        <f t="shared" ca="1" si="135"/>
        <v>0</v>
      </c>
      <c r="G459">
        <v>0</v>
      </c>
      <c r="H459">
        <v>0</v>
      </c>
      <c r="I459">
        <v>6</v>
      </c>
      <c r="J459" s="1">
        <f t="shared" ca="1" si="136"/>
        <v>0</v>
      </c>
      <c r="K459" s="1">
        <f t="shared" ca="1" si="137"/>
        <v>0</v>
      </c>
      <c r="L459" s="13">
        <f t="shared" ca="1" si="138"/>
        <v>114</v>
      </c>
      <c r="M459" s="7">
        <f t="shared" ca="1" si="139"/>
        <v>886</v>
      </c>
      <c r="N459" s="26">
        <f t="shared" ca="1" si="140"/>
        <v>4</v>
      </c>
      <c r="O459" s="44">
        <f t="shared" ca="1" si="141"/>
        <v>2.8621467101781541</v>
      </c>
      <c r="P459" s="44">
        <f t="shared" ca="1" si="142"/>
        <v>28.621467101781548</v>
      </c>
      <c r="Q459" s="44">
        <f t="shared" ca="1" si="143"/>
        <v>28.621467101781548</v>
      </c>
      <c r="R459" s="44">
        <f t="shared" ca="1" si="144"/>
        <v>2.8621467101781546</v>
      </c>
      <c r="S459" s="44">
        <f t="shared" ca="1" si="145"/>
        <v>2.8621467101781541</v>
      </c>
      <c r="T459" s="4">
        <f t="shared" ca="1" si="146"/>
        <v>0</v>
      </c>
      <c r="U459" s="120">
        <f t="shared" ca="1" si="147"/>
        <v>1609.6385655333725</v>
      </c>
      <c r="V459" s="4">
        <f t="shared" ca="1" si="148"/>
        <v>0</v>
      </c>
      <c r="W459" s="13">
        <f t="shared" ca="1" si="149"/>
        <v>14045.400000000001</v>
      </c>
      <c r="X459" s="4">
        <f t="shared" ca="1" si="150"/>
        <v>0</v>
      </c>
      <c r="Y459" s="4">
        <f t="shared" si="151"/>
        <v>0</v>
      </c>
      <c r="Z459" s="13">
        <f t="shared" ca="1" si="152"/>
        <v>14045.400000000001</v>
      </c>
      <c r="AA459" s="4">
        <f t="shared" ca="1" si="153"/>
        <v>0</v>
      </c>
      <c r="AE459" s="4"/>
    </row>
    <row r="460" spans="1:31">
      <c r="A460">
        <v>3</v>
      </c>
      <c r="B460">
        <v>1</v>
      </c>
      <c r="C460">
        <f t="shared" ca="1" si="132"/>
        <v>5</v>
      </c>
      <c r="D460">
        <f t="shared" ca="1" si="133"/>
        <v>4</v>
      </c>
      <c r="E460">
        <f t="shared" ca="1" si="134"/>
        <v>3</v>
      </c>
      <c r="F460" s="110">
        <f t="shared" ca="1" si="135"/>
        <v>0</v>
      </c>
      <c r="G460">
        <v>0</v>
      </c>
      <c r="H460">
        <v>0</v>
      </c>
      <c r="I460">
        <v>5</v>
      </c>
      <c r="J460" s="1">
        <f t="shared" ca="1" si="136"/>
        <v>0</v>
      </c>
      <c r="K460" s="1">
        <f t="shared" ca="1" si="137"/>
        <v>0</v>
      </c>
      <c r="L460" s="13">
        <f t="shared" ca="1" si="138"/>
        <v>95</v>
      </c>
      <c r="M460" s="7">
        <f t="shared" ca="1" si="139"/>
        <v>905</v>
      </c>
      <c r="N460" s="26">
        <f t="shared" ca="1" si="140"/>
        <v>4</v>
      </c>
      <c r="O460" s="44">
        <f t="shared" ca="1" si="141"/>
        <v>2.8621467101781541</v>
      </c>
      <c r="P460" s="44">
        <f t="shared" ca="1" si="142"/>
        <v>28.621467101781548</v>
      </c>
      <c r="Q460" s="44">
        <f t="shared" ca="1" si="143"/>
        <v>28.621467101781548</v>
      </c>
      <c r="R460" s="44">
        <f t="shared" ca="1" si="144"/>
        <v>2.8621467101781546</v>
      </c>
      <c r="S460" s="44">
        <f t="shared" ca="1" si="145"/>
        <v>2.8621467101781541</v>
      </c>
      <c r="T460" s="4">
        <f t="shared" ca="1" si="146"/>
        <v>0</v>
      </c>
      <c r="U460" s="120">
        <f t="shared" ca="1" si="147"/>
        <v>1590.6385655333725</v>
      </c>
      <c r="V460" s="4">
        <f t="shared" ca="1" si="148"/>
        <v>0</v>
      </c>
      <c r="W460" s="13">
        <f t="shared" ca="1" si="149"/>
        <v>11704.5</v>
      </c>
      <c r="X460" s="4">
        <f t="shared" ca="1" si="150"/>
        <v>0</v>
      </c>
      <c r="Y460" s="4">
        <f t="shared" si="151"/>
        <v>0</v>
      </c>
      <c r="Z460" s="13">
        <f t="shared" ca="1" si="152"/>
        <v>11704.5</v>
      </c>
      <c r="AA460" s="4">
        <f t="shared" ca="1" si="153"/>
        <v>0</v>
      </c>
      <c r="AE460" s="4"/>
    </row>
    <row r="461" spans="1:31">
      <c r="A461">
        <v>3</v>
      </c>
      <c r="B461">
        <v>1</v>
      </c>
      <c r="C461">
        <f t="shared" ca="1" si="132"/>
        <v>5</v>
      </c>
      <c r="D461">
        <f t="shared" ca="1" si="133"/>
        <v>4</v>
      </c>
      <c r="E461">
        <f t="shared" ca="1" si="134"/>
        <v>3</v>
      </c>
      <c r="F461" s="110">
        <f t="shared" ca="1" si="135"/>
        <v>0</v>
      </c>
      <c r="G461">
        <v>0</v>
      </c>
      <c r="H461">
        <v>0</v>
      </c>
      <c r="I461">
        <v>4</v>
      </c>
      <c r="J461" s="1">
        <f t="shared" ca="1" si="136"/>
        <v>2.9309082031250003E-2</v>
      </c>
      <c r="K461" s="1">
        <f t="shared" ca="1" si="137"/>
        <v>0</v>
      </c>
      <c r="L461" s="13">
        <f t="shared" ca="1" si="138"/>
        <v>76</v>
      </c>
      <c r="M461" s="7">
        <f t="shared" ca="1" si="139"/>
        <v>924</v>
      </c>
      <c r="N461" s="26">
        <f t="shared" ca="1" si="140"/>
        <v>4</v>
      </c>
      <c r="O461" s="44">
        <f t="shared" ca="1" si="141"/>
        <v>2.8621467101781541</v>
      </c>
      <c r="P461" s="44">
        <f t="shared" ca="1" si="142"/>
        <v>28.621467101781548</v>
      </c>
      <c r="Q461" s="44">
        <f t="shared" ca="1" si="143"/>
        <v>28.621467101781548</v>
      </c>
      <c r="R461" s="44">
        <f t="shared" ca="1" si="144"/>
        <v>2.8621467101781546</v>
      </c>
      <c r="S461" s="44">
        <f t="shared" ca="1" si="145"/>
        <v>2.8621467101781541</v>
      </c>
      <c r="T461" s="4">
        <f t="shared" ca="1" si="146"/>
        <v>0</v>
      </c>
      <c r="U461" s="120">
        <f t="shared" ca="1" si="147"/>
        <v>1571.6385655333725</v>
      </c>
      <c r="V461" s="4">
        <f t="shared" ca="1" si="148"/>
        <v>0</v>
      </c>
      <c r="W461" s="13">
        <f t="shared" ca="1" si="149"/>
        <v>9363.6</v>
      </c>
      <c r="X461" s="4">
        <f t="shared" ca="1" si="150"/>
        <v>0</v>
      </c>
      <c r="Y461" s="4">
        <f t="shared" si="151"/>
        <v>0</v>
      </c>
      <c r="Z461" s="13">
        <f t="shared" ca="1" si="152"/>
        <v>9363.6</v>
      </c>
      <c r="AA461" s="4">
        <f t="shared" ca="1" si="153"/>
        <v>0</v>
      </c>
      <c r="AE461" s="4"/>
    </row>
    <row r="462" spans="1:31">
      <c r="A462">
        <v>3</v>
      </c>
      <c r="B462">
        <v>1</v>
      </c>
      <c r="C462">
        <f t="shared" ca="1" si="132"/>
        <v>5</v>
      </c>
      <c r="D462">
        <f t="shared" ca="1" si="133"/>
        <v>4</v>
      </c>
      <c r="E462">
        <f t="shared" ca="1" si="134"/>
        <v>3</v>
      </c>
      <c r="F462" s="110">
        <f t="shared" ca="1" si="135"/>
        <v>0</v>
      </c>
      <c r="G462">
        <v>0</v>
      </c>
      <c r="H462">
        <v>0</v>
      </c>
      <c r="I462">
        <v>3</v>
      </c>
      <c r="J462" s="1">
        <f t="shared" ca="1" si="136"/>
        <v>1.6748046875000002E-2</v>
      </c>
      <c r="K462" s="1">
        <f t="shared" ca="1" si="137"/>
        <v>0</v>
      </c>
      <c r="L462" s="13">
        <f t="shared" ca="1" si="138"/>
        <v>57</v>
      </c>
      <c r="M462" s="7">
        <f t="shared" ca="1" si="139"/>
        <v>943</v>
      </c>
      <c r="N462" s="26">
        <f t="shared" ca="1" si="140"/>
        <v>4</v>
      </c>
      <c r="O462" s="44">
        <f t="shared" ca="1" si="141"/>
        <v>2.8621467101781541</v>
      </c>
      <c r="P462" s="44">
        <f t="shared" ca="1" si="142"/>
        <v>28.621467101781548</v>
      </c>
      <c r="Q462" s="44">
        <f t="shared" ca="1" si="143"/>
        <v>28.621467101781548</v>
      </c>
      <c r="R462" s="44">
        <f t="shared" ca="1" si="144"/>
        <v>2.8621467101781546</v>
      </c>
      <c r="S462" s="44">
        <f t="shared" ca="1" si="145"/>
        <v>2.8621467101781541</v>
      </c>
      <c r="T462" s="4">
        <f t="shared" ca="1" si="146"/>
        <v>0</v>
      </c>
      <c r="U462" s="120">
        <f t="shared" ca="1" si="147"/>
        <v>1552.6385655333725</v>
      </c>
      <c r="V462" s="4">
        <f t="shared" ca="1" si="148"/>
        <v>0</v>
      </c>
      <c r="W462" s="13">
        <f t="shared" ca="1" si="149"/>
        <v>7022.7000000000007</v>
      </c>
      <c r="X462" s="4">
        <f t="shared" ca="1" si="150"/>
        <v>0</v>
      </c>
      <c r="Y462" s="4">
        <f t="shared" si="151"/>
        <v>0</v>
      </c>
      <c r="Z462" s="13">
        <f t="shared" ca="1" si="152"/>
        <v>7022.7000000000007</v>
      </c>
      <c r="AA462" s="4">
        <f t="shared" ca="1" si="153"/>
        <v>0</v>
      </c>
      <c r="AE462" s="4"/>
    </row>
    <row r="463" spans="1:31">
      <c r="A463">
        <v>3</v>
      </c>
      <c r="B463">
        <v>1</v>
      </c>
      <c r="C463">
        <f t="shared" ca="1" si="132"/>
        <v>5</v>
      </c>
      <c r="D463">
        <f t="shared" ca="1" si="133"/>
        <v>4</v>
      </c>
      <c r="E463">
        <f t="shared" ca="1" si="134"/>
        <v>3</v>
      </c>
      <c r="F463" s="110">
        <f t="shared" ca="1" si="135"/>
        <v>0</v>
      </c>
      <c r="G463">
        <v>0</v>
      </c>
      <c r="H463">
        <v>0</v>
      </c>
      <c r="I463">
        <v>2</v>
      </c>
      <c r="J463" s="1">
        <f t="shared" ca="1" si="136"/>
        <v>3.5888671875000003E-3</v>
      </c>
      <c r="K463" s="1">
        <f t="shared" ca="1" si="137"/>
        <v>0</v>
      </c>
      <c r="L463" s="13">
        <f t="shared" ca="1" si="138"/>
        <v>38</v>
      </c>
      <c r="M463" s="7">
        <f t="shared" ca="1" si="139"/>
        <v>962</v>
      </c>
      <c r="N463" s="26">
        <f t="shared" ca="1" si="140"/>
        <v>4</v>
      </c>
      <c r="O463" s="44">
        <f t="shared" ca="1" si="141"/>
        <v>2.8621467101781541</v>
      </c>
      <c r="P463" s="44">
        <f t="shared" ca="1" si="142"/>
        <v>28.621467101781548</v>
      </c>
      <c r="Q463" s="44">
        <f t="shared" ca="1" si="143"/>
        <v>28.621467101781548</v>
      </c>
      <c r="R463" s="44">
        <f t="shared" ca="1" si="144"/>
        <v>2.8621467101781546</v>
      </c>
      <c r="S463" s="44">
        <f t="shared" ca="1" si="145"/>
        <v>2.8621467101781541</v>
      </c>
      <c r="T463" s="4">
        <f t="shared" ca="1" si="146"/>
        <v>0</v>
      </c>
      <c r="U463" s="120">
        <f t="shared" ca="1" si="147"/>
        <v>1533.6385655333725</v>
      </c>
      <c r="V463" s="4">
        <f t="shared" ca="1" si="148"/>
        <v>0</v>
      </c>
      <c r="W463" s="13">
        <f t="shared" ca="1" si="149"/>
        <v>4681.8</v>
      </c>
      <c r="X463" s="4">
        <f t="shared" ca="1" si="150"/>
        <v>0</v>
      </c>
      <c r="Y463" s="4">
        <f t="shared" si="151"/>
        <v>0</v>
      </c>
      <c r="Z463" s="13">
        <f t="shared" ca="1" si="152"/>
        <v>4681.8</v>
      </c>
      <c r="AA463" s="4">
        <f t="shared" ca="1" si="153"/>
        <v>0</v>
      </c>
      <c r="AE463" s="4"/>
    </row>
    <row r="464" spans="1:31">
      <c r="A464">
        <v>3</v>
      </c>
      <c r="B464">
        <v>1</v>
      </c>
      <c r="C464">
        <f t="shared" ca="1" si="132"/>
        <v>5</v>
      </c>
      <c r="D464">
        <f t="shared" ca="1" si="133"/>
        <v>4</v>
      </c>
      <c r="E464">
        <f t="shared" ca="1" si="134"/>
        <v>3</v>
      </c>
      <c r="F464" s="110">
        <f t="shared" ca="1" si="135"/>
        <v>0</v>
      </c>
      <c r="G464">
        <v>0</v>
      </c>
      <c r="H464">
        <v>0</v>
      </c>
      <c r="I464">
        <v>1</v>
      </c>
      <c r="J464" s="1">
        <f t="shared" ca="1" si="136"/>
        <v>3.4179687500000003E-4</v>
      </c>
      <c r="K464" s="1">
        <f t="shared" ca="1" si="137"/>
        <v>0</v>
      </c>
      <c r="L464" s="13">
        <f t="shared" ca="1" si="138"/>
        <v>19</v>
      </c>
      <c r="M464" s="7">
        <f t="shared" ca="1" si="139"/>
        <v>981</v>
      </c>
      <c r="N464" s="26">
        <f t="shared" ca="1" si="140"/>
        <v>4</v>
      </c>
      <c r="O464" s="44">
        <f t="shared" ca="1" si="141"/>
        <v>2.8621467101781541</v>
      </c>
      <c r="P464" s="44">
        <f t="shared" ca="1" si="142"/>
        <v>28.621467101781548</v>
      </c>
      <c r="Q464" s="44">
        <f t="shared" ca="1" si="143"/>
        <v>28.621467101781548</v>
      </c>
      <c r="R464" s="44">
        <f t="shared" ca="1" si="144"/>
        <v>2.8621467101781546</v>
      </c>
      <c r="S464" s="44">
        <f t="shared" ca="1" si="145"/>
        <v>2.8621467101781541</v>
      </c>
      <c r="T464" s="4">
        <f t="shared" ca="1" si="146"/>
        <v>0</v>
      </c>
      <c r="U464" s="120">
        <f t="shared" ca="1" si="147"/>
        <v>1514.6385655333725</v>
      </c>
      <c r="V464" s="4">
        <f t="shared" ca="1" si="148"/>
        <v>0</v>
      </c>
      <c r="W464" s="13">
        <f t="shared" ca="1" si="149"/>
        <v>2340.9</v>
      </c>
      <c r="X464" s="4">
        <f t="shared" ca="1" si="150"/>
        <v>0</v>
      </c>
      <c r="Y464" s="4">
        <f t="shared" si="151"/>
        <v>0</v>
      </c>
      <c r="Z464" s="13">
        <f t="shared" ca="1" si="152"/>
        <v>2340.9</v>
      </c>
      <c r="AA464" s="4">
        <f t="shared" ca="1" si="153"/>
        <v>0</v>
      </c>
      <c r="AE464" s="4"/>
    </row>
    <row r="465" spans="1:31">
      <c r="A465">
        <v>3</v>
      </c>
      <c r="B465">
        <v>1</v>
      </c>
      <c r="C465">
        <f t="shared" ca="1" si="132"/>
        <v>5</v>
      </c>
      <c r="D465">
        <f t="shared" ca="1" si="133"/>
        <v>4</v>
      </c>
      <c r="E465">
        <f t="shared" ca="1" si="134"/>
        <v>3</v>
      </c>
      <c r="F465" s="110">
        <f t="shared" ca="1" si="135"/>
        <v>0</v>
      </c>
      <c r="G465">
        <v>0</v>
      </c>
      <c r="H465">
        <v>0</v>
      </c>
      <c r="I465">
        <v>0</v>
      </c>
      <c r="J465" s="1">
        <f t="shared" ca="1" si="136"/>
        <v>1.2207031250000001E-5</v>
      </c>
      <c r="K465" s="1">
        <f t="shared" ca="1" si="137"/>
        <v>0</v>
      </c>
      <c r="L465" s="13">
        <f t="shared" ca="1" si="138"/>
        <v>0</v>
      </c>
      <c r="M465" s="7">
        <f t="shared" ca="1" si="139"/>
        <v>1000</v>
      </c>
      <c r="N465" s="26">
        <f t="shared" ca="1" si="140"/>
        <v>4</v>
      </c>
      <c r="O465" s="44">
        <f t="shared" ca="1" si="141"/>
        <v>2.8621467101781541</v>
      </c>
      <c r="P465" s="44">
        <f t="shared" ca="1" si="142"/>
        <v>28.621467101781548</v>
      </c>
      <c r="Q465" s="44">
        <f t="shared" ca="1" si="143"/>
        <v>28.621467101781548</v>
      </c>
      <c r="R465" s="44">
        <f t="shared" ca="1" si="144"/>
        <v>2.8621467101781546</v>
      </c>
      <c r="S465" s="44">
        <f t="shared" ca="1" si="145"/>
        <v>2.8621467101781541</v>
      </c>
      <c r="T465" s="4">
        <f t="shared" ca="1" si="146"/>
        <v>0</v>
      </c>
      <c r="U465" s="120">
        <f t="shared" ca="1" si="147"/>
        <v>1495.6385655333725</v>
      </c>
      <c r="V465" s="4">
        <f t="shared" ca="1" si="148"/>
        <v>0</v>
      </c>
      <c r="W465" s="13">
        <f t="shared" ca="1" si="149"/>
        <v>0</v>
      </c>
      <c r="X465" s="4">
        <f t="shared" ca="1" si="150"/>
        <v>0</v>
      </c>
      <c r="Y465" s="4">
        <f t="shared" si="151"/>
        <v>0</v>
      </c>
      <c r="Z465" s="13">
        <f t="shared" ca="1" si="152"/>
        <v>0</v>
      </c>
      <c r="AA465" s="4">
        <f t="shared" ca="1" si="153"/>
        <v>0</v>
      </c>
      <c r="AE465" s="4"/>
    </row>
    <row r="466" spans="1:31">
      <c r="A466">
        <v>3</v>
      </c>
      <c r="B466">
        <v>2</v>
      </c>
      <c r="C466">
        <f t="shared" ref="C466:C529" ca="1" si="154">MIN(8, 1+$B$10+$B$9+A466+B466)</f>
        <v>6</v>
      </c>
      <c r="D466">
        <f t="shared" ref="D466:D529" ca="1" si="155">C466-(1+$B$10)</f>
        <v>5</v>
      </c>
      <c r="E466">
        <f t="shared" ref="E466:E529" ca="1" si="156">MIN(A466, C466-(1+$B$10+$B$9))</f>
        <v>3</v>
      </c>
      <c r="F466" s="110">
        <f t="shared" ref="F466:F529" ca="1" si="157">IF(A466=3, Set1QA, IF(A466=2, (1-Set1QA)*Set1TA + (1-Set1QA)*(1-Set1TA)*(1-Set1DA)*Set1AM3*Set1AM33, IF(A466=1, (1-Set1QA)*(1-Set1TA)*Set1DA + (1-Set1QA)*(1-Set1TA)*(1-Set1DA)*Set1AM3*Set1AM32, (1-Set1QA)*(1-Set1TA)*(1-Set1DA)*(1-Set1AM3)))) * IF($B$9+$B$10&gt;0, IF(B466=3, Set1QA, IF(B466=2, (1-Set1QA)*Set1TA, IF(B466=1, (1-Set1QA)*(1-Set1TA)*Set1DA, (1-Set1QA)*(1-Set1TA)*(1-Set1DA)))), IF(B466=0, 1, 0))</f>
        <v>0</v>
      </c>
      <c r="G466">
        <v>1</v>
      </c>
      <c r="H466">
        <v>1</v>
      </c>
      <c r="I466">
        <v>7</v>
      </c>
      <c r="J466" s="1">
        <f t="shared" ref="J466:J529" ca="1" si="158">POWER(95%,G466)*POWER(5%, 1-G466) * IF($B$10=0, IF(H466=0, 1, 0), POWER(Set1WSHitRate,H466)*POWER(1-Set1WSHitRate, 1-H466)) * IF(I466&lt;=D466, POWER(Set1WSHitRate, I466)*POWER(1-Set1WSHitRate, D466-I466)*COMBIN(D466,I466), 0)</f>
        <v>0</v>
      </c>
      <c r="K466" s="1">
        <f t="shared" ref="K466:K529" ca="1" si="159">F466*J466</f>
        <v>0</v>
      </c>
      <c r="L466" s="13">
        <f t="shared" ref="L466:L529" ca="1" si="160">MAX((G466+H466)*Set1WSTP + I466*$B$6, Set1SaveTP)</f>
        <v>615</v>
      </c>
      <c r="M466" s="7">
        <f t="shared" ref="M466:M529" ca="1" si="161">MAX(Set1MinTP-(L466+Set1Regain), 0)</f>
        <v>385</v>
      </c>
      <c r="N466" s="26">
        <f t="shared" ref="N466:N529" ca="1" si="162">CEILING(M466/Set1MeleeTP, 1)</f>
        <v>2</v>
      </c>
      <c r="O466" s="44">
        <f t="shared" ref="O466:O529" ca="1" si="163">VLOOKUP(N466,AvgRoundsSet1,2)</f>
        <v>1.5762319669595739</v>
      </c>
      <c r="P466" s="44">
        <f t="shared" ref="P466:P529" ca="1" si="164">VLOOKUP(CEILING(MAX(M466-1, 0)/Set1MeleeTP, 1), AvgRoundsSet1, 2) + VLOOKUP(CEILING(MAX(M466-2, 0)/Set1MeleeTP, 1), AvgRoundsSet1, 2) + VLOOKUP(CEILING(MAX(M466-3, 0)/Set1MeleeTP, 1), AvgRoundsSet1, 2) + VLOOKUP(CEILING(MAX(M466-4, 0)/Set1MeleeTP, 1), AvgRoundsSet1, 2) + VLOOKUP(CEILING(MAX(M466-5, 0)/Set1MeleeTP, 1), AvgRoundsSet1, 2) + VLOOKUP(CEILING(MAX(M466-6, 0)/Set1MeleeTP, 1), AvgRoundsSet1, 2) + VLOOKUP(CEILING(MAX(M466-7, 0)/Set1MeleeTP, 1), AvgRoundsSet1, 2) + VLOOKUP(CEILING(MAX(M466-8, 0)/Set1MeleeTP, 1), AvgRoundsSet1, 2) + VLOOKUP(CEILING(MAX(M466-9, 0)/Set1MeleeTP, 1), AvgRoundsSet1, 2) + VLOOKUP(CEILING(MAX(M466-10, 0)/Set1MeleeTP, 1), AvgRoundsSet1, 2)</f>
        <v>15.762319669595739</v>
      </c>
      <c r="Q466" s="44">
        <f t="shared" ref="Q466:Q529" ca="1" si="165">VLOOKUP(CEILING(MAX(M466-11, 0)/Set1MeleeTP, 1), AvgRoundsSet1, 2) + VLOOKUP(CEILING(MAX(M466-12, 0)/Set1MeleeTP, 1), AvgRoundsSet1, 2) + VLOOKUP(CEILING(MAX(M466-13, 0)/Set1MeleeTP, 1), AvgRoundsSet1, 2) + VLOOKUP(CEILING(MAX(M466-14, 0)/Set1MeleeTP, 1), AvgRoundsSet1, 2) + VLOOKUP(CEILING(MAX(M466-15, 0)/Set1MeleeTP, 1), AvgRoundsSet1, 2) + VLOOKUP(CEILING(MAX(M466-16, 0)/Set1MeleeTP, 1), AvgRoundsSet1, 2) + VLOOKUP(CEILING(MAX(M466-17, 0)/Set1MeleeTP, 1), AvgRoundsSet1, 2) + VLOOKUP(CEILING(MAX(M466-18, 0)/Set1MeleeTP, 1), AvgRoundsSet1, 2) + VLOOKUP(CEILING(MAX(M466-19, 0)/Set1MeleeTP, 1), AvgRoundsSet1, 2) + VLOOKUP(CEILING(MAX(M466-20, 0)/Set1MeleeTP, 1), AvgRoundsSet1, 2)</f>
        <v>15.762319669595739</v>
      </c>
      <c r="R466" s="44">
        <f t="shared" ref="R466:R529" ca="1" si="166">(P466+Q466)/20</f>
        <v>1.5762319669595739</v>
      </c>
      <c r="S466" s="44">
        <f t="shared" ref="S466:S529" ca="1" si="167">R466*Set1ConserveTP + O466*(1-Set1ConserveTP)</f>
        <v>1.5762319669595737</v>
      </c>
      <c r="T466" s="4">
        <f t="shared" ref="T466:T529" ca="1" si="168">K466*S466</f>
        <v>0</v>
      </c>
      <c r="U466" s="120">
        <f t="shared" ref="U466:U529" ca="1" si="169">MIN(L466+(S466+Set1OverTP)*AvgHitsPerRound1*Set1MeleeTP + Set1Regain + 10.5*Set1ConserveTP, 3000)</f>
        <v>1538.885248288175</v>
      </c>
      <c r="V466" s="4">
        <f t="shared" ref="V466:V529" ca="1" si="170">U466*K466</f>
        <v>0</v>
      </c>
      <c r="W466" s="13">
        <f t="shared" ref="W466:W529" ca="1" si="171">G466*$K$10*((1-$L$10)*$L$14 + $L$10*$M$14*$M$10)*Set1WSDmg + H466*$K$13*((1-$L$13)*$L$15 + $L$13*$M$15*$M$11) + I466*$K$11*((1-$L$11)*$L$14 + $L$11*$M$14*$M$11) + E466*$K$12*$L$12*$M$10</f>
        <v>40973.706000000006</v>
      </c>
      <c r="X466" s="4">
        <f t="shared" ref="X466:X529" ca="1" si="172">K466*W466</f>
        <v>0</v>
      </c>
      <c r="Y466" s="4">
        <f t="shared" ref="Y466:Y529" si="173">IF($B$12=1, (VLOOKUP(C466, IF($B$13=10%,Souleater10,Souleater12), 6, FALSE) * $B$14), 0)</f>
        <v>0</v>
      </c>
      <c r="Z466" s="13">
        <f t="shared" ca="1" si="152"/>
        <v>40973.706000000006</v>
      </c>
      <c r="AA466" s="4">
        <f t="shared" ca="1" si="153"/>
        <v>0</v>
      </c>
      <c r="AE466" s="4"/>
    </row>
    <row r="467" spans="1:31">
      <c r="A467">
        <v>3</v>
      </c>
      <c r="B467">
        <v>2</v>
      </c>
      <c r="C467">
        <f t="shared" ca="1" si="154"/>
        <v>6</v>
      </c>
      <c r="D467">
        <f t="shared" ca="1" si="155"/>
        <v>5</v>
      </c>
      <c r="E467">
        <f t="shared" ca="1" si="156"/>
        <v>3</v>
      </c>
      <c r="F467" s="110">
        <f t="shared" ca="1" si="157"/>
        <v>0</v>
      </c>
      <c r="G467">
        <v>1</v>
      </c>
      <c r="H467">
        <v>1</v>
      </c>
      <c r="I467">
        <v>6</v>
      </c>
      <c r="J467" s="1">
        <f t="shared" ca="1" si="158"/>
        <v>0</v>
      </c>
      <c r="K467" s="1">
        <f t="shared" ca="1" si="159"/>
        <v>0</v>
      </c>
      <c r="L467" s="13">
        <f t="shared" ca="1" si="160"/>
        <v>596</v>
      </c>
      <c r="M467" s="7">
        <f t="shared" ca="1" si="161"/>
        <v>404</v>
      </c>
      <c r="N467" s="26">
        <f t="shared" ca="1" si="162"/>
        <v>2</v>
      </c>
      <c r="O467" s="44">
        <f t="shared" ca="1" si="163"/>
        <v>1.5762319669595739</v>
      </c>
      <c r="P467" s="44">
        <f t="shared" ca="1" si="164"/>
        <v>15.762319669595739</v>
      </c>
      <c r="Q467" s="44">
        <f t="shared" ca="1" si="165"/>
        <v>15.762319669595739</v>
      </c>
      <c r="R467" s="44">
        <f t="shared" ca="1" si="166"/>
        <v>1.5762319669595739</v>
      </c>
      <c r="S467" s="44">
        <f t="shared" ca="1" si="167"/>
        <v>1.5762319669595737</v>
      </c>
      <c r="T467" s="4">
        <f t="shared" ca="1" si="168"/>
        <v>0</v>
      </c>
      <c r="U467" s="120">
        <f t="shared" ca="1" si="169"/>
        <v>1519.885248288175</v>
      </c>
      <c r="V467" s="4">
        <f t="shared" ca="1" si="170"/>
        <v>0</v>
      </c>
      <c r="W467" s="13">
        <f t="shared" ca="1" si="171"/>
        <v>38632.806000000004</v>
      </c>
      <c r="X467" s="4">
        <f t="shared" ca="1" si="172"/>
        <v>0</v>
      </c>
      <c r="Y467" s="4">
        <f t="shared" si="173"/>
        <v>0</v>
      </c>
      <c r="Z467" s="13">
        <f t="shared" ref="Z467:Z529" ca="1" si="174">Y467+W467</f>
        <v>38632.806000000004</v>
      </c>
      <c r="AA467" s="4">
        <f t="shared" ref="AA467:AA529" ca="1" si="175">Z467*K467</f>
        <v>0</v>
      </c>
      <c r="AE467" s="4"/>
    </row>
    <row r="468" spans="1:31">
      <c r="A468">
        <v>3</v>
      </c>
      <c r="B468">
        <v>2</v>
      </c>
      <c r="C468">
        <f t="shared" ca="1" si="154"/>
        <v>6</v>
      </c>
      <c r="D468">
        <f t="shared" ca="1" si="155"/>
        <v>5</v>
      </c>
      <c r="E468">
        <f t="shared" ca="1" si="156"/>
        <v>3</v>
      </c>
      <c r="F468" s="110">
        <f t="shared" ca="1" si="157"/>
        <v>0</v>
      </c>
      <c r="G468">
        <v>1</v>
      </c>
      <c r="H468">
        <v>1</v>
      </c>
      <c r="I468">
        <v>5</v>
      </c>
      <c r="J468" s="1">
        <f t="shared" ca="1" si="158"/>
        <v>0</v>
      </c>
      <c r="K468" s="1">
        <f t="shared" ca="1" si="159"/>
        <v>0</v>
      </c>
      <c r="L468" s="13">
        <f t="shared" ca="1" si="160"/>
        <v>577</v>
      </c>
      <c r="M468" s="7">
        <f t="shared" ca="1" si="161"/>
        <v>423</v>
      </c>
      <c r="N468" s="26">
        <f t="shared" ca="1" si="162"/>
        <v>2</v>
      </c>
      <c r="O468" s="44">
        <f t="shared" ca="1" si="163"/>
        <v>1.5762319669595739</v>
      </c>
      <c r="P468" s="44">
        <f t="shared" ca="1" si="164"/>
        <v>15.762319669595739</v>
      </c>
      <c r="Q468" s="44">
        <f t="shared" ca="1" si="165"/>
        <v>15.762319669595739</v>
      </c>
      <c r="R468" s="44">
        <f t="shared" ca="1" si="166"/>
        <v>1.5762319669595739</v>
      </c>
      <c r="S468" s="44">
        <f t="shared" ca="1" si="167"/>
        <v>1.5762319669595737</v>
      </c>
      <c r="T468" s="4">
        <f t="shared" ca="1" si="168"/>
        <v>0</v>
      </c>
      <c r="U468" s="120">
        <f t="shared" ca="1" si="169"/>
        <v>1500.885248288175</v>
      </c>
      <c r="V468" s="4">
        <f t="shared" ca="1" si="170"/>
        <v>0</v>
      </c>
      <c r="W468" s="13">
        <f t="shared" ca="1" si="171"/>
        <v>36291.906000000003</v>
      </c>
      <c r="X468" s="4">
        <f t="shared" ca="1" si="172"/>
        <v>0</v>
      </c>
      <c r="Y468" s="4">
        <f t="shared" si="173"/>
        <v>0</v>
      </c>
      <c r="Z468" s="13">
        <f t="shared" ca="1" si="174"/>
        <v>36291.906000000003</v>
      </c>
      <c r="AA468" s="4">
        <f t="shared" ca="1" si="175"/>
        <v>0</v>
      </c>
      <c r="AE468" s="4"/>
    </row>
    <row r="469" spans="1:31">
      <c r="A469">
        <v>3</v>
      </c>
      <c r="B469">
        <v>2</v>
      </c>
      <c r="C469">
        <f t="shared" ca="1" si="154"/>
        <v>6</v>
      </c>
      <c r="D469">
        <f t="shared" ca="1" si="155"/>
        <v>5</v>
      </c>
      <c r="E469">
        <f t="shared" ca="1" si="156"/>
        <v>3</v>
      </c>
      <c r="F469" s="110">
        <f t="shared" ca="1" si="157"/>
        <v>0</v>
      </c>
      <c r="G469">
        <v>1</v>
      </c>
      <c r="H469">
        <v>1</v>
      </c>
      <c r="I469">
        <v>4</v>
      </c>
      <c r="J469" s="1">
        <f t="shared" ca="1" si="158"/>
        <v>0</v>
      </c>
      <c r="K469" s="1">
        <f t="shared" ca="1" si="159"/>
        <v>0</v>
      </c>
      <c r="L469" s="13">
        <f t="shared" ca="1" si="160"/>
        <v>558</v>
      </c>
      <c r="M469" s="7">
        <f t="shared" ca="1" si="161"/>
        <v>442</v>
      </c>
      <c r="N469" s="26">
        <f t="shared" ca="1" si="162"/>
        <v>2</v>
      </c>
      <c r="O469" s="44">
        <f t="shared" ca="1" si="163"/>
        <v>1.5762319669595739</v>
      </c>
      <c r="P469" s="44">
        <f t="shared" ca="1" si="164"/>
        <v>15.762319669595739</v>
      </c>
      <c r="Q469" s="44">
        <f t="shared" ca="1" si="165"/>
        <v>15.762319669595739</v>
      </c>
      <c r="R469" s="44">
        <f t="shared" ca="1" si="166"/>
        <v>1.5762319669595739</v>
      </c>
      <c r="S469" s="44">
        <f t="shared" ca="1" si="167"/>
        <v>1.5762319669595737</v>
      </c>
      <c r="T469" s="4">
        <f t="shared" ca="1" si="168"/>
        <v>0</v>
      </c>
      <c r="U469" s="120">
        <f t="shared" ca="1" si="169"/>
        <v>1481.885248288175</v>
      </c>
      <c r="V469" s="4">
        <f t="shared" ca="1" si="170"/>
        <v>0</v>
      </c>
      <c r="W469" s="13">
        <f t="shared" ca="1" si="171"/>
        <v>33951.006000000001</v>
      </c>
      <c r="X469" s="4">
        <f t="shared" ca="1" si="172"/>
        <v>0</v>
      </c>
      <c r="Y469" s="4">
        <f t="shared" si="173"/>
        <v>0</v>
      </c>
      <c r="Z469" s="13">
        <f t="shared" ca="1" si="174"/>
        <v>33951.006000000001</v>
      </c>
      <c r="AA469" s="4">
        <f t="shared" ca="1" si="175"/>
        <v>0</v>
      </c>
      <c r="AE469" s="4"/>
    </row>
    <row r="470" spans="1:31">
      <c r="A470">
        <v>3</v>
      </c>
      <c r="B470">
        <v>2</v>
      </c>
      <c r="C470">
        <f t="shared" ca="1" si="154"/>
        <v>6</v>
      </c>
      <c r="D470">
        <f t="shared" ca="1" si="155"/>
        <v>5</v>
      </c>
      <c r="E470">
        <f t="shared" ca="1" si="156"/>
        <v>3</v>
      </c>
      <c r="F470" s="110">
        <f t="shared" ca="1" si="157"/>
        <v>0</v>
      </c>
      <c r="G470">
        <v>1</v>
      </c>
      <c r="H470">
        <v>1</v>
      </c>
      <c r="I470">
        <v>3</v>
      </c>
      <c r="J470" s="1">
        <f t="shared" ca="1" si="158"/>
        <v>0</v>
      </c>
      <c r="K470" s="1">
        <f t="shared" ca="1" si="159"/>
        <v>0</v>
      </c>
      <c r="L470" s="13">
        <f t="shared" ca="1" si="160"/>
        <v>539</v>
      </c>
      <c r="M470" s="7">
        <f t="shared" ca="1" si="161"/>
        <v>461</v>
      </c>
      <c r="N470" s="26">
        <f t="shared" ca="1" si="162"/>
        <v>2</v>
      </c>
      <c r="O470" s="44">
        <f t="shared" ca="1" si="163"/>
        <v>1.5762319669595739</v>
      </c>
      <c r="P470" s="44">
        <f t="shared" ca="1" si="164"/>
        <v>15.762319669595739</v>
      </c>
      <c r="Q470" s="44">
        <f t="shared" ca="1" si="165"/>
        <v>15.762319669595739</v>
      </c>
      <c r="R470" s="44">
        <f t="shared" ca="1" si="166"/>
        <v>1.5762319669595739</v>
      </c>
      <c r="S470" s="44">
        <f t="shared" ca="1" si="167"/>
        <v>1.5762319669595737</v>
      </c>
      <c r="T470" s="4">
        <f t="shared" ca="1" si="168"/>
        <v>0</v>
      </c>
      <c r="U470" s="120">
        <f t="shared" ca="1" si="169"/>
        <v>1462.885248288175</v>
      </c>
      <c r="V470" s="4">
        <f t="shared" ca="1" si="170"/>
        <v>0</v>
      </c>
      <c r="W470" s="13">
        <f t="shared" ca="1" si="171"/>
        <v>31610.106000000003</v>
      </c>
      <c r="X470" s="4">
        <f t="shared" ca="1" si="172"/>
        <v>0</v>
      </c>
      <c r="Y470" s="4">
        <f t="shared" si="173"/>
        <v>0</v>
      </c>
      <c r="Z470" s="13">
        <f t="shared" ca="1" si="174"/>
        <v>31610.106000000003</v>
      </c>
      <c r="AA470" s="4">
        <f t="shared" ca="1" si="175"/>
        <v>0</v>
      </c>
      <c r="AE470" s="4"/>
    </row>
    <row r="471" spans="1:31">
      <c r="A471">
        <v>3</v>
      </c>
      <c r="B471">
        <v>2</v>
      </c>
      <c r="C471">
        <f t="shared" ca="1" si="154"/>
        <v>6</v>
      </c>
      <c r="D471">
        <f t="shared" ca="1" si="155"/>
        <v>5</v>
      </c>
      <c r="E471">
        <f t="shared" ca="1" si="156"/>
        <v>3</v>
      </c>
      <c r="F471" s="110">
        <f t="shared" ca="1" si="157"/>
        <v>0</v>
      </c>
      <c r="G471">
        <v>1</v>
      </c>
      <c r="H471">
        <v>1</v>
      </c>
      <c r="I471">
        <v>2</v>
      </c>
      <c r="J471" s="1">
        <f t="shared" ca="1" si="158"/>
        <v>0</v>
      </c>
      <c r="K471" s="1">
        <f t="shared" ca="1" si="159"/>
        <v>0</v>
      </c>
      <c r="L471" s="13">
        <f t="shared" ca="1" si="160"/>
        <v>520</v>
      </c>
      <c r="M471" s="7">
        <f t="shared" ca="1" si="161"/>
        <v>480</v>
      </c>
      <c r="N471" s="26">
        <f t="shared" ca="1" si="162"/>
        <v>2</v>
      </c>
      <c r="O471" s="44">
        <f t="shared" ca="1" si="163"/>
        <v>1.5762319669595739</v>
      </c>
      <c r="P471" s="44">
        <f t="shared" ca="1" si="164"/>
        <v>15.762319669595739</v>
      </c>
      <c r="Q471" s="44">
        <f t="shared" ca="1" si="165"/>
        <v>15.762319669595739</v>
      </c>
      <c r="R471" s="44">
        <f t="shared" ca="1" si="166"/>
        <v>1.5762319669595739</v>
      </c>
      <c r="S471" s="44">
        <f t="shared" ca="1" si="167"/>
        <v>1.5762319669595737</v>
      </c>
      <c r="T471" s="4">
        <f t="shared" ca="1" si="168"/>
        <v>0</v>
      </c>
      <c r="U471" s="120">
        <f t="shared" ca="1" si="169"/>
        <v>1443.885248288175</v>
      </c>
      <c r="V471" s="4">
        <f t="shared" ca="1" si="170"/>
        <v>0</v>
      </c>
      <c r="W471" s="13">
        <f t="shared" ca="1" si="171"/>
        <v>29269.206000000002</v>
      </c>
      <c r="X471" s="4">
        <f t="shared" ca="1" si="172"/>
        <v>0</v>
      </c>
      <c r="Y471" s="4">
        <f t="shared" si="173"/>
        <v>0</v>
      </c>
      <c r="Z471" s="13">
        <f t="shared" ca="1" si="174"/>
        <v>29269.206000000002</v>
      </c>
      <c r="AA471" s="4">
        <f t="shared" ca="1" si="175"/>
        <v>0</v>
      </c>
      <c r="AE471" s="4"/>
    </row>
    <row r="472" spans="1:31">
      <c r="A472">
        <v>3</v>
      </c>
      <c r="B472">
        <v>2</v>
      </c>
      <c r="C472">
        <f t="shared" ca="1" si="154"/>
        <v>6</v>
      </c>
      <c r="D472">
        <f t="shared" ca="1" si="155"/>
        <v>5</v>
      </c>
      <c r="E472">
        <f t="shared" ca="1" si="156"/>
        <v>3</v>
      </c>
      <c r="F472" s="110">
        <f t="shared" ca="1" si="157"/>
        <v>0</v>
      </c>
      <c r="G472">
        <v>1</v>
      </c>
      <c r="H472">
        <v>1</v>
      </c>
      <c r="I472">
        <v>1</v>
      </c>
      <c r="J472" s="1">
        <f t="shared" ca="1" si="158"/>
        <v>0</v>
      </c>
      <c r="K472" s="1">
        <f t="shared" ca="1" si="159"/>
        <v>0</v>
      </c>
      <c r="L472" s="13">
        <f t="shared" ca="1" si="160"/>
        <v>501</v>
      </c>
      <c r="M472" s="7">
        <f t="shared" ca="1" si="161"/>
        <v>499</v>
      </c>
      <c r="N472" s="26">
        <f t="shared" ca="1" si="162"/>
        <v>2</v>
      </c>
      <c r="O472" s="44">
        <f t="shared" ca="1" si="163"/>
        <v>1.5762319669595739</v>
      </c>
      <c r="P472" s="44">
        <f t="shared" ca="1" si="164"/>
        <v>15.762319669595739</v>
      </c>
      <c r="Q472" s="44">
        <f t="shared" ca="1" si="165"/>
        <v>15.762319669595739</v>
      </c>
      <c r="R472" s="44">
        <f t="shared" ca="1" si="166"/>
        <v>1.5762319669595739</v>
      </c>
      <c r="S472" s="44">
        <f t="shared" ca="1" si="167"/>
        <v>1.5762319669595737</v>
      </c>
      <c r="T472" s="4">
        <f t="shared" ca="1" si="168"/>
        <v>0</v>
      </c>
      <c r="U472" s="120">
        <f t="shared" ca="1" si="169"/>
        <v>1424.885248288175</v>
      </c>
      <c r="V472" s="4">
        <f t="shared" ca="1" si="170"/>
        <v>0</v>
      </c>
      <c r="W472" s="13">
        <f t="shared" ca="1" si="171"/>
        <v>26928.306000000004</v>
      </c>
      <c r="X472" s="4">
        <f t="shared" ca="1" si="172"/>
        <v>0</v>
      </c>
      <c r="Y472" s="4">
        <f t="shared" si="173"/>
        <v>0</v>
      </c>
      <c r="Z472" s="13">
        <f t="shared" ca="1" si="174"/>
        <v>26928.306000000004</v>
      </c>
      <c r="AA472" s="4">
        <f t="shared" ca="1" si="175"/>
        <v>0</v>
      </c>
      <c r="AE472" s="4"/>
    </row>
    <row r="473" spans="1:31">
      <c r="A473">
        <v>3</v>
      </c>
      <c r="B473">
        <v>2</v>
      </c>
      <c r="C473">
        <f t="shared" ca="1" si="154"/>
        <v>6</v>
      </c>
      <c r="D473">
        <f t="shared" ca="1" si="155"/>
        <v>5</v>
      </c>
      <c r="E473">
        <f t="shared" ca="1" si="156"/>
        <v>3</v>
      </c>
      <c r="F473" s="110">
        <f t="shared" ca="1" si="157"/>
        <v>0</v>
      </c>
      <c r="G473">
        <v>1</v>
      </c>
      <c r="H473">
        <v>1</v>
      </c>
      <c r="I473">
        <v>0</v>
      </c>
      <c r="J473" s="1">
        <f t="shared" ca="1" si="158"/>
        <v>0</v>
      </c>
      <c r="K473" s="1">
        <f t="shared" ca="1" si="159"/>
        <v>0</v>
      </c>
      <c r="L473" s="13">
        <f t="shared" ca="1" si="160"/>
        <v>482</v>
      </c>
      <c r="M473" s="7">
        <f t="shared" ca="1" si="161"/>
        <v>518</v>
      </c>
      <c r="N473" s="26">
        <f t="shared" ca="1" si="162"/>
        <v>2</v>
      </c>
      <c r="O473" s="44">
        <f t="shared" ca="1" si="163"/>
        <v>1.5762319669595739</v>
      </c>
      <c r="P473" s="44">
        <f t="shared" ca="1" si="164"/>
        <v>15.762319669595739</v>
      </c>
      <c r="Q473" s="44">
        <f t="shared" ca="1" si="165"/>
        <v>15.762319669595739</v>
      </c>
      <c r="R473" s="44">
        <f t="shared" ca="1" si="166"/>
        <v>1.5762319669595739</v>
      </c>
      <c r="S473" s="44">
        <f t="shared" ca="1" si="167"/>
        <v>1.5762319669595737</v>
      </c>
      <c r="T473" s="4">
        <f t="shared" ca="1" si="168"/>
        <v>0</v>
      </c>
      <c r="U473" s="120">
        <f t="shared" ca="1" si="169"/>
        <v>1405.885248288175</v>
      </c>
      <c r="V473" s="4">
        <f t="shared" ca="1" si="170"/>
        <v>0</v>
      </c>
      <c r="W473" s="13">
        <f t="shared" ca="1" si="171"/>
        <v>24587.406000000003</v>
      </c>
      <c r="X473" s="4">
        <f t="shared" ca="1" si="172"/>
        <v>0</v>
      </c>
      <c r="Y473" s="4">
        <f t="shared" si="173"/>
        <v>0</v>
      </c>
      <c r="Z473" s="13">
        <f t="shared" ca="1" si="174"/>
        <v>24587.406000000003</v>
      </c>
      <c r="AA473" s="4">
        <f t="shared" ca="1" si="175"/>
        <v>0</v>
      </c>
      <c r="AE473" s="4"/>
    </row>
    <row r="474" spans="1:31">
      <c r="A474">
        <v>3</v>
      </c>
      <c r="B474">
        <v>2</v>
      </c>
      <c r="C474">
        <f t="shared" ca="1" si="154"/>
        <v>6</v>
      </c>
      <c r="D474">
        <f t="shared" ca="1" si="155"/>
        <v>5</v>
      </c>
      <c r="E474">
        <f t="shared" ca="1" si="156"/>
        <v>3</v>
      </c>
      <c r="F474" s="110">
        <f t="shared" ca="1" si="157"/>
        <v>0</v>
      </c>
      <c r="G474">
        <v>1</v>
      </c>
      <c r="H474">
        <v>0</v>
      </c>
      <c r="I474">
        <v>7</v>
      </c>
      <c r="J474" s="1">
        <f t="shared" ca="1" si="158"/>
        <v>0</v>
      </c>
      <c r="K474" s="1">
        <f t="shared" ca="1" si="159"/>
        <v>0</v>
      </c>
      <c r="L474" s="13">
        <f t="shared" ca="1" si="160"/>
        <v>374</v>
      </c>
      <c r="M474" s="7">
        <f t="shared" ca="1" si="161"/>
        <v>626</v>
      </c>
      <c r="N474" s="26">
        <f t="shared" ca="1" si="162"/>
        <v>3</v>
      </c>
      <c r="O474" s="44">
        <f t="shared" ca="1" si="163"/>
        <v>2.2442427272544552</v>
      </c>
      <c r="P474" s="44">
        <f t="shared" ca="1" si="164"/>
        <v>22.442427272544553</v>
      </c>
      <c r="Q474" s="44">
        <f t="shared" ca="1" si="165"/>
        <v>22.442427272544553</v>
      </c>
      <c r="R474" s="44">
        <f t="shared" ca="1" si="166"/>
        <v>2.2442427272544552</v>
      </c>
      <c r="S474" s="44">
        <f t="shared" ca="1" si="167"/>
        <v>2.2442427272544552</v>
      </c>
      <c r="T474" s="4">
        <f t="shared" ca="1" si="168"/>
        <v>0</v>
      </c>
      <c r="U474" s="120">
        <f t="shared" ca="1" si="169"/>
        <v>1594.901337549361</v>
      </c>
      <c r="V474" s="4">
        <f t="shared" ca="1" si="170"/>
        <v>0</v>
      </c>
      <c r="W474" s="13">
        <f t="shared" ca="1" si="171"/>
        <v>40973.706000000006</v>
      </c>
      <c r="X474" s="4">
        <f t="shared" ca="1" si="172"/>
        <v>0</v>
      </c>
      <c r="Y474" s="4">
        <f t="shared" si="173"/>
        <v>0</v>
      </c>
      <c r="Z474" s="13">
        <f t="shared" ca="1" si="174"/>
        <v>40973.706000000006</v>
      </c>
      <c r="AA474" s="4">
        <f t="shared" ca="1" si="175"/>
        <v>0</v>
      </c>
      <c r="AE474" s="4"/>
    </row>
    <row r="475" spans="1:31">
      <c r="A475">
        <v>3</v>
      </c>
      <c r="B475">
        <v>2</v>
      </c>
      <c r="C475">
        <f t="shared" ca="1" si="154"/>
        <v>6</v>
      </c>
      <c r="D475">
        <f t="shared" ca="1" si="155"/>
        <v>5</v>
      </c>
      <c r="E475">
        <f t="shared" ca="1" si="156"/>
        <v>3</v>
      </c>
      <c r="F475" s="110">
        <f t="shared" ca="1" si="157"/>
        <v>0</v>
      </c>
      <c r="G475">
        <v>1</v>
      </c>
      <c r="H475">
        <v>0</v>
      </c>
      <c r="I475">
        <v>6</v>
      </c>
      <c r="J475" s="1">
        <f t="shared" ca="1" si="158"/>
        <v>0</v>
      </c>
      <c r="K475" s="1">
        <f t="shared" ca="1" si="159"/>
        <v>0</v>
      </c>
      <c r="L475" s="13">
        <f t="shared" ca="1" si="160"/>
        <v>355</v>
      </c>
      <c r="M475" s="7">
        <f t="shared" ca="1" si="161"/>
        <v>645</v>
      </c>
      <c r="N475" s="26">
        <f t="shared" ca="1" si="162"/>
        <v>3</v>
      </c>
      <c r="O475" s="44">
        <f t="shared" ca="1" si="163"/>
        <v>2.2442427272544552</v>
      </c>
      <c r="P475" s="44">
        <f t="shared" ca="1" si="164"/>
        <v>22.442427272544553</v>
      </c>
      <c r="Q475" s="44">
        <f t="shared" ca="1" si="165"/>
        <v>22.442427272544553</v>
      </c>
      <c r="R475" s="44">
        <f t="shared" ca="1" si="166"/>
        <v>2.2442427272544552</v>
      </c>
      <c r="S475" s="44">
        <f t="shared" ca="1" si="167"/>
        <v>2.2442427272544552</v>
      </c>
      <c r="T475" s="4">
        <f t="shared" ca="1" si="168"/>
        <v>0</v>
      </c>
      <c r="U475" s="120">
        <f t="shared" ca="1" si="169"/>
        <v>1575.901337549361</v>
      </c>
      <c r="V475" s="4">
        <f t="shared" ca="1" si="170"/>
        <v>0</v>
      </c>
      <c r="W475" s="13">
        <f t="shared" ca="1" si="171"/>
        <v>38632.806000000004</v>
      </c>
      <c r="X475" s="4">
        <f t="shared" ca="1" si="172"/>
        <v>0</v>
      </c>
      <c r="Y475" s="4">
        <f t="shared" si="173"/>
        <v>0</v>
      </c>
      <c r="Z475" s="13">
        <f t="shared" ca="1" si="174"/>
        <v>38632.806000000004</v>
      </c>
      <c r="AA475" s="4">
        <f t="shared" ca="1" si="175"/>
        <v>0</v>
      </c>
      <c r="AE475" s="4"/>
    </row>
    <row r="476" spans="1:31">
      <c r="A476">
        <v>3</v>
      </c>
      <c r="B476">
        <v>2</v>
      </c>
      <c r="C476">
        <f t="shared" ca="1" si="154"/>
        <v>6</v>
      </c>
      <c r="D476">
        <f t="shared" ca="1" si="155"/>
        <v>5</v>
      </c>
      <c r="E476">
        <f t="shared" ca="1" si="156"/>
        <v>3</v>
      </c>
      <c r="F476" s="110">
        <f t="shared" ca="1" si="157"/>
        <v>0</v>
      </c>
      <c r="G476">
        <v>1</v>
      </c>
      <c r="H476">
        <v>0</v>
      </c>
      <c r="I476">
        <v>5</v>
      </c>
      <c r="J476" s="1">
        <f t="shared" ca="1" si="158"/>
        <v>0.48726348876953124</v>
      </c>
      <c r="K476" s="1">
        <f t="shared" ca="1" si="159"/>
        <v>0</v>
      </c>
      <c r="L476" s="13">
        <f t="shared" ca="1" si="160"/>
        <v>336</v>
      </c>
      <c r="M476" s="7">
        <f t="shared" ca="1" si="161"/>
        <v>664</v>
      </c>
      <c r="N476" s="26">
        <f t="shared" ca="1" si="162"/>
        <v>3</v>
      </c>
      <c r="O476" s="44">
        <f t="shared" ca="1" si="163"/>
        <v>2.2442427272544552</v>
      </c>
      <c r="P476" s="44">
        <f t="shared" ca="1" si="164"/>
        <v>22.442427272544553</v>
      </c>
      <c r="Q476" s="44">
        <f t="shared" ca="1" si="165"/>
        <v>22.442427272544553</v>
      </c>
      <c r="R476" s="44">
        <f t="shared" ca="1" si="166"/>
        <v>2.2442427272544552</v>
      </c>
      <c r="S476" s="44">
        <f t="shared" ca="1" si="167"/>
        <v>2.2442427272544552</v>
      </c>
      <c r="T476" s="4">
        <f t="shared" ca="1" si="168"/>
        <v>0</v>
      </c>
      <c r="U476" s="120">
        <f t="shared" ca="1" si="169"/>
        <v>1556.901337549361</v>
      </c>
      <c r="V476" s="4">
        <f t="shared" ca="1" si="170"/>
        <v>0</v>
      </c>
      <c r="W476" s="13">
        <f t="shared" ca="1" si="171"/>
        <v>36291.906000000003</v>
      </c>
      <c r="X476" s="4">
        <f t="shared" ca="1" si="172"/>
        <v>0</v>
      </c>
      <c r="Y476" s="4">
        <f t="shared" si="173"/>
        <v>0</v>
      </c>
      <c r="Z476" s="13">
        <f t="shared" ca="1" si="174"/>
        <v>36291.906000000003</v>
      </c>
      <c r="AA476" s="4">
        <f t="shared" ca="1" si="175"/>
        <v>0</v>
      </c>
      <c r="AE476" s="4"/>
    </row>
    <row r="477" spans="1:31">
      <c r="A477">
        <v>3</v>
      </c>
      <c r="B477">
        <v>2</v>
      </c>
      <c r="C477">
        <f t="shared" ca="1" si="154"/>
        <v>6</v>
      </c>
      <c r="D477">
        <f t="shared" ca="1" si="155"/>
        <v>5</v>
      </c>
      <c r="E477">
        <f t="shared" ca="1" si="156"/>
        <v>3</v>
      </c>
      <c r="F477" s="110">
        <f t="shared" ca="1" si="157"/>
        <v>0</v>
      </c>
      <c r="G477">
        <v>1</v>
      </c>
      <c r="H477">
        <v>0</v>
      </c>
      <c r="I477">
        <v>4</v>
      </c>
      <c r="J477" s="1">
        <f t="shared" ca="1" si="158"/>
        <v>0.34804534912109375</v>
      </c>
      <c r="K477" s="1">
        <f t="shared" ca="1" si="159"/>
        <v>0</v>
      </c>
      <c r="L477" s="13">
        <f t="shared" ca="1" si="160"/>
        <v>317</v>
      </c>
      <c r="M477" s="7">
        <f t="shared" ca="1" si="161"/>
        <v>683</v>
      </c>
      <c r="N477" s="26">
        <f t="shared" ca="1" si="162"/>
        <v>3</v>
      </c>
      <c r="O477" s="44">
        <f t="shared" ca="1" si="163"/>
        <v>2.2442427272544552</v>
      </c>
      <c r="P477" s="44">
        <f t="shared" ca="1" si="164"/>
        <v>22.442427272544553</v>
      </c>
      <c r="Q477" s="44">
        <f t="shared" ca="1" si="165"/>
        <v>22.442427272544553</v>
      </c>
      <c r="R477" s="44">
        <f t="shared" ca="1" si="166"/>
        <v>2.2442427272544552</v>
      </c>
      <c r="S477" s="44">
        <f t="shared" ca="1" si="167"/>
        <v>2.2442427272544552</v>
      </c>
      <c r="T477" s="4">
        <f t="shared" ca="1" si="168"/>
        <v>0</v>
      </c>
      <c r="U477" s="120">
        <f t="shared" ca="1" si="169"/>
        <v>1537.901337549361</v>
      </c>
      <c r="V477" s="4">
        <f t="shared" ca="1" si="170"/>
        <v>0</v>
      </c>
      <c r="W477" s="13">
        <f t="shared" ca="1" si="171"/>
        <v>33951.006000000001</v>
      </c>
      <c r="X477" s="4">
        <f t="shared" ca="1" si="172"/>
        <v>0</v>
      </c>
      <c r="Y477" s="4">
        <f t="shared" si="173"/>
        <v>0</v>
      </c>
      <c r="Z477" s="13">
        <f t="shared" ca="1" si="174"/>
        <v>33951.006000000001</v>
      </c>
      <c r="AA477" s="4">
        <f t="shared" ca="1" si="175"/>
        <v>0</v>
      </c>
      <c r="AE477" s="4"/>
    </row>
    <row r="478" spans="1:31">
      <c r="A478">
        <v>3</v>
      </c>
      <c r="B478">
        <v>2</v>
      </c>
      <c r="C478">
        <f t="shared" ca="1" si="154"/>
        <v>6</v>
      </c>
      <c r="D478">
        <f t="shared" ca="1" si="155"/>
        <v>5</v>
      </c>
      <c r="E478">
        <f t="shared" ca="1" si="156"/>
        <v>3</v>
      </c>
      <c r="F478" s="110">
        <f t="shared" ca="1" si="157"/>
        <v>0</v>
      </c>
      <c r="G478">
        <v>1</v>
      </c>
      <c r="H478">
        <v>0</v>
      </c>
      <c r="I478">
        <v>3</v>
      </c>
      <c r="J478" s="1">
        <f t="shared" ca="1" si="158"/>
        <v>9.94415283203125E-2</v>
      </c>
      <c r="K478" s="1">
        <f t="shared" ca="1" si="159"/>
        <v>0</v>
      </c>
      <c r="L478" s="13">
        <f t="shared" ca="1" si="160"/>
        <v>298</v>
      </c>
      <c r="M478" s="7">
        <f t="shared" ca="1" si="161"/>
        <v>702</v>
      </c>
      <c r="N478" s="26">
        <f t="shared" ca="1" si="162"/>
        <v>3</v>
      </c>
      <c r="O478" s="44">
        <f t="shared" ca="1" si="163"/>
        <v>2.2442427272544552</v>
      </c>
      <c r="P478" s="44">
        <f t="shared" ca="1" si="164"/>
        <v>22.442427272544553</v>
      </c>
      <c r="Q478" s="44">
        <f t="shared" ca="1" si="165"/>
        <v>22.442427272544553</v>
      </c>
      <c r="R478" s="44">
        <f t="shared" ca="1" si="166"/>
        <v>2.2442427272544552</v>
      </c>
      <c r="S478" s="44">
        <f t="shared" ca="1" si="167"/>
        <v>2.2442427272544552</v>
      </c>
      <c r="T478" s="4">
        <f t="shared" ca="1" si="168"/>
        <v>0</v>
      </c>
      <c r="U478" s="120">
        <f t="shared" ca="1" si="169"/>
        <v>1518.901337549361</v>
      </c>
      <c r="V478" s="4">
        <f t="shared" ca="1" si="170"/>
        <v>0</v>
      </c>
      <c r="W478" s="13">
        <f t="shared" ca="1" si="171"/>
        <v>31610.106000000003</v>
      </c>
      <c r="X478" s="4">
        <f t="shared" ca="1" si="172"/>
        <v>0</v>
      </c>
      <c r="Y478" s="4">
        <f t="shared" si="173"/>
        <v>0</v>
      </c>
      <c r="Z478" s="13">
        <f t="shared" ca="1" si="174"/>
        <v>31610.106000000003</v>
      </c>
      <c r="AA478" s="4">
        <f t="shared" ca="1" si="175"/>
        <v>0</v>
      </c>
      <c r="AE478" s="4"/>
    </row>
    <row r="479" spans="1:31">
      <c r="A479">
        <v>3</v>
      </c>
      <c r="B479">
        <v>2</v>
      </c>
      <c r="C479">
        <f t="shared" ca="1" si="154"/>
        <v>6</v>
      </c>
      <c r="D479">
        <f t="shared" ca="1" si="155"/>
        <v>5</v>
      </c>
      <c r="E479">
        <f t="shared" ca="1" si="156"/>
        <v>3</v>
      </c>
      <c r="F479" s="110">
        <f t="shared" ca="1" si="157"/>
        <v>0</v>
      </c>
      <c r="G479">
        <v>1</v>
      </c>
      <c r="H479">
        <v>0</v>
      </c>
      <c r="I479">
        <v>2</v>
      </c>
      <c r="J479" s="1">
        <f t="shared" ca="1" si="158"/>
        <v>1.42059326171875E-2</v>
      </c>
      <c r="K479" s="1">
        <f t="shared" ca="1" si="159"/>
        <v>0</v>
      </c>
      <c r="L479" s="13">
        <f t="shared" ca="1" si="160"/>
        <v>279</v>
      </c>
      <c r="M479" s="7">
        <f t="shared" ca="1" si="161"/>
        <v>721</v>
      </c>
      <c r="N479" s="26">
        <f t="shared" ca="1" si="162"/>
        <v>3</v>
      </c>
      <c r="O479" s="44">
        <f t="shared" ca="1" si="163"/>
        <v>2.2442427272544552</v>
      </c>
      <c r="P479" s="44">
        <f t="shared" ca="1" si="164"/>
        <v>22.442427272544553</v>
      </c>
      <c r="Q479" s="44">
        <f t="shared" ca="1" si="165"/>
        <v>22.442427272544553</v>
      </c>
      <c r="R479" s="44">
        <f t="shared" ca="1" si="166"/>
        <v>2.2442427272544552</v>
      </c>
      <c r="S479" s="44">
        <f t="shared" ca="1" si="167"/>
        <v>2.2442427272544552</v>
      </c>
      <c r="T479" s="4">
        <f t="shared" ca="1" si="168"/>
        <v>0</v>
      </c>
      <c r="U479" s="120">
        <f t="shared" ca="1" si="169"/>
        <v>1499.901337549361</v>
      </c>
      <c r="V479" s="4">
        <f t="shared" ca="1" si="170"/>
        <v>0</v>
      </c>
      <c r="W479" s="13">
        <f t="shared" ca="1" si="171"/>
        <v>29269.206000000002</v>
      </c>
      <c r="X479" s="4">
        <f t="shared" ca="1" si="172"/>
        <v>0</v>
      </c>
      <c r="Y479" s="4">
        <f t="shared" si="173"/>
        <v>0</v>
      </c>
      <c r="Z479" s="13">
        <f t="shared" ca="1" si="174"/>
        <v>29269.206000000002</v>
      </c>
      <c r="AA479" s="4">
        <f t="shared" ca="1" si="175"/>
        <v>0</v>
      </c>
      <c r="AE479" s="4"/>
    </row>
    <row r="480" spans="1:31">
      <c r="A480">
        <v>3</v>
      </c>
      <c r="B480">
        <v>2</v>
      </c>
      <c r="C480">
        <f t="shared" ca="1" si="154"/>
        <v>6</v>
      </c>
      <c r="D480">
        <f t="shared" ca="1" si="155"/>
        <v>5</v>
      </c>
      <c r="E480">
        <f t="shared" ca="1" si="156"/>
        <v>3</v>
      </c>
      <c r="F480" s="110">
        <f t="shared" ca="1" si="157"/>
        <v>0</v>
      </c>
      <c r="G480">
        <v>1</v>
      </c>
      <c r="H480">
        <v>0</v>
      </c>
      <c r="I480">
        <v>1</v>
      </c>
      <c r="J480" s="1">
        <f t="shared" ca="1" si="158"/>
        <v>1.01470947265625E-3</v>
      </c>
      <c r="K480" s="1">
        <f t="shared" ca="1" si="159"/>
        <v>0</v>
      </c>
      <c r="L480" s="13">
        <f t="shared" ca="1" si="160"/>
        <v>260</v>
      </c>
      <c r="M480" s="7">
        <f t="shared" ca="1" si="161"/>
        <v>740</v>
      </c>
      <c r="N480" s="26">
        <f t="shared" ca="1" si="162"/>
        <v>3</v>
      </c>
      <c r="O480" s="44">
        <f t="shared" ca="1" si="163"/>
        <v>2.2442427272544552</v>
      </c>
      <c r="P480" s="44">
        <f t="shared" ca="1" si="164"/>
        <v>22.442427272544553</v>
      </c>
      <c r="Q480" s="44">
        <f t="shared" ca="1" si="165"/>
        <v>22.442427272544553</v>
      </c>
      <c r="R480" s="44">
        <f t="shared" ca="1" si="166"/>
        <v>2.2442427272544552</v>
      </c>
      <c r="S480" s="44">
        <f t="shared" ca="1" si="167"/>
        <v>2.2442427272544552</v>
      </c>
      <c r="T480" s="4">
        <f t="shared" ca="1" si="168"/>
        <v>0</v>
      </c>
      <c r="U480" s="120">
        <f t="shared" ca="1" si="169"/>
        <v>1480.901337549361</v>
      </c>
      <c r="V480" s="4">
        <f t="shared" ca="1" si="170"/>
        <v>0</v>
      </c>
      <c r="W480" s="13">
        <f t="shared" ca="1" si="171"/>
        <v>26928.306000000004</v>
      </c>
      <c r="X480" s="4">
        <f t="shared" ca="1" si="172"/>
        <v>0</v>
      </c>
      <c r="Y480" s="4">
        <f t="shared" si="173"/>
        <v>0</v>
      </c>
      <c r="Z480" s="13">
        <f t="shared" ca="1" si="174"/>
        <v>26928.306000000004</v>
      </c>
      <c r="AA480" s="4">
        <f t="shared" ca="1" si="175"/>
        <v>0</v>
      </c>
      <c r="AE480" s="4"/>
    </row>
    <row r="481" spans="1:31">
      <c r="A481">
        <v>3</v>
      </c>
      <c r="B481">
        <v>2</v>
      </c>
      <c r="C481">
        <f t="shared" ca="1" si="154"/>
        <v>6</v>
      </c>
      <c r="D481">
        <f t="shared" ca="1" si="155"/>
        <v>5</v>
      </c>
      <c r="E481">
        <f t="shared" ca="1" si="156"/>
        <v>3</v>
      </c>
      <c r="F481" s="110">
        <f t="shared" ca="1" si="157"/>
        <v>0</v>
      </c>
      <c r="G481">
        <v>1</v>
      </c>
      <c r="H481">
        <v>0</v>
      </c>
      <c r="I481">
        <v>0</v>
      </c>
      <c r="J481" s="1">
        <f t="shared" ca="1" si="158"/>
        <v>2.8991699218749999E-5</v>
      </c>
      <c r="K481" s="1">
        <f t="shared" ca="1" si="159"/>
        <v>0</v>
      </c>
      <c r="L481" s="13">
        <f t="shared" ca="1" si="160"/>
        <v>241</v>
      </c>
      <c r="M481" s="7">
        <f t="shared" ca="1" si="161"/>
        <v>759</v>
      </c>
      <c r="N481" s="26">
        <f t="shared" ca="1" si="162"/>
        <v>3</v>
      </c>
      <c r="O481" s="44">
        <f t="shared" ca="1" si="163"/>
        <v>2.2442427272544552</v>
      </c>
      <c r="P481" s="44">
        <f t="shared" ca="1" si="164"/>
        <v>22.442427272544553</v>
      </c>
      <c r="Q481" s="44">
        <f t="shared" ca="1" si="165"/>
        <v>22.442427272544553</v>
      </c>
      <c r="R481" s="44">
        <f t="shared" ca="1" si="166"/>
        <v>2.2442427272544552</v>
      </c>
      <c r="S481" s="44">
        <f t="shared" ca="1" si="167"/>
        <v>2.2442427272544552</v>
      </c>
      <c r="T481" s="4">
        <f t="shared" ca="1" si="168"/>
        <v>0</v>
      </c>
      <c r="U481" s="120">
        <f t="shared" ca="1" si="169"/>
        <v>1461.901337549361</v>
      </c>
      <c r="V481" s="4">
        <f t="shared" ca="1" si="170"/>
        <v>0</v>
      </c>
      <c r="W481" s="13">
        <f t="shared" ca="1" si="171"/>
        <v>24587.406000000003</v>
      </c>
      <c r="X481" s="4">
        <f t="shared" ca="1" si="172"/>
        <v>0</v>
      </c>
      <c r="Y481" s="4">
        <f t="shared" si="173"/>
        <v>0</v>
      </c>
      <c r="Z481" s="13">
        <f t="shared" ca="1" si="174"/>
        <v>24587.406000000003</v>
      </c>
      <c r="AA481" s="4">
        <f t="shared" ca="1" si="175"/>
        <v>0</v>
      </c>
      <c r="AE481" s="4"/>
    </row>
    <row r="482" spans="1:31">
      <c r="A482">
        <v>3</v>
      </c>
      <c r="B482">
        <v>2</v>
      </c>
      <c r="C482">
        <f t="shared" ca="1" si="154"/>
        <v>6</v>
      </c>
      <c r="D482">
        <f t="shared" ca="1" si="155"/>
        <v>5</v>
      </c>
      <c r="E482">
        <f t="shared" ca="1" si="156"/>
        <v>3</v>
      </c>
      <c r="F482" s="110">
        <f t="shared" ca="1" si="157"/>
        <v>0</v>
      </c>
      <c r="G482">
        <v>0</v>
      </c>
      <c r="H482">
        <v>1</v>
      </c>
      <c r="I482">
        <v>7</v>
      </c>
      <c r="J482" s="1">
        <f t="shared" ca="1" si="158"/>
        <v>0</v>
      </c>
      <c r="K482" s="1">
        <f t="shared" ca="1" si="159"/>
        <v>0</v>
      </c>
      <c r="L482" s="13">
        <f t="shared" ca="1" si="160"/>
        <v>374</v>
      </c>
      <c r="M482" s="7">
        <f t="shared" ca="1" si="161"/>
        <v>626</v>
      </c>
      <c r="N482" s="26">
        <f t="shared" ca="1" si="162"/>
        <v>3</v>
      </c>
      <c r="O482" s="44">
        <f t="shared" ca="1" si="163"/>
        <v>2.2442427272544552</v>
      </c>
      <c r="P482" s="44">
        <f t="shared" ca="1" si="164"/>
        <v>22.442427272544553</v>
      </c>
      <c r="Q482" s="44">
        <f t="shared" ca="1" si="165"/>
        <v>22.442427272544553</v>
      </c>
      <c r="R482" s="44">
        <f t="shared" ca="1" si="166"/>
        <v>2.2442427272544552</v>
      </c>
      <c r="S482" s="44">
        <f t="shared" ca="1" si="167"/>
        <v>2.2442427272544552</v>
      </c>
      <c r="T482" s="4">
        <f t="shared" ca="1" si="168"/>
        <v>0</v>
      </c>
      <c r="U482" s="120">
        <f t="shared" ca="1" si="169"/>
        <v>1594.901337549361</v>
      </c>
      <c r="V482" s="4">
        <f t="shared" ca="1" si="170"/>
        <v>0</v>
      </c>
      <c r="W482" s="13">
        <f t="shared" ca="1" si="171"/>
        <v>16386.3</v>
      </c>
      <c r="X482" s="4">
        <f t="shared" ca="1" si="172"/>
        <v>0</v>
      </c>
      <c r="Y482" s="4">
        <f t="shared" si="173"/>
        <v>0</v>
      </c>
      <c r="Z482" s="13">
        <f t="shared" ca="1" si="174"/>
        <v>16386.3</v>
      </c>
      <c r="AA482" s="4">
        <f t="shared" ca="1" si="175"/>
        <v>0</v>
      </c>
      <c r="AE482" s="4"/>
    </row>
    <row r="483" spans="1:31">
      <c r="A483">
        <v>3</v>
      </c>
      <c r="B483">
        <v>2</v>
      </c>
      <c r="C483">
        <f t="shared" ca="1" si="154"/>
        <v>6</v>
      </c>
      <c r="D483">
        <f t="shared" ca="1" si="155"/>
        <v>5</v>
      </c>
      <c r="E483">
        <f t="shared" ca="1" si="156"/>
        <v>3</v>
      </c>
      <c r="F483" s="110">
        <f t="shared" ca="1" si="157"/>
        <v>0</v>
      </c>
      <c r="G483">
        <v>0</v>
      </c>
      <c r="H483">
        <v>1</v>
      </c>
      <c r="I483">
        <v>6</v>
      </c>
      <c r="J483" s="1">
        <f t="shared" ca="1" si="158"/>
        <v>0</v>
      </c>
      <c r="K483" s="1">
        <f t="shared" ca="1" si="159"/>
        <v>0</v>
      </c>
      <c r="L483" s="13">
        <f t="shared" ca="1" si="160"/>
        <v>355</v>
      </c>
      <c r="M483" s="7">
        <f t="shared" ca="1" si="161"/>
        <v>645</v>
      </c>
      <c r="N483" s="26">
        <f t="shared" ca="1" si="162"/>
        <v>3</v>
      </c>
      <c r="O483" s="44">
        <f t="shared" ca="1" si="163"/>
        <v>2.2442427272544552</v>
      </c>
      <c r="P483" s="44">
        <f t="shared" ca="1" si="164"/>
        <v>22.442427272544553</v>
      </c>
      <c r="Q483" s="44">
        <f t="shared" ca="1" si="165"/>
        <v>22.442427272544553</v>
      </c>
      <c r="R483" s="44">
        <f t="shared" ca="1" si="166"/>
        <v>2.2442427272544552</v>
      </c>
      <c r="S483" s="44">
        <f t="shared" ca="1" si="167"/>
        <v>2.2442427272544552</v>
      </c>
      <c r="T483" s="4">
        <f t="shared" ca="1" si="168"/>
        <v>0</v>
      </c>
      <c r="U483" s="120">
        <f t="shared" ca="1" si="169"/>
        <v>1575.901337549361</v>
      </c>
      <c r="V483" s="4">
        <f t="shared" ca="1" si="170"/>
        <v>0</v>
      </c>
      <c r="W483" s="13">
        <f t="shared" ca="1" si="171"/>
        <v>14045.400000000001</v>
      </c>
      <c r="X483" s="4">
        <f t="shared" ca="1" si="172"/>
        <v>0</v>
      </c>
      <c r="Y483" s="4">
        <f t="shared" si="173"/>
        <v>0</v>
      </c>
      <c r="Z483" s="13">
        <f t="shared" ca="1" si="174"/>
        <v>14045.400000000001</v>
      </c>
      <c r="AA483" s="4">
        <f t="shared" ca="1" si="175"/>
        <v>0</v>
      </c>
      <c r="AE483" s="4"/>
    </row>
    <row r="484" spans="1:31">
      <c r="A484">
        <v>3</v>
      </c>
      <c r="B484">
        <v>2</v>
      </c>
      <c r="C484">
        <f t="shared" ca="1" si="154"/>
        <v>6</v>
      </c>
      <c r="D484">
        <f t="shared" ca="1" si="155"/>
        <v>5</v>
      </c>
      <c r="E484">
        <f t="shared" ca="1" si="156"/>
        <v>3</v>
      </c>
      <c r="F484" s="110">
        <f t="shared" ca="1" si="157"/>
        <v>0</v>
      </c>
      <c r="G484">
        <v>0</v>
      </c>
      <c r="H484">
        <v>1</v>
      </c>
      <c r="I484">
        <v>5</v>
      </c>
      <c r="J484" s="1">
        <f t="shared" ca="1" si="158"/>
        <v>0</v>
      </c>
      <c r="K484" s="1">
        <f t="shared" ca="1" si="159"/>
        <v>0</v>
      </c>
      <c r="L484" s="13">
        <f t="shared" ca="1" si="160"/>
        <v>336</v>
      </c>
      <c r="M484" s="7">
        <f t="shared" ca="1" si="161"/>
        <v>664</v>
      </c>
      <c r="N484" s="26">
        <f t="shared" ca="1" si="162"/>
        <v>3</v>
      </c>
      <c r="O484" s="44">
        <f t="shared" ca="1" si="163"/>
        <v>2.2442427272544552</v>
      </c>
      <c r="P484" s="44">
        <f t="shared" ca="1" si="164"/>
        <v>22.442427272544553</v>
      </c>
      <c r="Q484" s="44">
        <f t="shared" ca="1" si="165"/>
        <v>22.442427272544553</v>
      </c>
      <c r="R484" s="44">
        <f t="shared" ca="1" si="166"/>
        <v>2.2442427272544552</v>
      </c>
      <c r="S484" s="44">
        <f t="shared" ca="1" si="167"/>
        <v>2.2442427272544552</v>
      </c>
      <c r="T484" s="4">
        <f t="shared" ca="1" si="168"/>
        <v>0</v>
      </c>
      <c r="U484" s="120">
        <f t="shared" ca="1" si="169"/>
        <v>1556.901337549361</v>
      </c>
      <c r="V484" s="4">
        <f t="shared" ca="1" si="170"/>
        <v>0</v>
      </c>
      <c r="W484" s="13">
        <f t="shared" ca="1" si="171"/>
        <v>11704.5</v>
      </c>
      <c r="X484" s="4">
        <f t="shared" ca="1" si="172"/>
        <v>0</v>
      </c>
      <c r="Y484" s="4">
        <f t="shared" si="173"/>
        <v>0</v>
      </c>
      <c r="Z484" s="13">
        <f t="shared" ca="1" si="174"/>
        <v>11704.5</v>
      </c>
      <c r="AA484" s="4">
        <f t="shared" ca="1" si="175"/>
        <v>0</v>
      </c>
      <c r="AE484" s="4"/>
    </row>
    <row r="485" spans="1:31">
      <c r="A485">
        <v>3</v>
      </c>
      <c r="B485">
        <v>2</v>
      </c>
      <c r="C485">
        <f t="shared" ca="1" si="154"/>
        <v>6</v>
      </c>
      <c r="D485">
        <f t="shared" ca="1" si="155"/>
        <v>5</v>
      </c>
      <c r="E485">
        <f t="shared" ca="1" si="156"/>
        <v>3</v>
      </c>
      <c r="F485" s="110">
        <f t="shared" ca="1" si="157"/>
        <v>0</v>
      </c>
      <c r="G485">
        <v>0</v>
      </c>
      <c r="H485">
        <v>1</v>
      </c>
      <c r="I485">
        <v>4</v>
      </c>
      <c r="J485" s="1">
        <f t="shared" ca="1" si="158"/>
        <v>0</v>
      </c>
      <c r="K485" s="1">
        <f t="shared" ca="1" si="159"/>
        <v>0</v>
      </c>
      <c r="L485" s="13">
        <f t="shared" ca="1" si="160"/>
        <v>317</v>
      </c>
      <c r="M485" s="7">
        <f t="shared" ca="1" si="161"/>
        <v>683</v>
      </c>
      <c r="N485" s="26">
        <f t="shared" ca="1" si="162"/>
        <v>3</v>
      </c>
      <c r="O485" s="44">
        <f t="shared" ca="1" si="163"/>
        <v>2.2442427272544552</v>
      </c>
      <c r="P485" s="44">
        <f t="shared" ca="1" si="164"/>
        <v>22.442427272544553</v>
      </c>
      <c r="Q485" s="44">
        <f t="shared" ca="1" si="165"/>
        <v>22.442427272544553</v>
      </c>
      <c r="R485" s="44">
        <f t="shared" ca="1" si="166"/>
        <v>2.2442427272544552</v>
      </c>
      <c r="S485" s="44">
        <f t="shared" ca="1" si="167"/>
        <v>2.2442427272544552</v>
      </c>
      <c r="T485" s="4">
        <f t="shared" ca="1" si="168"/>
        <v>0</v>
      </c>
      <c r="U485" s="120">
        <f t="shared" ca="1" si="169"/>
        <v>1537.901337549361</v>
      </c>
      <c r="V485" s="4">
        <f t="shared" ca="1" si="170"/>
        <v>0</v>
      </c>
      <c r="W485" s="13">
        <f t="shared" ca="1" si="171"/>
        <v>9363.6</v>
      </c>
      <c r="X485" s="4">
        <f t="shared" ca="1" si="172"/>
        <v>0</v>
      </c>
      <c r="Y485" s="4">
        <f t="shared" si="173"/>
        <v>0</v>
      </c>
      <c r="Z485" s="13">
        <f t="shared" ca="1" si="174"/>
        <v>9363.6</v>
      </c>
      <c r="AA485" s="4">
        <f t="shared" ca="1" si="175"/>
        <v>0</v>
      </c>
      <c r="AE485" s="4"/>
    </row>
    <row r="486" spans="1:31">
      <c r="A486">
        <v>3</v>
      </c>
      <c r="B486">
        <v>2</v>
      </c>
      <c r="C486">
        <f t="shared" ca="1" si="154"/>
        <v>6</v>
      </c>
      <c r="D486">
        <f t="shared" ca="1" si="155"/>
        <v>5</v>
      </c>
      <c r="E486">
        <f t="shared" ca="1" si="156"/>
        <v>3</v>
      </c>
      <c r="F486" s="110">
        <f t="shared" ca="1" si="157"/>
        <v>0</v>
      </c>
      <c r="G486">
        <v>0</v>
      </c>
      <c r="H486">
        <v>1</v>
      </c>
      <c r="I486">
        <v>3</v>
      </c>
      <c r="J486" s="1">
        <f t="shared" ca="1" si="158"/>
        <v>0</v>
      </c>
      <c r="K486" s="1">
        <f t="shared" ca="1" si="159"/>
        <v>0</v>
      </c>
      <c r="L486" s="13">
        <f t="shared" ca="1" si="160"/>
        <v>298</v>
      </c>
      <c r="M486" s="7">
        <f t="shared" ca="1" si="161"/>
        <v>702</v>
      </c>
      <c r="N486" s="26">
        <f t="shared" ca="1" si="162"/>
        <v>3</v>
      </c>
      <c r="O486" s="44">
        <f t="shared" ca="1" si="163"/>
        <v>2.2442427272544552</v>
      </c>
      <c r="P486" s="44">
        <f t="shared" ca="1" si="164"/>
        <v>22.442427272544553</v>
      </c>
      <c r="Q486" s="44">
        <f t="shared" ca="1" si="165"/>
        <v>22.442427272544553</v>
      </c>
      <c r="R486" s="44">
        <f t="shared" ca="1" si="166"/>
        <v>2.2442427272544552</v>
      </c>
      <c r="S486" s="44">
        <f t="shared" ca="1" si="167"/>
        <v>2.2442427272544552</v>
      </c>
      <c r="T486" s="4">
        <f t="shared" ca="1" si="168"/>
        <v>0</v>
      </c>
      <c r="U486" s="120">
        <f t="shared" ca="1" si="169"/>
        <v>1518.901337549361</v>
      </c>
      <c r="V486" s="4">
        <f t="shared" ca="1" si="170"/>
        <v>0</v>
      </c>
      <c r="W486" s="13">
        <f t="shared" ca="1" si="171"/>
        <v>7022.7000000000007</v>
      </c>
      <c r="X486" s="4">
        <f t="shared" ca="1" si="172"/>
        <v>0</v>
      </c>
      <c r="Y486" s="4">
        <f t="shared" si="173"/>
        <v>0</v>
      </c>
      <c r="Z486" s="13">
        <f t="shared" ca="1" si="174"/>
        <v>7022.7000000000007</v>
      </c>
      <c r="AA486" s="4">
        <f t="shared" ca="1" si="175"/>
        <v>0</v>
      </c>
      <c r="AE486" s="4"/>
    </row>
    <row r="487" spans="1:31">
      <c r="A487">
        <v>3</v>
      </c>
      <c r="B487">
        <v>2</v>
      </c>
      <c r="C487">
        <f t="shared" ca="1" si="154"/>
        <v>6</v>
      </c>
      <c r="D487">
        <f t="shared" ca="1" si="155"/>
        <v>5</v>
      </c>
      <c r="E487">
        <f t="shared" ca="1" si="156"/>
        <v>3</v>
      </c>
      <c r="F487" s="110">
        <f t="shared" ca="1" si="157"/>
        <v>0</v>
      </c>
      <c r="G487">
        <v>0</v>
      </c>
      <c r="H487">
        <v>1</v>
      </c>
      <c r="I487">
        <v>2</v>
      </c>
      <c r="J487" s="1">
        <f t="shared" ca="1" si="158"/>
        <v>0</v>
      </c>
      <c r="K487" s="1">
        <f t="shared" ca="1" si="159"/>
        <v>0</v>
      </c>
      <c r="L487" s="13">
        <f t="shared" ca="1" si="160"/>
        <v>279</v>
      </c>
      <c r="M487" s="7">
        <f t="shared" ca="1" si="161"/>
        <v>721</v>
      </c>
      <c r="N487" s="26">
        <f t="shared" ca="1" si="162"/>
        <v>3</v>
      </c>
      <c r="O487" s="44">
        <f t="shared" ca="1" si="163"/>
        <v>2.2442427272544552</v>
      </c>
      <c r="P487" s="44">
        <f t="shared" ca="1" si="164"/>
        <v>22.442427272544553</v>
      </c>
      <c r="Q487" s="44">
        <f t="shared" ca="1" si="165"/>
        <v>22.442427272544553</v>
      </c>
      <c r="R487" s="44">
        <f t="shared" ca="1" si="166"/>
        <v>2.2442427272544552</v>
      </c>
      <c r="S487" s="44">
        <f t="shared" ca="1" si="167"/>
        <v>2.2442427272544552</v>
      </c>
      <c r="T487" s="4">
        <f t="shared" ca="1" si="168"/>
        <v>0</v>
      </c>
      <c r="U487" s="120">
        <f t="shared" ca="1" si="169"/>
        <v>1499.901337549361</v>
      </c>
      <c r="V487" s="4">
        <f t="shared" ca="1" si="170"/>
        <v>0</v>
      </c>
      <c r="W487" s="13">
        <f t="shared" ca="1" si="171"/>
        <v>4681.8</v>
      </c>
      <c r="X487" s="4">
        <f t="shared" ca="1" si="172"/>
        <v>0</v>
      </c>
      <c r="Y487" s="4">
        <f t="shared" si="173"/>
        <v>0</v>
      </c>
      <c r="Z487" s="13">
        <f t="shared" ca="1" si="174"/>
        <v>4681.8</v>
      </c>
      <c r="AA487" s="4">
        <f t="shared" ca="1" si="175"/>
        <v>0</v>
      </c>
      <c r="AE487" s="4"/>
    </row>
    <row r="488" spans="1:31">
      <c r="A488">
        <v>3</v>
      </c>
      <c r="B488">
        <v>2</v>
      </c>
      <c r="C488">
        <f t="shared" ca="1" si="154"/>
        <v>6</v>
      </c>
      <c r="D488">
        <f t="shared" ca="1" si="155"/>
        <v>5</v>
      </c>
      <c r="E488">
        <f t="shared" ca="1" si="156"/>
        <v>3</v>
      </c>
      <c r="F488" s="110">
        <f t="shared" ca="1" si="157"/>
        <v>0</v>
      </c>
      <c r="G488">
        <v>0</v>
      </c>
      <c r="H488">
        <v>1</v>
      </c>
      <c r="I488">
        <v>1</v>
      </c>
      <c r="J488" s="1">
        <f t="shared" ca="1" si="158"/>
        <v>0</v>
      </c>
      <c r="K488" s="1">
        <f t="shared" ca="1" si="159"/>
        <v>0</v>
      </c>
      <c r="L488" s="13">
        <f t="shared" ca="1" si="160"/>
        <v>260</v>
      </c>
      <c r="M488" s="7">
        <f t="shared" ca="1" si="161"/>
        <v>740</v>
      </c>
      <c r="N488" s="26">
        <f t="shared" ca="1" si="162"/>
        <v>3</v>
      </c>
      <c r="O488" s="44">
        <f t="shared" ca="1" si="163"/>
        <v>2.2442427272544552</v>
      </c>
      <c r="P488" s="44">
        <f t="shared" ca="1" si="164"/>
        <v>22.442427272544553</v>
      </c>
      <c r="Q488" s="44">
        <f t="shared" ca="1" si="165"/>
        <v>22.442427272544553</v>
      </c>
      <c r="R488" s="44">
        <f t="shared" ca="1" si="166"/>
        <v>2.2442427272544552</v>
      </c>
      <c r="S488" s="44">
        <f t="shared" ca="1" si="167"/>
        <v>2.2442427272544552</v>
      </c>
      <c r="T488" s="4">
        <f t="shared" ca="1" si="168"/>
        <v>0</v>
      </c>
      <c r="U488" s="120">
        <f t="shared" ca="1" si="169"/>
        <v>1480.901337549361</v>
      </c>
      <c r="V488" s="4">
        <f t="shared" ca="1" si="170"/>
        <v>0</v>
      </c>
      <c r="W488" s="13">
        <f t="shared" ca="1" si="171"/>
        <v>2340.9</v>
      </c>
      <c r="X488" s="4">
        <f t="shared" ca="1" si="172"/>
        <v>0</v>
      </c>
      <c r="Y488" s="4">
        <f t="shared" si="173"/>
        <v>0</v>
      </c>
      <c r="Z488" s="13">
        <f t="shared" ca="1" si="174"/>
        <v>2340.9</v>
      </c>
      <c r="AA488" s="4">
        <f t="shared" ca="1" si="175"/>
        <v>0</v>
      </c>
      <c r="AE488" s="4"/>
    </row>
    <row r="489" spans="1:31">
      <c r="A489">
        <v>3</v>
      </c>
      <c r="B489">
        <v>2</v>
      </c>
      <c r="C489">
        <f t="shared" ca="1" si="154"/>
        <v>6</v>
      </c>
      <c r="D489">
        <f t="shared" ca="1" si="155"/>
        <v>5</v>
      </c>
      <c r="E489">
        <f t="shared" ca="1" si="156"/>
        <v>3</v>
      </c>
      <c r="F489" s="110">
        <f t="shared" ca="1" si="157"/>
        <v>0</v>
      </c>
      <c r="G489">
        <v>0</v>
      </c>
      <c r="H489">
        <v>1</v>
      </c>
      <c r="I489">
        <v>0</v>
      </c>
      <c r="J489" s="1">
        <f t="shared" ca="1" si="158"/>
        <v>0</v>
      </c>
      <c r="K489" s="1">
        <f t="shared" ca="1" si="159"/>
        <v>0</v>
      </c>
      <c r="L489" s="13">
        <f t="shared" ca="1" si="160"/>
        <v>241</v>
      </c>
      <c r="M489" s="7">
        <f t="shared" ca="1" si="161"/>
        <v>759</v>
      </c>
      <c r="N489" s="26">
        <f t="shared" ca="1" si="162"/>
        <v>3</v>
      </c>
      <c r="O489" s="44">
        <f t="shared" ca="1" si="163"/>
        <v>2.2442427272544552</v>
      </c>
      <c r="P489" s="44">
        <f t="shared" ca="1" si="164"/>
        <v>22.442427272544553</v>
      </c>
      <c r="Q489" s="44">
        <f t="shared" ca="1" si="165"/>
        <v>22.442427272544553</v>
      </c>
      <c r="R489" s="44">
        <f t="shared" ca="1" si="166"/>
        <v>2.2442427272544552</v>
      </c>
      <c r="S489" s="44">
        <f t="shared" ca="1" si="167"/>
        <v>2.2442427272544552</v>
      </c>
      <c r="T489" s="4">
        <f t="shared" ca="1" si="168"/>
        <v>0</v>
      </c>
      <c r="U489" s="120">
        <f t="shared" ca="1" si="169"/>
        <v>1461.901337549361</v>
      </c>
      <c r="V489" s="4">
        <f t="shared" ca="1" si="170"/>
        <v>0</v>
      </c>
      <c r="W489" s="13">
        <f t="shared" ca="1" si="171"/>
        <v>0</v>
      </c>
      <c r="X489" s="4">
        <f t="shared" ca="1" si="172"/>
        <v>0</v>
      </c>
      <c r="Y489" s="4">
        <f t="shared" si="173"/>
        <v>0</v>
      </c>
      <c r="Z489" s="13">
        <f t="shared" ca="1" si="174"/>
        <v>0</v>
      </c>
      <c r="AA489" s="4">
        <f t="shared" ca="1" si="175"/>
        <v>0</v>
      </c>
      <c r="AE489" s="4"/>
    </row>
    <row r="490" spans="1:31">
      <c r="A490">
        <v>3</v>
      </c>
      <c r="B490">
        <v>2</v>
      </c>
      <c r="C490">
        <f t="shared" ca="1" si="154"/>
        <v>6</v>
      </c>
      <c r="D490">
        <f t="shared" ca="1" si="155"/>
        <v>5</v>
      </c>
      <c r="E490">
        <f t="shared" ca="1" si="156"/>
        <v>3</v>
      </c>
      <c r="F490" s="110">
        <f t="shared" ca="1" si="157"/>
        <v>0</v>
      </c>
      <c r="G490">
        <v>0</v>
      </c>
      <c r="H490">
        <v>0</v>
      </c>
      <c r="I490">
        <v>7</v>
      </c>
      <c r="J490" s="1">
        <f t="shared" ca="1" si="158"/>
        <v>0</v>
      </c>
      <c r="K490" s="1">
        <f ca="1">F490*J490</f>
        <v>0</v>
      </c>
      <c r="L490" s="13">
        <f t="shared" ca="1" si="160"/>
        <v>133</v>
      </c>
      <c r="M490" s="7">
        <f t="shared" ca="1" si="161"/>
        <v>867</v>
      </c>
      <c r="N490" s="26">
        <f t="shared" ca="1" si="162"/>
        <v>4</v>
      </c>
      <c r="O490" s="44">
        <f t="shared" ca="1" si="163"/>
        <v>2.8621467101781541</v>
      </c>
      <c r="P490" s="44">
        <f t="shared" ca="1" si="164"/>
        <v>28.621467101781548</v>
      </c>
      <c r="Q490" s="44">
        <f t="shared" ca="1" si="165"/>
        <v>24.914043204239348</v>
      </c>
      <c r="R490" s="44">
        <f t="shared" ca="1" si="166"/>
        <v>2.6767755153010446</v>
      </c>
      <c r="S490" s="44">
        <f t="shared" ca="1" si="167"/>
        <v>2.8491707265367565</v>
      </c>
      <c r="T490" s="4">
        <f t="shared" ca="1" si="168"/>
        <v>0</v>
      </c>
      <c r="U490" s="120">
        <f ca="1">MIN(L490+(S490+Set1OverTP)*AvgHitsPerRound1*Set1MeleeTP + Set1Regain + 10.5*Set1ConserveTP, 3000)</f>
        <v>1622.8690837457082</v>
      </c>
      <c r="V490" s="4">
        <f ca="1">U490*K490</f>
        <v>0</v>
      </c>
      <c r="W490" s="13">
        <f ca="1">G490*$K$10*((1-$L$10)*$L$14 + $L$10*$M$14*$M$10)*Set1WSDmg + H490*$K$13*((1-$L$13)*$L$15 + $L$13*$M$15*$M$11) + I490*$K$11*((1-$L$11)*$L$14 + $L$11*$M$14*$M$11) + E490*$K$12*$L$12*$M$10</f>
        <v>16386.3</v>
      </c>
      <c r="X490" s="4">
        <f t="shared" ca="1" si="172"/>
        <v>0</v>
      </c>
      <c r="Y490" s="4">
        <f t="shared" si="173"/>
        <v>0</v>
      </c>
      <c r="Z490" s="13">
        <f t="shared" ca="1" si="174"/>
        <v>16386.3</v>
      </c>
      <c r="AA490" s="4">
        <f t="shared" ca="1" si="175"/>
        <v>0</v>
      </c>
      <c r="AE490" s="4"/>
    </row>
    <row r="491" spans="1:31">
      <c r="A491">
        <v>3</v>
      </c>
      <c r="B491">
        <v>2</v>
      </c>
      <c r="C491">
        <f t="shared" ca="1" si="154"/>
        <v>6</v>
      </c>
      <c r="D491">
        <f t="shared" ca="1" si="155"/>
        <v>5</v>
      </c>
      <c r="E491">
        <f t="shared" ca="1" si="156"/>
        <v>3</v>
      </c>
      <c r="F491" s="110">
        <f t="shared" ca="1" si="157"/>
        <v>0</v>
      </c>
      <c r="G491">
        <v>0</v>
      </c>
      <c r="H491">
        <v>0</v>
      </c>
      <c r="I491">
        <v>6</v>
      </c>
      <c r="J491" s="1">
        <f t="shared" ca="1" si="158"/>
        <v>0</v>
      </c>
      <c r="K491" s="1">
        <f t="shared" ca="1" si="159"/>
        <v>0</v>
      </c>
      <c r="L491" s="13">
        <f t="shared" ca="1" si="160"/>
        <v>114</v>
      </c>
      <c r="M491" s="7">
        <f t="shared" ca="1" si="161"/>
        <v>886</v>
      </c>
      <c r="N491" s="26">
        <f t="shared" ca="1" si="162"/>
        <v>4</v>
      </c>
      <c r="O491" s="44">
        <f t="shared" ca="1" si="163"/>
        <v>2.8621467101781541</v>
      </c>
      <c r="P491" s="44">
        <f t="shared" ca="1" si="164"/>
        <v>28.621467101781548</v>
      </c>
      <c r="Q491" s="44">
        <f t="shared" ca="1" si="165"/>
        <v>28.621467101781548</v>
      </c>
      <c r="R491" s="44">
        <f t="shared" ca="1" si="166"/>
        <v>2.8621467101781546</v>
      </c>
      <c r="S491" s="44">
        <f t="shared" ca="1" si="167"/>
        <v>2.8621467101781541</v>
      </c>
      <c r="T491" s="4">
        <f t="shared" ca="1" si="168"/>
        <v>0</v>
      </c>
      <c r="U491" s="120">
        <f t="shared" ca="1" si="169"/>
        <v>1609.6385655333725</v>
      </c>
      <c r="V491" s="4">
        <f t="shared" ca="1" si="170"/>
        <v>0</v>
      </c>
      <c r="W491" s="13">
        <f t="shared" ca="1" si="171"/>
        <v>14045.400000000001</v>
      </c>
      <c r="X491" s="4">
        <f t="shared" ca="1" si="172"/>
        <v>0</v>
      </c>
      <c r="Y491" s="4">
        <f t="shared" si="173"/>
        <v>0</v>
      </c>
      <c r="Z491" s="13">
        <f t="shared" ca="1" si="174"/>
        <v>14045.400000000001</v>
      </c>
      <c r="AA491" s="4">
        <f t="shared" ca="1" si="175"/>
        <v>0</v>
      </c>
      <c r="AE491" s="4"/>
    </row>
    <row r="492" spans="1:31">
      <c r="A492">
        <v>3</v>
      </c>
      <c r="B492">
        <v>2</v>
      </c>
      <c r="C492">
        <f t="shared" ca="1" si="154"/>
        <v>6</v>
      </c>
      <c r="D492">
        <f t="shared" ca="1" si="155"/>
        <v>5</v>
      </c>
      <c r="E492">
        <f t="shared" ca="1" si="156"/>
        <v>3</v>
      </c>
      <c r="F492" s="110">
        <f t="shared" ca="1" si="157"/>
        <v>0</v>
      </c>
      <c r="G492">
        <v>0</v>
      </c>
      <c r="H492">
        <v>0</v>
      </c>
      <c r="I492">
        <v>5</v>
      </c>
      <c r="J492" s="1">
        <f t="shared" ca="1" si="158"/>
        <v>2.5645446777343751E-2</v>
      </c>
      <c r="K492" s="1">
        <f t="shared" ca="1" si="159"/>
        <v>0</v>
      </c>
      <c r="L492" s="13">
        <f t="shared" ca="1" si="160"/>
        <v>95</v>
      </c>
      <c r="M492" s="7">
        <f t="shared" ca="1" si="161"/>
        <v>905</v>
      </c>
      <c r="N492" s="26">
        <f t="shared" ca="1" si="162"/>
        <v>4</v>
      </c>
      <c r="O492" s="44">
        <f t="shared" ca="1" si="163"/>
        <v>2.8621467101781541</v>
      </c>
      <c r="P492" s="44">
        <f t="shared" ca="1" si="164"/>
        <v>28.621467101781548</v>
      </c>
      <c r="Q492" s="44">
        <f t="shared" ca="1" si="165"/>
        <v>28.621467101781548</v>
      </c>
      <c r="R492" s="44">
        <f t="shared" ca="1" si="166"/>
        <v>2.8621467101781546</v>
      </c>
      <c r="S492" s="44">
        <f t="shared" ca="1" si="167"/>
        <v>2.8621467101781541</v>
      </c>
      <c r="T492" s="4">
        <f t="shared" ca="1" si="168"/>
        <v>0</v>
      </c>
      <c r="U492" s="120">
        <f t="shared" ca="1" si="169"/>
        <v>1590.6385655333725</v>
      </c>
      <c r="V492" s="4">
        <f t="shared" ca="1" si="170"/>
        <v>0</v>
      </c>
      <c r="W492" s="13">
        <f t="shared" ca="1" si="171"/>
        <v>11704.5</v>
      </c>
      <c r="X492" s="4">
        <f t="shared" ca="1" si="172"/>
        <v>0</v>
      </c>
      <c r="Y492" s="4">
        <f t="shared" si="173"/>
        <v>0</v>
      </c>
      <c r="Z492" s="13">
        <f t="shared" ca="1" si="174"/>
        <v>11704.5</v>
      </c>
      <c r="AA492" s="4">
        <f t="shared" ca="1" si="175"/>
        <v>0</v>
      </c>
      <c r="AE492" s="4"/>
    </row>
    <row r="493" spans="1:31">
      <c r="A493">
        <v>3</v>
      </c>
      <c r="B493">
        <v>2</v>
      </c>
      <c r="C493">
        <f t="shared" ca="1" si="154"/>
        <v>6</v>
      </c>
      <c r="D493">
        <f t="shared" ca="1" si="155"/>
        <v>5</v>
      </c>
      <c r="E493">
        <f t="shared" ca="1" si="156"/>
        <v>3</v>
      </c>
      <c r="F493" s="110">
        <f t="shared" ca="1" si="157"/>
        <v>0</v>
      </c>
      <c r="G493">
        <v>0</v>
      </c>
      <c r="H493">
        <v>0</v>
      </c>
      <c r="I493">
        <v>4</v>
      </c>
      <c r="J493" s="1">
        <f t="shared" ca="1" si="158"/>
        <v>1.831817626953125E-2</v>
      </c>
      <c r="K493" s="1">
        <f t="shared" ca="1" si="159"/>
        <v>0</v>
      </c>
      <c r="L493" s="13">
        <f t="shared" ca="1" si="160"/>
        <v>76</v>
      </c>
      <c r="M493" s="7">
        <f t="shared" ca="1" si="161"/>
        <v>924</v>
      </c>
      <c r="N493" s="26">
        <f t="shared" ca="1" si="162"/>
        <v>4</v>
      </c>
      <c r="O493" s="44">
        <f t="shared" ca="1" si="163"/>
        <v>2.8621467101781541</v>
      </c>
      <c r="P493" s="44">
        <f t="shared" ca="1" si="164"/>
        <v>28.621467101781548</v>
      </c>
      <c r="Q493" s="44">
        <f t="shared" ca="1" si="165"/>
        <v>28.621467101781548</v>
      </c>
      <c r="R493" s="44">
        <f t="shared" ca="1" si="166"/>
        <v>2.8621467101781546</v>
      </c>
      <c r="S493" s="44">
        <f t="shared" ca="1" si="167"/>
        <v>2.8621467101781541</v>
      </c>
      <c r="T493" s="4">
        <f t="shared" ca="1" si="168"/>
        <v>0</v>
      </c>
      <c r="U493" s="120">
        <f t="shared" ca="1" si="169"/>
        <v>1571.6385655333725</v>
      </c>
      <c r="V493" s="4">
        <f t="shared" ca="1" si="170"/>
        <v>0</v>
      </c>
      <c r="W493" s="13">
        <f t="shared" ca="1" si="171"/>
        <v>9363.6</v>
      </c>
      <c r="X493" s="4">
        <f t="shared" ca="1" si="172"/>
        <v>0</v>
      </c>
      <c r="Y493" s="4">
        <f t="shared" si="173"/>
        <v>0</v>
      </c>
      <c r="Z493" s="13">
        <f t="shared" ca="1" si="174"/>
        <v>9363.6</v>
      </c>
      <c r="AA493" s="4">
        <f t="shared" ca="1" si="175"/>
        <v>0</v>
      </c>
      <c r="AE493" s="4"/>
    </row>
    <row r="494" spans="1:31">
      <c r="A494">
        <v>3</v>
      </c>
      <c r="B494">
        <v>2</v>
      </c>
      <c r="C494">
        <f t="shared" ca="1" si="154"/>
        <v>6</v>
      </c>
      <c r="D494">
        <f t="shared" ca="1" si="155"/>
        <v>5</v>
      </c>
      <c r="E494">
        <f t="shared" ca="1" si="156"/>
        <v>3</v>
      </c>
      <c r="F494" s="110">
        <f t="shared" ca="1" si="157"/>
        <v>0</v>
      </c>
      <c r="G494">
        <v>0</v>
      </c>
      <c r="H494">
        <v>0</v>
      </c>
      <c r="I494">
        <v>3</v>
      </c>
      <c r="J494" s="1">
        <f t="shared" ca="1" si="158"/>
        <v>5.2337646484375E-3</v>
      </c>
      <c r="K494" s="1">
        <f t="shared" ca="1" si="159"/>
        <v>0</v>
      </c>
      <c r="L494" s="13">
        <f t="shared" ca="1" si="160"/>
        <v>57</v>
      </c>
      <c r="M494" s="7">
        <f t="shared" ca="1" si="161"/>
        <v>943</v>
      </c>
      <c r="N494" s="26">
        <f t="shared" ca="1" si="162"/>
        <v>4</v>
      </c>
      <c r="O494" s="44">
        <f t="shared" ca="1" si="163"/>
        <v>2.8621467101781541</v>
      </c>
      <c r="P494" s="44">
        <f t="shared" ca="1" si="164"/>
        <v>28.621467101781548</v>
      </c>
      <c r="Q494" s="44">
        <f t="shared" ca="1" si="165"/>
        <v>28.621467101781548</v>
      </c>
      <c r="R494" s="44">
        <f t="shared" ca="1" si="166"/>
        <v>2.8621467101781546</v>
      </c>
      <c r="S494" s="44">
        <f t="shared" ca="1" si="167"/>
        <v>2.8621467101781541</v>
      </c>
      <c r="T494" s="4">
        <f t="shared" ca="1" si="168"/>
        <v>0</v>
      </c>
      <c r="U494" s="120">
        <f t="shared" ca="1" si="169"/>
        <v>1552.6385655333725</v>
      </c>
      <c r="V494" s="4">
        <f t="shared" ca="1" si="170"/>
        <v>0</v>
      </c>
      <c r="W494" s="13">
        <f t="shared" ca="1" si="171"/>
        <v>7022.7000000000007</v>
      </c>
      <c r="X494" s="4">
        <f t="shared" ca="1" si="172"/>
        <v>0</v>
      </c>
      <c r="Y494" s="4">
        <f t="shared" si="173"/>
        <v>0</v>
      </c>
      <c r="Z494" s="13">
        <f t="shared" ca="1" si="174"/>
        <v>7022.7000000000007</v>
      </c>
      <c r="AA494" s="4">
        <f t="shared" ca="1" si="175"/>
        <v>0</v>
      </c>
      <c r="AE494" s="4"/>
    </row>
    <row r="495" spans="1:31">
      <c r="A495">
        <v>3</v>
      </c>
      <c r="B495">
        <v>2</v>
      </c>
      <c r="C495">
        <f t="shared" ca="1" si="154"/>
        <v>6</v>
      </c>
      <c r="D495">
        <f t="shared" ca="1" si="155"/>
        <v>5</v>
      </c>
      <c r="E495">
        <f t="shared" ca="1" si="156"/>
        <v>3</v>
      </c>
      <c r="F495" s="110">
        <f t="shared" ca="1" si="157"/>
        <v>0</v>
      </c>
      <c r="G495">
        <v>0</v>
      </c>
      <c r="H495">
        <v>0</v>
      </c>
      <c r="I495">
        <v>2</v>
      </c>
      <c r="J495" s="1">
        <f t="shared" ca="1" si="158"/>
        <v>7.476806640625E-4</v>
      </c>
      <c r="K495" s="1">
        <f t="shared" ca="1" si="159"/>
        <v>0</v>
      </c>
      <c r="L495" s="13">
        <f t="shared" ca="1" si="160"/>
        <v>38</v>
      </c>
      <c r="M495" s="7">
        <f t="shared" ca="1" si="161"/>
        <v>962</v>
      </c>
      <c r="N495" s="26">
        <f t="shared" ca="1" si="162"/>
        <v>4</v>
      </c>
      <c r="O495" s="44">
        <f t="shared" ca="1" si="163"/>
        <v>2.8621467101781541</v>
      </c>
      <c r="P495" s="44">
        <f t="shared" ca="1" si="164"/>
        <v>28.621467101781548</v>
      </c>
      <c r="Q495" s="44">
        <f t="shared" ca="1" si="165"/>
        <v>28.621467101781548</v>
      </c>
      <c r="R495" s="44">
        <f t="shared" ca="1" si="166"/>
        <v>2.8621467101781546</v>
      </c>
      <c r="S495" s="44">
        <f t="shared" ca="1" si="167"/>
        <v>2.8621467101781541</v>
      </c>
      <c r="T495" s="4">
        <f t="shared" ca="1" si="168"/>
        <v>0</v>
      </c>
      <c r="U495" s="120">
        <f t="shared" ca="1" si="169"/>
        <v>1533.6385655333725</v>
      </c>
      <c r="V495" s="4">
        <f t="shared" ca="1" si="170"/>
        <v>0</v>
      </c>
      <c r="W495" s="13">
        <f t="shared" ca="1" si="171"/>
        <v>4681.8</v>
      </c>
      <c r="X495" s="4">
        <f t="shared" ca="1" si="172"/>
        <v>0</v>
      </c>
      <c r="Y495" s="4">
        <f t="shared" si="173"/>
        <v>0</v>
      </c>
      <c r="Z495" s="13">
        <f t="shared" ca="1" si="174"/>
        <v>4681.8</v>
      </c>
      <c r="AA495" s="4">
        <f t="shared" ca="1" si="175"/>
        <v>0</v>
      </c>
      <c r="AE495" s="4"/>
    </row>
    <row r="496" spans="1:31">
      <c r="A496">
        <v>3</v>
      </c>
      <c r="B496">
        <v>2</v>
      </c>
      <c r="C496">
        <f t="shared" ca="1" si="154"/>
        <v>6</v>
      </c>
      <c r="D496">
        <f t="shared" ca="1" si="155"/>
        <v>5</v>
      </c>
      <c r="E496">
        <f t="shared" ca="1" si="156"/>
        <v>3</v>
      </c>
      <c r="F496" s="110">
        <f t="shared" ca="1" si="157"/>
        <v>0</v>
      </c>
      <c r="G496">
        <v>0</v>
      </c>
      <c r="H496">
        <v>0</v>
      </c>
      <c r="I496">
        <v>1</v>
      </c>
      <c r="J496" s="1">
        <f t="shared" ca="1" si="158"/>
        <v>5.340576171875E-5</v>
      </c>
      <c r="K496" s="1">
        <f t="shared" ca="1" si="159"/>
        <v>0</v>
      </c>
      <c r="L496" s="13">
        <f t="shared" ca="1" si="160"/>
        <v>19</v>
      </c>
      <c r="M496" s="7">
        <f t="shared" ca="1" si="161"/>
        <v>981</v>
      </c>
      <c r="N496" s="26">
        <f t="shared" ca="1" si="162"/>
        <v>4</v>
      </c>
      <c r="O496" s="44">
        <f t="shared" ca="1" si="163"/>
        <v>2.8621467101781541</v>
      </c>
      <c r="P496" s="44">
        <f t="shared" ca="1" si="164"/>
        <v>28.621467101781548</v>
      </c>
      <c r="Q496" s="44">
        <f t="shared" ca="1" si="165"/>
        <v>28.621467101781548</v>
      </c>
      <c r="R496" s="44">
        <f t="shared" ca="1" si="166"/>
        <v>2.8621467101781546</v>
      </c>
      <c r="S496" s="44">
        <f t="shared" ca="1" si="167"/>
        <v>2.8621467101781541</v>
      </c>
      <c r="T496" s="4">
        <f t="shared" ca="1" si="168"/>
        <v>0</v>
      </c>
      <c r="U496" s="120">
        <f t="shared" ca="1" si="169"/>
        <v>1514.6385655333725</v>
      </c>
      <c r="V496" s="4">
        <f t="shared" ca="1" si="170"/>
        <v>0</v>
      </c>
      <c r="W496" s="13">
        <f t="shared" ca="1" si="171"/>
        <v>2340.9</v>
      </c>
      <c r="X496" s="4">
        <f t="shared" ca="1" si="172"/>
        <v>0</v>
      </c>
      <c r="Y496" s="4">
        <f t="shared" si="173"/>
        <v>0</v>
      </c>
      <c r="Z496" s="13">
        <f t="shared" ca="1" si="174"/>
        <v>2340.9</v>
      </c>
      <c r="AA496" s="4">
        <f t="shared" ca="1" si="175"/>
        <v>0</v>
      </c>
      <c r="AE496" s="4"/>
    </row>
    <row r="497" spans="1:31">
      <c r="A497">
        <v>3</v>
      </c>
      <c r="B497">
        <v>2</v>
      </c>
      <c r="C497">
        <f t="shared" ca="1" si="154"/>
        <v>6</v>
      </c>
      <c r="D497">
        <f t="shared" ca="1" si="155"/>
        <v>5</v>
      </c>
      <c r="E497">
        <f t="shared" ca="1" si="156"/>
        <v>3</v>
      </c>
      <c r="F497" s="110">
        <f t="shared" ca="1" si="157"/>
        <v>0</v>
      </c>
      <c r="G497">
        <v>0</v>
      </c>
      <c r="H497">
        <v>0</v>
      </c>
      <c r="I497">
        <v>0</v>
      </c>
      <c r="J497" s="1">
        <f t="shared" ca="1" si="158"/>
        <v>1.5258789062500001E-6</v>
      </c>
      <c r="K497" s="1">
        <f t="shared" ca="1" si="159"/>
        <v>0</v>
      </c>
      <c r="L497" s="13">
        <f t="shared" ca="1" si="160"/>
        <v>0</v>
      </c>
      <c r="M497" s="7">
        <f t="shared" ca="1" si="161"/>
        <v>1000</v>
      </c>
      <c r="N497" s="26">
        <f t="shared" ca="1" si="162"/>
        <v>4</v>
      </c>
      <c r="O497" s="44">
        <f t="shared" ca="1" si="163"/>
        <v>2.8621467101781541</v>
      </c>
      <c r="P497" s="44">
        <f t="shared" ca="1" si="164"/>
        <v>28.621467101781548</v>
      </c>
      <c r="Q497" s="44">
        <f t="shared" ca="1" si="165"/>
        <v>28.621467101781548</v>
      </c>
      <c r="R497" s="44">
        <f t="shared" ca="1" si="166"/>
        <v>2.8621467101781546</v>
      </c>
      <c r="S497" s="44">
        <f t="shared" ca="1" si="167"/>
        <v>2.8621467101781541</v>
      </c>
      <c r="T497" s="4">
        <f t="shared" ca="1" si="168"/>
        <v>0</v>
      </c>
      <c r="U497" s="120">
        <f t="shared" ca="1" si="169"/>
        <v>1495.6385655333725</v>
      </c>
      <c r="V497" s="4">
        <f t="shared" ca="1" si="170"/>
        <v>0</v>
      </c>
      <c r="W497" s="13">
        <f t="shared" ca="1" si="171"/>
        <v>0</v>
      </c>
      <c r="X497" s="4">
        <f t="shared" ca="1" si="172"/>
        <v>0</v>
      </c>
      <c r="Y497" s="4">
        <f t="shared" si="173"/>
        <v>0</v>
      </c>
      <c r="Z497" s="13">
        <f t="shared" ca="1" si="174"/>
        <v>0</v>
      </c>
      <c r="AA497" s="4">
        <f t="shared" ca="1" si="175"/>
        <v>0</v>
      </c>
      <c r="AE497" s="4"/>
    </row>
    <row r="498" spans="1:31">
      <c r="A498">
        <v>3</v>
      </c>
      <c r="B498">
        <v>3</v>
      </c>
      <c r="C498">
        <f t="shared" ca="1" si="154"/>
        <v>7</v>
      </c>
      <c r="D498">
        <f t="shared" ca="1" si="155"/>
        <v>6</v>
      </c>
      <c r="E498">
        <f t="shared" ca="1" si="156"/>
        <v>3</v>
      </c>
      <c r="F498" s="110">
        <f t="shared" ca="1" si="157"/>
        <v>0</v>
      </c>
      <c r="G498">
        <v>1</v>
      </c>
      <c r="H498">
        <v>1</v>
      </c>
      <c r="I498">
        <v>7</v>
      </c>
      <c r="J498" s="1">
        <f t="shared" ca="1" si="158"/>
        <v>0</v>
      </c>
      <c r="K498" s="1">
        <f t="shared" ca="1" si="159"/>
        <v>0</v>
      </c>
      <c r="L498" s="13">
        <f t="shared" ca="1" si="160"/>
        <v>615</v>
      </c>
      <c r="M498" s="7">
        <f t="shared" ca="1" si="161"/>
        <v>385</v>
      </c>
      <c r="N498" s="26">
        <f t="shared" ca="1" si="162"/>
        <v>2</v>
      </c>
      <c r="O498" s="44">
        <f t="shared" ca="1" si="163"/>
        <v>1.5762319669595739</v>
      </c>
      <c r="P498" s="44">
        <f t="shared" ca="1" si="164"/>
        <v>15.762319669595739</v>
      </c>
      <c r="Q498" s="44">
        <f t="shared" ca="1" si="165"/>
        <v>15.762319669595739</v>
      </c>
      <c r="R498" s="44">
        <f t="shared" ca="1" si="166"/>
        <v>1.5762319669595739</v>
      </c>
      <c r="S498" s="44">
        <f t="shared" ca="1" si="167"/>
        <v>1.5762319669595737</v>
      </c>
      <c r="T498" s="4">
        <f t="shared" ca="1" si="168"/>
        <v>0</v>
      </c>
      <c r="U498" s="120">
        <f t="shared" ca="1" si="169"/>
        <v>1538.885248288175</v>
      </c>
      <c r="V498" s="4">
        <f t="shared" ca="1" si="170"/>
        <v>0</v>
      </c>
      <c r="W498" s="13">
        <f t="shared" ca="1" si="171"/>
        <v>40973.706000000006</v>
      </c>
      <c r="X498" s="4">
        <f t="shared" ca="1" si="172"/>
        <v>0</v>
      </c>
      <c r="Y498" s="4">
        <f t="shared" si="173"/>
        <v>0</v>
      </c>
      <c r="Z498" s="13">
        <f t="shared" ca="1" si="174"/>
        <v>40973.706000000006</v>
      </c>
      <c r="AA498" s="4">
        <f t="shared" ca="1" si="175"/>
        <v>0</v>
      </c>
      <c r="AE498" s="4"/>
    </row>
    <row r="499" spans="1:31">
      <c r="A499">
        <v>3</v>
      </c>
      <c r="B499">
        <v>3</v>
      </c>
      <c r="C499">
        <f t="shared" ca="1" si="154"/>
        <v>7</v>
      </c>
      <c r="D499">
        <f t="shared" ca="1" si="155"/>
        <v>6</v>
      </c>
      <c r="E499">
        <f t="shared" ca="1" si="156"/>
        <v>3</v>
      </c>
      <c r="F499" s="110">
        <f t="shared" ca="1" si="157"/>
        <v>0</v>
      </c>
      <c r="G499">
        <v>1</v>
      </c>
      <c r="H499">
        <v>1</v>
      </c>
      <c r="I499">
        <v>6</v>
      </c>
      <c r="J499" s="1">
        <f t="shared" ca="1" si="158"/>
        <v>0</v>
      </c>
      <c r="K499" s="1">
        <f t="shared" ca="1" si="159"/>
        <v>0</v>
      </c>
      <c r="L499" s="13">
        <f t="shared" ca="1" si="160"/>
        <v>596</v>
      </c>
      <c r="M499" s="7">
        <f t="shared" ca="1" si="161"/>
        <v>404</v>
      </c>
      <c r="N499" s="26">
        <f t="shared" ca="1" si="162"/>
        <v>2</v>
      </c>
      <c r="O499" s="44">
        <f t="shared" ca="1" si="163"/>
        <v>1.5762319669595739</v>
      </c>
      <c r="P499" s="44">
        <f t="shared" ca="1" si="164"/>
        <v>15.762319669595739</v>
      </c>
      <c r="Q499" s="44">
        <f t="shared" ca="1" si="165"/>
        <v>15.762319669595739</v>
      </c>
      <c r="R499" s="44">
        <f t="shared" ca="1" si="166"/>
        <v>1.5762319669595739</v>
      </c>
      <c r="S499" s="44">
        <f t="shared" ca="1" si="167"/>
        <v>1.5762319669595737</v>
      </c>
      <c r="T499" s="4">
        <f t="shared" ca="1" si="168"/>
        <v>0</v>
      </c>
      <c r="U499" s="120">
        <f t="shared" ca="1" si="169"/>
        <v>1519.885248288175</v>
      </c>
      <c r="V499" s="4">
        <f t="shared" ca="1" si="170"/>
        <v>0</v>
      </c>
      <c r="W499" s="13">
        <f t="shared" ca="1" si="171"/>
        <v>38632.806000000004</v>
      </c>
      <c r="X499" s="4">
        <f t="shared" ca="1" si="172"/>
        <v>0</v>
      </c>
      <c r="Y499" s="4">
        <f t="shared" si="173"/>
        <v>0</v>
      </c>
      <c r="Z499" s="13">
        <f t="shared" ca="1" si="174"/>
        <v>38632.806000000004</v>
      </c>
      <c r="AA499" s="4">
        <f t="shared" ca="1" si="175"/>
        <v>0</v>
      </c>
      <c r="AE499" s="4"/>
    </row>
    <row r="500" spans="1:31">
      <c r="A500">
        <v>3</v>
      </c>
      <c r="B500">
        <v>3</v>
      </c>
      <c r="C500">
        <f t="shared" ca="1" si="154"/>
        <v>7</v>
      </c>
      <c r="D500">
        <f t="shared" ca="1" si="155"/>
        <v>6</v>
      </c>
      <c r="E500">
        <f t="shared" ca="1" si="156"/>
        <v>3</v>
      </c>
      <c r="F500" s="110">
        <f t="shared" ca="1" si="157"/>
        <v>0</v>
      </c>
      <c r="G500">
        <v>1</v>
      </c>
      <c r="H500">
        <v>1</v>
      </c>
      <c r="I500">
        <v>5</v>
      </c>
      <c r="J500" s="1">
        <f t="shared" ca="1" si="158"/>
        <v>0</v>
      </c>
      <c r="K500" s="1">
        <f t="shared" ca="1" si="159"/>
        <v>0</v>
      </c>
      <c r="L500" s="13">
        <f t="shared" ca="1" si="160"/>
        <v>577</v>
      </c>
      <c r="M500" s="7">
        <f t="shared" ca="1" si="161"/>
        <v>423</v>
      </c>
      <c r="N500" s="26">
        <f t="shared" ca="1" si="162"/>
        <v>2</v>
      </c>
      <c r="O500" s="44">
        <f t="shared" ca="1" si="163"/>
        <v>1.5762319669595739</v>
      </c>
      <c r="P500" s="44">
        <f t="shared" ca="1" si="164"/>
        <v>15.762319669595739</v>
      </c>
      <c r="Q500" s="44">
        <f t="shared" ca="1" si="165"/>
        <v>15.762319669595739</v>
      </c>
      <c r="R500" s="44">
        <f t="shared" ca="1" si="166"/>
        <v>1.5762319669595739</v>
      </c>
      <c r="S500" s="44">
        <f t="shared" ca="1" si="167"/>
        <v>1.5762319669595737</v>
      </c>
      <c r="T500" s="4">
        <f t="shared" ca="1" si="168"/>
        <v>0</v>
      </c>
      <c r="U500" s="120">
        <f t="shared" ca="1" si="169"/>
        <v>1500.885248288175</v>
      </c>
      <c r="V500" s="4">
        <f t="shared" ca="1" si="170"/>
        <v>0</v>
      </c>
      <c r="W500" s="13">
        <f t="shared" ca="1" si="171"/>
        <v>36291.906000000003</v>
      </c>
      <c r="X500" s="4">
        <f t="shared" ca="1" si="172"/>
        <v>0</v>
      </c>
      <c r="Y500" s="4">
        <f t="shared" si="173"/>
        <v>0</v>
      </c>
      <c r="Z500" s="13">
        <f t="shared" ca="1" si="174"/>
        <v>36291.906000000003</v>
      </c>
      <c r="AA500" s="4">
        <f t="shared" ca="1" si="175"/>
        <v>0</v>
      </c>
      <c r="AE500" s="4"/>
    </row>
    <row r="501" spans="1:31">
      <c r="A501">
        <v>3</v>
      </c>
      <c r="B501">
        <v>3</v>
      </c>
      <c r="C501">
        <f t="shared" ca="1" si="154"/>
        <v>7</v>
      </c>
      <c r="D501">
        <f t="shared" ca="1" si="155"/>
        <v>6</v>
      </c>
      <c r="E501">
        <f t="shared" ca="1" si="156"/>
        <v>3</v>
      </c>
      <c r="F501" s="110">
        <f t="shared" ca="1" si="157"/>
        <v>0</v>
      </c>
      <c r="G501">
        <v>1</v>
      </c>
      <c r="H501">
        <v>1</v>
      </c>
      <c r="I501">
        <v>4</v>
      </c>
      <c r="J501" s="1">
        <f t="shared" ca="1" si="158"/>
        <v>0</v>
      </c>
      <c r="K501" s="1">
        <f t="shared" ca="1" si="159"/>
        <v>0</v>
      </c>
      <c r="L501" s="13">
        <f t="shared" ca="1" si="160"/>
        <v>558</v>
      </c>
      <c r="M501" s="7">
        <f t="shared" ca="1" si="161"/>
        <v>442</v>
      </c>
      <c r="N501" s="26">
        <f t="shared" ca="1" si="162"/>
        <v>2</v>
      </c>
      <c r="O501" s="44">
        <f t="shared" ca="1" si="163"/>
        <v>1.5762319669595739</v>
      </c>
      <c r="P501" s="44">
        <f t="shared" ca="1" si="164"/>
        <v>15.762319669595739</v>
      </c>
      <c r="Q501" s="44">
        <f t="shared" ca="1" si="165"/>
        <v>15.762319669595739</v>
      </c>
      <c r="R501" s="44">
        <f t="shared" ca="1" si="166"/>
        <v>1.5762319669595739</v>
      </c>
      <c r="S501" s="44">
        <f t="shared" ca="1" si="167"/>
        <v>1.5762319669595737</v>
      </c>
      <c r="T501" s="4">
        <f t="shared" ca="1" si="168"/>
        <v>0</v>
      </c>
      <c r="U501" s="120">
        <f t="shared" ca="1" si="169"/>
        <v>1481.885248288175</v>
      </c>
      <c r="V501" s="4">
        <f t="shared" ca="1" si="170"/>
        <v>0</v>
      </c>
      <c r="W501" s="13">
        <f t="shared" ca="1" si="171"/>
        <v>33951.006000000001</v>
      </c>
      <c r="X501" s="4">
        <f t="shared" ca="1" si="172"/>
        <v>0</v>
      </c>
      <c r="Y501" s="4">
        <f t="shared" si="173"/>
        <v>0</v>
      </c>
      <c r="Z501" s="13">
        <f t="shared" ca="1" si="174"/>
        <v>33951.006000000001</v>
      </c>
      <c r="AA501" s="4">
        <f t="shared" ca="1" si="175"/>
        <v>0</v>
      </c>
      <c r="AE501" s="4"/>
    </row>
    <row r="502" spans="1:31">
      <c r="A502">
        <v>3</v>
      </c>
      <c r="B502">
        <v>3</v>
      </c>
      <c r="C502">
        <f t="shared" ca="1" si="154"/>
        <v>7</v>
      </c>
      <c r="D502">
        <f t="shared" ca="1" si="155"/>
        <v>6</v>
      </c>
      <c r="E502">
        <f t="shared" ca="1" si="156"/>
        <v>3</v>
      </c>
      <c r="F502" s="110">
        <f t="shared" ca="1" si="157"/>
        <v>0</v>
      </c>
      <c r="G502">
        <v>1</v>
      </c>
      <c r="H502">
        <v>1</v>
      </c>
      <c r="I502">
        <v>3</v>
      </c>
      <c r="J502" s="1">
        <f t="shared" ca="1" si="158"/>
        <v>0</v>
      </c>
      <c r="K502" s="1">
        <f t="shared" ca="1" si="159"/>
        <v>0</v>
      </c>
      <c r="L502" s="13">
        <f t="shared" ca="1" si="160"/>
        <v>539</v>
      </c>
      <c r="M502" s="7">
        <f t="shared" ca="1" si="161"/>
        <v>461</v>
      </c>
      <c r="N502" s="26">
        <f t="shared" ca="1" si="162"/>
        <v>2</v>
      </c>
      <c r="O502" s="44">
        <f t="shared" ca="1" si="163"/>
        <v>1.5762319669595739</v>
      </c>
      <c r="P502" s="44">
        <f t="shared" ca="1" si="164"/>
        <v>15.762319669595739</v>
      </c>
      <c r="Q502" s="44">
        <f t="shared" ca="1" si="165"/>
        <v>15.762319669595739</v>
      </c>
      <c r="R502" s="44">
        <f t="shared" ca="1" si="166"/>
        <v>1.5762319669595739</v>
      </c>
      <c r="S502" s="44">
        <f t="shared" ca="1" si="167"/>
        <v>1.5762319669595737</v>
      </c>
      <c r="T502" s="4">
        <f t="shared" ca="1" si="168"/>
        <v>0</v>
      </c>
      <c r="U502" s="120">
        <f t="shared" ca="1" si="169"/>
        <v>1462.885248288175</v>
      </c>
      <c r="V502" s="4">
        <f t="shared" ca="1" si="170"/>
        <v>0</v>
      </c>
      <c r="W502" s="13">
        <f t="shared" ca="1" si="171"/>
        <v>31610.106000000003</v>
      </c>
      <c r="X502" s="4">
        <f t="shared" ca="1" si="172"/>
        <v>0</v>
      </c>
      <c r="Y502" s="4">
        <f t="shared" si="173"/>
        <v>0</v>
      </c>
      <c r="Z502" s="13">
        <f t="shared" ca="1" si="174"/>
        <v>31610.106000000003</v>
      </c>
      <c r="AA502" s="4">
        <f t="shared" ca="1" si="175"/>
        <v>0</v>
      </c>
      <c r="AE502" s="4"/>
    </row>
    <row r="503" spans="1:31">
      <c r="A503">
        <v>3</v>
      </c>
      <c r="B503">
        <v>3</v>
      </c>
      <c r="C503">
        <f t="shared" ca="1" si="154"/>
        <v>7</v>
      </c>
      <c r="D503">
        <f t="shared" ca="1" si="155"/>
        <v>6</v>
      </c>
      <c r="E503">
        <f t="shared" ca="1" si="156"/>
        <v>3</v>
      </c>
      <c r="F503" s="110">
        <f t="shared" ca="1" si="157"/>
        <v>0</v>
      </c>
      <c r="G503">
        <v>1</v>
      </c>
      <c r="H503">
        <v>1</v>
      </c>
      <c r="I503">
        <v>2</v>
      </c>
      <c r="J503" s="1">
        <f t="shared" ca="1" si="158"/>
        <v>0</v>
      </c>
      <c r="K503" s="1">
        <f t="shared" ca="1" si="159"/>
        <v>0</v>
      </c>
      <c r="L503" s="13">
        <f t="shared" ca="1" si="160"/>
        <v>520</v>
      </c>
      <c r="M503" s="7">
        <f t="shared" ca="1" si="161"/>
        <v>480</v>
      </c>
      <c r="N503" s="26">
        <f t="shared" ca="1" si="162"/>
        <v>2</v>
      </c>
      <c r="O503" s="44">
        <f t="shared" ca="1" si="163"/>
        <v>1.5762319669595739</v>
      </c>
      <c r="P503" s="44">
        <f t="shared" ca="1" si="164"/>
        <v>15.762319669595739</v>
      </c>
      <c r="Q503" s="44">
        <f t="shared" ca="1" si="165"/>
        <v>15.762319669595739</v>
      </c>
      <c r="R503" s="44">
        <f t="shared" ca="1" si="166"/>
        <v>1.5762319669595739</v>
      </c>
      <c r="S503" s="44">
        <f t="shared" ca="1" si="167"/>
        <v>1.5762319669595737</v>
      </c>
      <c r="T503" s="4">
        <f t="shared" ca="1" si="168"/>
        <v>0</v>
      </c>
      <c r="U503" s="120">
        <f t="shared" ca="1" si="169"/>
        <v>1443.885248288175</v>
      </c>
      <c r="V503" s="4">
        <f t="shared" ca="1" si="170"/>
        <v>0</v>
      </c>
      <c r="W503" s="13">
        <f t="shared" ca="1" si="171"/>
        <v>29269.206000000002</v>
      </c>
      <c r="X503" s="4">
        <f t="shared" ca="1" si="172"/>
        <v>0</v>
      </c>
      <c r="Y503" s="4">
        <f t="shared" si="173"/>
        <v>0</v>
      </c>
      <c r="Z503" s="13">
        <f t="shared" ca="1" si="174"/>
        <v>29269.206000000002</v>
      </c>
      <c r="AA503" s="4">
        <f t="shared" ca="1" si="175"/>
        <v>0</v>
      </c>
      <c r="AE503" s="4"/>
    </row>
    <row r="504" spans="1:31">
      <c r="A504">
        <v>3</v>
      </c>
      <c r="B504">
        <v>3</v>
      </c>
      <c r="C504">
        <f t="shared" ca="1" si="154"/>
        <v>7</v>
      </c>
      <c r="D504">
        <f t="shared" ca="1" si="155"/>
        <v>6</v>
      </c>
      <c r="E504">
        <f t="shared" ca="1" si="156"/>
        <v>3</v>
      </c>
      <c r="F504" s="110">
        <f t="shared" ca="1" si="157"/>
        <v>0</v>
      </c>
      <c r="G504">
        <v>1</v>
      </c>
      <c r="H504">
        <v>1</v>
      </c>
      <c r="I504">
        <v>1</v>
      </c>
      <c r="J504" s="1">
        <f t="shared" ca="1" si="158"/>
        <v>0</v>
      </c>
      <c r="K504" s="1">
        <f t="shared" ca="1" si="159"/>
        <v>0</v>
      </c>
      <c r="L504" s="13">
        <f t="shared" ca="1" si="160"/>
        <v>501</v>
      </c>
      <c r="M504" s="7">
        <f t="shared" ca="1" si="161"/>
        <v>499</v>
      </c>
      <c r="N504" s="26">
        <f t="shared" ca="1" si="162"/>
        <v>2</v>
      </c>
      <c r="O504" s="44">
        <f t="shared" ca="1" si="163"/>
        <v>1.5762319669595739</v>
      </c>
      <c r="P504" s="44">
        <f t="shared" ca="1" si="164"/>
        <v>15.762319669595739</v>
      </c>
      <c r="Q504" s="44">
        <f t="shared" ca="1" si="165"/>
        <v>15.762319669595739</v>
      </c>
      <c r="R504" s="44">
        <f t="shared" ca="1" si="166"/>
        <v>1.5762319669595739</v>
      </c>
      <c r="S504" s="44">
        <f t="shared" ca="1" si="167"/>
        <v>1.5762319669595737</v>
      </c>
      <c r="T504" s="4">
        <f t="shared" ca="1" si="168"/>
        <v>0</v>
      </c>
      <c r="U504" s="120">
        <f t="shared" ca="1" si="169"/>
        <v>1424.885248288175</v>
      </c>
      <c r="V504" s="4">
        <f t="shared" ca="1" si="170"/>
        <v>0</v>
      </c>
      <c r="W504" s="13">
        <f t="shared" ca="1" si="171"/>
        <v>26928.306000000004</v>
      </c>
      <c r="X504" s="4">
        <f t="shared" ca="1" si="172"/>
        <v>0</v>
      </c>
      <c r="Y504" s="4">
        <f t="shared" si="173"/>
        <v>0</v>
      </c>
      <c r="Z504" s="13">
        <f t="shared" ca="1" si="174"/>
        <v>26928.306000000004</v>
      </c>
      <c r="AA504" s="4">
        <f t="shared" ca="1" si="175"/>
        <v>0</v>
      </c>
      <c r="AE504" s="4"/>
    </row>
    <row r="505" spans="1:31">
      <c r="A505">
        <v>3</v>
      </c>
      <c r="B505">
        <v>3</v>
      </c>
      <c r="C505">
        <f t="shared" ca="1" si="154"/>
        <v>7</v>
      </c>
      <c r="D505">
        <f t="shared" ca="1" si="155"/>
        <v>6</v>
      </c>
      <c r="E505">
        <f t="shared" ca="1" si="156"/>
        <v>3</v>
      </c>
      <c r="F505" s="110">
        <f t="shared" ca="1" si="157"/>
        <v>0</v>
      </c>
      <c r="G505">
        <v>1</v>
      </c>
      <c r="H505">
        <v>1</v>
      </c>
      <c r="I505">
        <v>0</v>
      </c>
      <c r="J505" s="1">
        <f t="shared" ca="1" si="158"/>
        <v>0</v>
      </c>
      <c r="K505" s="1">
        <f t="shared" ca="1" si="159"/>
        <v>0</v>
      </c>
      <c r="L505" s="13">
        <f t="shared" ca="1" si="160"/>
        <v>482</v>
      </c>
      <c r="M505" s="7">
        <f t="shared" ca="1" si="161"/>
        <v>518</v>
      </c>
      <c r="N505" s="26">
        <f t="shared" ca="1" si="162"/>
        <v>2</v>
      </c>
      <c r="O505" s="44">
        <f t="shared" ca="1" si="163"/>
        <v>1.5762319669595739</v>
      </c>
      <c r="P505" s="44">
        <f t="shared" ca="1" si="164"/>
        <v>15.762319669595739</v>
      </c>
      <c r="Q505" s="44">
        <f t="shared" ca="1" si="165"/>
        <v>15.762319669595739</v>
      </c>
      <c r="R505" s="44">
        <f t="shared" ca="1" si="166"/>
        <v>1.5762319669595739</v>
      </c>
      <c r="S505" s="44">
        <f t="shared" ca="1" si="167"/>
        <v>1.5762319669595737</v>
      </c>
      <c r="T505" s="4">
        <f t="shared" ca="1" si="168"/>
        <v>0</v>
      </c>
      <c r="U505" s="120">
        <f t="shared" ca="1" si="169"/>
        <v>1405.885248288175</v>
      </c>
      <c r="V505" s="4">
        <f t="shared" ca="1" si="170"/>
        <v>0</v>
      </c>
      <c r="W505" s="13">
        <f t="shared" ca="1" si="171"/>
        <v>24587.406000000003</v>
      </c>
      <c r="X505" s="4">
        <f t="shared" ca="1" si="172"/>
        <v>0</v>
      </c>
      <c r="Y505" s="4">
        <f t="shared" si="173"/>
        <v>0</v>
      </c>
      <c r="Z505" s="13">
        <f t="shared" ca="1" si="174"/>
        <v>24587.406000000003</v>
      </c>
      <c r="AA505" s="4">
        <f t="shared" ca="1" si="175"/>
        <v>0</v>
      </c>
      <c r="AE505" s="4"/>
    </row>
    <row r="506" spans="1:31">
      <c r="A506">
        <v>3</v>
      </c>
      <c r="B506">
        <v>3</v>
      </c>
      <c r="C506">
        <f t="shared" ca="1" si="154"/>
        <v>7</v>
      </c>
      <c r="D506">
        <f t="shared" ca="1" si="155"/>
        <v>6</v>
      </c>
      <c r="E506">
        <f t="shared" ca="1" si="156"/>
        <v>3</v>
      </c>
      <c r="F506" s="110">
        <f t="shared" ca="1" si="157"/>
        <v>0</v>
      </c>
      <c r="G506">
        <v>1</v>
      </c>
      <c r="H506">
        <v>0</v>
      </c>
      <c r="I506">
        <v>7</v>
      </c>
      <c r="J506" s="1">
        <f t="shared" ca="1" si="158"/>
        <v>0</v>
      </c>
      <c r="K506" s="1">
        <f t="shared" ca="1" si="159"/>
        <v>0</v>
      </c>
      <c r="L506" s="13">
        <f t="shared" ca="1" si="160"/>
        <v>374</v>
      </c>
      <c r="M506" s="7">
        <f t="shared" ca="1" si="161"/>
        <v>626</v>
      </c>
      <c r="N506" s="26">
        <f t="shared" ca="1" si="162"/>
        <v>3</v>
      </c>
      <c r="O506" s="44">
        <f t="shared" ca="1" si="163"/>
        <v>2.2442427272544552</v>
      </c>
      <c r="P506" s="44">
        <f t="shared" ca="1" si="164"/>
        <v>22.442427272544553</v>
      </c>
      <c r="Q506" s="44">
        <f t="shared" ca="1" si="165"/>
        <v>22.442427272544553</v>
      </c>
      <c r="R506" s="44">
        <f t="shared" ca="1" si="166"/>
        <v>2.2442427272544552</v>
      </c>
      <c r="S506" s="44">
        <f t="shared" ca="1" si="167"/>
        <v>2.2442427272544552</v>
      </c>
      <c r="T506" s="4">
        <f t="shared" ca="1" si="168"/>
        <v>0</v>
      </c>
      <c r="U506" s="120">
        <f t="shared" ca="1" si="169"/>
        <v>1594.901337549361</v>
      </c>
      <c r="V506" s="4">
        <f t="shared" ca="1" si="170"/>
        <v>0</v>
      </c>
      <c r="W506" s="13">
        <f t="shared" ca="1" si="171"/>
        <v>40973.706000000006</v>
      </c>
      <c r="X506" s="4">
        <f t="shared" ca="1" si="172"/>
        <v>0</v>
      </c>
      <c r="Y506" s="4">
        <f t="shared" si="173"/>
        <v>0</v>
      </c>
      <c r="Z506" s="13">
        <f t="shared" ca="1" si="174"/>
        <v>40973.706000000006</v>
      </c>
      <c r="AA506" s="4">
        <f t="shared" ca="1" si="175"/>
        <v>0</v>
      </c>
      <c r="AE506" s="4"/>
    </row>
    <row r="507" spans="1:31">
      <c r="A507">
        <v>3</v>
      </c>
      <c r="B507">
        <v>3</v>
      </c>
      <c r="C507">
        <f t="shared" ca="1" si="154"/>
        <v>7</v>
      </c>
      <c r="D507">
        <f t="shared" ca="1" si="155"/>
        <v>6</v>
      </c>
      <c r="E507">
        <f t="shared" ca="1" si="156"/>
        <v>3</v>
      </c>
      <c r="F507" s="110">
        <f t="shared" ca="1" si="157"/>
        <v>0</v>
      </c>
      <c r="G507">
        <v>1</v>
      </c>
      <c r="H507">
        <v>0</v>
      </c>
      <c r="I507">
        <v>6</v>
      </c>
      <c r="J507" s="1">
        <f t="shared" ca="1" si="158"/>
        <v>0.4263555526733398</v>
      </c>
      <c r="K507" s="1">
        <f t="shared" ca="1" si="159"/>
        <v>0</v>
      </c>
      <c r="L507" s="13">
        <f t="shared" ca="1" si="160"/>
        <v>355</v>
      </c>
      <c r="M507" s="7">
        <f t="shared" ca="1" si="161"/>
        <v>645</v>
      </c>
      <c r="N507" s="26">
        <f t="shared" ca="1" si="162"/>
        <v>3</v>
      </c>
      <c r="O507" s="44">
        <f t="shared" ca="1" si="163"/>
        <v>2.2442427272544552</v>
      </c>
      <c r="P507" s="44">
        <f t="shared" ca="1" si="164"/>
        <v>22.442427272544553</v>
      </c>
      <c r="Q507" s="44">
        <f t="shared" ca="1" si="165"/>
        <v>22.442427272544553</v>
      </c>
      <c r="R507" s="44">
        <f t="shared" ca="1" si="166"/>
        <v>2.2442427272544552</v>
      </c>
      <c r="S507" s="44">
        <f t="shared" ca="1" si="167"/>
        <v>2.2442427272544552</v>
      </c>
      <c r="T507" s="4">
        <f t="shared" ca="1" si="168"/>
        <v>0</v>
      </c>
      <c r="U507" s="120">
        <f t="shared" ca="1" si="169"/>
        <v>1575.901337549361</v>
      </c>
      <c r="V507" s="4">
        <f t="shared" ca="1" si="170"/>
        <v>0</v>
      </c>
      <c r="W507" s="13">
        <f t="shared" ca="1" si="171"/>
        <v>38632.806000000004</v>
      </c>
      <c r="X507" s="4">
        <f t="shared" ca="1" si="172"/>
        <v>0</v>
      </c>
      <c r="Y507" s="4">
        <f t="shared" si="173"/>
        <v>0</v>
      </c>
      <c r="Z507" s="13">
        <f t="shared" ca="1" si="174"/>
        <v>38632.806000000004</v>
      </c>
      <c r="AA507" s="4">
        <f t="shared" ca="1" si="175"/>
        <v>0</v>
      </c>
      <c r="AE507" s="4"/>
    </row>
    <row r="508" spans="1:31">
      <c r="A508">
        <v>3</v>
      </c>
      <c r="B508">
        <v>3</v>
      </c>
      <c r="C508">
        <f t="shared" ca="1" si="154"/>
        <v>7</v>
      </c>
      <c r="D508">
        <f t="shared" ca="1" si="155"/>
        <v>6</v>
      </c>
      <c r="E508">
        <f t="shared" ca="1" si="156"/>
        <v>3</v>
      </c>
      <c r="F508" s="110">
        <f t="shared" ca="1" si="157"/>
        <v>0</v>
      </c>
      <c r="G508">
        <v>1</v>
      </c>
      <c r="H508">
        <v>0</v>
      </c>
      <c r="I508">
        <v>5</v>
      </c>
      <c r="J508" s="1">
        <f t="shared" ca="1" si="158"/>
        <v>0.36544761657714842</v>
      </c>
      <c r="K508" s="1">
        <f t="shared" ca="1" si="159"/>
        <v>0</v>
      </c>
      <c r="L508" s="13">
        <f t="shared" ca="1" si="160"/>
        <v>336</v>
      </c>
      <c r="M508" s="7">
        <f t="shared" ca="1" si="161"/>
        <v>664</v>
      </c>
      <c r="N508" s="26">
        <f t="shared" ca="1" si="162"/>
        <v>3</v>
      </c>
      <c r="O508" s="44">
        <f t="shared" ca="1" si="163"/>
        <v>2.2442427272544552</v>
      </c>
      <c r="P508" s="44">
        <f t="shared" ca="1" si="164"/>
        <v>22.442427272544553</v>
      </c>
      <c r="Q508" s="44">
        <f t="shared" ca="1" si="165"/>
        <v>22.442427272544553</v>
      </c>
      <c r="R508" s="44">
        <f t="shared" ca="1" si="166"/>
        <v>2.2442427272544552</v>
      </c>
      <c r="S508" s="44">
        <f t="shared" ca="1" si="167"/>
        <v>2.2442427272544552</v>
      </c>
      <c r="T508" s="4">
        <f t="shared" ca="1" si="168"/>
        <v>0</v>
      </c>
      <c r="U508" s="120">
        <f t="shared" ca="1" si="169"/>
        <v>1556.901337549361</v>
      </c>
      <c r="V508" s="4">
        <f t="shared" ca="1" si="170"/>
        <v>0</v>
      </c>
      <c r="W508" s="13">
        <f t="shared" ca="1" si="171"/>
        <v>36291.906000000003</v>
      </c>
      <c r="X508" s="4">
        <f t="shared" ca="1" si="172"/>
        <v>0</v>
      </c>
      <c r="Y508" s="4">
        <f t="shared" si="173"/>
        <v>0</v>
      </c>
      <c r="Z508" s="13">
        <f t="shared" ca="1" si="174"/>
        <v>36291.906000000003</v>
      </c>
      <c r="AA508" s="4">
        <f t="shared" ca="1" si="175"/>
        <v>0</v>
      </c>
      <c r="AE508" s="4"/>
    </row>
    <row r="509" spans="1:31">
      <c r="A509">
        <v>3</v>
      </c>
      <c r="B509">
        <v>3</v>
      </c>
      <c r="C509">
        <f t="shared" ca="1" si="154"/>
        <v>7</v>
      </c>
      <c r="D509">
        <f t="shared" ca="1" si="155"/>
        <v>6</v>
      </c>
      <c r="E509">
        <f t="shared" ca="1" si="156"/>
        <v>3</v>
      </c>
      <c r="F509" s="110">
        <f t="shared" ca="1" si="157"/>
        <v>0</v>
      </c>
      <c r="G509">
        <v>1</v>
      </c>
      <c r="H509">
        <v>0</v>
      </c>
      <c r="I509">
        <v>4</v>
      </c>
      <c r="J509" s="1">
        <f t="shared" ca="1" si="158"/>
        <v>0.13051700592041016</v>
      </c>
      <c r="K509" s="1">
        <f t="shared" ca="1" si="159"/>
        <v>0</v>
      </c>
      <c r="L509" s="13">
        <f t="shared" ca="1" si="160"/>
        <v>317</v>
      </c>
      <c r="M509" s="7">
        <f t="shared" ca="1" si="161"/>
        <v>683</v>
      </c>
      <c r="N509" s="26">
        <f t="shared" ca="1" si="162"/>
        <v>3</v>
      </c>
      <c r="O509" s="44">
        <f t="shared" ca="1" si="163"/>
        <v>2.2442427272544552</v>
      </c>
      <c r="P509" s="44">
        <f t="shared" ca="1" si="164"/>
        <v>22.442427272544553</v>
      </c>
      <c r="Q509" s="44">
        <f t="shared" ca="1" si="165"/>
        <v>22.442427272544553</v>
      </c>
      <c r="R509" s="44">
        <f t="shared" ca="1" si="166"/>
        <v>2.2442427272544552</v>
      </c>
      <c r="S509" s="44">
        <f t="shared" ca="1" si="167"/>
        <v>2.2442427272544552</v>
      </c>
      <c r="T509" s="4">
        <f t="shared" ca="1" si="168"/>
        <v>0</v>
      </c>
      <c r="U509" s="120">
        <f t="shared" ca="1" si="169"/>
        <v>1537.901337549361</v>
      </c>
      <c r="V509" s="4">
        <f t="shared" ca="1" si="170"/>
        <v>0</v>
      </c>
      <c r="W509" s="13">
        <f t="shared" ca="1" si="171"/>
        <v>33951.006000000001</v>
      </c>
      <c r="X509" s="4">
        <f t="shared" ca="1" si="172"/>
        <v>0</v>
      </c>
      <c r="Y509" s="4">
        <f t="shared" si="173"/>
        <v>0</v>
      </c>
      <c r="Z509" s="13">
        <f t="shared" ca="1" si="174"/>
        <v>33951.006000000001</v>
      </c>
      <c r="AA509" s="4">
        <f t="shared" ca="1" si="175"/>
        <v>0</v>
      </c>
      <c r="AE509" s="4"/>
    </row>
    <row r="510" spans="1:31">
      <c r="A510">
        <v>3</v>
      </c>
      <c r="B510">
        <v>3</v>
      </c>
      <c r="C510">
        <f t="shared" ca="1" si="154"/>
        <v>7</v>
      </c>
      <c r="D510">
        <f t="shared" ca="1" si="155"/>
        <v>6</v>
      </c>
      <c r="E510">
        <f t="shared" ca="1" si="156"/>
        <v>3</v>
      </c>
      <c r="F510" s="110">
        <f t="shared" ca="1" si="157"/>
        <v>0</v>
      </c>
      <c r="G510">
        <v>1</v>
      </c>
      <c r="H510">
        <v>0</v>
      </c>
      <c r="I510">
        <v>3</v>
      </c>
      <c r="J510" s="1">
        <f t="shared" ca="1" si="158"/>
        <v>2.4860382080078125E-2</v>
      </c>
      <c r="K510" s="1">
        <f t="shared" ca="1" si="159"/>
        <v>0</v>
      </c>
      <c r="L510" s="13">
        <f t="shared" ca="1" si="160"/>
        <v>298</v>
      </c>
      <c r="M510" s="7">
        <f t="shared" ca="1" si="161"/>
        <v>702</v>
      </c>
      <c r="N510" s="26">
        <f t="shared" ca="1" si="162"/>
        <v>3</v>
      </c>
      <c r="O510" s="44">
        <f t="shared" ca="1" si="163"/>
        <v>2.2442427272544552</v>
      </c>
      <c r="P510" s="44">
        <f t="shared" ca="1" si="164"/>
        <v>22.442427272544553</v>
      </c>
      <c r="Q510" s="44">
        <f t="shared" ca="1" si="165"/>
        <v>22.442427272544553</v>
      </c>
      <c r="R510" s="44">
        <f t="shared" ca="1" si="166"/>
        <v>2.2442427272544552</v>
      </c>
      <c r="S510" s="44">
        <f t="shared" ca="1" si="167"/>
        <v>2.2442427272544552</v>
      </c>
      <c r="T510" s="4">
        <f t="shared" ca="1" si="168"/>
        <v>0</v>
      </c>
      <c r="U510" s="120">
        <f t="shared" ca="1" si="169"/>
        <v>1518.901337549361</v>
      </c>
      <c r="V510" s="4">
        <f t="shared" ca="1" si="170"/>
        <v>0</v>
      </c>
      <c r="W510" s="13">
        <f t="shared" ca="1" si="171"/>
        <v>31610.106000000003</v>
      </c>
      <c r="X510" s="4">
        <f t="shared" ca="1" si="172"/>
        <v>0</v>
      </c>
      <c r="Y510" s="4">
        <f t="shared" si="173"/>
        <v>0</v>
      </c>
      <c r="Z510" s="13">
        <f t="shared" ca="1" si="174"/>
        <v>31610.106000000003</v>
      </c>
      <c r="AA510" s="4">
        <f t="shared" ca="1" si="175"/>
        <v>0</v>
      </c>
      <c r="AE510" s="4"/>
    </row>
    <row r="511" spans="1:31">
      <c r="A511">
        <v>3</v>
      </c>
      <c r="B511">
        <v>3</v>
      </c>
      <c r="C511">
        <f t="shared" ca="1" si="154"/>
        <v>7</v>
      </c>
      <c r="D511">
        <f t="shared" ca="1" si="155"/>
        <v>6</v>
      </c>
      <c r="E511">
        <f t="shared" ca="1" si="156"/>
        <v>3</v>
      </c>
      <c r="F511" s="110">
        <f t="shared" ca="1" si="157"/>
        <v>0</v>
      </c>
      <c r="G511">
        <v>1</v>
      </c>
      <c r="H511">
        <v>0</v>
      </c>
      <c r="I511">
        <v>2</v>
      </c>
      <c r="J511" s="1">
        <f t="shared" ca="1" si="158"/>
        <v>2.6636123657226563E-3</v>
      </c>
      <c r="K511" s="1">
        <f t="shared" ca="1" si="159"/>
        <v>0</v>
      </c>
      <c r="L511" s="13">
        <f t="shared" ca="1" si="160"/>
        <v>279</v>
      </c>
      <c r="M511" s="7">
        <f t="shared" ca="1" si="161"/>
        <v>721</v>
      </c>
      <c r="N511" s="26">
        <f t="shared" ca="1" si="162"/>
        <v>3</v>
      </c>
      <c r="O511" s="44">
        <f t="shared" ca="1" si="163"/>
        <v>2.2442427272544552</v>
      </c>
      <c r="P511" s="44">
        <f t="shared" ca="1" si="164"/>
        <v>22.442427272544553</v>
      </c>
      <c r="Q511" s="44">
        <f t="shared" ca="1" si="165"/>
        <v>22.442427272544553</v>
      </c>
      <c r="R511" s="44">
        <f t="shared" ca="1" si="166"/>
        <v>2.2442427272544552</v>
      </c>
      <c r="S511" s="44">
        <f t="shared" ca="1" si="167"/>
        <v>2.2442427272544552</v>
      </c>
      <c r="T511" s="4">
        <f t="shared" ca="1" si="168"/>
        <v>0</v>
      </c>
      <c r="U511" s="120">
        <f t="shared" ca="1" si="169"/>
        <v>1499.901337549361</v>
      </c>
      <c r="V511" s="4">
        <f t="shared" ca="1" si="170"/>
        <v>0</v>
      </c>
      <c r="W511" s="13">
        <f t="shared" ca="1" si="171"/>
        <v>29269.206000000002</v>
      </c>
      <c r="X511" s="4">
        <f t="shared" ca="1" si="172"/>
        <v>0</v>
      </c>
      <c r="Y511" s="4">
        <f t="shared" si="173"/>
        <v>0</v>
      </c>
      <c r="Z511" s="13">
        <f t="shared" ca="1" si="174"/>
        <v>29269.206000000002</v>
      </c>
      <c r="AA511" s="4">
        <f t="shared" ca="1" si="175"/>
        <v>0</v>
      </c>
      <c r="AE511" s="4"/>
    </row>
    <row r="512" spans="1:31">
      <c r="A512">
        <v>3</v>
      </c>
      <c r="B512">
        <v>3</v>
      </c>
      <c r="C512">
        <f t="shared" ca="1" si="154"/>
        <v>7</v>
      </c>
      <c r="D512">
        <f t="shared" ca="1" si="155"/>
        <v>6</v>
      </c>
      <c r="E512">
        <f t="shared" ca="1" si="156"/>
        <v>3</v>
      </c>
      <c r="F512" s="110">
        <f t="shared" ca="1" si="157"/>
        <v>0</v>
      </c>
      <c r="G512">
        <v>1</v>
      </c>
      <c r="H512">
        <v>0</v>
      </c>
      <c r="I512">
        <v>1</v>
      </c>
      <c r="J512" s="1">
        <f t="shared" ca="1" si="158"/>
        <v>1.5220642089843749E-4</v>
      </c>
      <c r="K512" s="1">
        <f t="shared" ca="1" si="159"/>
        <v>0</v>
      </c>
      <c r="L512" s="13">
        <f t="shared" ca="1" si="160"/>
        <v>260</v>
      </c>
      <c r="M512" s="7">
        <f t="shared" ca="1" si="161"/>
        <v>740</v>
      </c>
      <c r="N512" s="26">
        <f t="shared" ca="1" si="162"/>
        <v>3</v>
      </c>
      <c r="O512" s="44">
        <f t="shared" ca="1" si="163"/>
        <v>2.2442427272544552</v>
      </c>
      <c r="P512" s="44">
        <f t="shared" ca="1" si="164"/>
        <v>22.442427272544553</v>
      </c>
      <c r="Q512" s="44">
        <f t="shared" ca="1" si="165"/>
        <v>22.442427272544553</v>
      </c>
      <c r="R512" s="44">
        <f t="shared" ca="1" si="166"/>
        <v>2.2442427272544552</v>
      </c>
      <c r="S512" s="44">
        <f t="shared" ca="1" si="167"/>
        <v>2.2442427272544552</v>
      </c>
      <c r="T512" s="4">
        <f t="shared" ca="1" si="168"/>
        <v>0</v>
      </c>
      <c r="U512" s="120">
        <f t="shared" ca="1" si="169"/>
        <v>1480.901337549361</v>
      </c>
      <c r="V512" s="4">
        <f t="shared" ca="1" si="170"/>
        <v>0</v>
      </c>
      <c r="W512" s="13">
        <f t="shared" ca="1" si="171"/>
        <v>26928.306000000004</v>
      </c>
      <c r="X512" s="4">
        <f t="shared" ca="1" si="172"/>
        <v>0</v>
      </c>
      <c r="Y512" s="4">
        <f t="shared" si="173"/>
        <v>0</v>
      </c>
      <c r="Z512" s="13">
        <f t="shared" ca="1" si="174"/>
        <v>26928.306000000004</v>
      </c>
      <c r="AA512" s="4">
        <f t="shared" ca="1" si="175"/>
        <v>0</v>
      </c>
      <c r="AE512" s="4"/>
    </row>
    <row r="513" spans="1:31">
      <c r="A513">
        <v>3</v>
      </c>
      <c r="B513">
        <v>3</v>
      </c>
      <c r="C513">
        <f t="shared" ca="1" si="154"/>
        <v>7</v>
      </c>
      <c r="D513">
        <f t="shared" ca="1" si="155"/>
        <v>6</v>
      </c>
      <c r="E513">
        <f t="shared" ca="1" si="156"/>
        <v>3</v>
      </c>
      <c r="F513" s="110">
        <f t="shared" ca="1" si="157"/>
        <v>0</v>
      </c>
      <c r="G513">
        <v>1</v>
      </c>
      <c r="H513">
        <v>0</v>
      </c>
      <c r="I513">
        <v>0</v>
      </c>
      <c r="J513" s="1">
        <f t="shared" ca="1" si="158"/>
        <v>3.6239624023437498E-6</v>
      </c>
      <c r="K513" s="1">
        <f t="shared" ca="1" si="159"/>
        <v>0</v>
      </c>
      <c r="L513" s="13">
        <f t="shared" ca="1" si="160"/>
        <v>241</v>
      </c>
      <c r="M513" s="7">
        <f t="shared" ca="1" si="161"/>
        <v>759</v>
      </c>
      <c r="N513" s="26">
        <f t="shared" ca="1" si="162"/>
        <v>3</v>
      </c>
      <c r="O513" s="44">
        <f t="shared" ca="1" si="163"/>
        <v>2.2442427272544552</v>
      </c>
      <c r="P513" s="44">
        <f t="shared" ca="1" si="164"/>
        <v>22.442427272544553</v>
      </c>
      <c r="Q513" s="44">
        <f t="shared" ca="1" si="165"/>
        <v>22.442427272544553</v>
      </c>
      <c r="R513" s="44">
        <f t="shared" ca="1" si="166"/>
        <v>2.2442427272544552</v>
      </c>
      <c r="S513" s="44">
        <f t="shared" ca="1" si="167"/>
        <v>2.2442427272544552</v>
      </c>
      <c r="T513" s="4">
        <f t="shared" ca="1" si="168"/>
        <v>0</v>
      </c>
      <c r="U513" s="120">
        <f t="shared" ca="1" si="169"/>
        <v>1461.901337549361</v>
      </c>
      <c r="V513" s="4">
        <f t="shared" ca="1" si="170"/>
        <v>0</v>
      </c>
      <c r="W513" s="13">
        <f t="shared" ca="1" si="171"/>
        <v>24587.406000000003</v>
      </c>
      <c r="X513" s="4">
        <f t="shared" ca="1" si="172"/>
        <v>0</v>
      </c>
      <c r="Y513" s="4">
        <f t="shared" si="173"/>
        <v>0</v>
      </c>
      <c r="Z513" s="13">
        <f t="shared" ca="1" si="174"/>
        <v>24587.406000000003</v>
      </c>
      <c r="AA513" s="4">
        <f t="shared" ca="1" si="175"/>
        <v>0</v>
      </c>
      <c r="AE513" s="4"/>
    </row>
    <row r="514" spans="1:31">
      <c r="A514">
        <v>3</v>
      </c>
      <c r="B514">
        <v>3</v>
      </c>
      <c r="C514">
        <f t="shared" ca="1" si="154"/>
        <v>7</v>
      </c>
      <c r="D514">
        <f t="shared" ca="1" si="155"/>
        <v>6</v>
      </c>
      <c r="E514">
        <f t="shared" ca="1" si="156"/>
        <v>3</v>
      </c>
      <c r="F514" s="110">
        <f t="shared" ca="1" si="157"/>
        <v>0</v>
      </c>
      <c r="G514">
        <v>0</v>
      </c>
      <c r="H514">
        <v>1</v>
      </c>
      <c r="I514">
        <v>7</v>
      </c>
      <c r="J514" s="1">
        <f t="shared" ca="1" si="158"/>
        <v>0</v>
      </c>
      <c r="K514" s="1">
        <f t="shared" ca="1" si="159"/>
        <v>0</v>
      </c>
      <c r="L514" s="13">
        <f t="shared" ca="1" si="160"/>
        <v>374</v>
      </c>
      <c r="M514" s="7">
        <f t="shared" ca="1" si="161"/>
        <v>626</v>
      </c>
      <c r="N514" s="26">
        <f t="shared" ca="1" si="162"/>
        <v>3</v>
      </c>
      <c r="O514" s="44">
        <f t="shared" ca="1" si="163"/>
        <v>2.2442427272544552</v>
      </c>
      <c r="P514" s="44">
        <f t="shared" ca="1" si="164"/>
        <v>22.442427272544553</v>
      </c>
      <c r="Q514" s="44">
        <f t="shared" ca="1" si="165"/>
        <v>22.442427272544553</v>
      </c>
      <c r="R514" s="44">
        <f t="shared" ca="1" si="166"/>
        <v>2.2442427272544552</v>
      </c>
      <c r="S514" s="44">
        <f t="shared" ca="1" si="167"/>
        <v>2.2442427272544552</v>
      </c>
      <c r="T514" s="4">
        <f t="shared" ca="1" si="168"/>
        <v>0</v>
      </c>
      <c r="U514" s="120">
        <f t="shared" ca="1" si="169"/>
        <v>1594.901337549361</v>
      </c>
      <c r="V514" s="4">
        <f t="shared" ca="1" si="170"/>
        <v>0</v>
      </c>
      <c r="W514" s="13">
        <f t="shared" ca="1" si="171"/>
        <v>16386.3</v>
      </c>
      <c r="X514" s="4">
        <f t="shared" ca="1" si="172"/>
        <v>0</v>
      </c>
      <c r="Y514" s="4">
        <f t="shared" si="173"/>
        <v>0</v>
      </c>
      <c r="Z514" s="13">
        <f t="shared" ca="1" si="174"/>
        <v>16386.3</v>
      </c>
      <c r="AA514" s="4">
        <f t="shared" ca="1" si="175"/>
        <v>0</v>
      </c>
      <c r="AE514" s="4"/>
    </row>
    <row r="515" spans="1:31">
      <c r="A515">
        <v>3</v>
      </c>
      <c r="B515">
        <v>3</v>
      </c>
      <c r="C515">
        <f t="shared" ca="1" si="154"/>
        <v>7</v>
      </c>
      <c r="D515">
        <f t="shared" ca="1" si="155"/>
        <v>6</v>
      </c>
      <c r="E515">
        <f t="shared" ca="1" si="156"/>
        <v>3</v>
      </c>
      <c r="F515" s="110">
        <f t="shared" ca="1" si="157"/>
        <v>0</v>
      </c>
      <c r="G515">
        <v>0</v>
      </c>
      <c r="H515">
        <v>1</v>
      </c>
      <c r="I515">
        <v>6</v>
      </c>
      <c r="J515" s="1">
        <f t="shared" ca="1" si="158"/>
        <v>0</v>
      </c>
      <c r="K515" s="1">
        <f t="shared" ca="1" si="159"/>
        <v>0</v>
      </c>
      <c r="L515" s="13">
        <f t="shared" ca="1" si="160"/>
        <v>355</v>
      </c>
      <c r="M515" s="7">
        <f t="shared" ca="1" si="161"/>
        <v>645</v>
      </c>
      <c r="N515" s="26">
        <f t="shared" ca="1" si="162"/>
        <v>3</v>
      </c>
      <c r="O515" s="44">
        <f t="shared" ca="1" si="163"/>
        <v>2.2442427272544552</v>
      </c>
      <c r="P515" s="44">
        <f t="shared" ca="1" si="164"/>
        <v>22.442427272544553</v>
      </c>
      <c r="Q515" s="44">
        <f t="shared" ca="1" si="165"/>
        <v>22.442427272544553</v>
      </c>
      <c r="R515" s="44">
        <f t="shared" ca="1" si="166"/>
        <v>2.2442427272544552</v>
      </c>
      <c r="S515" s="44">
        <f t="shared" ca="1" si="167"/>
        <v>2.2442427272544552</v>
      </c>
      <c r="T515" s="4">
        <f t="shared" ca="1" si="168"/>
        <v>0</v>
      </c>
      <c r="U515" s="120">
        <f t="shared" ca="1" si="169"/>
        <v>1575.901337549361</v>
      </c>
      <c r="V515" s="4">
        <f t="shared" ca="1" si="170"/>
        <v>0</v>
      </c>
      <c r="W515" s="13">
        <f t="shared" ca="1" si="171"/>
        <v>14045.400000000001</v>
      </c>
      <c r="X515" s="4">
        <f t="shared" ca="1" si="172"/>
        <v>0</v>
      </c>
      <c r="Y515" s="4">
        <f t="shared" si="173"/>
        <v>0</v>
      </c>
      <c r="Z515" s="13">
        <f t="shared" ca="1" si="174"/>
        <v>14045.400000000001</v>
      </c>
      <c r="AA515" s="4">
        <f t="shared" ca="1" si="175"/>
        <v>0</v>
      </c>
      <c r="AE515" s="4"/>
    </row>
    <row r="516" spans="1:31">
      <c r="A516">
        <v>3</v>
      </c>
      <c r="B516">
        <v>3</v>
      </c>
      <c r="C516">
        <f t="shared" ca="1" si="154"/>
        <v>7</v>
      </c>
      <c r="D516">
        <f t="shared" ca="1" si="155"/>
        <v>6</v>
      </c>
      <c r="E516">
        <f t="shared" ca="1" si="156"/>
        <v>3</v>
      </c>
      <c r="F516" s="110">
        <f t="shared" ca="1" si="157"/>
        <v>0</v>
      </c>
      <c r="G516">
        <v>0</v>
      </c>
      <c r="H516">
        <v>1</v>
      </c>
      <c r="I516">
        <v>5</v>
      </c>
      <c r="J516" s="1">
        <f t="shared" ca="1" si="158"/>
        <v>0</v>
      </c>
      <c r="K516" s="1">
        <f t="shared" ca="1" si="159"/>
        <v>0</v>
      </c>
      <c r="L516" s="13">
        <f t="shared" ca="1" si="160"/>
        <v>336</v>
      </c>
      <c r="M516" s="7">
        <f t="shared" ca="1" si="161"/>
        <v>664</v>
      </c>
      <c r="N516" s="26">
        <f t="shared" ca="1" si="162"/>
        <v>3</v>
      </c>
      <c r="O516" s="44">
        <f t="shared" ca="1" si="163"/>
        <v>2.2442427272544552</v>
      </c>
      <c r="P516" s="44">
        <f t="shared" ca="1" si="164"/>
        <v>22.442427272544553</v>
      </c>
      <c r="Q516" s="44">
        <f t="shared" ca="1" si="165"/>
        <v>22.442427272544553</v>
      </c>
      <c r="R516" s="44">
        <f t="shared" ca="1" si="166"/>
        <v>2.2442427272544552</v>
      </c>
      <c r="S516" s="44">
        <f t="shared" ca="1" si="167"/>
        <v>2.2442427272544552</v>
      </c>
      <c r="T516" s="4">
        <f t="shared" ca="1" si="168"/>
        <v>0</v>
      </c>
      <c r="U516" s="120">
        <f t="shared" ca="1" si="169"/>
        <v>1556.901337549361</v>
      </c>
      <c r="V516" s="4">
        <f t="shared" ca="1" si="170"/>
        <v>0</v>
      </c>
      <c r="W516" s="13">
        <f t="shared" ca="1" si="171"/>
        <v>11704.5</v>
      </c>
      <c r="X516" s="4">
        <f t="shared" ca="1" si="172"/>
        <v>0</v>
      </c>
      <c r="Y516" s="4">
        <f t="shared" si="173"/>
        <v>0</v>
      </c>
      <c r="Z516" s="13">
        <f t="shared" ca="1" si="174"/>
        <v>11704.5</v>
      </c>
      <c r="AA516" s="4">
        <f t="shared" ca="1" si="175"/>
        <v>0</v>
      </c>
      <c r="AE516" s="4"/>
    </row>
    <row r="517" spans="1:31">
      <c r="A517">
        <v>3</v>
      </c>
      <c r="B517">
        <v>3</v>
      </c>
      <c r="C517">
        <f t="shared" ca="1" si="154"/>
        <v>7</v>
      </c>
      <c r="D517">
        <f t="shared" ca="1" si="155"/>
        <v>6</v>
      </c>
      <c r="E517">
        <f t="shared" ca="1" si="156"/>
        <v>3</v>
      </c>
      <c r="F517" s="110">
        <f t="shared" ca="1" si="157"/>
        <v>0</v>
      </c>
      <c r="G517">
        <v>0</v>
      </c>
      <c r="H517">
        <v>1</v>
      </c>
      <c r="I517">
        <v>4</v>
      </c>
      <c r="J517" s="1">
        <f t="shared" ca="1" si="158"/>
        <v>0</v>
      </c>
      <c r="K517" s="1">
        <f t="shared" ca="1" si="159"/>
        <v>0</v>
      </c>
      <c r="L517" s="13">
        <f t="shared" ca="1" si="160"/>
        <v>317</v>
      </c>
      <c r="M517" s="7">
        <f t="shared" ca="1" si="161"/>
        <v>683</v>
      </c>
      <c r="N517" s="26">
        <f t="shared" ca="1" si="162"/>
        <v>3</v>
      </c>
      <c r="O517" s="44">
        <f t="shared" ca="1" si="163"/>
        <v>2.2442427272544552</v>
      </c>
      <c r="P517" s="44">
        <f t="shared" ca="1" si="164"/>
        <v>22.442427272544553</v>
      </c>
      <c r="Q517" s="44">
        <f t="shared" ca="1" si="165"/>
        <v>22.442427272544553</v>
      </c>
      <c r="R517" s="44">
        <f t="shared" ca="1" si="166"/>
        <v>2.2442427272544552</v>
      </c>
      <c r="S517" s="44">
        <f t="shared" ca="1" si="167"/>
        <v>2.2442427272544552</v>
      </c>
      <c r="T517" s="4">
        <f t="shared" ca="1" si="168"/>
        <v>0</v>
      </c>
      <c r="U517" s="120">
        <f t="shared" ca="1" si="169"/>
        <v>1537.901337549361</v>
      </c>
      <c r="V517" s="4">
        <f t="shared" ca="1" si="170"/>
        <v>0</v>
      </c>
      <c r="W517" s="13">
        <f t="shared" ca="1" si="171"/>
        <v>9363.6</v>
      </c>
      <c r="X517" s="4">
        <f t="shared" ca="1" si="172"/>
        <v>0</v>
      </c>
      <c r="Y517" s="4">
        <f t="shared" si="173"/>
        <v>0</v>
      </c>
      <c r="Z517" s="13">
        <f t="shared" ca="1" si="174"/>
        <v>9363.6</v>
      </c>
      <c r="AA517" s="4">
        <f t="shared" ca="1" si="175"/>
        <v>0</v>
      </c>
      <c r="AE517" s="4"/>
    </row>
    <row r="518" spans="1:31">
      <c r="A518">
        <v>3</v>
      </c>
      <c r="B518">
        <v>3</v>
      </c>
      <c r="C518">
        <f t="shared" ca="1" si="154"/>
        <v>7</v>
      </c>
      <c r="D518">
        <f t="shared" ca="1" si="155"/>
        <v>6</v>
      </c>
      <c r="E518">
        <f t="shared" ca="1" si="156"/>
        <v>3</v>
      </c>
      <c r="F518" s="110">
        <f t="shared" ca="1" si="157"/>
        <v>0</v>
      </c>
      <c r="G518">
        <v>0</v>
      </c>
      <c r="H518">
        <v>1</v>
      </c>
      <c r="I518">
        <v>3</v>
      </c>
      <c r="J518" s="1">
        <f t="shared" ca="1" si="158"/>
        <v>0</v>
      </c>
      <c r="K518" s="1">
        <f t="shared" ca="1" si="159"/>
        <v>0</v>
      </c>
      <c r="L518" s="13">
        <f t="shared" ca="1" si="160"/>
        <v>298</v>
      </c>
      <c r="M518" s="7">
        <f t="shared" ca="1" si="161"/>
        <v>702</v>
      </c>
      <c r="N518" s="26">
        <f t="shared" ca="1" si="162"/>
        <v>3</v>
      </c>
      <c r="O518" s="44">
        <f t="shared" ca="1" si="163"/>
        <v>2.2442427272544552</v>
      </c>
      <c r="P518" s="44">
        <f t="shared" ca="1" si="164"/>
        <v>22.442427272544553</v>
      </c>
      <c r="Q518" s="44">
        <f t="shared" ca="1" si="165"/>
        <v>22.442427272544553</v>
      </c>
      <c r="R518" s="44">
        <f t="shared" ca="1" si="166"/>
        <v>2.2442427272544552</v>
      </c>
      <c r="S518" s="44">
        <f t="shared" ca="1" si="167"/>
        <v>2.2442427272544552</v>
      </c>
      <c r="T518" s="4">
        <f t="shared" ca="1" si="168"/>
        <v>0</v>
      </c>
      <c r="U518" s="120">
        <f t="shared" ca="1" si="169"/>
        <v>1518.901337549361</v>
      </c>
      <c r="V518" s="4">
        <f t="shared" ca="1" si="170"/>
        <v>0</v>
      </c>
      <c r="W518" s="13">
        <f t="shared" ca="1" si="171"/>
        <v>7022.7000000000007</v>
      </c>
      <c r="X518" s="4">
        <f t="shared" ca="1" si="172"/>
        <v>0</v>
      </c>
      <c r="Y518" s="4">
        <f t="shared" si="173"/>
        <v>0</v>
      </c>
      <c r="Z518" s="13">
        <f t="shared" ca="1" si="174"/>
        <v>7022.7000000000007</v>
      </c>
      <c r="AA518" s="4">
        <f t="shared" ca="1" si="175"/>
        <v>0</v>
      </c>
      <c r="AE518" s="4"/>
    </row>
    <row r="519" spans="1:31">
      <c r="A519">
        <v>3</v>
      </c>
      <c r="B519">
        <v>3</v>
      </c>
      <c r="C519">
        <f t="shared" ca="1" si="154"/>
        <v>7</v>
      </c>
      <c r="D519">
        <f t="shared" ca="1" si="155"/>
        <v>6</v>
      </c>
      <c r="E519">
        <f t="shared" ca="1" si="156"/>
        <v>3</v>
      </c>
      <c r="F519" s="110">
        <f t="shared" ca="1" si="157"/>
        <v>0</v>
      </c>
      <c r="G519">
        <v>0</v>
      </c>
      <c r="H519">
        <v>1</v>
      </c>
      <c r="I519">
        <v>2</v>
      </c>
      <c r="J519" s="1">
        <f t="shared" ca="1" si="158"/>
        <v>0</v>
      </c>
      <c r="K519" s="1">
        <f t="shared" ca="1" si="159"/>
        <v>0</v>
      </c>
      <c r="L519" s="13">
        <f t="shared" ca="1" si="160"/>
        <v>279</v>
      </c>
      <c r="M519" s="7">
        <f t="shared" ca="1" si="161"/>
        <v>721</v>
      </c>
      <c r="N519" s="26">
        <f t="shared" ca="1" si="162"/>
        <v>3</v>
      </c>
      <c r="O519" s="44">
        <f t="shared" ca="1" si="163"/>
        <v>2.2442427272544552</v>
      </c>
      <c r="P519" s="44">
        <f t="shared" ca="1" si="164"/>
        <v>22.442427272544553</v>
      </c>
      <c r="Q519" s="44">
        <f t="shared" ca="1" si="165"/>
        <v>22.442427272544553</v>
      </c>
      <c r="R519" s="44">
        <f t="shared" ca="1" si="166"/>
        <v>2.2442427272544552</v>
      </c>
      <c r="S519" s="44">
        <f t="shared" ca="1" si="167"/>
        <v>2.2442427272544552</v>
      </c>
      <c r="T519" s="4">
        <f t="shared" ca="1" si="168"/>
        <v>0</v>
      </c>
      <c r="U519" s="120">
        <f t="shared" ca="1" si="169"/>
        <v>1499.901337549361</v>
      </c>
      <c r="V519" s="4">
        <f t="shared" ca="1" si="170"/>
        <v>0</v>
      </c>
      <c r="W519" s="13">
        <f t="shared" ca="1" si="171"/>
        <v>4681.8</v>
      </c>
      <c r="X519" s="4">
        <f t="shared" ca="1" si="172"/>
        <v>0</v>
      </c>
      <c r="Y519" s="4">
        <f t="shared" si="173"/>
        <v>0</v>
      </c>
      <c r="Z519" s="13">
        <f t="shared" ca="1" si="174"/>
        <v>4681.8</v>
      </c>
      <c r="AA519" s="4">
        <f t="shared" ca="1" si="175"/>
        <v>0</v>
      </c>
      <c r="AE519" s="4"/>
    </row>
    <row r="520" spans="1:31">
      <c r="A520">
        <v>3</v>
      </c>
      <c r="B520">
        <v>3</v>
      </c>
      <c r="C520">
        <f t="shared" ca="1" si="154"/>
        <v>7</v>
      </c>
      <c r="D520">
        <f t="shared" ca="1" si="155"/>
        <v>6</v>
      </c>
      <c r="E520">
        <f t="shared" ca="1" si="156"/>
        <v>3</v>
      </c>
      <c r="F520" s="110">
        <f t="shared" ca="1" si="157"/>
        <v>0</v>
      </c>
      <c r="G520">
        <v>0</v>
      </c>
      <c r="H520">
        <v>1</v>
      </c>
      <c r="I520">
        <v>1</v>
      </c>
      <c r="J520" s="1">
        <f t="shared" ca="1" si="158"/>
        <v>0</v>
      </c>
      <c r="K520" s="1">
        <f t="shared" ca="1" si="159"/>
        <v>0</v>
      </c>
      <c r="L520" s="13">
        <f t="shared" ca="1" si="160"/>
        <v>260</v>
      </c>
      <c r="M520" s="7">
        <f t="shared" ca="1" si="161"/>
        <v>740</v>
      </c>
      <c r="N520" s="26">
        <f t="shared" ca="1" si="162"/>
        <v>3</v>
      </c>
      <c r="O520" s="44">
        <f t="shared" ca="1" si="163"/>
        <v>2.2442427272544552</v>
      </c>
      <c r="P520" s="44">
        <f t="shared" ca="1" si="164"/>
        <v>22.442427272544553</v>
      </c>
      <c r="Q520" s="44">
        <f t="shared" ca="1" si="165"/>
        <v>22.442427272544553</v>
      </c>
      <c r="R520" s="44">
        <f t="shared" ca="1" si="166"/>
        <v>2.2442427272544552</v>
      </c>
      <c r="S520" s="44">
        <f t="shared" ca="1" si="167"/>
        <v>2.2442427272544552</v>
      </c>
      <c r="T520" s="4">
        <f t="shared" ca="1" si="168"/>
        <v>0</v>
      </c>
      <c r="U520" s="120">
        <f t="shared" ca="1" si="169"/>
        <v>1480.901337549361</v>
      </c>
      <c r="V520" s="4">
        <f t="shared" ca="1" si="170"/>
        <v>0</v>
      </c>
      <c r="W520" s="13">
        <f t="shared" ca="1" si="171"/>
        <v>2340.9</v>
      </c>
      <c r="X520" s="4">
        <f t="shared" ca="1" si="172"/>
        <v>0</v>
      </c>
      <c r="Y520" s="4">
        <f t="shared" si="173"/>
        <v>0</v>
      </c>
      <c r="Z520" s="13">
        <f t="shared" ca="1" si="174"/>
        <v>2340.9</v>
      </c>
      <c r="AA520" s="4">
        <f t="shared" ca="1" si="175"/>
        <v>0</v>
      </c>
      <c r="AE520" s="4"/>
    </row>
    <row r="521" spans="1:31">
      <c r="A521">
        <v>3</v>
      </c>
      <c r="B521">
        <v>3</v>
      </c>
      <c r="C521">
        <f t="shared" ca="1" si="154"/>
        <v>7</v>
      </c>
      <c r="D521">
        <f t="shared" ca="1" si="155"/>
        <v>6</v>
      </c>
      <c r="E521">
        <f t="shared" ca="1" si="156"/>
        <v>3</v>
      </c>
      <c r="F521" s="110">
        <f t="shared" ca="1" si="157"/>
        <v>0</v>
      </c>
      <c r="G521">
        <v>0</v>
      </c>
      <c r="H521">
        <v>1</v>
      </c>
      <c r="I521">
        <v>0</v>
      </c>
      <c r="J521" s="1">
        <f t="shared" ca="1" si="158"/>
        <v>0</v>
      </c>
      <c r="K521" s="1">
        <f t="shared" ca="1" si="159"/>
        <v>0</v>
      </c>
      <c r="L521" s="13">
        <f t="shared" ca="1" si="160"/>
        <v>241</v>
      </c>
      <c r="M521" s="7">
        <f t="shared" ca="1" si="161"/>
        <v>759</v>
      </c>
      <c r="N521" s="26">
        <f t="shared" ca="1" si="162"/>
        <v>3</v>
      </c>
      <c r="O521" s="44">
        <f t="shared" ca="1" si="163"/>
        <v>2.2442427272544552</v>
      </c>
      <c r="P521" s="44">
        <f t="shared" ca="1" si="164"/>
        <v>22.442427272544553</v>
      </c>
      <c r="Q521" s="44">
        <f t="shared" ca="1" si="165"/>
        <v>22.442427272544553</v>
      </c>
      <c r="R521" s="44">
        <f t="shared" ca="1" si="166"/>
        <v>2.2442427272544552</v>
      </c>
      <c r="S521" s="44">
        <f t="shared" ca="1" si="167"/>
        <v>2.2442427272544552</v>
      </c>
      <c r="T521" s="4">
        <f t="shared" ca="1" si="168"/>
        <v>0</v>
      </c>
      <c r="U521" s="120">
        <f t="shared" ca="1" si="169"/>
        <v>1461.901337549361</v>
      </c>
      <c r="V521" s="4">
        <f t="shared" ca="1" si="170"/>
        <v>0</v>
      </c>
      <c r="W521" s="13">
        <f t="shared" ca="1" si="171"/>
        <v>0</v>
      </c>
      <c r="X521" s="4">
        <f t="shared" ca="1" si="172"/>
        <v>0</v>
      </c>
      <c r="Y521" s="4">
        <f t="shared" si="173"/>
        <v>0</v>
      </c>
      <c r="Z521" s="13">
        <f t="shared" ca="1" si="174"/>
        <v>0</v>
      </c>
      <c r="AA521" s="4">
        <f t="shared" ca="1" si="175"/>
        <v>0</v>
      </c>
      <c r="AE521" s="4"/>
    </row>
    <row r="522" spans="1:31">
      <c r="A522">
        <v>3</v>
      </c>
      <c r="B522">
        <v>3</v>
      </c>
      <c r="C522">
        <f t="shared" ca="1" si="154"/>
        <v>7</v>
      </c>
      <c r="D522">
        <f t="shared" ca="1" si="155"/>
        <v>6</v>
      </c>
      <c r="E522">
        <f t="shared" ca="1" si="156"/>
        <v>3</v>
      </c>
      <c r="F522" s="110">
        <f t="shared" ca="1" si="157"/>
        <v>0</v>
      </c>
      <c r="G522">
        <v>0</v>
      </c>
      <c r="H522">
        <v>0</v>
      </c>
      <c r="I522">
        <v>7</v>
      </c>
      <c r="J522" s="1">
        <f t="shared" ca="1" si="158"/>
        <v>0</v>
      </c>
      <c r="K522" s="1">
        <f t="shared" ca="1" si="159"/>
        <v>0</v>
      </c>
      <c r="L522" s="13">
        <f t="shared" ca="1" si="160"/>
        <v>133</v>
      </c>
      <c r="M522" s="7">
        <f t="shared" ca="1" si="161"/>
        <v>867</v>
      </c>
      <c r="N522" s="26">
        <f t="shared" ca="1" si="162"/>
        <v>4</v>
      </c>
      <c r="O522" s="44">
        <f t="shared" ca="1" si="163"/>
        <v>2.8621467101781541</v>
      </c>
      <c r="P522" s="44">
        <f t="shared" ca="1" si="164"/>
        <v>28.621467101781548</v>
      </c>
      <c r="Q522" s="44">
        <f t="shared" ca="1" si="165"/>
        <v>24.914043204239348</v>
      </c>
      <c r="R522" s="44">
        <f t="shared" ca="1" si="166"/>
        <v>2.6767755153010446</v>
      </c>
      <c r="S522" s="44">
        <f t="shared" ca="1" si="167"/>
        <v>2.8491707265367565</v>
      </c>
      <c r="T522" s="4">
        <f t="shared" ca="1" si="168"/>
        <v>0</v>
      </c>
      <c r="U522" s="120">
        <f t="shared" ca="1" si="169"/>
        <v>1622.8690837457082</v>
      </c>
      <c r="V522" s="4">
        <f t="shared" ca="1" si="170"/>
        <v>0</v>
      </c>
      <c r="W522" s="13">
        <f t="shared" ca="1" si="171"/>
        <v>16386.3</v>
      </c>
      <c r="X522" s="4">
        <f t="shared" ca="1" si="172"/>
        <v>0</v>
      </c>
      <c r="Y522" s="4">
        <f t="shared" si="173"/>
        <v>0</v>
      </c>
      <c r="Z522" s="13">
        <f t="shared" ca="1" si="174"/>
        <v>16386.3</v>
      </c>
      <c r="AA522" s="4">
        <f t="shared" ca="1" si="175"/>
        <v>0</v>
      </c>
      <c r="AE522" s="4"/>
    </row>
    <row r="523" spans="1:31">
      <c r="A523">
        <v>3</v>
      </c>
      <c r="B523">
        <v>3</v>
      </c>
      <c r="C523">
        <f t="shared" ca="1" si="154"/>
        <v>7</v>
      </c>
      <c r="D523">
        <f t="shared" ca="1" si="155"/>
        <v>6</v>
      </c>
      <c r="E523">
        <f t="shared" ca="1" si="156"/>
        <v>3</v>
      </c>
      <c r="F523" s="110">
        <f t="shared" ca="1" si="157"/>
        <v>0</v>
      </c>
      <c r="G523">
        <v>0</v>
      </c>
      <c r="H523">
        <v>0</v>
      </c>
      <c r="I523">
        <v>6</v>
      </c>
      <c r="J523" s="1">
        <f t="shared" ca="1" si="158"/>
        <v>2.2439765930175784E-2</v>
      </c>
      <c r="K523" s="1">
        <f t="shared" ca="1" si="159"/>
        <v>0</v>
      </c>
      <c r="L523" s="13">
        <f t="shared" ca="1" si="160"/>
        <v>114</v>
      </c>
      <c r="M523" s="7">
        <f t="shared" ca="1" si="161"/>
        <v>886</v>
      </c>
      <c r="N523" s="26">
        <f t="shared" ca="1" si="162"/>
        <v>4</v>
      </c>
      <c r="O523" s="44">
        <f t="shared" ca="1" si="163"/>
        <v>2.8621467101781541</v>
      </c>
      <c r="P523" s="44">
        <f t="shared" ca="1" si="164"/>
        <v>28.621467101781548</v>
      </c>
      <c r="Q523" s="44">
        <f t="shared" ca="1" si="165"/>
        <v>28.621467101781548</v>
      </c>
      <c r="R523" s="44">
        <f t="shared" ca="1" si="166"/>
        <v>2.8621467101781546</v>
      </c>
      <c r="S523" s="44">
        <f t="shared" ca="1" si="167"/>
        <v>2.8621467101781541</v>
      </c>
      <c r="T523" s="4">
        <f t="shared" ca="1" si="168"/>
        <v>0</v>
      </c>
      <c r="U523" s="120">
        <f t="shared" ca="1" si="169"/>
        <v>1609.6385655333725</v>
      </c>
      <c r="V523" s="4">
        <f t="shared" ca="1" si="170"/>
        <v>0</v>
      </c>
      <c r="W523" s="13">
        <f t="shared" ca="1" si="171"/>
        <v>14045.400000000001</v>
      </c>
      <c r="X523" s="4">
        <f t="shared" ca="1" si="172"/>
        <v>0</v>
      </c>
      <c r="Y523" s="4">
        <f t="shared" si="173"/>
        <v>0</v>
      </c>
      <c r="Z523" s="13">
        <f t="shared" ca="1" si="174"/>
        <v>14045.400000000001</v>
      </c>
      <c r="AA523" s="4">
        <f t="shared" ca="1" si="175"/>
        <v>0</v>
      </c>
      <c r="AE523" s="4"/>
    </row>
    <row r="524" spans="1:31">
      <c r="A524">
        <v>3</v>
      </c>
      <c r="B524">
        <v>3</v>
      </c>
      <c r="C524">
        <f t="shared" ca="1" si="154"/>
        <v>7</v>
      </c>
      <c r="D524">
        <f t="shared" ca="1" si="155"/>
        <v>6</v>
      </c>
      <c r="E524">
        <f t="shared" ca="1" si="156"/>
        <v>3</v>
      </c>
      <c r="F524" s="110">
        <f t="shared" ca="1" si="157"/>
        <v>0</v>
      </c>
      <c r="G524">
        <v>0</v>
      </c>
      <c r="H524">
        <v>0</v>
      </c>
      <c r="I524">
        <v>5</v>
      </c>
      <c r="J524" s="1">
        <f t="shared" ca="1" si="158"/>
        <v>1.9234085083007814E-2</v>
      </c>
      <c r="K524" s="1">
        <f t="shared" ca="1" si="159"/>
        <v>0</v>
      </c>
      <c r="L524" s="13">
        <f t="shared" ca="1" si="160"/>
        <v>95</v>
      </c>
      <c r="M524" s="7">
        <f t="shared" ca="1" si="161"/>
        <v>905</v>
      </c>
      <c r="N524" s="26">
        <f t="shared" ca="1" si="162"/>
        <v>4</v>
      </c>
      <c r="O524" s="44">
        <f t="shared" ca="1" si="163"/>
        <v>2.8621467101781541</v>
      </c>
      <c r="P524" s="44">
        <f t="shared" ca="1" si="164"/>
        <v>28.621467101781548</v>
      </c>
      <c r="Q524" s="44">
        <f t="shared" ca="1" si="165"/>
        <v>28.621467101781548</v>
      </c>
      <c r="R524" s="44">
        <f t="shared" ca="1" si="166"/>
        <v>2.8621467101781546</v>
      </c>
      <c r="S524" s="44">
        <f t="shared" ca="1" si="167"/>
        <v>2.8621467101781541</v>
      </c>
      <c r="T524" s="4">
        <f t="shared" ca="1" si="168"/>
        <v>0</v>
      </c>
      <c r="U524" s="120">
        <f t="shared" ca="1" si="169"/>
        <v>1590.6385655333725</v>
      </c>
      <c r="V524" s="4">
        <f t="shared" ca="1" si="170"/>
        <v>0</v>
      </c>
      <c r="W524" s="13">
        <f t="shared" ca="1" si="171"/>
        <v>11704.5</v>
      </c>
      <c r="X524" s="4">
        <f t="shared" ca="1" si="172"/>
        <v>0</v>
      </c>
      <c r="Y524" s="4">
        <f t="shared" si="173"/>
        <v>0</v>
      </c>
      <c r="Z524" s="13">
        <f t="shared" ca="1" si="174"/>
        <v>11704.5</v>
      </c>
      <c r="AA524" s="4">
        <f t="shared" ca="1" si="175"/>
        <v>0</v>
      </c>
      <c r="AE524" s="4"/>
    </row>
    <row r="525" spans="1:31">
      <c r="A525">
        <v>3</v>
      </c>
      <c r="B525">
        <v>3</v>
      </c>
      <c r="C525">
        <f t="shared" ca="1" si="154"/>
        <v>7</v>
      </c>
      <c r="D525">
        <f t="shared" ca="1" si="155"/>
        <v>6</v>
      </c>
      <c r="E525">
        <f t="shared" ca="1" si="156"/>
        <v>3</v>
      </c>
      <c r="F525" s="110">
        <f t="shared" ca="1" si="157"/>
        <v>0</v>
      </c>
      <c r="G525">
        <v>0</v>
      </c>
      <c r="H525">
        <v>0</v>
      </c>
      <c r="I525">
        <v>4</v>
      </c>
      <c r="J525" s="1">
        <f t="shared" ca="1" si="158"/>
        <v>6.8693161010742188E-3</v>
      </c>
      <c r="K525" s="1">
        <f t="shared" ca="1" si="159"/>
        <v>0</v>
      </c>
      <c r="L525" s="13">
        <f t="shared" ca="1" si="160"/>
        <v>76</v>
      </c>
      <c r="M525" s="7">
        <f t="shared" ca="1" si="161"/>
        <v>924</v>
      </c>
      <c r="N525" s="26">
        <f t="shared" ca="1" si="162"/>
        <v>4</v>
      </c>
      <c r="O525" s="44">
        <f t="shared" ca="1" si="163"/>
        <v>2.8621467101781541</v>
      </c>
      <c r="P525" s="44">
        <f t="shared" ca="1" si="164"/>
        <v>28.621467101781548</v>
      </c>
      <c r="Q525" s="44">
        <f t="shared" ca="1" si="165"/>
        <v>28.621467101781548</v>
      </c>
      <c r="R525" s="44">
        <f t="shared" ca="1" si="166"/>
        <v>2.8621467101781546</v>
      </c>
      <c r="S525" s="44">
        <f t="shared" ca="1" si="167"/>
        <v>2.8621467101781541</v>
      </c>
      <c r="T525" s="4">
        <f t="shared" ca="1" si="168"/>
        <v>0</v>
      </c>
      <c r="U525" s="120">
        <f t="shared" ca="1" si="169"/>
        <v>1571.6385655333725</v>
      </c>
      <c r="V525" s="4">
        <f t="shared" ca="1" si="170"/>
        <v>0</v>
      </c>
      <c r="W525" s="13">
        <f t="shared" ca="1" si="171"/>
        <v>9363.6</v>
      </c>
      <c r="X525" s="4">
        <f t="shared" ca="1" si="172"/>
        <v>0</v>
      </c>
      <c r="Y525" s="4">
        <f t="shared" si="173"/>
        <v>0</v>
      </c>
      <c r="Z525" s="13">
        <f t="shared" ca="1" si="174"/>
        <v>9363.6</v>
      </c>
      <c r="AA525" s="4">
        <f t="shared" ca="1" si="175"/>
        <v>0</v>
      </c>
      <c r="AE525" s="4"/>
    </row>
    <row r="526" spans="1:31">
      <c r="A526">
        <v>3</v>
      </c>
      <c r="B526">
        <v>3</v>
      </c>
      <c r="C526">
        <f t="shared" ca="1" si="154"/>
        <v>7</v>
      </c>
      <c r="D526">
        <f t="shared" ca="1" si="155"/>
        <v>6</v>
      </c>
      <c r="E526">
        <f t="shared" ca="1" si="156"/>
        <v>3</v>
      </c>
      <c r="F526" s="110">
        <f t="shared" ca="1" si="157"/>
        <v>0</v>
      </c>
      <c r="G526">
        <v>0</v>
      </c>
      <c r="H526">
        <v>0</v>
      </c>
      <c r="I526">
        <v>3</v>
      </c>
      <c r="J526" s="1">
        <f t="shared" ca="1" si="158"/>
        <v>1.308441162109375E-3</v>
      </c>
      <c r="K526" s="1">
        <f t="shared" ca="1" si="159"/>
        <v>0</v>
      </c>
      <c r="L526" s="13">
        <f t="shared" ca="1" si="160"/>
        <v>57</v>
      </c>
      <c r="M526" s="7">
        <f t="shared" ca="1" si="161"/>
        <v>943</v>
      </c>
      <c r="N526" s="26">
        <f t="shared" ca="1" si="162"/>
        <v>4</v>
      </c>
      <c r="O526" s="44">
        <f t="shared" ca="1" si="163"/>
        <v>2.8621467101781541</v>
      </c>
      <c r="P526" s="44">
        <f t="shared" ca="1" si="164"/>
        <v>28.621467101781548</v>
      </c>
      <c r="Q526" s="44">
        <f t="shared" ca="1" si="165"/>
        <v>28.621467101781548</v>
      </c>
      <c r="R526" s="44">
        <f t="shared" ca="1" si="166"/>
        <v>2.8621467101781546</v>
      </c>
      <c r="S526" s="44">
        <f t="shared" ca="1" si="167"/>
        <v>2.8621467101781541</v>
      </c>
      <c r="T526" s="4">
        <f t="shared" ca="1" si="168"/>
        <v>0</v>
      </c>
      <c r="U526" s="120">
        <f t="shared" ca="1" si="169"/>
        <v>1552.6385655333725</v>
      </c>
      <c r="V526" s="4">
        <f t="shared" ca="1" si="170"/>
        <v>0</v>
      </c>
      <c r="W526" s="13">
        <f t="shared" ca="1" si="171"/>
        <v>7022.7000000000007</v>
      </c>
      <c r="X526" s="4">
        <f t="shared" ca="1" si="172"/>
        <v>0</v>
      </c>
      <c r="Y526" s="4">
        <f t="shared" si="173"/>
        <v>0</v>
      </c>
      <c r="Z526" s="13">
        <f t="shared" ca="1" si="174"/>
        <v>7022.7000000000007</v>
      </c>
      <c r="AA526" s="4">
        <f t="shared" ca="1" si="175"/>
        <v>0</v>
      </c>
      <c r="AE526" s="4"/>
    </row>
    <row r="527" spans="1:31">
      <c r="A527">
        <v>3</v>
      </c>
      <c r="B527">
        <v>3</v>
      </c>
      <c r="C527">
        <f t="shared" ca="1" si="154"/>
        <v>7</v>
      </c>
      <c r="D527">
        <f t="shared" ca="1" si="155"/>
        <v>6</v>
      </c>
      <c r="E527">
        <f t="shared" ca="1" si="156"/>
        <v>3</v>
      </c>
      <c r="F527" s="110">
        <f t="shared" ca="1" si="157"/>
        <v>0</v>
      </c>
      <c r="G527">
        <v>0</v>
      </c>
      <c r="H527">
        <v>0</v>
      </c>
      <c r="I527">
        <v>2</v>
      </c>
      <c r="J527" s="1">
        <f t="shared" ca="1" si="158"/>
        <v>1.4019012451171875E-4</v>
      </c>
      <c r="K527" s="1">
        <f t="shared" ca="1" si="159"/>
        <v>0</v>
      </c>
      <c r="L527" s="13">
        <f t="shared" ca="1" si="160"/>
        <v>38</v>
      </c>
      <c r="M527" s="7">
        <f t="shared" ca="1" si="161"/>
        <v>962</v>
      </c>
      <c r="N527" s="26">
        <f t="shared" ca="1" si="162"/>
        <v>4</v>
      </c>
      <c r="O527" s="44">
        <f t="shared" ca="1" si="163"/>
        <v>2.8621467101781541</v>
      </c>
      <c r="P527" s="44">
        <f t="shared" ca="1" si="164"/>
        <v>28.621467101781548</v>
      </c>
      <c r="Q527" s="44">
        <f t="shared" ca="1" si="165"/>
        <v>28.621467101781548</v>
      </c>
      <c r="R527" s="44">
        <f t="shared" ca="1" si="166"/>
        <v>2.8621467101781546</v>
      </c>
      <c r="S527" s="44">
        <f t="shared" ca="1" si="167"/>
        <v>2.8621467101781541</v>
      </c>
      <c r="T527" s="4">
        <f t="shared" ca="1" si="168"/>
        <v>0</v>
      </c>
      <c r="U527" s="120">
        <f t="shared" ca="1" si="169"/>
        <v>1533.6385655333725</v>
      </c>
      <c r="V527" s="4">
        <f t="shared" ca="1" si="170"/>
        <v>0</v>
      </c>
      <c r="W527" s="13">
        <f t="shared" ca="1" si="171"/>
        <v>4681.8</v>
      </c>
      <c r="X527" s="4">
        <f t="shared" ca="1" si="172"/>
        <v>0</v>
      </c>
      <c r="Y527" s="4">
        <f t="shared" si="173"/>
        <v>0</v>
      </c>
      <c r="Z527" s="13">
        <f t="shared" ca="1" si="174"/>
        <v>4681.8</v>
      </c>
      <c r="AA527" s="4">
        <f t="shared" ca="1" si="175"/>
        <v>0</v>
      </c>
      <c r="AE527" s="4"/>
    </row>
    <row r="528" spans="1:31">
      <c r="A528">
        <v>3</v>
      </c>
      <c r="B528">
        <v>3</v>
      </c>
      <c r="C528">
        <f t="shared" ca="1" si="154"/>
        <v>7</v>
      </c>
      <c r="D528">
        <f t="shared" ca="1" si="155"/>
        <v>6</v>
      </c>
      <c r="E528">
        <f t="shared" ca="1" si="156"/>
        <v>3</v>
      </c>
      <c r="F528" s="110">
        <f t="shared" ca="1" si="157"/>
        <v>0</v>
      </c>
      <c r="G528">
        <v>0</v>
      </c>
      <c r="H528">
        <v>0</v>
      </c>
      <c r="I528">
        <v>1</v>
      </c>
      <c r="J528" s="1">
        <f t="shared" ca="1" si="158"/>
        <v>8.0108642578125003E-6</v>
      </c>
      <c r="K528" s="1">
        <f t="shared" ca="1" si="159"/>
        <v>0</v>
      </c>
      <c r="L528" s="13">
        <f t="shared" ca="1" si="160"/>
        <v>19</v>
      </c>
      <c r="M528" s="7">
        <f t="shared" ca="1" si="161"/>
        <v>981</v>
      </c>
      <c r="N528" s="26">
        <f t="shared" ca="1" si="162"/>
        <v>4</v>
      </c>
      <c r="O528" s="44">
        <f t="shared" ca="1" si="163"/>
        <v>2.8621467101781541</v>
      </c>
      <c r="P528" s="44">
        <f t="shared" ca="1" si="164"/>
        <v>28.621467101781548</v>
      </c>
      <c r="Q528" s="44">
        <f t="shared" ca="1" si="165"/>
        <v>28.621467101781548</v>
      </c>
      <c r="R528" s="44">
        <f t="shared" ca="1" si="166"/>
        <v>2.8621467101781546</v>
      </c>
      <c r="S528" s="44">
        <f t="shared" ca="1" si="167"/>
        <v>2.8621467101781541</v>
      </c>
      <c r="T528" s="4">
        <f t="shared" ca="1" si="168"/>
        <v>0</v>
      </c>
      <c r="U528" s="120">
        <f t="shared" ca="1" si="169"/>
        <v>1514.6385655333725</v>
      </c>
      <c r="V528" s="4">
        <f t="shared" ca="1" si="170"/>
        <v>0</v>
      </c>
      <c r="W528" s="13">
        <f t="shared" ca="1" si="171"/>
        <v>2340.9</v>
      </c>
      <c r="X528" s="4">
        <f t="shared" ca="1" si="172"/>
        <v>0</v>
      </c>
      <c r="Y528" s="4">
        <f t="shared" si="173"/>
        <v>0</v>
      </c>
      <c r="Z528" s="13">
        <f t="shared" ca="1" si="174"/>
        <v>2340.9</v>
      </c>
      <c r="AA528" s="4">
        <f t="shared" ca="1" si="175"/>
        <v>0</v>
      </c>
      <c r="AE528" s="4"/>
    </row>
    <row r="529" spans="1:31">
      <c r="A529">
        <v>3</v>
      </c>
      <c r="B529">
        <v>3</v>
      </c>
      <c r="C529">
        <f t="shared" ca="1" si="154"/>
        <v>7</v>
      </c>
      <c r="D529">
        <f t="shared" ca="1" si="155"/>
        <v>6</v>
      </c>
      <c r="E529">
        <f t="shared" ca="1" si="156"/>
        <v>3</v>
      </c>
      <c r="F529" s="110">
        <f t="shared" ca="1" si="157"/>
        <v>0</v>
      </c>
      <c r="G529">
        <v>0</v>
      </c>
      <c r="H529">
        <v>0</v>
      </c>
      <c r="I529">
        <v>0</v>
      </c>
      <c r="J529" s="1">
        <f t="shared" ca="1" si="158"/>
        <v>1.9073486328125001E-7</v>
      </c>
      <c r="K529" s="1">
        <f t="shared" ca="1" si="159"/>
        <v>0</v>
      </c>
      <c r="L529" s="13">
        <f t="shared" ca="1" si="160"/>
        <v>0</v>
      </c>
      <c r="M529" s="7">
        <f t="shared" ca="1" si="161"/>
        <v>1000</v>
      </c>
      <c r="N529" s="26">
        <f t="shared" ca="1" si="162"/>
        <v>4</v>
      </c>
      <c r="O529" s="44">
        <f t="shared" ca="1" si="163"/>
        <v>2.8621467101781541</v>
      </c>
      <c r="P529" s="44">
        <f t="shared" ca="1" si="164"/>
        <v>28.621467101781548</v>
      </c>
      <c r="Q529" s="44">
        <f t="shared" ca="1" si="165"/>
        <v>28.621467101781548</v>
      </c>
      <c r="R529" s="44">
        <f t="shared" ca="1" si="166"/>
        <v>2.8621467101781546</v>
      </c>
      <c r="S529" s="44">
        <f t="shared" ca="1" si="167"/>
        <v>2.8621467101781541</v>
      </c>
      <c r="T529" s="4">
        <f t="shared" ca="1" si="168"/>
        <v>0</v>
      </c>
      <c r="U529" s="120">
        <f t="shared" ca="1" si="169"/>
        <v>1495.6385655333725</v>
      </c>
      <c r="V529" s="4">
        <f t="shared" ca="1" si="170"/>
        <v>0</v>
      </c>
      <c r="W529" s="13">
        <f t="shared" ca="1" si="171"/>
        <v>0</v>
      </c>
      <c r="X529" s="4">
        <f t="shared" ca="1" si="172"/>
        <v>0</v>
      </c>
      <c r="Y529" s="4">
        <f t="shared" si="173"/>
        <v>0</v>
      </c>
      <c r="Z529" s="13">
        <f t="shared" ca="1" si="174"/>
        <v>0</v>
      </c>
      <c r="AA529" s="4">
        <f t="shared" ca="1" si="175"/>
        <v>0</v>
      </c>
      <c r="AE529" s="4"/>
    </row>
    <row r="531" spans="1:31">
      <c r="J531" s="2" t="s">
        <v>406</v>
      </c>
      <c r="K531" s="27">
        <f ca="1">SUM(K18:K529)</f>
        <v>0.99999999999999989</v>
      </c>
      <c r="O531" s="26"/>
      <c r="P531" s="26"/>
      <c r="Q531" s="26"/>
      <c r="R531" s="26"/>
      <c r="S531" s="26" t="s">
        <v>407</v>
      </c>
      <c r="T531" s="4">
        <f ca="1">SUM(T18:T529)</f>
        <v>2.2751379264006397</v>
      </c>
      <c r="U531" t="s">
        <v>159</v>
      </c>
      <c r="V531" s="4">
        <f ca="1">SUM(V18:V529)</f>
        <v>1465.7494489485614</v>
      </c>
      <c r="W531" t="s">
        <v>106</v>
      </c>
      <c r="X531" s="4">
        <f ca="1">SUM(X18:X529)</f>
        <v>23624.313075000002</v>
      </c>
      <c r="Z531" t="s">
        <v>427</v>
      </c>
      <c r="AA531" s="4">
        <f ca="1">SUM(AA18:AA529)</f>
        <v>23624.313075000002</v>
      </c>
      <c r="AE531" s="4"/>
    </row>
    <row r="534" spans="1:31">
      <c r="A534" t="s">
        <v>485</v>
      </c>
      <c r="Q534" s="26"/>
      <c r="R534" s="26"/>
    </row>
    <row r="535" spans="1:31">
      <c r="A535" s="9" t="str">
        <f>Entropy</f>
        <v>Resolution</v>
      </c>
      <c r="F535" s="2"/>
      <c r="I535" t="str">
        <f>VLOOKUP($A$535, WeaponskillData, MATCH("WSC1 Name", WeaponskillDataCols, 0), 0)</f>
        <v>Str</v>
      </c>
      <c r="J535" s="7">
        <f ca="1">INDIRECT($A$534 &amp; "WS" &amp; I535)</f>
        <v>385</v>
      </c>
      <c r="K535" s="118">
        <f>VLOOKUP($A$535, WeaponskillData, MATCH("WSC1 Value", WeaponskillDataCols, 0), 0)</f>
        <v>0.85</v>
      </c>
      <c r="P535" s="26"/>
      <c r="Q535" s="119"/>
      <c r="R535" s="119"/>
    </row>
    <row r="536" spans="1:31">
      <c r="A536" t="s">
        <v>48</v>
      </c>
      <c r="B536" s="32">
        <f ca="1">Set2MeleeTP</f>
        <v>278</v>
      </c>
      <c r="D536" t="s">
        <v>44</v>
      </c>
      <c r="E536" s="2">
        <f ca="1">Set2DA</f>
        <v>0.25</v>
      </c>
      <c r="F536" s="2">
        <f ca="1">Set2DA</f>
        <v>0.25</v>
      </c>
      <c r="I536" t="str">
        <f>VLOOKUP($A$535, WeaponskillData, MATCH("WSC2 Name", WeaponskillDataCols, 0), 0)</f>
        <v>N/A</v>
      </c>
      <c r="J536" s="7">
        <f ca="1">IF(I536&lt;&gt;"N/A", INDIRECT($A$534 &amp; "WS" &amp; I536), 0)</f>
        <v>0</v>
      </c>
      <c r="K536" s="118">
        <f>IF(I536&lt;&gt;"N/A", VLOOKUP($A$535, WeaponskillData, MATCH("WSC2 Value", WeaponskillDataCols, 0), 0), 0)</f>
        <v>0</v>
      </c>
      <c r="P536" s="26"/>
      <c r="Q536" s="120"/>
      <c r="R536" s="120"/>
    </row>
    <row r="537" spans="1:31">
      <c r="A537" t="s">
        <v>49</v>
      </c>
      <c r="B537">
        <f ca="1">Set2WSTP</f>
        <v>254</v>
      </c>
      <c r="D537" t="s">
        <v>154</v>
      </c>
      <c r="E537" s="2">
        <f ca="1">Set2TA</f>
        <v>0.02</v>
      </c>
      <c r="F537" s="2">
        <f ca="1">Set2TA</f>
        <v>0.02</v>
      </c>
      <c r="I537" t="s">
        <v>103</v>
      </c>
      <c r="J537">
        <f ca="1">TRUNC(J535*K535+J536*K536+IF(Gear!AB4="Utu",0.1,0)*Set2WSDex)</f>
        <v>357</v>
      </c>
    </row>
    <row r="538" spans="1:31">
      <c r="A538" t="s">
        <v>481</v>
      </c>
      <c r="B538">
        <f ca="1">Set2WSStoreTP</f>
        <v>109</v>
      </c>
      <c r="D538" t="s">
        <v>379</v>
      </c>
      <c r="E538" s="2">
        <f ca="1">Set2QA</f>
        <v>0.03</v>
      </c>
      <c r="F538" s="2">
        <f ca="1">Set2QA</f>
        <v>0.03</v>
      </c>
      <c r="I538" t="s">
        <v>104</v>
      </c>
      <c r="J538" s="3">
        <f>VLOOKUP($A$535, WeaponskillData, MATCH("FTP1", WeaponskillDataCols, 0), 0)</f>
        <v>0.71875</v>
      </c>
      <c r="K538" s="3">
        <f>VLOOKUP($A$535, WeaponskillData, MATCH("FTP2", WeaponskillDataCols, 0), 0)</f>
        <v>1.5</v>
      </c>
      <c r="L538" s="3">
        <f>VLOOKUP($A$535, WeaponskillData, MATCH("FTP3", WeaponskillDataCols, 0), 0)</f>
        <v>2.25</v>
      </c>
      <c r="N538" t="s">
        <v>428</v>
      </c>
    </row>
    <row r="539" spans="1:31">
      <c r="A539" t="s">
        <v>380</v>
      </c>
      <c r="B539">
        <f ca="1">TRUNC(10*(1+B538/100))</f>
        <v>20</v>
      </c>
      <c r="D539" t="s">
        <v>547</v>
      </c>
      <c r="E539" s="2">
        <f ca="1">Melee!B65</f>
        <v>0</v>
      </c>
      <c r="F539" s="2">
        <v>0</v>
      </c>
      <c r="I539" s="28" t="s">
        <v>381</v>
      </c>
      <c r="J539" s="3">
        <f ca="1">J538+Set2FTP</f>
        <v>0.9140625</v>
      </c>
      <c r="K539" s="3">
        <f ca="1">K538+Set2FTP</f>
        <v>1.6953125</v>
      </c>
      <c r="L539" s="3">
        <f ca="1">L538+Set2FTP</f>
        <v>2.4453125</v>
      </c>
      <c r="N539" s="1">
        <f ca="1">VLOOKUP($A$535,WeaponskillData,MATCH("Def0",WeaponskillDataCols,0),0) + (MIN(MAX($J$540-1000, 0),1000)/1000)*VLOOKUP($A$535,WeaponskillData,MATCH("Def1",WeaponskillDataCols,0),0) + (MAX($J$540-2000,0)/1000)*VLOOKUP($A$535,WeaponskillData,MATCH("Def2",WeaponskillDataCols,0),0)</f>
        <v>0</v>
      </c>
    </row>
    <row r="540" spans="1:31">
      <c r="A540" t="s">
        <v>51</v>
      </c>
      <c r="B540" s="5">
        <f ca="1">Set2WSHitRate</f>
        <v>0.95</v>
      </c>
      <c r="D540" t="s">
        <v>548</v>
      </c>
      <c r="E540" s="2">
        <f ca="1">Melee!B66</f>
        <v>0</v>
      </c>
      <c r="F540" s="2">
        <v>0</v>
      </c>
      <c r="I540" t="s">
        <v>159</v>
      </c>
      <c r="J540" s="4">
        <f ca="1">MIN(TRUNC(V1064+Set2TPBonus), 3000)</f>
        <v>1785</v>
      </c>
      <c r="K540" t="s">
        <v>382</v>
      </c>
      <c r="L540" s="3">
        <f ca="1">IF(J540&lt;1000, 0, IF(J540&lt;2000, J539+(J540-1000)/1000*(K539-J539), K539+(J540-2000)/1000*(L539-K539)))</f>
        <v>1.52734375</v>
      </c>
    </row>
    <row r="541" spans="1:31">
      <c r="D541" t="s">
        <v>549</v>
      </c>
      <c r="E541" s="2">
        <f ca="1">Melee!B67</f>
        <v>0</v>
      </c>
      <c r="F541" s="2">
        <v>0</v>
      </c>
      <c r="I541" t="s">
        <v>384</v>
      </c>
      <c r="J541" s="118">
        <f>VLOOKUP($A$535, WeaponskillData, MATCH("Crit0", WeaponskillDataCols, 0), 0)</f>
        <v>0</v>
      </c>
      <c r="K541" s="1">
        <f ca="1">(MIN(J540-1000, 1000)/1000)*VLOOKUP($A$535, WeaponskillData, MATCH("Crit1", WeaponskillDataCols, 0), 0) + (MAX(J540-2000, 0)/1000)*VLOOKUP($A$535, WeaponskillData, MATCH("Crit2", WeaponskillDataCols, 0), 0)</f>
        <v>0</v>
      </c>
      <c r="P541" t="s">
        <v>385</v>
      </c>
      <c r="Q541" s="4">
        <f>Set2OverTP</f>
        <v>0.5</v>
      </c>
    </row>
    <row r="542" spans="1:31">
      <c r="A542" t="s">
        <v>383</v>
      </c>
      <c r="B542">
        <f>VLOOKUP($A$535, WeaponskillData, MATCH("Extra Hits", WeaponskillDataCols, 0), 0)</f>
        <v>4</v>
      </c>
      <c r="K542" t="s">
        <v>338</v>
      </c>
      <c r="L542" t="s">
        <v>105</v>
      </c>
      <c r="M542" t="s">
        <v>114</v>
      </c>
      <c r="P542" t="s">
        <v>425</v>
      </c>
      <c r="Q542" s="2">
        <f ca="1">Set2ConserveTP</f>
        <v>7.0000000000000007E-2</v>
      </c>
    </row>
    <row r="543" spans="1:31">
      <c r="A543" t="s">
        <v>386</v>
      </c>
      <c r="B543">
        <f ca="1">IF(Data!H23&gt;0, 1, 0)</f>
        <v>0</v>
      </c>
      <c r="I543" t="s">
        <v>387</v>
      </c>
      <c r="J543">
        <f ca="1">Set2MainDmg</f>
        <v>333</v>
      </c>
      <c r="K543">
        <f ca="1">FLOOR((J543+J537)*L540, 1)</f>
        <v>1053</v>
      </c>
      <c r="L543" s="1">
        <f>IF(J541=0, 0, MIN($J$541+$K$541+Set2CritMain, 100%))</f>
        <v>0</v>
      </c>
      <c r="M543" s="2">
        <f ca="1">Set2CritDmg</f>
        <v>1.08</v>
      </c>
      <c r="P543" t="s">
        <v>413</v>
      </c>
      <c r="Q543">
        <f ca="1">Set2SaveTP</f>
        <v>0</v>
      </c>
    </row>
    <row r="544" spans="1:31">
      <c r="I544" t="s">
        <v>186</v>
      </c>
      <c r="J544">
        <f ca="1">Set2MainDmg</f>
        <v>333</v>
      </c>
      <c r="K544">
        <f ca="1">IF(J544&gt;0, FLOOR((J544+$J$537) * IF(VLOOKUP($A$535, WeaponskillData, MATCH("FTPCarry", WeaponskillDataCols, 0), 0)=1, $L$540, 1), 1), 0)</f>
        <v>1053</v>
      </c>
      <c r="L544" s="1">
        <f>IF(J541=0, 0, MIN($J$541+$K$541+Set2CritMain, 100%))</f>
        <v>0</v>
      </c>
      <c r="M544" s="2">
        <f ca="1">Set2CritDmg</f>
        <v>1.08</v>
      </c>
      <c r="P544" t="s">
        <v>456</v>
      </c>
      <c r="Q544">
        <f>Set2MinTP</f>
        <v>1000</v>
      </c>
    </row>
    <row r="545" spans="1:27">
      <c r="A545" t="s">
        <v>307</v>
      </c>
      <c r="B545">
        <f>IF(OR(Setup!$G$5="WS Only", Setup!$G$5="On"), 1, 0)</f>
        <v>0</v>
      </c>
      <c r="I545" t="s">
        <v>388</v>
      </c>
      <c r="J545">
        <v>0</v>
      </c>
      <c r="K545">
        <f>IF(J545&gt;0, FLOOR((J545+$J$537) * IF(VLOOKUP($A$535, WeaponskillData, MATCH("FTPCarry", WeaponskillDataCols, 0), 0)=1, $L$540, 1), 1), 0)</f>
        <v>0</v>
      </c>
      <c r="L545" s="1">
        <f>IF(J541=0, 0, MIN($J$541+$K$541+Set2CritMain, 100%))</f>
        <v>0</v>
      </c>
      <c r="P545" t="s">
        <v>495</v>
      </c>
      <c r="Q545" s="79">
        <f ca="1">Set2WSDmg</f>
        <v>1.1800000000000002</v>
      </c>
      <c r="V545" s="32"/>
    </row>
    <row r="546" spans="1:27">
      <c r="A546" t="s">
        <v>308</v>
      </c>
      <c r="B546" s="2">
        <f>Data!$E$200</f>
        <v>0.1</v>
      </c>
      <c r="I546" t="s">
        <v>389</v>
      </c>
      <c r="J546">
        <f ca="1">Set2OffDmg</f>
        <v>0</v>
      </c>
      <c r="K546">
        <f ca="1">IF(J546&gt;0, FLOOR((J546+$J$537) * IF(VLOOKUP($A$535, WeaponskillData, MATCH("FTPCarry", WeaponskillDataCols, 0), 0)=1, $L$540, 1), 1), 0)</f>
        <v>0</v>
      </c>
      <c r="L546" s="1">
        <f>IF(J541=0, 0, MIN($J$541+$K$541+Set2CritOff, 100%))</f>
        <v>0</v>
      </c>
    </row>
    <row r="547" spans="1:27">
      <c r="A547" t="s">
        <v>218</v>
      </c>
      <c r="B547">
        <f ca="1">FLOOR(Setup!G$6*Data!$E$57, 1)</f>
        <v>1857</v>
      </c>
      <c r="I547" t="s">
        <v>37</v>
      </c>
      <c r="J547" s="6">
        <f ca="1">Set2CRatio</f>
        <v>4.125</v>
      </c>
      <c r="K547" s="29" t="s">
        <v>682</v>
      </c>
      <c r="L547" s="6">
        <f ca="1">Data!E96</f>
        <v>3.8250000000000002</v>
      </c>
      <c r="M547" s="6">
        <f ca="1">Data!E112</f>
        <v>4.8449999999999998</v>
      </c>
    </row>
    <row r="548" spans="1:27">
      <c r="I548" t="s">
        <v>123</v>
      </c>
      <c r="J548" s="7">
        <f ca="1">Set2Regain</f>
        <v>0</v>
      </c>
      <c r="K548" s="29" t="s">
        <v>683</v>
      </c>
      <c r="L548" s="6">
        <f ca="1">Data!E156</f>
        <v>2.6281451612903228</v>
      </c>
      <c r="M548" s="6">
        <f ca="1">Data!E172</f>
        <v>3.6481451612903228</v>
      </c>
    </row>
    <row r="550" spans="1:27">
      <c r="A550" t="s">
        <v>482</v>
      </c>
      <c r="B550" t="s">
        <v>483</v>
      </c>
      <c r="C550" t="s">
        <v>45</v>
      </c>
      <c r="D550" s="28" t="s">
        <v>391</v>
      </c>
      <c r="E550" t="s">
        <v>390</v>
      </c>
      <c r="F550" t="s">
        <v>484</v>
      </c>
      <c r="G550" t="s">
        <v>392</v>
      </c>
      <c r="H550" t="s">
        <v>393</v>
      </c>
      <c r="I550" t="s">
        <v>394</v>
      </c>
      <c r="J550" t="s">
        <v>395</v>
      </c>
      <c r="K550" s="2" t="s">
        <v>396</v>
      </c>
      <c r="L550" t="s">
        <v>397</v>
      </c>
      <c r="M550" t="s">
        <v>459</v>
      </c>
      <c r="N550" s="26" t="s">
        <v>460</v>
      </c>
      <c r="O550" s="16" t="s">
        <v>398</v>
      </c>
      <c r="P550" s="16" t="s">
        <v>399</v>
      </c>
      <c r="Q550" s="16" t="s">
        <v>400</v>
      </c>
      <c r="R550" s="16" t="s">
        <v>401</v>
      </c>
      <c r="S550" s="16" t="s">
        <v>402</v>
      </c>
      <c r="T550" s="20" t="s">
        <v>403</v>
      </c>
      <c r="U550" s="20" t="s">
        <v>149</v>
      </c>
      <c r="V550" s="20" t="s">
        <v>404</v>
      </c>
      <c r="W550" s="20" t="s">
        <v>61</v>
      </c>
      <c r="X550" s="20" t="s">
        <v>405</v>
      </c>
      <c r="Y550" s="16" t="s">
        <v>217</v>
      </c>
      <c r="Z550" s="16" t="s">
        <v>326</v>
      </c>
      <c r="AA550" t="s">
        <v>426</v>
      </c>
    </row>
    <row r="551" spans="1:27">
      <c r="A551">
        <v>0</v>
      </c>
      <c r="B551">
        <v>0</v>
      </c>
      <c r="C551">
        <f t="shared" ref="C551:C614" ca="1" si="176">MIN(8, 1+$B$543+$B$542+A551+B551)</f>
        <v>5</v>
      </c>
      <c r="D551">
        <f t="shared" ref="D551:D614" ca="1" si="177">C551-(1+$B$543)</f>
        <v>4</v>
      </c>
      <c r="E551">
        <f t="shared" ref="E551:E614" ca="1" si="178">MIN(A551, C551-(1+$B$543+$B$542))</f>
        <v>0</v>
      </c>
      <c r="F551" s="110">
        <f t="shared" ref="F551:F614" ca="1" si="179">IF(A551=3, Set2QA, IF(A551=2, (1-Set2QA)*Set2TA + (1-Set2QA)*(1-Set2TA)*(1-Set2DA)*Set2AM3*Set2AM33, IF(A551=1, (1-Set2QA)*(1-Set2TA)*Set2DA + (1-Set2QA)*(1-Set2TA)*(1-Set2DA)*Set2AM3*Set2AM32, (1-Set2QA)*(1-Set2TA)*(1-Set2DA)*(1-Set2AM3)))) * IF($B$542+$B$543&gt;0, IF(B551=3, Set2QA, IF(B551=2, (1-Set2QA)*Set2TA, IF(B551=1, (1-Set2QA)*(1-Set2TA)*Set2DA, (1-Set2QA)*(1-Set2TA)*(1-Set2DA)))), IF(B551=0, 1, 0))</f>
        <v>0.50829770249999995</v>
      </c>
      <c r="G551">
        <v>1</v>
      </c>
      <c r="H551">
        <v>1</v>
      </c>
      <c r="I551">
        <v>7</v>
      </c>
      <c r="J551" s="1">
        <f t="shared" ref="J551:J614" ca="1" si="180">POWER(95%,G551)*POWER(5%, 1-G551) * IF($B$543=0, IF(H551=0, 1, 0), POWER(Set2WSHitRate,H551)*POWER(1-Set2WSHitRate, 1-H551)) * IF(I551&lt;=D551, POWER(Set2WSHitRate, I551)*POWER(1-Set2WSHitRate, D551-I551)*COMBIN(D551,I551), 0)</f>
        <v>0</v>
      </c>
      <c r="K551" s="1">
        <f t="shared" ref="K551:K614" ca="1" si="181">F551*J551</f>
        <v>0</v>
      </c>
      <c r="L551" s="13">
        <f t="shared" ref="L551:L614" ca="1" si="182">MAX((G551+H551)*Set2WSTP + I551*$B$539, Set2SaveTP)</f>
        <v>648</v>
      </c>
      <c r="M551" s="7">
        <f t="shared" ref="M551:M614" ca="1" si="183">MAX(Set2MinTP-(L551+Set2Regain), 0)</f>
        <v>352</v>
      </c>
      <c r="N551" s="26">
        <f t="shared" ref="N551:N614" ca="1" si="184">CEILING(M551/Set2MeleeTP, 1)</f>
        <v>2</v>
      </c>
      <c r="O551" s="44">
        <f t="shared" ref="O551:O614" ca="1" si="185">VLOOKUP(N551, AvgRoundsSet2, 2)</f>
        <v>1.5942243152407929</v>
      </c>
      <c r="P551" s="44">
        <f t="shared" ref="P551:P614" ca="1" si="186">VLOOKUP(CEILING(MAX(M551-1, 0)/Set2MeleeTP, 1), AvgRoundsSet2, 2) + VLOOKUP(CEILING(MAX(M551-2, 0)/Set2MeleeTP, 1), AvgRoundsSet2, 2) + VLOOKUP(CEILING(MAX(M551-3, 0)/Set2MeleeTP, 1), AvgRoundsSet2, 2) + VLOOKUP(CEILING(MAX(M551-4, 0)/Set2MeleeTP, 1), AvgRoundsSet2, 2) + VLOOKUP(CEILING(MAX(M551-5, 0)/Set2MeleeTP, 1), AvgRoundsSet2, 2) + VLOOKUP(CEILING(MAX(M551-6, 0)/Set2MeleeTP, 1), AvgRoundsSet2, 2) + VLOOKUP(CEILING(MAX(M551-7, 0)/Set2MeleeTP, 1), AvgRoundsSet2, 2) + VLOOKUP(CEILING(MAX(M551-8, 0)/Set2MeleeTP, 1), AvgRoundsSet2, 2) + VLOOKUP(CEILING(MAX(M551-9, 0)/Set2MeleeTP, 1), AvgRoundsSet2, 2) + VLOOKUP(CEILING(MAX(M551-10, 0)/Set2MeleeTP, 1), AvgRoundsSet2, 2)</f>
        <v>15.942243152407926</v>
      </c>
      <c r="Q551" s="44">
        <f t="shared" ref="Q551:Q614" ca="1" si="187">VLOOKUP(CEILING(MAX(M551-11, 0)/Set2MeleeTP, 1), AvgRoundsSet2, 2) + VLOOKUP(CEILING(MAX(M551-12, 0)/Set2MeleeTP, 1), AvgRoundsSet2, 2) + VLOOKUP(CEILING(MAX(M551-13, 0)/Set2MeleeTP, 1), AvgRoundsSet2, 2) + VLOOKUP(CEILING(MAX(M551-14, 0)/Set2MeleeTP, 1), AvgRoundsSet2, 2) + VLOOKUP(CEILING(MAX(M551-15, 0)/Set2MeleeTP, 1), AvgRoundsSet2, 2) + VLOOKUP(CEILING(MAX(M551-16, 0)/Set2MeleeTP, 1), AvgRoundsSet2, 2) + VLOOKUP(CEILING(MAX(M551-17, 0)/Set2MeleeTP, 1), AvgRoundsSet2, 2) + VLOOKUP(CEILING(MAX(M551-18, 0)/Set2MeleeTP, 1), AvgRoundsSet2, 2) + VLOOKUP(CEILING(MAX(M551-19, 0)/Set2MeleeTP, 1), AvgRoundsSet2, 2) + VLOOKUP(CEILING(MAX(M551-20, 0)/Set2MeleeTP, 1), AvgRoundsSet2, 2)</f>
        <v>15.942243152407926</v>
      </c>
      <c r="R551" s="44">
        <f t="shared" ref="R551:R614" ca="1" si="188">(P551+Q551)/20</f>
        <v>1.5942243152407927</v>
      </c>
      <c r="S551" s="44">
        <f t="shared" ref="S551:S614" ca="1" si="189">R551*Set2ConserveTP + O551*(1-Set2ConserveTP)</f>
        <v>1.5942243152407927</v>
      </c>
      <c r="T551" s="4">
        <f t="shared" ref="T551:T614" ca="1" si="190">K551*S551</f>
        <v>0</v>
      </c>
      <c r="U551" s="120">
        <f t="shared" ref="U551:U614" ca="1" si="191">MIN(L551+(S551+Set2OverTP)*AvgHitsPerRound2*Set2MeleeTP + Set2Regain + 10.5*Set2ConserveTP, 3000)</f>
        <v>1550.3348669012169</v>
      </c>
      <c r="V551" s="4">
        <f t="shared" ref="V551:V614" ca="1" si="192">U551*K551</f>
        <v>0</v>
      </c>
      <c r="W551" s="13">
        <f t="shared" ref="W551:W614" ca="1" si="193">G551*$K$543*((1-$L$543)*$L$547 + $L$543*$M$547*$M$543)*Set2WSDmg + H551*$K$546*((1-$L$546)*$L$548 + $L$546*$M$548*$M$544) + I551*$K$544*((1-$L$544)*$L$547 + $L$544*$M$547*$M$544) + E551*$K$545*$L$545*$M$543</f>
        <v>32946.790500000003</v>
      </c>
      <c r="X551" s="4">
        <f t="shared" ref="X551:X614" ca="1" si="194">K551*W551</f>
        <v>0</v>
      </c>
      <c r="Y551" s="4">
        <f t="shared" ref="Y551:Y614" si="195">IF($B$545=1, (VLOOKUP(C551, IF($B$546=10%,Souleater10,Souleater12), 6, FALSE) * $B$547), 0)</f>
        <v>0</v>
      </c>
      <c r="Z551" s="13">
        <f ca="1">Y551+W551</f>
        <v>32946.790500000003</v>
      </c>
      <c r="AA551" s="4">
        <f ca="1">Z551*K551</f>
        <v>0</v>
      </c>
    </row>
    <row r="552" spans="1:27">
      <c r="A552">
        <v>0</v>
      </c>
      <c r="B552">
        <v>0</v>
      </c>
      <c r="C552">
        <f t="shared" ca="1" si="176"/>
        <v>5</v>
      </c>
      <c r="D552">
        <f t="shared" ca="1" si="177"/>
        <v>4</v>
      </c>
      <c r="E552">
        <f t="shared" ca="1" si="178"/>
        <v>0</v>
      </c>
      <c r="F552" s="110">
        <f t="shared" ca="1" si="179"/>
        <v>0.50829770249999995</v>
      </c>
      <c r="G552">
        <v>1</v>
      </c>
      <c r="H552">
        <v>1</v>
      </c>
      <c r="I552">
        <v>6</v>
      </c>
      <c r="J552" s="1">
        <f t="shared" ca="1" si="180"/>
        <v>0</v>
      </c>
      <c r="K552" s="1">
        <f t="shared" ca="1" si="181"/>
        <v>0</v>
      </c>
      <c r="L552" s="13">
        <f t="shared" ca="1" si="182"/>
        <v>628</v>
      </c>
      <c r="M552" s="7">
        <f t="shared" ca="1" si="183"/>
        <v>372</v>
      </c>
      <c r="N552" s="26">
        <f t="shared" ca="1" si="184"/>
        <v>2</v>
      </c>
      <c r="O552" s="44">
        <f t="shared" ca="1" si="185"/>
        <v>1.5942243152407929</v>
      </c>
      <c r="P552" s="44">
        <f t="shared" ca="1" si="186"/>
        <v>15.942243152407926</v>
      </c>
      <c r="Q552" s="44">
        <f t="shared" ca="1" si="187"/>
        <v>15.942243152407926</v>
      </c>
      <c r="R552" s="44">
        <f t="shared" ca="1" si="188"/>
        <v>1.5942243152407927</v>
      </c>
      <c r="S552" s="44">
        <f t="shared" ca="1" si="189"/>
        <v>1.5942243152407927</v>
      </c>
      <c r="T552" s="4">
        <f t="shared" ca="1" si="190"/>
        <v>0</v>
      </c>
      <c r="U552" s="120">
        <f t="shared" ca="1" si="191"/>
        <v>1530.3348669012169</v>
      </c>
      <c r="V552" s="4">
        <f t="shared" ca="1" si="192"/>
        <v>0</v>
      </c>
      <c r="W552" s="13">
        <f t="shared" ca="1" si="193"/>
        <v>28919.065500000004</v>
      </c>
      <c r="X552" s="4">
        <f t="shared" ca="1" si="194"/>
        <v>0</v>
      </c>
      <c r="Y552" s="4">
        <f t="shared" si="195"/>
        <v>0</v>
      </c>
      <c r="Z552" s="13">
        <f t="shared" ref="Z552:Z615" ca="1" si="196">Y552+W552</f>
        <v>28919.065500000004</v>
      </c>
      <c r="AA552" s="4">
        <f t="shared" ref="AA552:AA615" ca="1" si="197">Z552*K552</f>
        <v>0</v>
      </c>
    </row>
    <row r="553" spans="1:27">
      <c r="A553">
        <v>0</v>
      </c>
      <c r="B553">
        <v>0</v>
      </c>
      <c r="C553">
        <f t="shared" ca="1" si="176"/>
        <v>5</v>
      </c>
      <c r="D553">
        <f t="shared" ca="1" si="177"/>
        <v>4</v>
      </c>
      <c r="E553">
        <f t="shared" ca="1" si="178"/>
        <v>0</v>
      </c>
      <c r="F553" s="110">
        <f t="shared" ca="1" si="179"/>
        <v>0.50829770249999995</v>
      </c>
      <c r="G553">
        <v>1</v>
      </c>
      <c r="H553">
        <v>1</v>
      </c>
      <c r="I553">
        <v>5</v>
      </c>
      <c r="J553" s="1">
        <f t="shared" ca="1" si="180"/>
        <v>0</v>
      </c>
      <c r="K553" s="1">
        <f t="shared" ca="1" si="181"/>
        <v>0</v>
      </c>
      <c r="L553" s="13">
        <f t="shared" ca="1" si="182"/>
        <v>608</v>
      </c>
      <c r="M553" s="7">
        <f t="shared" ca="1" si="183"/>
        <v>392</v>
      </c>
      <c r="N553" s="26">
        <f t="shared" ca="1" si="184"/>
        <v>2</v>
      </c>
      <c r="O553" s="44">
        <f t="shared" ca="1" si="185"/>
        <v>1.5942243152407929</v>
      </c>
      <c r="P553" s="44">
        <f t="shared" ca="1" si="186"/>
        <v>15.942243152407926</v>
      </c>
      <c r="Q553" s="44">
        <f t="shared" ca="1" si="187"/>
        <v>15.942243152407926</v>
      </c>
      <c r="R553" s="44">
        <f t="shared" ca="1" si="188"/>
        <v>1.5942243152407927</v>
      </c>
      <c r="S553" s="44">
        <f t="shared" ca="1" si="189"/>
        <v>1.5942243152407927</v>
      </c>
      <c r="T553" s="4">
        <f t="shared" ca="1" si="190"/>
        <v>0</v>
      </c>
      <c r="U553" s="120">
        <f t="shared" ca="1" si="191"/>
        <v>1510.3348669012169</v>
      </c>
      <c r="V553" s="4">
        <f t="shared" ca="1" si="192"/>
        <v>0</v>
      </c>
      <c r="W553" s="13">
        <f t="shared" ca="1" si="193"/>
        <v>24891.340500000002</v>
      </c>
      <c r="X553" s="4">
        <f t="shared" ca="1" si="194"/>
        <v>0</v>
      </c>
      <c r="Y553" s="4">
        <f t="shared" si="195"/>
        <v>0</v>
      </c>
      <c r="Z553" s="13">
        <f t="shared" ca="1" si="196"/>
        <v>24891.340500000002</v>
      </c>
      <c r="AA553" s="4">
        <f t="shared" ca="1" si="197"/>
        <v>0</v>
      </c>
    </row>
    <row r="554" spans="1:27">
      <c r="A554">
        <v>0</v>
      </c>
      <c r="B554">
        <v>0</v>
      </c>
      <c r="C554">
        <f t="shared" ca="1" si="176"/>
        <v>5</v>
      </c>
      <c r="D554">
        <f t="shared" ca="1" si="177"/>
        <v>4</v>
      </c>
      <c r="E554">
        <f t="shared" ca="1" si="178"/>
        <v>0</v>
      </c>
      <c r="F554" s="110">
        <f t="shared" ca="1" si="179"/>
        <v>0.50829770249999995</v>
      </c>
      <c r="G554">
        <v>1</v>
      </c>
      <c r="H554">
        <v>1</v>
      </c>
      <c r="I554">
        <v>4</v>
      </c>
      <c r="J554" s="1">
        <f t="shared" ca="1" si="180"/>
        <v>0</v>
      </c>
      <c r="K554" s="1">
        <f t="shared" ca="1" si="181"/>
        <v>0</v>
      </c>
      <c r="L554" s="13">
        <f t="shared" ca="1" si="182"/>
        <v>588</v>
      </c>
      <c r="M554" s="7">
        <f t="shared" ca="1" si="183"/>
        <v>412</v>
      </c>
      <c r="N554" s="26">
        <f t="shared" ca="1" si="184"/>
        <v>2</v>
      </c>
      <c r="O554" s="44">
        <f t="shared" ca="1" si="185"/>
        <v>1.5942243152407929</v>
      </c>
      <c r="P554" s="44">
        <f t="shared" ca="1" si="186"/>
        <v>15.942243152407926</v>
      </c>
      <c r="Q554" s="44">
        <f t="shared" ca="1" si="187"/>
        <v>15.942243152407926</v>
      </c>
      <c r="R554" s="44">
        <f t="shared" ca="1" si="188"/>
        <v>1.5942243152407927</v>
      </c>
      <c r="S554" s="44">
        <f t="shared" ca="1" si="189"/>
        <v>1.5942243152407927</v>
      </c>
      <c r="T554" s="4">
        <f t="shared" ca="1" si="190"/>
        <v>0</v>
      </c>
      <c r="U554" s="120">
        <f t="shared" ca="1" si="191"/>
        <v>1490.3348669012169</v>
      </c>
      <c r="V554" s="4">
        <f t="shared" ca="1" si="192"/>
        <v>0</v>
      </c>
      <c r="W554" s="13">
        <f t="shared" ca="1" si="193"/>
        <v>20863.615500000004</v>
      </c>
      <c r="X554" s="4">
        <f t="shared" ca="1" si="194"/>
        <v>0</v>
      </c>
      <c r="Y554" s="4">
        <f t="shared" si="195"/>
        <v>0</v>
      </c>
      <c r="Z554" s="13">
        <f t="shared" ca="1" si="196"/>
        <v>20863.615500000004</v>
      </c>
      <c r="AA554" s="4">
        <f t="shared" ca="1" si="197"/>
        <v>0</v>
      </c>
    </row>
    <row r="555" spans="1:27">
      <c r="A555">
        <v>0</v>
      </c>
      <c r="B555">
        <v>0</v>
      </c>
      <c r="C555">
        <f t="shared" ca="1" si="176"/>
        <v>5</v>
      </c>
      <c r="D555">
        <f t="shared" ca="1" si="177"/>
        <v>4</v>
      </c>
      <c r="E555">
        <f t="shared" ca="1" si="178"/>
        <v>0</v>
      </c>
      <c r="F555" s="110">
        <f t="shared" ca="1" si="179"/>
        <v>0.50829770249999995</v>
      </c>
      <c r="G555">
        <v>1</v>
      </c>
      <c r="H555">
        <v>1</v>
      </c>
      <c r="I555">
        <v>3</v>
      </c>
      <c r="J555" s="1">
        <f t="shared" ca="1" si="180"/>
        <v>0</v>
      </c>
      <c r="K555" s="1">
        <f t="shared" ca="1" si="181"/>
        <v>0</v>
      </c>
      <c r="L555" s="13">
        <f t="shared" ca="1" si="182"/>
        <v>568</v>
      </c>
      <c r="M555" s="7">
        <f t="shared" ca="1" si="183"/>
        <v>432</v>
      </c>
      <c r="N555" s="26">
        <f t="shared" ca="1" si="184"/>
        <v>2</v>
      </c>
      <c r="O555" s="44">
        <f t="shared" ca="1" si="185"/>
        <v>1.5942243152407929</v>
      </c>
      <c r="P555" s="44">
        <f t="shared" ca="1" si="186"/>
        <v>15.942243152407926</v>
      </c>
      <c r="Q555" s="44">
        <f t="shared" ca="1" si="187"/>
        <v>15.942243152407926</v>
      </c>
      <c r="R555" s="44">
        <f t="shared" ca="1" si="188"/>
        <v>1.5942243152407927</v>
      </c>
      <c r="S555" s="44">
        <f t="shared" ca="1" si="189"/>
        <v>1.5942243152407927</v>
      </c>
      <c r="T555" s="4">
        <f t="shared" ca="1" si="190"/>
        <v>0</v>
      </c>
      <c r="U555" s="120">
        <f t="shared" ca="1" si="191"/>
        <v>1470.3348669012169</v>
      </c>
      <c r="V555" s="4">
        <f t="shared" ca="1" si="192"/>
        <v>0</v>
      </c>
      <c r="W555" s="13">
        <f t="shared" ca="1" si="193"/>
        <v>16835.890500000001</v>
      </c>
      <c r="X555" s="4">
        <f t="shared" ca="1" si="194"/>
        <v>0</v>
      </c>
      <c r="Y555" s="4">
        <f t="shared" si="195"/>
        <v>0</v>
      </c>
      <c r="Z555" s="13">
        <f t="shared" ca="1" si="196"/>
        <v>16835.890500000001</v>
      </c>
      <c r="AA555" s="4">
        <f t="shared" ca="1" si="197"/>
        <v>0</v>
      </c>
    </row>
    <row r="556" spans="1:27">
      <c r="A556">
        <v>0</v>
      </c>
      <c r="B556">
        <v>0</v>
      </c>
      <c r="C556">
        <f t="shared" ca="1" si="176"/>
        <v>5</v>
      </c>
      <c r="D556">
        <f t="shared" ca="1" si="177"/>
        <v>4</v>
      </c>
      <c r="E556">
        <f t="shared" ca="1" si="178"/>
        <v>0</v>
      </c>
      <c r="F556" s="110">
        <f t="shared" ca="1" si="179"/>
        <v>0.50829770249999995</v>
      </c>
      <c r="G556">
        <v>1</v>
      </c>
      <c r="H556">
        <v>1</v>
      </c>
      <c r="I556">
        <v>2</v>
      </c>
      <c r="J556" s="1">
        <f t="shared" ca="1" si="180"/>
        <v>0</v>
      </c>
      <c r="K556" s="1">
        <f t="shared" ca="1" si="181"/>
        <v>0</v>
      </c>
      <c r="L556" s="13">
        <f t="shared" ca="1" si="182"/>
        <v>548</v>
      </c>
      <c r="M556" s="7">
        <f t="shared" ca="1" si="183"/>
        <v>452</v>
      </c>
      <c r="N556" s="26">
        <f t="shared" ca="1" si="184"/>
        <v>2</v>
      </c>
      <c r="O556" s="44">
        <f t="shared" ca="1" si="185"/>
        <v>1.5942243152407929</v>
      </c>
      <c r="P556" s="44">
        <f t="shared" ca="1" si="186"/>
        <v>15.942243152407926</v>
      </c>
      <c r="Q556" s="44">
        <f t="shared" ca="1" si="187"/>
        <v>15.942243152407926</v>
      </c>
      <c r="R556" s="44">
        <f t="shared" ca="1" si="188"/>
        <v>1.5942243152407927</v>
      </c>
      <c r="S556" s="44">
        <f t="shared" ca="1" si="189"/>
        <v>1.5942243152407927</v>
      </c>
      <c r="T556" s="4">
        <f t="shared" ca="1" si="190"/>
        <v>0</v>
      </c>
      <c r="U556" s="120">
        <f t="shared" ca="1" si="191"/>
        <v>1450.3348669012169</v>
      </c>
      <c r="V556" s="4">
        <f t="shared" ca="1" si="192"/>
        <v>0</v>
      </c>
      <c r="W556" s="13">
        <f t="shared" ca="1" si="193"/>
        <v>12808.165500000003</v>
      </c>
      <c r="X556" s="4">
        <f t="shared" ca="1" si="194"/>
        <v>0</v>
      </c>
      <c r="Y556" s="4">
        <f t="shared" si="195"/>
        <v>0</v>
      </c>
      <c r="Z556" s="13">
        <f t="shared" ca="1" si="196"/>
        <v>12808.165500000003</v>
      </c>
      <c r="AA556" s="4">
        <f t="shared" ca="1" si="197"/>
        <v>0</v>
      </c>
    </row>
    <row r="557" spans="1:27">
      <c r="A557">
        <v>0</v>
      </c>
      <c r="B557">
        <v>0</v>
      </c>
      <c r="C557">
        <f t="shared" ca="1" si="176"/>
        <v>5</v>
      </c>
      <c r="D557">
        <f t="shared" ca="1" si="177"/>
        <v>4</v>
      </c>
      <c r="E557">
        <f t="shared" ca="1" si="178"/>
        <v>0</v>
      </c>
      <c r="F557" s="110">
        <f t="shared" ca="1" si="179"/>
        <v>0.50829770249999995</v>
      </c>
      <c r="G557">
        <v>1</v>
      </c>
      <c r="H557">
        <v>1</v>
      </c>
      <c r="I557">
        <v>1</v>
      </c>
      <c r="J557" s="1">
        <f t="shared" ca="1" si="180"/>
        <v>0</v>
      </c>
      <c r="K557" s="1">
        <f t="shared" ca="1" si="181"/>
        <v>0</v>
      </c>
      <c r="L557" s="13">
        <f t="shared" ca="1" si="182"/>
        <v>528</v>
      </c>
      <c r="M557" s="7">
        <f t="shared" ca="1" si="183"/>
        <v>472</v>
      </c>
      <c r="N557" s="26">
        <f t="shared" ca="1" si="184"/>
        <v>2</v>
      </c>
      <c r="O557" s="44">
        <f t="shared" ca="1" si="185"/>
        <v>1.5942243152407929</v>
      </c>
      <c r="P557" s="44">
        <f t="shared" ca="1" si="186"/>
        <v>15.942243152407926</v>
      </c>
      <c r="Q557" s="44">
        <f t="shared" ca="1" si="187"/>
        <v>15.942243152407926</v>
      </c>
      <c r="R557" s="44">
        <f t="shared" ca="1" si="188"/>
        <v>1.5942243152407927</v>
      </c>
      <c r="S557" s="44">
        <f t="shared" ca="1" si="189"/>
        <v>1.5942243152407927</v>
      </c>
      <c r="T557" s="4">
        <f t="shared" ca="1" si="190"/>
        <v>0</v>
      </c>
      <c r="U557" s="120">
        <f t="shared" ca="1" si="191"/>
        <v>1430.3348669012169</v>
      </c>
      <c r="V557" s="4">
        <f t="shared" ca="1" si="192"/>
        <v>0</v>
      </c>
      <c r="W557" s="13">
        <f t="shared" ca="1" si="193"/>
        <v>8780.4405000000006</v>
      </c>
      <c r="X557" s="4">
        <f t="shared" ca="1" si="194"/>
        <v>0</v>
      </c>
      <c r="Y557" s="4">
        <f t="shared" si="195"/>
        <v>0</v>
      </c>
      <c r="Z557" s="13">
        <f t="shared" ca="1" si="196"/>
        <v>8780.4405000000006</v>
      </c>
      <c r="AA557" s="4">
        <f t="shared" ca="1" si="197"/>
        <v>0</v>
      </c>
    </row>
    <row r="558" spans="1:27">
      <c r="A558">
        <v>0</v>
      </c>
      <c r="B558">
        <v>0</v>
      </c>
      <c r="C558">
        <f t="shared" ca="1" si="176"/>
        <v>5</v>
      </c>
      <c r="D558">
        <f t="shared" ca="1" si="177"/>
        <v>4</v>
      </c>
      <c r="E558">
        <f t="shared" ca="1" si="178"/>
        <v>0</v>
      </c>
      <c r="F558" s="110">
        <f t="shared" ca="1" si="179"/>
        <v>0.50829770249999995</v>
      </c>
      <c r="G558">
        <v>1</v>
      </c>
      <c r="H558">
        <v>1</v>
      </c>
      <c r="I558">
        <v>0</v>
      </c>
      <c r="J558" s="1">
        <f t="shared" ca="1" si="180"/>
        <v>0</v>
      </c>
      <c r="K558" s="1">
        <f t="shared" ca="1" si="181"/>
        <v>0</v>
      </c>
      <c r="L558" s="13">
        <f t="shared" ca="1" si="182"/>
        <v>508</v>
      </c>
      <c r="M558" s="7">
        <f t="shared" ca="1" si="183"/>
        <v>492</v>
      </c>
      <c r="N558" s="26">
        <f t="shared" ca="1" si="184"/>
        <v>2</v>
      </c>
      <c r="O558" s="44">
        <f t="shared" ca="1" si="185"/>
        <v>1.5942243152407929</v>
      </c>
      <c r="P558" s="44">
        <f t="shared" ca="1" si="186"/>
        <v>15.942243152407926</v>
      </c>
      <c r="Q558" s="44">
        <f t="shared" ca="1" si="187"/>
        <v>15.942243152407926</v>
      </c>
      <c r="R558" s="44">
        <f t="shared" ca="1" si="188"/>
        <v>1.5942243152407927</v>
      </c>
      <c r="S558" s="44">
        <f t="shared" ca="1" si="189"/>
        <v>1.5942243152407927</v>
      </c>
      <c r="T558" s="4">
        <f t="shared" ca="1" si="190"/>
        <v>0</v>
      </c>
      <c r="U558" s="120">
        <f t="shared" ca="1" si="191"/>
        <v>1410.3348669012169</v>
      </c>
      <c r="V558" s="4">
        <f t="shared" ca="1" si="192"/>
        <v>0</v>
      </c>
      <c r="W558" s="13">
        <f t="shared" ca="1" si="193"/>
        <v>4752.7155000000012</v>
      </c>
      <c r="X558" s="4">
        <f t="shared" ca="1" si="194"/>
        <v>0</v>
      </c>
      <c r="Y558" s="4">
        <f t="shared" si="195"/>
        <v>0</v>
      </c>
      <c r="Z558" s="13">
        <f t="shared" ca="1" si="196"/>
        <v>4752.7155000000012</v>
      </c>
      <c r="AA558" s="4">
        <f t="shared" ca="1" si="197"/>
        <v>0</v>
      </c>
    </row>
    <row r="559" spans="1:27">
      <c r="A559">
        <v>0</v>
      </c>
      <c r="B559">
        <v>0</v>
      </c>
      <c r="C559">
        <f t="shared" ca="1" si="176"/>
        <v>5</v>
      </c>
      <c r="D559">
        <f t="shared" ca="1" si="177"/>
        <v>4</v>
      </c>
      <c r="E559">
        <f t="shared" ca="1" si="178"/>
        <v>0</v>
      </c>
      <c r="F559" s="110">
        <f t="shared" ca="1" si="179"/>
        <v>0.50829770249999995</v>
      </c>
      <c r="G559">
        <v>1</v>
      </c>
      <c r="H559">
        <v>0</v>
      </c>
      <c r="I559">
        <v>7</v>
      </c>
      <c r="J559" s="1">
        <f t="shared" ca="1" si="180"/>
        <v>0</v>
      </c>
      <c r="K559" s="1">
        <f t="shared" ca="1" si="181"/>
        <v>0</v>
      </c>
      <c r="L559" s="13">
        <f t="shared" ca="1" si="182"/>
        <v>394</v>
      </c>
      <c r="M559" s="7">
        <f t="shared" ca="1" si="183"/>
        <v>606</v>
      </c>
      <c r="N559" s="26">
        <f t="shared" ca="1" si="184"/>
        <v>3</v>
      </c>
      <c r="O559" s="44">
        <f t="shared" ca="1" si="185"/>
        <v>2.2641455309069398</v>
      </c>
      <c r="P559" s="44">
        <f t="shared" ca="1" si="186"/>
        <v>22.641455309069404</v>
      </c>
      <c r="Q559" s="44">
        <f t="shared" ca="1" si="187"/>
        <v>22.641455309069404</v>
      </c>
      <c r="R559" s="44">
        <f t="shared" ca="1" si="188"/>
        <v>2.2641455309069403</v>
      </c>
      <c r="S559" s="44">
        <f t="shared" ca="1" si="189"/>
        <v>2.2641455309069398</v>
      </c>
      <c r="T559" s="4">
        <f t="shared" ca="1" si="190"/>
        <v>0</v>
      </c>
      <c r="U559" s="120">
        <f t="shared" ca="1" si="191"/>
        <v>1584.7475619899244</v>
      </c>
      <c r="V559" s="4">
        <f t="shared" ca="1" si="192"/>
        <v>0</v>
      </c>
      <c r="W559" s="13">
        <f t="shared" ca="1" si="193"/>
        <v>32946.790500000003</v>
      </c>
      <c r="X559" s="4">
        <f t="shared" ca="1" si="194"/>
        <v>0</v>
      </c>
      <c r="Y559" s="4">
        <f t="shared" si="195"/>
        <v>0</v>
      </c>
      <c r="Z559" s="13">
        <f t="shared" ca="1" si="196"/>
        <v>32946.790500000003</v>
      </c>
      <c r="AA559" s="4">
        <f t="shared" ca="1" si="197"/>
        <v>0</v>
      </c>
    </row>
    <row r="560" spans="1:27">
      <c r="A560">
        <v>0</v>
      </c>
      <c r="B560">
        <v>0</v>
      </c>
      <c r="C560">
        <f t="shared" ca="1" si="176"/>
        <v>5</v>
      </c>
      <c r="D560">
        <f t="shared" ca="1" si="177"/>
        <v>4</v>
      </c>
      <c r="E560">
        <f t="shared" ca="1" si="178"/>
        <v>0</v>
      </c>
      <c r="F560" s="110">
        <f t="shared" ca="1" si="179"/>
        <v>0.50829770249999995</v>
      </c>
      <c r="G560">
        <v>1</v>
      </c>
      <c r="H560">
        <v>0</v>
      </c>
      <c r="I560">
        <v>6</v>
      </c>
      <c r="J560" s="1">
        <f t="shared" ca="1" si="180"/>
        <v>0</v>
      </c>
      <c r="K560" s="1">
        <f t="shared" ca="1" si="181"/>
        <v>0</v>
      </c>
      <c r="L560" s="13">
        <f t="shared" ca="1" si="182"/>
        <v>374</v>
      </c>
      <c r="M560" s="7">
        <f t="shared" ca="1" si="183"/>
        <v>626</v>
      </c>
      <c r="N560" s="26">
        <f t="shared" ca="1" si="184"/>
        <v>3</v>
      </c>
      <c r="O560" s="44">
        <f t="shared" ca="1" si="185"/>
        <v>2.2641455309069398</v>
      </c>
      <c r="P560" s="44">
        <f t="shared" ca="1" si="186"/>
        <v>22.641455309069404</v>
      </c>
      <c r="Q560" s="44">
        <f t="shared" ca="1" si="187"/>
        <v>22.641455309069404</v>
      </c>
      <c r="R560" s="44">
        <f t="shared" ca="1" si="188"/>
        <v>2.2641455309069403</v>
      </c>
      <c r="S560" s="44">
        <f t="shared" ca="1" si="189"/>
        <v>2.2641455309069398</v>
      </c>
      <c r="T560" s="4">
        <f t="shared" ca="1" si="190"/>
        <v>0</v>
      </c>
      <c r="U560" s="120">
        <f t="shared" ca="1" si="191"/>
        <v>1564.7475619899244</v>
      </c>
      <c r="V560" s="4">
        <f t="shared" ca="1" si="192"/>
        <v>0</v>
      </c>
      <c r="W560" s="13">
        <f t="shared" ca="1" si="193"/>
        <v>28919.065500000004</v>
      </c>
      <c r="X560" s="4">
        <f t="shared" ca="1" si="194"/>
        <v>0</v>
      </c>
      <c r="Y560" s="4">
        <f t="shared" si="195"/>
        <v>0</v>
      </c>
      <c r="Z560" s="13">
        <f t="shared" ca="1" si="196"/>
        <v>28919.065500000004</v>
      </c>
      <c r="AA560" s="4">
        <f t="shared" ca="1" si="197"/>
        <v>0</v>
      </c>
    </row>
    <row r="561" spans="1:27">
      <c r="A561">
        <v>0</v>
      </c>
      <c r="B561">
        <v>0</v>
      </c>
      <c r="C561">
        <f t="shared" ca="1" si="176"/>
        <v>5</v>
      </c>
      <c r="D561">
        <f t="shared" ca="1" si="177"/>
        <v>4</v>
      </c>
      <c r="E561">
        <f t="shared" ca="1" si="178"/>
        <v>0</v>
      </c>
      <c r="F561" s="110">
        <f t="shared" ca="1" si="179"/>
        <v>0.50829770249999995</v>
      </c>
      <c r="G561">
        <v>1</v>
      </c>
      <c r="H561">
        <v>0</v>
      </c>
      <c r="I561">
        <v>5</v>
      </c>
      <c r="J561" s="1">
        <f t="shared" ca="1" si="180"/>
        <v>0</v>
      </c>
      <c r="K561" s="1">
        <f t="shared" ca="1" si="181"/>
        <v>0</v>
      </c>
      <c r="L561" s="13">
        <f t="shared" ca="1" si="182"/>
        <v>354</v>
      </c>
      <c r="M561" s="7">
        <f t="shared" ca="1" si="183"/>
        <v>646</v>
      </c>
      <c r="N561" s="26">
        <f t="shared" ca="1" si="184"/>
        <v>3</v>
      </c>
      <c r="O561" s="44">
        <f t="shared" ca="1" si="185"/>
        <v>2.2641455309069398</v>
      </c>
      <c r="P561" s="44">
        <f t="shared" ca="1" si="186"/>
        <v>22.641455309069404</v>
      </c>
      <c r="Q561" s="44">
        <f t="shared" ca="1" si="187"/>
        <v>22.641455309069404</v>
      </c>
      <c r="R561" s="44">
        <f t="shared" ca="1" si="188"/>
        <v>2.2641455309069403</v>
      </c>
      <c r="S561" s="44">
        <f t="shared" ca="1" si="189"/>
        <v>2.2641455309069398</v>
      </c>
      <c r="T561" s="4">
        <f t="shared" ca="1" si="190"/>
        <v>0</v>
      </c>
      <c r="U561" s="120">
        <f t="shared" ca="1" si="191"/>
        <v>1544.7475619899244</v>
      </c>
      <c r="V561" s="4">
        <f t="shared" ca="1" si="192"/>
        <v>0</v>
      </c>
      <c r="W561" s="13">
        <f t="shared" ca="1" si="193"/>
        <v>24891.340500000002</v>
      </c>
      <c r="X561" s="4">
        <f t="shared" ca="1" si="194"/>
        <v>0</v>
      </c>
      <c r="Y561" s="4">
        <f t="shared" si="195"/>
        <v>0</v>
      </c>
      <c r="Z561" s="13">
        <f t="shared" ca="1" si="196"/>
        <v>24891.340500000002</v>
      </c>
      <c r="AA561" s="4">
        <f t="shared" ca="1" si="197"/>
        <v>0</v>
      </c>
    </row>
    <row r="562" spans="1:27">
      <c r="A562">
        <v>0</v>
      </c>
      <c r="B562">
        <v>0</v>
      </c>
      <c r="C562">
        <f t="shared" ca="1" si="176"/>
        <v>5</v>
      </c>
      <c r="D562">
        <f t="shared" ca="1" si="177"/>
        <v>4</v>
      </c>
      <c r="E562">
        <f t="shared" ca="1" si="178"/>
        <v>0</v>
      </c>
      <c r="F562" s="110">
        <f t="shared" ca="1" si="179"/>
        <v>0.50829770249999995</v>
      </c>
      <c r="G562">
        <v>1</v>
      </c>
      <c r="H562">
        <v>0</v>
      </c>
      <c r="I562">
        <v>4</v>
      </c>
      <c r="J562" s="1">
        <f t="shared" ca="1" si="180"/>
        <v>0.77378093749999999</v>
      </c>
      <c r="K562" s="1">
        <f t="shared" ca="1" si="181"/>
        <v>0.39331107276954602</v>
      </c>
      <c r="L562" s="13">
        <f t="shared" ca="1" si="182"/>
        <v>334</v>
      </c>
      <c r="M562" s="7">
        <f t="shared" ca="1" si="183"/>
        <v>666</v>
      </c>
      <c r="N562" s="26">
        <f t="shared" ca="1" si="184"/>
        <v>3</v>
      </c>
      <c r="O562" s="44">
        <f t="shared" ca="1" si="185"/>
        <v>2.2641455309069398</v>
      </c>
      <c r="P562" s="44">
        <f t="shared" ca="1" si="186"/>
        <v>22.641455309069404</v>
      </c>
      <c r="Q562" s="44">
        <f t="shared" ca="1" si="187"/>
        <v>22.641455309069404</v>
      </c>
      <c r="R562" s="44">
        <f t="shared" ca="1" si="188"/>
        <v>2.2641455309069403</v>
      </c>
      <c r="S562" s="44">
        <f t="shared" ca="1" si="189"/>
        <v>2.2641455309069398</v>
      </c>
      <c r="T562" s="4">
        <f t="shared" ca="1" si="190"/>
        <v>0.8905135076673818</v>
      </c>
      <c r="U562" s="120">
        <f t="shared" ca="1" si="191"/>
        <v>1524.7475619899244</v>
      </c>
      <c r="V562" s="4">
        <f t="shared" ca="1" si="192"/>
        <v>599.70009930900699</v>
      </c>
      <c r="W562" s="13">
        <f t="shared" ca="1" si="193"/>
        <v>20863.615500000004</v>
      </c>
      <c r="X562" s="4">
        <f t="shared" ca="1" si="194"/>
        <v>8205.8909941563288</v>
      </c>
      <c r="Y562" s="4">
        <f t="shared" si="195"/>
        <v>0</v>
      </c>
      <c r="Z562" s="13">
        <f t="shared" ca="1" si="196"/>
        <v>20863.615500000004</v>
      </c>
      <c r="AA562" s="4">
        <f t="shared" ca="1" si="197"/>
        <v>8205.8909941563288</v>
      </c>
    </row>
    <row r="563" spans="1:27">
      <c r="A563">
        <v>0</v>
      </c>
      <c r="B563">
        <v>0</v>
      </c>
      <c r="C563">
        <f t="shared" ca="1" si="176"/>
        <v>5</v>
      </c>
      <c r="D563">
        <f t="shared" ca="1" si="177"/>
        <v>4</v>
      </c>
      <c r="E563">
        <f t="shared" ca="1" si="178"/>
        <v>0</v>
      </c>
      <c r="F563" s="110">
        <f t="shared" ca="1" si="179"/>
        <v>0.50829770249999995</v>
      </c>
      <c r="G563">
        <v>1</v>
      </c>
      <c r="H563">
        <v>0</v>
      </c>
      <c r="I563">
        <v>3</v>
      </c>
      <c r="J563" s="1">
        <f t="shared" ca="1" si="180"/>
        <v>0.16290125000000011</v>
      </c>
      <c r="K563" s="1">
        <f t="shared" ca="1" si="181"/>
        <v>8.2802331109378166E-2</v>
      </c>
      <c r="L563" s="13">
        <f t="shared" ca="1" si="182"/>
        <v>314</v>
      </c>
      <c r="M563" s="7">
        <f t="shared" ca="1" si="183"/>
        <v>686</v>
      </c>
      <c r="N563" s="26">
        <f t="shared" ca="1" si="184"/>
        <v>3</v>
      </c>
      <c r="O563" s="44">
        <f t="shared" ca="1" si="185"/>
        <v>2.2641455309069398</v>
      </c>
      <c r="P563" s="44">
        <f t="shared" ca="1" si="186"/>
        <v>22.641455309069404</v>
      </c>
      <c r="Q563" s="44">
        <f t="shared" ca="1" si="187"/>
        <v>22.641455309069404</v>
      </c>
      <c r="R563" s="44">
        <f t="shared" ca="1" si="188"/>
        <v>2.2641455309069403</v>
      </c>
      <c r="S563" s="44">
        <f t="shared" ca="1" si="189"/>
        <v>2.2641455309069398</v>
      </c>
      <c r="T563" s="4">
        <f t="shared" ca="1" si="190"/>
        <v>0.18747652792997524</v>
      </c>
      <c r="U563" s="120">
        <f t="shared" ca="1" si="191"/>
        <v>1504.7475619899244</v>
      </c>
      <c r="V563" s="4">
        <f t="shared" ca="1" si="192"/>
        <v>124.59660586391927</v>
      </c>
      <c r="W563" s="13">
        <f t="shared" ca="1" si="193"/>
        <v>16835.890500000001</v>
      </c>
      <c r="X563" s="4">
        <f t="shared" ca="1" si="194"/>
        <v>1394.0509797022344</v>
      </c>
      <c r="Y563" s="4">
        <f t="shared" si="195"/>
        <v>0</v>
      </c>
      <c r="Z563" s="13">
        <f t="shared" ca="1" si="196"/>
        <v>16835.890500000001</v>
      </c>
      <c r="AA563" s="4">
        <f t="shared" ca="1" si="197"/>
        <v>1394.0509797022344</v>
      </c>
    </row>
    <row r="564" spans="1:27">
      <c r="A564">
        <v>0</v>
      </c>
      <c r="B564">
        <v>0</v>
      </c>
      <c r="C564">
        <f t="shared" ca="1" si="176"/>
        <v>5</v>
      </c>
      <c r="D564">
        <f t="shared" ca="1" si="177"/>
        <v>4</v>
      </c>
      <c r="E564">
        <f t="shared" ca="1" si="178"/>
        <v>0</v>
      </c>
      <c r="F564" s="110">
        <f t="shared" ca="1" si="179"/>
        <v>0.50829770249999995</v>
      </c>
      <c r="G564">
        <v>1</v>
      </c>
      <c r="H564">
        <v>0</v>
      </c>
      <c r="I564">
        <v>2</v>
      </c>
      <c r="J564" s="1">
        <f t="shared" ca="1" si="180"/>
        <v>1.2860625000000021E-2</v>
      </c>
      <c r="K564" s="1">
        <f t="shared" ca="1" si="181"/>
        <v>6.5370261402140726E-3</v>
      </c>
      <c r="L564" s="13">
        <f t="shared" ca="1" si="182"/>
        <v>294</v>
      </c>
      <c r="M564" s="7">
        <f t="shared" ca="1" si="183"/>
        <v>706</v>
      </c>
      <c r="N564" s="26">
        <f t="shared" ca="1" si="184"/>
        <v>3</v>
      </c>
      <c r="O564" s="44">
        <f t="shared" ca="1" si="185"/>
        <v>2.2641455309069398</v>
      </c>
      <c r="P564" s="44">
        <f t="shared" ca="1" si="186"/>
        <v>22.641455309069404</v>
      </c>
      <c r="Q564" s="44">
        <f t="shared" ca="1" si="187"/>
        <v>22.641455309069404</v>
      </c>
      <c r="R564" s="44">
        <f t="shared" ca="1" si="188"/>
        <v>2.2641455309069403</v>
      </c>
      <c r="S564" s="44">
        <f t="shared" ca="1" si="189"/>
        <v>2.2641455309069398</v>
      </c>
      <c r="T564" s="4">
        <f t="shared" ca="1" si="190"/>
        <v>1.4800778520787535E-2</v>
      </c>
      <c r="U564" s="120">
        <f t="shared" ca="1" si="191"/>
        <v>1484.7475619899244</v>
      </c>
      <c r="V564" s="4">
        <f t="shared" ca="1" si="192"/>
        <v>9.7058336243472496</v>
      </c>
      <c r="W564" s="13">
        <f t="shared" ca="1" si="193"/>
        <v>12808.165500000003</v>
      </c>
      <c r="X564" s="4">
        <f t="shared" ca="1" si="194"/>
        <v>83.727312681688062</v>
      </c>
      <c r="Y564" s="4">
        <f t="shared" si="195"/>
        <v>0</v>
      </c>
      <c r="Z564" s="13">
        <f t="shared" ca="1" si="196"/>
        <v>12808.165500000003</v>
      </c>
      <c r="AA564" s="4">
        <f t="shared" ca="1" si="197"/>
        <v>83.727312681688062</v>
      </c>
    </row>
    <row r="565" spans="1:27">
      <c r="A565">
        <v>0</v>
      </c>
      <c r="B565">
        <v>0</v>
      </c>
      <c r="C565">
        <f t="shared" ca="1" si="176"/>
        <v>5</v>
      </c>
      <c r="D565">
        <f t="shared" ca="1" si="177"/>
        <v>4</v>
      </c>
      <c r="E565">
        <f t="shared" ca="1" si="178"/>
        <v>0</v>
      </c>
      <c r="F565" s="110">
        <f t="shared" ca="1" si="179"/>
        <v>0.50829770249999995</v>
      </c>
      <c r="G565">
        <v>1</v>
      </c>
      <c r="H565">
        <v>0</v>
      </c>
      <c r="I565">
        <v>1</v>
      </c>
      <c r="J565" s="1">
        <f t="shared" ca="1" si="180"/>
        <v>4.5125000000000118E-4</v>
      </c>
      <c r="K565" s="1">
        <f t="shared" ca="1" si="181"/>
        <v>2.2936933825312559E-4</v>
      </c>
      <c r="L565" s="13">
        <f t="shared" ca="1" si="182"/>
        <v>274</v>
      </c>
      <c r="M565" s="7">
        <f t="shared" ca="1" si="183"/>
        <v>726</v>
      </c>
      <c r="N565" s="26">
        <f t="shared" ca="1" si="184"/>
        <v>3</v>
      </c>
      <c r="O565" s="44">
        <f t="shared" ca="1" si="185"/>
        <v>2.2641455309069398</v>
      </c>
      <c r="P565" s="44">
        <f t="shared" ca="1" si="186"/>
        <v>22.641455309069404</v>
      </c>
      <c r="Q565" s="44">
        <f t="shared" ca="1" si="187"/>
        <v>22.641455309069404</v>
      </c>
      <c r="R565" s="44">
        <f t="shared" ca="1" si="188"/>
        <v>2.2641455309069403</v>
      </c>
      <c r="S565" s="44">
        <f t="shared" ca="1" si="189"/>
        <v>2.2641455309069398</v>
      </c>
      <c r="T565" s="4">
        <f t="shared" ca="1" si="190"/>
        <v>5.193255621328965E-4</v>
      </c>
      <c r="U565" s="120">
        <f t="shared" ca="1" si="191"/>
        <v>1464.7475619899244</v>
      </c>
      <c r="V565" s="4">
        <f t="shared" ca="1" si="192"/>
        <v>0.33596817900150799</v>
      </c>
      <c r="W565" s="13">
        <f t="shared" ca="1" si="193"/>
        <v>8780.4405000000006</v>
      </c>
      <c r="X565" s="4">
        <f t="shared" ca="1" si="194"/>
        <v>2.0139638270559432</v>
      </c>
      <c r="Y565" s="4">
        <f t="shared" si="195"/>
        <v>0</v>
      </c>
      <c r="Z565" s="13">
        <f t="shared" ca="1" si="196"/>
        <v>8780.4405000000006</v>
      </c>
      <c r="AA565" s="4">
        <f t="shared" ca="1" si="197"/>
        <v>2.0139638270559432</v>
      </c>
    </row>
    <row r="566" spans="1:27">
      <c r="A566">
        <v>0</v>
      </c>
      <c r="B566">
        <v>0</v>
      </c>
      <c r="C566">
        <f t="shared" ca="1" si="176"/>
        <v>5</v>
      </c>
      <c r="D566">
        <f t="shared" ca="1" si="177"/>
        <v>4</v>
      </c>
      <c r="E566">
        <f t="shared" ca="1" si="178"/>
        <v>0</v>
      </c>
      <c r="F566" s="110">
        <f t="shared" ca="1" si="179"/>
        <v>0.50829770249999995</v>
      </c>
      <c r="G566">
        <v>1</v>
      </c>
      <c r="H566">
        <v>0</v>
      </c>
      <c r="I566">
        <v>0</v>
      </c>
      <c r="J566" s="1">
        <f t="shared" ca="1" si="180"/>
        <v>5.9375000000000207E-6</v>
      </c>
      <c r="K566" s="1">
        <f t="shared" ca="1" si="181"/>
        <v>3.01801760859376E-6</v>
      </c>
      <c r="L566" s="13">
        <f t="shared" ca="1" si="182"/>
        <v>254</v>
      </c>
      <c r="M566" s="7">
        <f t="shared" ca="1" si="183"/>
        <v>746</v>
      </c>
      <c r="N566" s="26">
        <f t="shared" ca="1" si="184"/>
        <v>3</v>
      </c>
      <c r="O566" s="44">
        <f t="shared" ca="1" si="185"/>
        <v>2.2641455309069398</v>
      </c>
      <c r="P566" s="44">
        <f t="shared" ca="1" si="186"/>
        <v>22.641455309069404</v>
      </c>
      <c r="Q566" s="44">
        <f t="shared" ca="1" si="187"/>
        <v>22.641455309069404</v>
      </c>
      <c r="R566" s="44">
        <f t="shared" ca="1" si="188"/>
        <v>2.2641455309069403</v>
      </c>
      <c r="S566" s="44">
        <f t="shared" ca="1" si="189"/>
        <v>2.2641455309069398</v>
      </c>
      <c r="T566" s="4">
        <f t="shared" ca="1" si="190"/>
        <v>6.8332310806960114E-6</v>
      </c>
      <c r="U566" s="120">
        <f t="shared" ca="1" si="191"/>
        <v>1444.7475619899244</v>
      </c>
      <c r="V566" s="4">
        <f t="shared" ca="1" si="192"/>
        <v>4.3602735820584965E-3</v>
      </c>
      <c r="W566" s="13">
        <f t="shared" ca="1" si="193"/>
        <v>4752.7155000000012</v>
      </c>
      <c r="X566" s="4">
        <f t="shared" ca="1" si="194"/>
        <v>1.43437790676365E-2</v>
      </c>
      <c r="Y566" s="4">
        <f t="shared" si="195"/>
        <v>0</v>
      </c>
      <c r="Z566" s="13">
        <f t="shared" ca="1" si="196"/>
        <v>4752.7155000000012</v>
      </c>
      <c r="AA566" s="4">
        <f t="shared" ca="1" si="197"/>
        <v>1.43437790676365E-2</v>
      </c>
    </row>
    <row r="567" spans="1:27">
      <c r="A567">
        <v>0</v>
      </c>
      <c r="B567">
        <v>0</v>
      </c>
      <c r="C567">
        <f t="shared" ca="1" si="176"/>
        <v>5</v>
      </c>
      <c r="D567">
        <f t="shared" ca="1" si="177"/>
        <v>4</v>
      </c>
      <c r="E567">
        <f t="shared" ca="1" si="178"/>
        <v>0</v>
      </c>
      <c r="F567" s="110">
        <f t="shared" ca="1" si="179"/>
        <v>0.50829770249999995</v>
      </c>
      <c r="G567">
        <v>0</v>
      </c>
      <c r="H567">
        <v>1</v>
      </c>
      <c r="I567">
        <v>7</v>
      </c>
      <c r="J567" s="1">
        <f t="shared" ca="1" si="180"/>
        <v>0</v>
      </c>
      <c r="K567" s="1">
        <f t="shared" ca="1" si="181"/>
        <v>0</v>
      </c>
      <c r="L567" s="13">
        <f t="shared" ca="1" si="182"/>
        <v>394</v>
      </c>
      <c r="M567" s="7">
        <f t="shared" ca="1" si="183"/>
        <v>606</v>
      </c>
      <c r="N567" s="26">
        <f t="shared" ca="1" si="184"/>
        <v>3</v>
      </c>
      <c r="O567" s="44">
        <f t="shared" ca="1" si="185"/>
        <v>2.2641455309069398</v>
      </c>
      <c r="P567" s="44">
        <f t="shared" ca="1" si="186"/>
        <v>22.641455309069404</v>
      </c>
      <c r="Q567" s="44">
        <f t="shared" ca="1" si="187"/>
        <v>22.641455309069404</v>
      </c>
      <c r="R567" s="44">
        <f t="shared" ca="1" si="188"/>
        <v>2.2641455309069403</v>
      </c>
      <c r="S567" s="44">
        <f t="shared" ca="1" si="189"/>
        <v>2.2641455309069398</v>
      </c>
      <c r="T567" s="4">
        <f t="shared" ca="1" si="190"/>
        <v>0</v>
      </c>
      <c r="U567" s="120">
        <f t="shared" ca="1" si="191"/>
        <v>1584.7475619899244</v>
      </c>
      <c r="V567" s="4">
        <f t="shared" ca="1" si="192"/>
        <v>0</v>
      </c>
      <c r="W567" s="13">
        <f t="shared" ca="1" si="193"/>
        <v>28194.075000000001</v>
      </c>
      <c r="X567" s="4">
        <f t="shared" ca="1" si="194"/>
        <v>0</v>
      </c>
      <c r="Y567" s="4">
        <f t="shared" si="195"/>
        <v>0</v>
      </c>
      <c r="Z567" s="13">
        <f t="shared" ca="1" si="196"/>
        <v>28194.075000000001</v>
      </c>
      <c r="AA567" s="4">
        <f t="shared" ca="1" si="197"/>
        <v>0</v>
      </c>
    </row>
    <row r="568" spans="1:27">
      <c r="A568">
        <v>0</v>
      </c>
      <c r="B568">
        <v>0</v>
      </c>
      <c r="C568">
        <f t="shared" ca="1" si="176"/>
        <v>5</v>
      </c>
      <c r="D568">
        <f t="shared" ca="1" si="177"/>
        <v>4</v>
      </c>
      <c r="E568">
        <f t="shared" ca="1" si="178"/>
        <v>0</v>
      </c>
      <c r="F568" s="110">
        <f t="shared" ca="1" si="179"/>
        <v>0.50829770249999995</v>
      </c>
      <c r="G568">
        <v>0</v>
      </c>
      <c r="H568">
        <v>1</v>
      </c>
      <c r="I568">
        <v>6</v>
      </c>
      <c r="J568" s="1">
        <f t="shared" ca="1" si="180"/>
        <v>0</v>
      </c>
      <c r="K568" s="1">
        <f t="shared" ca="1" si="181"/>
        <v>0</v>
      </c>
      <c r="L568" s="13">
        <f t="shared" ca="1" si="182"/>
        <v>374</v>
      </c>
      <c r="M568" s="7">
        <f t="shared" ca="1" si="183"/>
        <v>626</v>
      </c>
      <c r="N568" s="26">
        <f t="shared" ca="1" si="184"/>
        <v>3</v>
      </c>
      <c r="O568" s="44">
        <f t="shared" ca="1" si="185"/>
        <v>2.2641455309069398</v>
      </c>
      <c r="P568" s="44">
        <f t="shared" ca="1" si="186"/>
        <v>22.641455309069404</v>
      </c>
      <c r="Q568" s="44">
        <f t="shared" ca="1" si="187"/>
        <v>22.641455309069404</v>
      </c>
      <c r="R568" s="44">
        <f t="shared" ca="1" si="188"/>
        <v>2.2641455309069403</v>
      </c>
      <c r="S568" s="44">
        <f t="shared" ca="1" si="189"/>
        <v>2.2641455309069398</v>
      </c>
      <c r="T568" s="4">
        <f t="shared" ca="1" si="190"/>
        <v>0</v>
      </c>
      <c r="U568" s="120">
        <f t="shared" ca="1" si="191"/>
        <v>1564.7475619899244</v>
      </c>
      <c r="V568" s="4">
        <f t="shared" ca="1" si="192"/>
        <v>0</v>
      </c>
      <c r="W568" s="13">
        <f t="shared" ca="1" si="193"/>
        <v>24166.350000000002</v>
      </c>
      <c r="X568" s="4">
        <f t="shared" ca="1" si="194"/>
        <v>0</v>
      </c>
      <c r="Y568" s="4">
        <f t="shared" si="195"/>
        <v>0</v>
      </c>
      <c r="Z568" s="13">
        <f t="shared" ca="1" si="196"/>
        <v>24166.350000000002</v>
      </c>
      <c r="AA568" s="4">
        <f t="shared" ca="1" si="197"/>
        <v>0</v>
      </c>
    </row>
    <row r="569" spans="1:27">
      <c r="A569">
        <v>0</v>
      </c>
      <c r="B569">
        <v>0</v>
      </c>
      <c r="C569">
        <f t="shared" ca="1" si="176"/>
        <v>5</v>
      </c>
      <c r="D569">
        <f t="shared" ca="1" si="177"/>
        <v>4</v>
      </c>
      <c r="E569">
        <f t="shared" ca="1" si="178"/>
        <v>0</v>
      </c>
      <c r="F569" s="110">
        <f t="shared" ca="1" si="179"/>
        <v>0.50829770249999995</v>
      </c>
      <c r="G569">
        <v>0</v>
      </c>
      <c r="H569">
        <v>1</v>
      </c>
      <c r="I569">
        <v>5</v>
      </c>
      <c r="J569" s="1">
        <f t="shared" ca="1" si="180"/>
        <v>0</v>
      </c>
      <c r="K569" s="1">
        <f t="shared" ca="1" si="181"/>
        <v>0</v>
      </c>
      <c r="L569" s="13">
        <f t="shared" ca="1" si="182"/>
        <v>354</v>
      </c>
      <c r="M569" s="7">
        <f t="shared" ca="1" si="183"/>
        <v>646</v>
      </c>
      <c r="N569" s="26">
        <f t="shared" ca="1" si="184"/>
        <v>3</v>
      </c>
      <c r="O569" s="44">
        <f t="shared" ca="1" si="185"/>
        <v>2.2641455309069398</v>
      </c>
      <c r="P569" s="44">
        <f t="shared" ca="1" si="186"/>
        <v>22.641455309069404</v>
      </c>
      <c r="Q569" s="44">
        <f t="shared" ca="1" si="187"/>
        <v>22.641455309069404</v>
      </c>
      <c r="R569" s="44">
        <f t="shared" ca="1" si="188"/>
        <v>2.2641455309069403</v>
      </c>
      <c r="S569" s="44">
        <f t="shared" ca="1" si="189"/>
        <v>2.2641455309069398</v>
      </c>
      <c r="T569" s="4">
        <f t="shared" ca="1" si="190"/>
        <v>0</v>
      </c>
      <c r="U569" s="120">
        <f t="shared" ca="1" si="191"/>
        <v>1544.7475619899244</v>
      </c>
      <c r="V569" s="4">
        <f t="shared" ca="1" si="192"/>
        <v>0</v>
      </c>
      <c r="W569" s="13">
        <f t="shared" ca="1" si="193"/>
        <v>20138.625</v>
      </c>
      <c r="X569" s="4">
        <f t="shared" ca="1" si="194"/>
        <v>0</v>
      </c>
      <c r="Y569" s="4">
        <f t="shared" si="195"/>
        <v>0</v>
      </c>
      <c r="Z569" s="13">
        <f t="shared" ca="1" si="196"/>
        <v>20138.625</v>
      </c>
      <c r="AA569" s="4">
        <f t="shared" ca="1" si="197"/>
        <v>0</v>
      </c>
    </row>
    <row r="570" spans="1:27">
      <c r="A570">
        <v>0</v>
      </c>
      <c r="B570">
        <v>0</v>
      </c>
      <c r="C570">
        <f t="shared" ca="1" si="176"/>
        <v>5</v>
      </c>
      <c r="D570">
        <f t="shared" ca="1" si="177"/>
        <v>4</v>
      </c>
      <c r="E570">
        <f t="shared" ca="1" si="178"/>
        <v>0</v>
      </c>
      <c r="F570" s="110">
        <f t="shared" ca="1" si="179"/>
        <v>0.50829770249999995</v>
      </c>
      <c r="G570">
        <v>0</v>
      </c>
      <c r="H570">
        <v>1</v>
      </c>
      <c r="I570">
        <v>4</v>
      </c>
      <c r="J570" s="1">
        <f t="shared" ca="1" si="180"/>
        <v>0</v>
      </c>
      <c r="K570" s="1">
        <f t="shared" ca="1" si="181"/>
        <v>0</v>
      </c>
      <c r="L570" s="13">
        <f t="shared" ca="1" si="182"/>
        <v>334</v>
      </c>
      <c r="M570" s="7">
        <f t="shared" ca="1" si="183"/>
        <v>666</v>
      </c>
      <c r="N570" s="26">
        <f t="shared" ca="1" si="184"/>
        <v>3</v>
      </c>
      <c r="O570" s="44">
        <f t="shared" ca="1" si="185"/>
        <v>2.2641455309069398</v>
      </c>
      <c r="P570" s="44">
        <f t="shared" ca="1" si="186"/>
        <v>22.641455309069404</v>
      </c>
      <c r="Q570" s="44">
        <f t="shared" ca="1" si="187"/>
        <v>22.641455309069404</v>
      </c>
      <c r="R570" s="44">
        <f t="shared" ca="1" si="188"/>
        <v>2.2641455309069403</v>
      </c>
      <c r="S570" s="44">
        <f t="shared" ca="1" si="189"/>
        <v>2.2641455309069398</v>
      </c>
      <c r="T570" s="4">
        <f t="shared" ca="1" si="190"/>
        <v>0</v>
      </c>
      <c r="U570" s="120">
        <f t="shared" ca="1" si="191"/>
        <v>1524.7475619899244</v>
      </c>
      <c r="V570" s="4">
        <f t="shared" ca="1" si="192"/>
        <v>0</v>
      </c>
      <c r="W570" s="13">
        <f t="shared" ca="1" si="193"/>
        <v>16110.900000000001</v>
      </c>
      <c r="X570" s="4">
        <f t="shared" ca="1" si="194"/>
        <v>0</v>
      </c>
      <c r="Y570" s="4">
        <f t="shared" si="195"/>
        <v>0</v>
      </c>
      <c r="Z570" s="13">
        <f t="shared" ca="1" si="196"/>
        <v>16110.900000000001</v>
      </c>
      <c r="AA570" s="4">
        <f t="shared" ca="1" si="197"/>
        <v>0</v>
      </c>
    </row>
    <row r="571" spans="1:27">
      <c r="A571">
        <v>0</v>
      </c>
      <c r="B571">
        <v>0</v>
      </c>
      <c r="C571">
        <f t="shared" ca="1" si="176"/>
        <v>5</v>
      </c>
      <c r="D571">
        <f t="shared" ca="1" si="177"/>
        <v>4</v>
      </c>
      <c r="E571">
        <f t="shared" ca="1" si="178"/>
        <v>0</v>
      </c>
      <c r="F571" s="110">
        <f t="shared" ca="1" si="179"/>
        <v>0.50829770249999995</v>
      </c>
      <c r="G571">
        <v>0</v>
      </c>
      <c r="H571">
        <v>1</v>
      </c>
      <c r="I571">
        <v>3</v>
      </c>
      <c r="J571" s="1">
        <f t="shared" ca="1" si="180"/>
        <v>0</v>
      </c>
      <c r="K571" s="1">
        <f t="shared" ca="1" si="181"/>
        <v>0</v>
      </c>
      <c r="L571" s="13">
        <f t="shared" ca="1" si="182"/>
        <v>314</v>
      </c>
      <c r="M571" s="7">
        <f t="shared" ca="1" si="183"/>
        <v>686</v>
      </c>
      <c r="N571" s="26">
        <f t="shared" ca="1" si="184"/>
        <v>3</v>
      </c>
      <c r="O571" s="44">
        <f t="shared" ca="1" si="185"/>
        <v>2.2641455309069398</v>
      </c>
      <c r="P571" s="44">
        <f t="shared" ca="1" si="186"/>
        <v>22.641455309069404</v>
      </c>
      <c r="Q571" s="44">
        <f t="shared" ca="1" si="187"/>
        <v>22.641455309069404</v>
      </c>
      <c r="R571" s="44">
        <f t="shared" ca="1" si="188"/>
        <v>2.2641455309069403</v>
      </c>
      <c r="S571" s="44">
        <f t="shared" ca="1" si="189"/>
        <v>2.2641455309069398</v>
      </c>
      <c r="T571" s="4">
        <f t="shared" ca="1" si="190"/>
        <v>0</v>
      </c>
      <c r="U571" s="120">
        <f t="shared" ca="1" si="191"/>
        <v>1504.7475619899244</v>
      </c>
      <c r="V571" s="4">
        <f t="shared" ca="1" si="192"/>
        <v>0</v>
      </c>
      <c r="W571" s="13">
        <f t="shared" ca="1" si="193"/>
        <v>12083.175000000001</v>
      </c>
      <c r="X571" s="4">
        <f t="shared" ca="1" si="194"/>
        <v>0</v>
      </c>
      <c r="Y571" s="4">
        <f t="shared" si="195"/>
        <v>0</v>
      </c>
      <c r="Z571" s="13">
        <f t="shared" ca="1" si="196"/>
        <v>12083.175000000001</v>
      </c>
      <c r="AA571" s="4">
        <f t="shared" ca="1" si="197"/>
        <v>0</v>
      </c>
    </row>
    <row r="572" spans="1:27">
      <c r="A572">
        <v>0</v>
      </c>
      <c r="B572">
        <v>0</v>
      </c>
      <c r="C572">
        <f t="shared" ca="1" si="176"/>
        <v>5</v>
      </c>
      <c r="D572">
        <f t="shared" ca="1" si="177"/>
        <v>4</v>
      </c>
      <c r="E572">
        <f t="shared" ca="1" si="178"/>
        <v>0</v>
      </c>
      <c r="F572" s="110">
        <f t="shared" ca="1" si="179"/>
        <v>0.50829770249999995</v>
      </c>
      <c r="G572">
        <v>0</v>
      </c>
      <c r="H572">
        <v>1</v>
      </c>
      <c r="I572">
        <v>2</v>
      </c>
      <c r="J572" s="1">
        <f t="shared" ca="1" si="180"/>
        <v>0</v>
      </c>
      <c r="K572" s="1">
        <f t="shared" ca="1" si="181"/>
        <v>0</v>
      </c>
      <c r="L572" s="13">
        <f t="shared" ca="1" si="182"/>
        <v>294</v>
      </c>
      <c r="M572" s="7">
        <f t="shared" ca="1" si="183"/>
        <v>706</v>
      </c>
      <c r="N572" s="26">
        <f t="shared" ca="1" si="184"/>
        <v>3</v>
      </c>
      <c r="O572" s="44">
        <f t="shared" ca="1" si="185"/>
        <v>2.2641455309069398</v>
      </c>
      <c r="P572" s="44">
        <f t="shared" ca="1" si="186"/>
        <v>22.641455309069404</v>
      </c>
      <c r="Q572" s="44">
        <f t="shared" ca="1" si="187"/>
        <v>22.641455309069404</v>
      </c>
      <c r="R572" s="44">
        <f t="shared" ca="1" si="188"/>
        <v>2.2641455309069403</v>
      </c>
      <c r="S572" s="44">
        <f t="shared" ca="1" si="189"/>
        <v>2.2641455309069398</v>
      </c>
      <c r="T572" s="4">
        <f t="shared" ca="1" si="190"/>
        <v>0</v>
      </c>
      <c r="U572" s="120">
        <f t="shared" ca="1" si="191"/>
        <v>1484.7475619899244</v>
      </c>
      <c r="V572" s="4">
        <f t="shared" ca="1" si="192"/>
        <v>0</v>
      </c>
      <c r="W572" s="13">
        <f t="shared" ca="1" si="193"/>
        <v>8055.4500000000007</v>
      </c>
      <c r="X572" s="4">
        <f t="shared" ca="1" si="194"/>
        <v>0</v>
      </c>
      <c r="Y572" s="4">
        <f t="shared" si="195"/>
        <v>0</v>
      </c>
      <c r="Z572" s="13">
        <f t="shared" ca="1" si="196"/>
        <v>8055.4500000000007</v>
      </c>
      <c r="AA572" s="4">
        <f t="shared" ca="1" si="197"/>
        <v>0</v>
      </c>
    </row>
    <row r="573" spans="1:27">
      <c r="A573">
        <v>0</v>
      </c>
      <c r="B573">
        <v>0</v>
      </c>
      <c r="C573">
        <f t="shared" ca="1" si="176"/>
        <v>5</v>
      </c>
      <c r="D573">
        <f t="shared" ca="1" si="177"/>
        <v>4</v>
      </c>
      <c r="E573">
        <f t="shared" ca="1" si="178"/>
        <v>0</v>
      </c>
      <c r="F573" s="110">
        <f t="shared" ca="1" si="179"/>
        <v>0.50829770249999995</v>
      </c>
      <c r="G573">
        <v>0</v>
      </c>
      <c r="H573">
        <v>1</v>
      </c>
      <c r="I573">
        <v>1</v>
      </c>
      <c r="J573" s="1">
        <f t="shared" ca="1" si="180"/>
        <v>0</v>
      </c>
      <c r="K573" s="1">
        <f t="shared" ca="1" si="181"/>
        <v>0</v>
      </c>
      <c r="L573" s="13">
        <f t="shared" ca="1" si="182"/>
        <v>274</v>
      </c>
      <c r="M573" s="7">
        <f t="shared" ca="1" si="183"/>
        <v>726</v>
      </c>
      <c r="N573" s="26">
        <f t="shared" ca="1" si="184"/>
        <v>3</v>
      </c>
      <c r="O573" s="44">
        <f t="shared" ca="1" si="185"/>
        <v>2.2641455309069398</v>
      </c>
      <c r="P573" s="44">
        <f t="shared" ca="1" si="186"/>
        <v>22.641455309069404</v>
      </c>
      <c r="Q573" s="44">
        <f t="shared" ca="1" si="187"/>
        <v>22.641455309069404</v>
      </c>
      <c r="R573" s="44">
        <f t="shared" ca="1" si="188"/>
        <v>2.2641455309069403</v>
      </c>
      <c r="S573" s="44">
        <f t="shared" ca="1" si="189"/>
        <v>2.2641455309069398</v>
      </c>
      <c r="T573" s="4">
        <f t="shared" ca="1" si="190"/>
        <v>0</v>
      </c>
      <c r="U573" s="120">
        <f t="shared" ca="1" si="191"/>
        <v>1464.7475619899244</v>
      </c>
      <c r="V573" s="4">
        <f t="shared" ca="1" si="192"/>
        <v>0</v>
      </c>
      <c r="W573" s="13">
        <f t="shared" ca="1" si="193"/>
        <v>4027.7250000000004</v>
      </c>
      <c r="X573" s="4">
        <f t="shared" ca="1" si="194"/>
        <v>0</v>
      </c>
      <c r="Y573" s="4">
        <f t="shared" si="195"/>
        <v>0</v>
      </c>
      <c r="Z573" s="13">
        <f t="shared" ca="1" si="196"/>
        <v>4027.7250000000004</v>
      </c>
      <c r="AA573" s="4">
        <f t="shared" ca="1" si="197"/>
        <v>0</v>
      </c>
    </row>
    <row r="574" spans="1:27">
      <c r="A574">
        <v>0</v>
      </c>
      <c r="B574">
        <v>0</v>
      </c>
      <c r="C574">
        <f t="shared" ca="1" si="176"/>
        <v>5</v>
      </c>
      <c r="D574">
        <f t="shared" ca="1" si="177"/>
        <v>4</v>
      </c>
      <c r="E574">
        <f t="shared" ca="1" si="178"/>
        <v>0</v>
      </c>
      <c r="F574" s="110">
        <f t="shared" ca="1" si="179"/>
        <v>0.50829770249999995</v>
      </c>
      <c r="G574">
        <v>0</v>
      </c>
      <c r="H574">
        <v>1</v>
      </c>
      <c r="I574">
        <v>0</v>
      </c>
      <c r="J574" s="1">
        <f t="shared" ca="1" si="180"/>
        <v>0</v>
      </c>
      <c r="K574" s="1">
        <f t="shared" ca="1" si="181"/>
        <v>0</v>
      </c>
      <c r="L574" s="13">
        <f t="shared" ca="1" si="182"/>
        <v>254</v>
      </c>
      <c r="M574" s="7">
        <f t="shared" ca="1" si="183"/>
        <v>746</v>
      </c>
      <c r="N574" s="26">
        <f t="shared" ca="1" si="184"/>
        <v>3</v>
      </c>
      <c r="O574" s="44">
        <f t="shared" ca="1" si="185"/>
        <v>2.2641455309069398</v>
      </c>
      <c r="P574" s="44">
        <f t="shared" ca="1" si="186"/>
        <v>22.641455309069404</v>
      </c>
      <c r="Q574" s="44">
        <f t="shared" ca="1" si="187"/>
        <v>22.641455309069404</v>
      </c>
      <c r="R574" s="44">
        <f t="shared" ca="1" si="188"/>
        <v>2.2641455309069403</v>
      </c>
      <c r="S574" s="44">
        <f t="shared" ca="1" si="189"/>
        <v>2.2641455309069398</v>
      </c>
      <c r="T574" s="4">
        <f t="shared" ca="1" si="190"/>
        <v>0</v>
      </c>
      <c r="U574" s="120">
        <f t="shared" ca="1" si="191"/>
        <v>1444.7475619899244</v>
      </c>
      <c r="V574" s="4">
        <f t="shared" ca="1" si="192"/>
        <v>0</v>
      </c>
      <c r="W574" s="13">
        <f t="shared" ca="1" si="193"/>
        <v>0</v>
      </c>
      <c r="X574" s="4">
        <f t="shared" ca="1" si="194"/>
        <v>0</v>
      </c>
      <c r="Y574" s="4">
        <f t="shared" si="195"/>
        <v>0</v>
      </c>
      <c r="Z574" s="13">
        <f t="shared" ca="1" si="196"/>
        <v>0</v>
      </c>
      <c r="AA574" s="4">
        <f t="shared" ca="1" si="197"/>
        <v>0</v>
      </c>
    </row>
    <row r="575" spans="1:27">
      <c r="A575">
        <v>0</v>
      </c>
      <c r="B575">
        <v>0</v>
      </c>
      <c r="C575">
        <f t="shared" ca="1" si="176"/>
        <v>5</v>
      </c>
      <c r="D575">
        <f t="shared" ca="1" si="177"/>
        <v>4</v>
      </c>
      <c r="E575">
        <f t="shared" ca="1" si="178"/>
        <v>0</v>
      </c>
      <c r="F575" s="110">
        <f t="shared" ca="1" si="179"/>
        <v>0.50829770249999995</v>
      </c>
      <c r="G575">
        <v>0</v>
      </c>
      <c r="H575">
        <v>0</v>
      </c>
      <c r="I575">
        <v>7</v>
      </c>
      <c r="J575" s="1">
        <f t="shared" ca="1" si="180"/>
        <v>0</v>
      </c>
      <c r="K575" s="1">
        <f t="shared" ca="1" si="181"/>
        <v>0</v>
      </c>
      <c r="L575" s="13">
        <f t="shared" ca="1" si="182"/>
        <v>140</v>
      </c>
      <c r="M575" s="7">
        <f t="shared" ca="1" si="183"/>
        <v>860</v>
      </c>
      <c r="N575" s="26">
        <f t="shared" ca="1" si="184"/>
        <v>4</v>
      </c>
      <c r="O575" s="44">
        <f t="shared" ca="1" si="185"/>
        <v>2.8910364854084887</v>
      </c>
      <c r="P575" s="44">
        <f t="shared" ca="1" si="186"/>
        <v>28.910364854084886</v>
      </c>
      <c r="Q575" s="44">
        <f t="shared" ca="1" si="187"/>
        <v>28.910364854084886</v>
      </c>
      <c r="R575" s="44">
        <f t="shared" ca="1" si="188"/>
        <v>2.8910364854084887</v>
      </c>
      <c r="S575" s="44">
        <f t="shared" ca="1" si="189"/>
        <v>2.8910364854084882</v>
      </c>
      <c r="T575" s="4">
        <f t="shared" ca="1" si="190"/>
        <v>0</v>
      </c>
      <c r="U575" s="120">
        <f t="shared" ca="1" si="191"/>
        <v>1600.6349838037554</v>
      </c>
      <c r="V575" s="4">
        <f t="shared" ca="1" si="192"/>
        <v>0</v>
      </c>
      <c r="W575" s="13">
        <f t="shared" ca="1" si="193"/>
        <v>28194.075000000001</v>
      </c>
      <c r="X575" s="4">
        <f t="shared" ca="1" si="194"/>
        <v>0</v>
      </c>
      <c r="Y575" s="4">
        <f t="shared" si="195"/>
        <v>0</v>
      </c>
      <c r="Z575" s="13">
        <f t="shared" ca="1" si="196"/>
        <v>28194.075000000001</v>
      </c>
      <c r="AA575" s="4">
        <f t="shared" ca="1" si="197"/>
        <v>0</v>
      </c>
    </row>
    <row r="576" spans="1:27">
      <c r="A576">
        <v>0</v>
      </c>
      <c r="B576">
        <v>0</v>
      </c>
      <c r="C576">
        <f t="shared" ca="1" si="176"/>
        <v>5</v>
      </c>
      <c r="D576">
        <f t="shared" ca="1" si="177"/>
        <v>4</v>
      </c>
      <c r="E576">
        <f t="shared" ca="1" si="178"/>
        <v>0</v>
      </c>
      <c r="F576" s="110">
        <f t="shared" ca="1" si="179"/>
        <v>0.50829770249999995</v>
      </c>
      <c r="G576">
        <v>0</v>
      </c>
      <c r="H576">
        <v>0</v>
      </c>
      <c r="I576">
        <v>6</v>
      </c>
      <c r="J576" s="1">
        <f t="shared" ca="1" si="180"/>
        <v>0</v>
      </c>
      <c r="K576" s="1">
        <f t="shared" ca="1" si="181"/>
        <v>0</v>
      </c>
      <c r="L576" s="13">
        <f t="shared" ca="1" si="182"/>
        <v>120</v>
      </c>
      <c r="M576" s="7">
        <f t="shared" ca="1" si="183"/>
        <v>880</v>
      </c>
      <c r="N576" s="26">
        <f t="shared" ca="1" si="184"/>
        <v>4</v>
      </c>
      <c r="O576" s="44">
        <f t="shared" ca="1" si="185"/>
        <v>2.8910364854084887</v>
      </c>
      <c r="P576" s="44">
        <f t="shared" ca="1" si="186"/>
        <v>28.910364854084886</v>
      </c>
      <c r="Q576" s="44">
        <f t="shared" ca="1" si="187"/>
        <v>28.910364854084886</v>
      </c>
      <c r="R576" s="44">
        <f t="shared" ca="1" si="188"/>
        <v>2.8910364854084887</v>
      </c>
      <c r="S576" s="44">
        <f t="shared" ca="1" si="189"/>
        <v>2.8910364854084882</v>
      </c>
      <c r="T576" s="4">
        <f t="shared" ca="1" si="190"/>
        <v>0</v>
      </c>
      <c r="U576" s="120">
        <f t="shared" ca="1" si="191"/>
        <v>1580.6349838037554</v>
      </c>
      <c r="V576" s="4">
        <f t="shared" ca="1" si="192"/>
        <v>0</v>
      </c>
      <c r="W576" s="13">
        <f t="shared" ca="1" si="193"/>
        <v>24166.350000000002</v>
      </c>
      <c r="X576" s="4">
        <f t="shared" ca="1" si="194"/>
        <v>0</v>
      </c>
      <c r="Y576" s="4">
        <f t="shared" si="195"/>
        <v>0</v>
      </c>
      <c r="Z576" s="13">
        <f t="shared" ca="1" si="196"/>
        <v>24166.350000000002</v>
      </c>
      <c r="AA576" s="4">
        <f t="shared" ca="1" si="197"/>
        <v>0</v>
      </c>
    </row>
    <row r="577" spans="1:27">
      <c r="A577">
        <v>0</v>
      </c>
      <c r="B577">
        <v>0</v>
      </c>
      <c r="C577">
        <f t="shared" ca="1" si="176"/>
        <v>5</v>
      </c>
      <c r="D577">
        <f t="shared" ca="1" si="177"/>
        <v>4</v>
      </c>
      <c r="E577">
        <f t="shared" ca="1" si="178"/>
        <v>0</v>
      </c>
      <c r="F577" s="110">
        <f t="shared" ca="1" si="179"/>
        <v>0.50829770249999995</v>
      </c>
      <c r="G577">
        <v>0</v>
      </c>
      <c r="H577">
        <v>0</v>
      </c>
      <c r="I577">
        <v>5</v>
      </c>
      <c r="J577" s="1">
        <f t="shared" ca="1" si="180"/>
        <v>0</v>
      </c>
      <c r="K577" s="1">
        <f t="shared" ca="1" si="181"/>
        <v>0</v>
      </c>
      <c r="L577" s="13">
        <f t="shared" ca="1" si="182"/>
        <v>100</v>
      </c>
      <c r="M577" s="7">
        <f t="shared" ca="1" si="183"/>
        <v>900</v>
      </c>
      <c r="N577" s="26">
        <f t="shared" ca="1" si="184"/>
        <v>4</v>
      </c>
      <c r="O577" s="44">
        <f t="shared" ca="1" si="185"/>
        <v>2.8910364854084887</v>
      </c>
      <c r="P577" s="44">
        <f t="shared" ca="1" si="186"/>
        <v>28.910364854084886</v>
      </c>
      <c r="Q577" s="44">
        <f t="shared" ca="1" si="187"/>
        <v>28.910364854084886</v>
      </c>
      <c r="R577" s="44">
        <f t="shared" ca="1" si="188"/>
        <v>2.8910364854084887</v>
      </c>
      <c r="S577" s="44">
        <f t="shared" ca="1" si="189"/>
        <v>2.8910364854084882</v>
      </c>
      <c r="T577" s="4">
        <f t="shared" ca="1" si="190"/>
        <v>0</v>
      </c>
      <c r="U577" s="120">
        <f t="shared" ca="1" si="191"/>
        <v>1560.6349838037554</v>
      </c>
      <c r="V577" s="4">
        <f t="shared" ca="1" si="192"/>
        <v>0</v>
      </c>
      <c r="W577" s="13">
        <f t="shared" ca="1" si="193"/>
        <v>20138.625</v>
      </c>
      <c r="X577" s="4">
        <f t="shared" ca="1" si="194"/>
        <v>0</v>
      </c>
      <c r="Y577" s="4">
        <f t="shared" si="195"/>
        <v>0</v>
      </c>
      <c r="Z577" s="13">
        <f t="shared" ca="1" si="196"/>
        <v>20138.625</v>
      </c>
      <c r="AA577" s="4">
        <f t="shared" ca="1" si="197"/>
        <v>0</v>
      </c>
    </row>
    <row r="578" spans="1:27">
      <c r="A578">
        <v>0</v>
      </c>
      <c r="B578">
        <v>0</v>
      </c>
      <c r="C578">
        <f t="shared" ca="1" si="176"/>
        <v>5</v>
      </c>
      <c r="D578">
        <f t="shared" ca="1" si="177"/>
        <v>4</v>
      </c>
      <c r="E578">
        <f t="shared" ca="1" si="178"/>
        <v>0</v>
      </c>
      <c r="F578" s="110">
        <f t="shared" ca="1" si="179"/>
        <v>0.50829770249999995</v>
      </c>
      <c r="G578">
        <v>0</v>
      </c>
      <c r="H578">
        <v>0</v>
      </c>
      <c r="I578">
        <v>4</v>
      </c>
      <c r="J578" s="1">
        <f t="shared" ca="1" si="180"/>
        <v>4.0725312499999999E-2</v>
      </c>
      <c r="K578" s="1">
        <f t="shared" ca="1" si="181"/>
        <v>2.0700582777344528E-2</v>
      </c>
      <c r="L578" s="13">
        <f t="shared" ca="1" si="182"/>
        <v>80</v>
      </c>
      <c r="M578" s="7">
        <f t="shared" ca="1" si="183"/>
        <v>920</v>
      </c>
      <c r="N578" s="26">
        <f t="shared" ca="1" si="184"/>
        <v>4</v>
      </c>
      <c r="O578" s="44">
        <f t="shared" ca="1" si="185"/>
        <v>2.8910364854084887</v>
      </c>
      <c r="P578" s="44">
        <f t="shared" ca="1" si="186"/>
        <v>28.910364854084886</v>
      </c>
      <c r="Q578" s="44">
        <f t="shared" ca="1" si="187"/>
        <v>28.910364854084886</v>
      </c>
      <c r="R578" s="44">
        <f t="shared" ca="1" si="188"/>
        <v>2.8910364854084887</v>
      </c>
      <c r="S578" s="44">
        <f t="shared" ca="1" si="189"/>
        <v>2.8910364854084882</v>
      </c>
      <c r="T578" s="4">
        <f t="shared" ca="1" si="190"/>
        <v>5.9846140078521605E-2</v>
      </c>
      <c r="U578" s="120">
        <f t="shared" ca="1" si="191"/>
        <v>1540.6349838037554</v>
      </c>
      <c r="V578" s="4">
        <f t="shared" ca="1" si="192"/>
        <v>31.892042011902486</v>
      </c>
      <c r="W578" s="13">
        <f t="shared" ca="1" si="193"/>
        <v>16110.900000000001</v>
      </c>
      <c r="X578" s="4">
        <f t="shared" ca="1" si="194"/>
        <v>333.50501906751998</v>
      </c>
      <c r="Y578" s="4">
        <f t="shared" si="195"/>
        <v>0</v>
      </c>
      <c r="Z578" s="13">
        <f t="shared" ca="1" si="196"/>
        <v>16110.900000000001</v>
      </c>
      <c r="AA578" s="4">
        <f t="shared" ca="1" si="197"/>
        <v>333.50501906751998</v>
      </c>
    </row>
    <row r="579" spans="1:27">
      <c r="A579">
        <v>0</v>
      </c>
      <c r="B579">
        <v>0</v>
      </c>
      <c r="C579">
        <f t="shared" ca="1" si="176"/>
        <v>5</v>
      </c>
      <c r="D579">
        <f t="shared" ca="1" si="177"/>
        <v>4</v>
      </c>
      <c r="E579">
        <f t="shared" ca="1" si="178"/>
        <v>0</v>
      </c>
      <c r="F579" s="110">
        <f t="shared" ca="1" si="179"/>
        <v>0.50829770249999995</v>
      </c>
      <c r="G579">
        <v>0</v>
      </c>
      <c r="H579">
        <v>0</v>
      </c>
      <c r="I579">
        <v>3</v>
      </c>
      <c r="J579" s="1">
        <f t="shared" ca="1" si="180"/>
        <v>8.5737500000000067E-3</v>
      </c>
      <c r="K579" s="1">
        <f t="shared" ca="1" si="181"/>
        <v>4.3580174268093783E-3</v>
      </c>
      <c r="L579" s="13">
        <f t="shared" ca="1" si="182"/>
        <v>60</v>
      </c>
      <c r="M579" s="7">
        <f t="shared" ca="1" si="183"/>
        <v>940</v>
      </c>
      <c r="N579" s="26">
        <f t="shared" ca="1" si="184"/>
        <v>4</v>
      </c>
      <c r="O579" s="44">
        <f t="shared" ca="1" si="185"/>
        <v>2.8910364854084887</v>
      </c>
      <c r="P579" s="44">
        <f t="shared" ca="1" si="186"/>
        <v>28.910364854084886</v>
      </c>
      <c r="Q579" s="44">
        <f t="shared" ca="1" si="187"/>
        <v>28.910364854084886</v>
      </c>
      <c r="R579" s="44">
        <f t="shared" ca="1" si="188"/>
        <v>2.8910364854084887</v>
      </c>
      <c r="S579" s="44">
        <f t="shared" ca="1" si="189"/>
        <v>2.8910364854084882</v>
      </c>
      <c r="T579" s="4">
        <f t="shared" ca="1" si="190"/>
        <v>1.2599187384951929E-2</v>
      </c>
      <c r="U579" s="120">
        <f t="shared" ca="1" si="191"/>
        <v>1520.6349838037554</v>
      </c>
      <c r="V579" s="4">
        <f t="shared" ca="1" si="192"/>
        <v>6.6269537592327623</v>
      </c>
      <c r="W579" s="13">
        <f t="shared" ca="1" si="193"/>
        <v>12083.175000000001</v>
      </c>
      <c r="X579" s="4">
        <f t="shared" ca="1" si="194"/>
        <v>52.658687221187414</v>
      </c>
      <c r="Y579" s="4">
        <f t="shared" si="195"/>
        <v>0</v>
      </c>
      <c r="Z579" s="13">
        <f t="shared" ca="1" si="196"/>
        <v>12083.175000000001</v>
      </c>
      <c r="AA579" s="4">
        <f t="shared" ca="1" si="197"/>
        <v>52.658687221187414</v>
      </c>
    </row>
    <row r="580" spans="1:27">
      <c r="A580">
        <v>0</v>
      </c>
      <c r="B580">
        <v>0</v>
      </c>
      <c r="C580">
        <f t="shared" ca="1" si="176"/>
        <v>5</v>
      </c>
      <c r="D580">
        <f t="shared" ca="1" si="177"/>
        <v>4</v>
      </c>
      <c r="E580">
        <f t="shared" ca="1" si="178"/>
        <v>0</v>
      </c>
      <c r="F580" s="110">
        <f t="shared" ca="1" si="179"/>
        <v>0.50829770249999995</v>
      </c>
      <c r="G580">
        <v>0</v>
      </c>
      <c r="H580">
        <v>0</v>
      </c>
      <c r="I580">
        <v>2</v>
      </c>
      <c r="J580" s="1">
        <f t="shared" ca="1" si="180"/>
        <v>6.7687500000000126E-4</v>
      </c>
      <c r="K580" s="1">
        <f t="shared" ca="1" si="181"/>
        <v>3.4405400737968811E-4</v>
      </c>
      <c r="L580" s="13">
        <f t="shared" ca="1" si="182"/>
        <v>40</v>
      </c>
      <c r="M580" s="7">
        <f t="shared" ca="1" si="183"/>
        <v>960</v>
      </c>
      <c r="N580" s="26">
        <f t="shared" ca="1" si="184"/>
        <v>4</v>
      </c>
      <c r="O580" s="44">
        <f t="shared" ca="1" si="185"/>
        <v>2.8910364854084887</v>
      </c>
      <c r="P580" s="44">
        <f t="shared" ca="1" si="186"/>
        <v>28.910364854084886</v>
      </c>
      <c r="Q580" s="44">
        <f t="shared" ca="1" si="187"/>
        <v>28.910364854084886</v>
      </c>
      <c r="R580" s="44">
        <f t="shared" ca="1" si="188"/>
        <v>2.8910364854084887</v>
      </c>
      <c r="S580" s="44">
        <f t="shared" ca="1" si="189"/>
        <v>2.8910364854084882</v>
      </c>
      <c r="T580" s="4">
        <f t="shared" ca="1" si="190"/>
        <v>9.9467268828567958E-4</v>
      </c>
      <c r="U580" s="120">
        <f t="shared" ca="1" si="191"/>
        <v>1500.6349838037554</v>
      </c>
      <c r="V580" s="4">
        <f t="shared" ca="1" si="192"/>
        <v>0.51629947979183544</v>
      </c>
      <c r="W580" s="13">
        <f t="shared" ca="1" si="193"/>
        <v>8055.4500000000007</v>
      </c>
      <c r="X580" s="4">
        <f t="shared" ca="1" si="194"/>
        <v>2.7715098537467089</v>
      </c>
      <c r="Y580" s="4">
        <f t="shared" si="195"/>
        <v>0</v>
      </c>
      <c r="Z580" s="13">
        <f t="shared" ca="1" si="196"/>
        <v>8055.4500000000007</v>
      </c>
      <c r="AA580" s="4">
        <f t="shared" ca="1" si="197"/>
        <v>2.7715098537467089</v>
      </c>
    </row>
    <row r="581" spans="1:27">
      <c r="A581">
        <v>0</v>
      </c>
      <c r="B581">
        <v>0</v>
      </c>
      <c r="C581">
        <f t="shared" ca="1" si="176"/>
        <v>5</v>
      </c>
      <c r="D581">
        <f t="shared" ca="1" si="177"/>
        <v>4</v>
      </c>
      <c r="E581">
        <f t="shared" ca="1" si="178"/>
        <v>0</v>
      </c>
      <c r="F581" s="110">
        <f t="shared" ca="1" si="179"/>
        <v>0.50829770249999995</v>
      </c>
      <c r="G581">
        <v>0</v>
      </c>
      <c r="H581">
        <v>0</v>
      </c>
      <c r="I581">
        <v>1</v>
      </c>
      <c r="J581" s="1">
        <f t="shared" ca="1" si="180"/>
        <v>2.3750000000000062E-5</v>
      </c>
      <c r="K581" s="1">
        <f t="shared" ca="1" si="181"/>
        <v>1.207207043437503E-5</v>
      </c>
      <c r="L581" s="13">
        <f t="shared" ca="1" si="182"/>
        <v>20</v>
      </c>
      <c r="M581" s="7">
        <f t="shared" ca="1" si="183"/>
        <v>980</v>
      </c>
      <c r="N581" s="26">
        <f t="shared" ca="1" si="184"/>
        <v>4</v>
      </c>
      <c r="O581" s="44">
        <f t="shared" ca="1" si="185"/>
        <v>2.8910364854084887</v>
      </c>
      <c r="P581" s="44">
        <f t="shared" ca="1" si="186"/>
        <v>28.910364854084886</v>
      </c>
      <c r="Q581" s="44">
        <f t="shared" ca="1" si="187"/>
        <v>28.910364854084886</v>
      </c>
      <c r="R581" s="44">
        <f t="shared" ca="1" si="188"/>
        <v>2.8910364854084887</v>
      </c>
      <c r="S581" s="44">
        <f t="shared" ca="1" si="189"/>
        <v>2.8910364854084882</v>
      </c>
      <c r="T581" s="4">
        <f t="shared" ca="1" si="190"/>
        <v>3.4900796080199308E-5</v>
      </c>
      <c r="U581" s="120">
        <f t="shared" ca="1" si="191"/>
        <v>1480.6349838037554</v>
      </c>
      <c r="V581" s="4">
        <f t="shared" ca="1" si="192"/>
        <v>1.7874329812078666E-2</v>
      </c>
      <c r="W581" s="13">
        <f t="shared" ca="1" si="193"/>
        <v>4027.7250000000004</v>
      </c>
      <c r="X581" s="4">
        <f t="shared" ca="1" si="194"/>
        <v>4.8622979890293169E-2</v>
      </c>
      <c r="Y581" s="4">
        <f t="shared" si="195"/>
        <v>0</v>
      </c>
      <c r="Z581" s="13">
        <f t="shared" ca="1" si="196"/>
        <v>4027.7250000000004</v>
      </c>
      <c r="AA581" s="4">
        <f t="shared" ca="1" si="197"/>
        <v>4.8622979890293169E-2</v>
      </c>
    </row>
    <row r="582" spans="1:27">
      <c r="A582">
        <v>0</v>
      </c>
      <c r="B582">
        <v>0</v>
      </c>
      <c r="C582">
        <f t="shared" ca="1" si="176"/>
        <v>5</v>
      </c>
      <c r="D582">
        <f t="shared" ca="1" si="177"/>
        <v>4</v>
      </c>
      <c r="E582">
        <f t="shared" ca="1" si="178"/>
        <v>0</v>
      </c>
      <c r="F582" s="110">
        <f t="shared" ca="1" si="179"/>
        <v>0.50829770249999995</v>
      </c>
      <c r="G582">
        <v>0</v>
      </c>
      <c r="H582">
        <v>0</v>
      </c>
      <c r="I582">
        <v>0</v>
      </c>
      <c r="J582" s="1">
        <f t="shared" ca="1" si="180"/>
        <v>3.1250000000000114E-7</v>
      </c>
      <c r="K582" s="1">
        <f t="shared" ca="1" si="181"/>
        <v>1.5884303203125056E-7</v>
      </c>
      <c r="L582" s="13">
        <f t="shared" ca="1" si="182"/>
        <v>0</v>
      </c>
      <c r="M582" s="7">
        <f t="shared" ca="1" si="183"/>
        <v>1000</v>
      </c>
      <c r="N582" s="26">
        <f t="shared" ca="1" si="184"/>
        <v>4</v>
      </c>
      <c r="O582" s="44">
        <f t="shared" ca="1" si="185"/>
        <v>2.8910364854084887</v>
      </c>
      <c r="P582" s="44">
        <f t="shared" ca="1" si="186"/>
        <v>28.910364854084886</v>
      </c>
      <c r="Q582" s="44">
        <f t="shared" ca="1" si="187"/>
        <v>28.910364854084886</v>
      </c>
      <c r="R582" s="44">
        <f t="shared" ca="1" si="188"/>
        <v>2.8910364854084887</v>
      </c>
      <c r="S582" s="44">
        <f t="shared" ca="1" si="189"/>
        <v>2.8910364854084882</v>
      </c>
      <c r="T582" s="4">
        <f t="shared" ca="1" si="190"/>
        <v>4.5922100105525454E-7</v>
      </c>
      <c r="U582" s="120">
        <f t="shared" ca="1" si="191"/>
        <v>1460.6349838037554</v>
      </c>
      <c r="V582" s="4">
        <f t="shared" ca="1" si="192"/>
        <v>2.3201168951830507E-4</v>
      </c>
      <c r="W582" s="13">
        <f t="shared" ca="1" si="193"/>
        <v>0</v>
      </c>
      <c r="X582" s="4">
        <f t="shared" ca="1" si="194"/>
        <v>0</v>
      </c>
      <c r="Y582" s="4">
        <f t="shared" si="195"/>
        <v>0</v>
      </c>
      <c r="Z582" s="13">
        <f t="shared" ca="1" si="196"/>
        <v>0</v>
      </c>
      <c r="AA582" s="4">
        <f t="shared" ca="1" si="197"/>
        <v>0</v>
      </c>
    </row>
    <row r="583" spans="1:27">
      <c r="A583">
        <v>0</v>
      </c>
      <c r="B583">
        <v>1</v>
      </c>
      <c r="C583">
        <f t="shared" ca="1" si="176"/>
        <v>6</v>
      </c>
      <c r="D583">
        <f t="shared" ca="1" si="177"/>
        <v>5</v>
      </c>
      <c r="E583">
        <f t="shared" ca="1" si="178"/>
        <v>0</v>
      </c>
      <c r="F583" s="110">
        <f t="shared" ca="1" si="179"/>
        <v>0.16943256749999999</v>
      </c>
      <c r="G583">
        <v>1</v>
      </c>
      <c r="H583">
        <v>1</v>
      </c>
      <c r="I583">
        <v>7</v>
      </c>
      <c r="J583" s="1">
        <f t="shared" ca="1" si="180"/>
        <v>0</v>
      </c>
      <c r="K583" s="1">
        <f t="shared" ca="1" si="181"/>
        <v>0</v>
      </c>
      <c r="L583" s="13">
        <f t="shared" ca="1" si="182"/>
        <v>648</v>
      </c>
      <c r="M583" s="7">
        <f t="shared" ca="1" si="183"/>
        <v>352</v>
      </c>
      <c r="N583" s="26">
        <f t="shared" ca="1" si="184"/>
        <v>2</v>
      </c>
      <c r="O583" s="44">
        <f t="shared" ca="1" si="185"/>
        <v>1.5942243152407929</v>
      </c>
      <c r="P583" s="44">
        <f t="shared" ca="1" si="186"/>
        <v>15.942243152407926</v>
      </c>
      <c r="Q583" s="44">
        <f t="shared" ca="1" si="187"/>
        <v>15.942243152407926</v>
      </c>
      <c r="R583" s="44">
        <f t="shared" ca="1" si="188"/>
        <v>1.5942243152407927</v>
      </c>
      <c r="S583" s="44">
        <f t="shared" ca="1" si="189"/>
        <v>1.5942243152407927</v>
      </c>
      <c r="T583" s="4">
        <f t="shared" ca="1" si="190"/>
        <v>0</v>
      </c>
      <c r="U583" s="120">
        <f t="shared" ca="1" si="191"/>
        <v>1550.3348669012169</v>
      </c>
      <c r="V583" s="4">
        <f t="shared" ca="1" si="192"/>
        <v>0</v>
      </c>
      <c r="W583" s="13">
        <f t="shared" ca="1" si="193"/>
        <v>32946.790500000003</v>
      </c>
      <c r="X583" s="4">
        <f t="shared" ca="1" si="194"/>
        <v>0</v>
      </c>
      <c r="Y583" s="4">
        <f t="shared" si="195"/>
        <v>0</v>
      </c>
      <c r="Z583" s="13">
        <f t="shared" ca="1" si="196"/>
        <v>32946.790500000003</v>
      </c>
      <c r="AA583" s="4">
        <f t="shared" ca="1" si="197"/>
        <v>0</v>
      </c>
    </row>
    <row r="584" spans="1:27">
      <c r="A584">
        <v>0</v>
      </c>
      <c r="B584">
        <v>1</v>
      </c>
      <c r="C584">
        <f t="shared" ca="1" si="176"/>
        <v>6</v>
      </c>
      <c r="D584">
        <f t="shared" ca="1" si="177"/>
        <v>5</v>
      </c>
      <c r="E584">
        <f t="shared" ca="1" si="178"/>
        <v>0</v>
      </c>
      <c r="F584" s="110">
        <f t="shared" ca="1" si="179"/>
        <v>0.16943256749999999</v>
      </c>
      <c r="G584">
        <v>1</v>
      </c>
      <c r="H584">
        <v>1</v>
      </c>
      <c r="I584">
        <v>6</v>
      </c>
      <c r="J584" s="1">
        <f t="shared" ca="1" si="180"/>
        <v>0</v>
      </c>
      <c r="K584" s="1">
        <f t="shared" ca="1" si="181"/>
        <v>0</v>
      </c>
      <c r="L584" s="13">
        <f t="shared" ca="1" si="182"/>
        <v>628</v>
      </c>
      <c r="M584" s="7">
        <f t="shared" ca="1" si="183"/>
        <v>372</v>
      </c>
      <c r="N584" s="26">
        <f t="shared" ca="1" si="184"/>
        <v>2</v>
      </c>
      <c r="O584" s="44">
        <f t="shared" ca="1" si="185"/>
        <v>1.5942243152407929</v>
      </c>
      <c r="P584" s="44">
        <f t="shared" ca="1" si="186"/>
        <v>15.942243152407926</v>
      </c>
      <c r="Q584" s="44">
        <f t="shared" ca="1" si="187"/>
        <v>15.942243152407926</v>
      </c>
      <c r="R584" s="44">
        <f t="shared" ca="1" si="188"/>
        <v>1.5942243152407927</v>
      </c>
      <c r="S584" s="44">
        <f t="shared" ca="1" si="189"/>
        <v>1.5942243152407927</v>
      </c>
      <c r="T584" s="4">
        <f t="shared" ca="1" si="190"/>
        <v>0</v>
      </c>
      <c r="U584" s="120">
        <f t="shared" ca="1" si="191"/>
        <v>1530.3348669012169</v>
      </c>
      <c r="V584" s="4">
        <f t="shared" ca="1" si="192"/>
        <v>0</v>
      </c>
      <c r="W584" s="13">
        <f t="shared" ca="1" si="193"/>
        <v>28919.065500000004</v>
      </c>
      <c r="X584" s="4">
        <f t="shared" ca="1" si="194"/>
        <v>0</v>
      </c>
      <c r="Y584" s="4">
        <f t="shared" si="195"/>
        <v>0</v>
      </c>
      <c r="Z584" s="13">
        <f t="shared" ca="1" si="196"/>
        <v>28919.065500000004</v>
      </c>
      <c r="AA584" s="4">
        <f t="shared" ca="1" si="197"/>
        <v>0</v>
      </c>
    </row>
    <row r="585" spans="1:27">
      <c r="A585">
        <v>0</v>
      </c>
      <c r="B585">
        <v>1</v>
      </c>
      <c r="C585">
        <f t="shared" ca="1" si="176"/>
        <v>6</v>
      </c>
      <c r="D585">
        <f t="shared" ca="1" si="177"/>
        <v>5</v>
      </c>
      <c r="E585">
        <f t="shared" ca="1" si="178"/>
        <v>0</v>
      </c>
      <c r="F585" s="110">
        <f t="shared" ca="1" si="179"/>
        <v>0.16943256749999999</v>
      </c>
      <c r="G585">
        <v>1</v>
      </c>
      <c r="H585">
        <v>1</v>
      </c>
      <c r="I585">
        <v>5</v>
      </c>
      <c r="J585" s="1">
        <f t="shared" ca="1" si="180"/>
        <v>0</v>
      </c>
      <c r="K585" s="1">
        <f t="shared" ca="1" si="181"/>
        <v>0</v>
      </c>
      <c r="L585" s="13">
        <f t="shared" ca="1" si="182"/>
        <v>608</v>
      </c>
      <c r="M585" s="7">
        <f t="shared" ca="1" si="183"/>
        <v>392</v>
      </c>
      <c r="N585" s="26">
        <f t="shared" ca="1" si="184"/>
        <v>2</v>
      </c>
      <c r="O585" s="44">
        <f t="shared" ca="1" si="185"/>
        <v>1.5942243152407929</v>
      </c>
      <c r="P585" s="44">
        <f t="shared" ca="1" si="186"/>
        <v>15.942243152407926</v>
      </c>
      <c r="Q585" s="44">
        <f t="shared" ca="1" si="187"/>
        <v>15.942243152407926</v>
      </c>
      <c r="R585" s="44">
        <f t="shared" ca="1" si="188"/>
        <v>1.5942243152407927</v>
      </c>
      <c r="S585" s="44">
        <f t="shared" ca="1" si="189"/>
        <v>1.5942243152407927</v>
      </c>
      <c r="T585" s="4">
        <f t="shared" ca="1" si="190"/>
        <v>0</v>
      </c>
      <c r="U585" s="120">
        <f t="shared" ca="1" si="191"/>
        <v>1510.3348669012169</v>
      </c>
      <c r="V585" s="4">
        <f t="shared" ca="1" si="192"/>
        <v>0</v>
      </c>
      <c r="W585" s="13">
        <f t="shared" ca="1" si="193"/>
        <v>24891.340500000002</v>
      </c>
      <c r="X585" s="4">
        <f t="shared" ca="1" si="194"/>
        <v>0</v>
      </c>
      <c r="Y585" s="4">
        <f t="shared" si="195"/>
        <v>0</v>
      </c>
      <c r="Z585" s="13">
        <f t="shared" ca="1" si="196"/>
        <v>24891.340500000002</v>
      </c>
      <c r="AA585" s="4">
        <f t="shared" ca="1" si="197"/>
        <v>0</v>
      </c>
    </row>
    <row r="586" spans="1:27">
      <c r="A586">
        <v>0</v>
      </c>
      <c r="B586">
        <v>1</v>
      </c>
      <c r="C586">
        <f t="shared" ca="1" si="176"/>
        <v>6</v>
      </c>
      <c r="D586">
        <f t="shared" ca="1" si="177"/>
        <v>5</v>
      </c>
      <c r="E586">
        <f t="shared" ca="1" si="178"/>
        <v>0</v>
      </c>
      <c r="F586" s="110">
        <f t="shared" ca="1" si="179"/>
        <v>0.16943256749999999</v>
      </c>
      <c r="G586">
        <v>1</v>
      </c>
      <c r="H586">
        <v>1</v>
      </c>
      <c r="I586">
        <v>4</v>
      </c>
      <c r="J586" s="1">
        <f t="shared" ca="1" si="180"/>
        <v>0</v>
      </c>
      <c r="K586" s="1">
        <f t="shared" ca="1" si="181"/>
        <v>0</v>
      </c>
      <c r="L586" s="13">
        <f t="shared" ca="1" si="182"/>
        <v>588</v>
      </c>
      <c r="M586" s="7">
        <f t="shared" ca="1" si="183"/>
        <v>412</v>
      </c>
      <c r="N586" s="26">
        <f t="shared" ca="1" si="184"/>
        <v>2</v>
      </c>
      <c r="O586" s="44">
        <f t="shared" ca="1" si="185"/>
        <v>1.5942243152407929</v>
      </c>
      <c r="P586" s="44">
        <f t="shared" ca="1" si="186"/>
        <v>15.942243152407926</v>
      </c>
      <c r="Q586" s="44">
        <f t="shared" ca="1" si="187"/>
        <v>15.942243152407926</v>
      </c>
      <c r="R586" s="44">
        <f t="shared" ca="1" si="188"/>
        <v>1.5942243152407927</v>
      </c>
      <c r="S586" s="44">
        <f t="shared" ca="1" si="189"/>
        <v>1.5942243152407927</v>
      </c>
      <c r="T586" s="4">
        <f t="shared" ca="1" si="190"/>
        <v>0</v>
      </c>
      <c r="U586" s="120">
        <f t="shared" ca="1" si="191"/>
        <v>1490.3348669012169</v>
      </c>
      <c r="V586" s="4">
        <f t="shared" ca="1" si="192"/>
        <v>0</v>
      </c>
      <c r="W586" s="13">
        <f t="shared" ca="1" si="193"/>
        <v>20863.615500000004</v>
      </c>
      <c r="X586" s="4">
        <f t="shared" ca="1" si="194"/>
        <v>0</v>
      </c>
      <c r="Y586" s="4">
        <f t="shared" si="195"/>
        <v>0</v>
      </c>
      <c r="Z586" s="13">
        <f t="shared" ca="1" si="196"/>
        <v>20863.615500000004</v>
      </c>
      <c r="AA586" s="4">
        <f t="shared" ca="1" si="197"/>
        <v>0</v>
      </c>
    </row>
    <row r="587" spans="1:27">
      <c r="A587">
        <v>0</v>
      </c>
      <c r="B587">
        <v>1</v>
      </c>
      <c r="C587">
        <f t="shared" ca="1" si="176"/>
        <v>6</v>
      </c>
      <c r="D587">
        <f t="shared" ca="1" si="177"/>
        <v>5</v>
      </c>
      <c r="E587">
        <f t="shared" ca="1" si="178"/>
        <v>0</v>
      </c>
      <c r="F587" s="110">
        <f t="shared" ca="1" si="179"/>
        <v>0.16943256749999999</v>
      </c>
      <c r="G587">
        <v>1</v>
      </c>
      <c r="H587">
        <v>1</v>
      </c>
      <c r="I587">
        <v>3</v>
      </c>
      <c r="J587" s="1">
        <f t="shared" ca="1" si="180"/>
        <v>0</v>
      </c>
      <c r="K587" s="1">
        <f t="shared" ca="1" si="181"/>
        <v>0</v>
      </c>
      <c r="L587" s="13">
        <f t="shared" ca="1" si="182"/>
        <v>568</v>
      </c>
      <c r="M587" s="7">
        <f t="shared" ca="1" si="183"/>
        <v>432</v>
      </c>
      <c r="N587" s="26">
        <f t="shared" ca="1" si="184"/>
        <v>2</v>
      </c>
      <c r="O587" s="44">
        <f t="shared" ca="1" si="185"/>
        <v>1.5942243152407929</v>
      </c>
      <c r="P587" s="44">
        <f t="shared" ca="1" si="186"/>
        <v>15.942243152407926</v>
      </c>
      <c r="Q587" s="44">
        <f t="shared" ca="1" si="187"/>
        <v>15.942243152407926</v>
      </c>
      <c r="R587" s="44">
        <f t="shared" ca="1" si="188"/>
        <v>1.5942243152407927</v>
      </c>
      <c r="S587" s="44">
        <f t="shared" ca="1" si="189"/>
        <v>1.5942243152407927</v>
      </c>
      <c r="T587" s="4">
        <f t="shared" ca="1" si="190"/>
        <v>0</v>
      </c>
      <c r="U587" s="120">
        <f t="shared" ca="1" si="191"/>
        <v>1470.3348669012169</v>
      </c>
      <c r="V587" s="4">
        <f t="shared" ca="1" si="192"/>
        <v>0</v>
      </c>
      <c r="W587" s="13">
        <f t="shared" ca="1" si="193"/>
        <v>16835.890500000001</v>
      </c>
      <c r="X587" s="4">
        <f t="shared" ca="1" si="194"/>
        <v>0</v>
      </c>
      <c r="Y587" s="4">
        <f t="shared" si="195"/>
        <v>0</v>
      </c>
      <c r="Z587" s="13">
        <f t="shared" ca="1" si="196"/>
        <v>16835.890500000001</v>
      </c>
      <c r="AA587" s="4">
        <f t="shared" ca="1" si="197"/>
        <v>0</v>
      </c>
    </row>
    <row r="588" spans="1:27">
      <c r="A588">
        <v>0</v>
      </c>
      <c r="B588">
        <v>1</v>
      </c>
      <c r="C588">
        <f t="shared" ca="1" si="176"/>
        <v>6</v>
      </c>
      <c r="D588">
        <f t="shared" ca="1" si="177"/>
        <v>5</v>
      </c>
      <c r="E588">
        <f t="shared" ca="1" si="178"/>
        <v>0</v>
      </c>
      <c r="F588" s="110">
        <f t="shared" ca="1" si="179"/>
        <v>0.16943256749999999</v>
      </c>
      <c r="G588">
        <v>1</v>
      </c>
      <c r="H588">
        <v>1</v>
      </c>
      <c r="I588">
        <v>2</v>
      </c>
      <c r="J588" s="1">
        <f t="shared" ca="1" si="180"/>
        <v>0</v>
      </c>
      <c r="K588" s="1">
        <f t="shared" ca="1" si="181"/>
        <v>0</v>
      </c>
      <c r="L588" s="13">
        <f t="shared" ca="1" si="182"/>
        <v>548</v>
      </c>
      <c r="M588" s="7">
        <f t="shared" ca="1" si="183"/>
        <v>452</v>
      </c>
      <c r="N588" s="26">
        <f t="shared" ca="1" si="184"/>
        <v>2</v>
      </c>
      <c r="O588" s="44">
        <f t="shared" ca="1" si="185"/>
        <v>1.5942243152407929</v>
      </c>
      <c r="P588" s="44">
        <f t="shared" ca="1" si="186"/>
        <v>15.942243152407926</v>
      </c>
      <c r="Q588" s="44">
        <f t="shared" ca="1" si="187"/>
        <v>15.942243152407926</v>
      </c>
      <c r="R588" s="44">
        <f t="shared" ca="1" si="188"/>
        <v>1.5942243152407927</v>
      </c>
      <c r="S588" s="44">
        <f t="shared" ca="1" si="189"/>
        <v>1.5942243152407927</v>
      </c>
      <c r="T588" s="4">
        <f t="shared" ca="1" si="190"/>
        <v>0</v>
      </c>
      <c r="U588" s="120">
        <f t="shared" ca="1" si="191"/>
        <v>1450.3348669012169</v>
      </c>
      <c r="V588" s="4">
        <f t="shared" ca="1" si="192"/>
        <v>0</v>
      </c>
      <c r="W588" s="13">
        <f t="shared" ca="1" si="193"/>
        <v>12808.165500000003</v>
      </c>
      <c r="X588" s="4">
        <f t="shared" ca="1" si="194"/>
        <v>0</v>
      </c>
      <c r="Y588" s="4">
        <f t="shared" si="195"/>
        <v>0</v>
      </c>
      <c r="Z588" s="13">
        <f t="shared" ca="1" si="196"/>
        <v>12808.165500000003</v>
      </c>
      <c r="AA588" s="4">
        <f t="shared" ca="1" si="197"/>
        <v>0</v>
      </c>
    </row>
    <row r="589" spans="1:27">
      <c r="A589">
        <v>0</v>
      </c>
      <c r="B589">
        <v>1</v>
      </c>
      <c r="C589">
        <f t="shared" ca="1" si="176"/>
        <v>6</v>
      </c>
      <c r="D589">
        <f t="shared" ca="1" si="177"/>
        <v>5</v>
      </c>
      <c r="E589">
        <f t="shared" ca="1" si="178"/>
        <v>0</v>
      </c>
      <c r="F589" s="110">
        <f t="shared" ca="1" si="179"/>
        <v>0.16943256749999999</v>
      </c>
      <c r="G589">
        <v>1</v>
      </c>
      <c r="H589">
        <v>1</v>
      </c>
      <c r="I589">
        <v>1</v>
      </c>
      <c r="J589" s="1">
        <f t="shared" ca="1" si="180"/>
        <v>0</v>
      </c>
      <c r="K589" s="1">
        <f t="shared" ca="1" si="181"/>
        <v>0</v>
      </c>
      <c r="L589" s="13">
        <f t="shared" ca="1" si="182"/>
        <v>528</v>
      </c>
      <c r="M589" s="7">
        <f t="shared" ca="1" si="183"/>
        <v>472</v>
      </c>
      <c r="N589" s="26">
        <f t="shared" ca="1" si="184"/>
        <v>2</v>
      </c>
      <c r="O589" s="44">
        <f t="shared" ca="1" si="185"/>
        <v>1.5942243152407929</v>
      </c>
      <c r="P589" s="44">
        <f t="shared" ca="1" si="186"/>
        <v>15.942243152407926</v>
      </c>
      <c r="Q589" s="44">
        <f t="shared" ca="1" si="187"/>
        <v>15.942243152407926</v>
      </c>
      <c r="R589" s="44">
        <f t="shared" ca="1" si="188"/>
        <v>1.5942243152407927</v>
      </c>
      <c r="S589" s="44">
        <f t="shared" ca="1" si="189"/>
        <v>1.5942243152407927</v>
      </c>
      <c r="T589" s="4">
        <f t="shared" ca="1" si="190"/>
        <v>0</v>
      </c>
      <c r="U589" s="120">
        <f t="shared" ca="1" si="191"/>
        <v>1430.3348669012169</v>
      </c>
      <c r="V589" s="4">
        <f t="shared" ca="1" si="192"/>
        <v>0</v>
      </c>
      <c r="W589" s="13">
        <f t="shared" ca="1" si="193"/>
        <v>8780.4405000000006</v>
      </c>
      <c r="X589" s="4">
        <f t="shared" ca="1" si="194"/>
        <v>0</v>
      </c>
      <c r="Y589" s="4">
        <f t="shared" si="195"/>
        <v>0</v>
      </c>
      <c r="Z589" s="13">
        <f t="shared" ca="1" si="196"/>
        <v>8780.4405000000006</v>
      </c>
      <c r="AA589" s="4">
        <f t="shared" ca="1" si="197"/>
        <v>0</v>
      </c>
    </row>
    <row r="590" spans="1:27">
      <c r="A590">
        <v>0</v>
      </c>
      <c r="B590">
        <v>1</v>
      </c>
      <c r="C590">
        <f t="shared" ca="1" si="176"/>
        <v>6</v>
      </c>
      <c r="D590">
        <f t="shared" ca="1" si="177"/>
        <v>5</v>
      </c>
      <c r="E590">
        <f t="shared" ca="1" si="178"/>
        <v>0</v>
      </c>
      <c r="F590" s="110">
        <f t="shared" ca="1" si="179"/>
        <v>0.16943256749999999</v>
      </c>
      <c r="G590">
        <v>1</v>
      </c>
      <c r="H590">
        <v>1</v>
      </c>
      <c r="I590">
        <v>0</v>
      </c>
      <c r="J590" s="1">
        <f t="shared" ca="1" si="180"/>
        <v>0</v>
      </c>
      <c r="K590" s="1">
        <f t="shared" ca="1" si="181"/>
        <v>0</v>
      </c>
      <c r="L590" s="13">
        <f t="shared" ca="1" si="182"/>
        <v>508</v>
      </c>
      <c r="M590" s="7">
        <f t="shared" ca="1" si="183"/>
        <v>492</v>
      </c>
      <c r="N590" s="26">
        <f t="shared" ca="1" si="184"/>
        <v>2</v>
      </c>
      <c r="O590" s="44">
        <f t="shared" ca="1" si="185"/>
        <v>1.5942243152407929</v>
      </c>
      <c r="P590" s="44">
        <f t="shared" ca="1" si="186"/>
        <v>15.942243152407926</v>
      </c>
      <c r="Q590" s="44">
        <f t="shared" ca="1" si="187"/>
        <v>15.942243152407926</v>
      </c>
      <c r="R590" s="44">
        <f t="shared" ca="1" si="188"/>
        <v>1.5942243152407927</v>
      </c>
      <c r="S590" s="44">
        <f t="shared" ca="1" si="189"/>
        <v>1.5942243152407927</v>
      </c>
      <c r="T590" s="4">
        <f t="shared" ca="1" si="190"/>
        <v>0</v>
      </c>
      <c r="U590" s="120">
        <f t="shared" ca="1" si="191"/>
        <v>1410.3348669012169</v>
      </c>
      <c r="V590" s="4">
        <f t="shared" ca="1" si="192"/>
        <v>0</v>
      </c>
      <c r="W590" s="13">
        <f t="shared" ca="1" si="193"/>
        <v>4752.7155000000012</v>
      </c>
      <c r="X590" s="4">
        <f t="shared" ca="1" si="194"/>
        <v>0</v>
      </c>
      <c r="Y590" s="4">
        <f t="shared" si="195"/>
        <v>0</v>
      </c>
      <c r="Z590" s="13">
        <f t="shared" ca="1" si="196"/>
        <v>4752.7155000000012</v>
      </c>
      <c r="AA590" s="4">
        <f t="shared" ca="1" si="197"/>
        <v>0</v>
      </c>
    </row>
    <row r="591" spans="1:27">
      <c r="A591">
        <v>0</v>
      </c>
      <c r="B591">
        <v>1</v>
      </c>
      <c r="C591">
        <f t="shared" ca="1" si="176"/>
        <v>6</v>
      </c>
      <c r="D591">
        <f t="shared" ca="1" si="177"/>
        <v>5</v>
      </c>
      <c r="E591">
        <f t="shared" ca="1" si="178"/>
        <v>0</v>
      </c>
      <c r="F591" s="110">
        <f t="shared" ca="1" si="179"/>
        <v>0.16943256749999999</v>
      </c>
      <c r="G591">
        <v>1</v>
      </c>
      <c r="H591">
        <v>0</v>
      </c>
      <c r="I591">
        <v>7</v>
      </c>
      <c r="J591" s="1">
        <f t="shared" ca="1" si="180"/>
        <v>0</v>
      </c>
      <c r="K591" s="1">
        <f t="shared" ca="1" si="181"/>
        <v>0</v>
      </c>
      <c r="L591" s="13">
        <f t="shared" ca="1" si="182"/>
        <v>394</v>
      </c>
      <c r="M591" s="7">
        <f t="shared" ca="1" si="183"/>
        <v>606</v>
      </c>
      <c r="N591" s="26">
        <f t="shared" ca="1" si="184"/>
        <v>3</v>
      </c>
      <c r="O591" s="44">
        <f t="shared" ca="1" si="185"/>
        <v>2.2641455309069398</v>
      </c>
      <c r="P591" s="44">
        <f t="shared" ca="1" si="186"/>
        <v>22.641455309069404</v>
      </c>
      <c r="Q591" s="44">
        <f t="shared" ca="1" si="187"/>
        <v>22.641455309069404</v>
      </c>
      <c r="R591" s="44">
        <f t="shared" ca="1" si="188"/>
        <v>2.2641455309069403</v>
      </c>
      <c r="S591" s="44">
        <f t="shared" ca="1" si="189"/>
        <v>2.2641455309069398</v>
      </c>
      <c r="T591" s="4">
        <f t="shared" ca="1" si="190"/>
        <v>0</v>
      </c>
      <c r="U591" s="120">
        <f t="shared" ca="1" si="191"/>
        <v>1584.7475619899244</v>
      </c>
      <c r="V591" s="4">
        <f t="shared" ca="1" si="192"/>
        <v>0</v>
      </c>
      <c r="W591" s="13">
        <f t="shared" ca="1" si="193"/>
        <v>32946.790500000003</v>
      </c>
      <c r="X591" s="4">
        <f t="shared" ca="1" si="194"/>
        <v>0</v>
      </c>
      <c r="Y591" s="4">
        <f t="shared" si="195"/>
        <v>0</v>
      </c>
      <c r="Z591" s="13">
        <f t="shared" ca="1" si="196"/>
        <v>32946.790500000003</v>
      </c>
      <c r="AA591" s="4">
        <f t="shared" ca="1" si="197"/>
        <v>0</v>
      </c>
    </row>
    <row r="592" spans="1:27">
      <c r="A592">
        <v>0</v>
      </c>
      <c r="B592">
        <v>1</v>
      </c>
      <c r="C592">
        <f t="shared" ca="1" si="176"/>
        <v>6</v>
      </c>
      <c r="D592">
        <f t="shared" ca="1" si="177"/>
        <v>5</v>
      </c>
      <c r="E592">
        <f t="shared" ca="1" si="178"/>
        <v>0</v>
      </c>
      <c r="F592" s="110">
        <f t="shared" ca="1" si="179"/>
        <v>0.16943256749999999</v>
      </c>
      <c r="G592">
        <v>1</v>
      </c>
      <c r="H592">
        <v>0</v>
      </c>
      <c r="I592">
        <v>6</v>
      </c>
      <c r="J592" s="1">
        <f t="shared" ca="1" si="180"/>
        <v>0</v>
      </c>
      <c r="K592" s="1">
        <f t="shared" ca="1" si="181"/>
        <v>0</v>
      </c>
      <c r="L592" s="13">
        <f t="shared" ca="1" si="182"/>
        <v>374</v>
      </c>
      <c r="M592" s="7">
        <f t="shared" ca="1" si="183"/>
        <v>626</v>
      </c>
      <c r="N592" s="26">
        <f t="shared" ca="1" si="184"/>
        <v>3</v>
      </c>
      <c r="O592" s="44">
        <f t="shared" ca="1" si="185"/>
        <v>2.2641455309069398</v>
      </c>
      <c r="P592" s="44">
        <f t="shared" ca="1" si="186"/>
        <v>22.641455309069404</v>
      </c>
      <c r="Q592" s="44">
        <f t="shared" ca="1" si="187"/>
        <v>22.641455309069404</v>
      </c>
      <c r="R592" s="44">
        <f t="shared" ca="1" si="188"/>
        <v>2.2641455309069403</v>
      </c>
      <c r="S592" s="44">
        <f t="shared" ca="1" si="189"/>
        <v>2.2641455309069398</v>
      </c>
      <c r="T592" s="4">
        <f t="shared" ca="1" si="190"/>
        <v>0</v>
      </c>
      <c r="U592" s="120">
        <f t="shared" ca="1" si="191"/>
        <v>1564.7475619899244</v>
      </c>
      <c r="V592" s="4">
        <f t="shared" ca="1" si="192"/>
        <v>0</v>
      </c>
      <c r="W592" s="13">
        <f t="shared" ca="1" si="193"/>
        <v>28919.065500000004</v>
      </c>
      <c r="X592" s="4">
        <f t="shared" ca="1" si="194"/>
        <v>0</v>
      </c>
      <c r="Y592" s="4">
        <f t="shared" si="195"/>
        <v>0</v>
      </c>
      <c r="Z592" s="13">
        <f t="shared" ca="1" si="196"/>
        <v>28919.065500000004</v>
      </c>
      <c r="AA592" s="4">
        <f t="shared" ca="1" si="197"/>
        <v>0</v>
      </c>
    </row>
    <row r="593" spans="1:27">
      <c r="A593">
        <v>0</v>
      </c>
      <c r="B593">
        <v>1</v>
      </c>
      <c r="C593">
        <f t="shared" ca="1" si="176"/>
        <v>6</v>
      </c>
      <c r="D593">
        <f t="shared" ca="1" si="177"/>
        <v>5</v>
      </c>
      <c r="E593">
        <f t="shared" ca="1" si="178"/>
        <v>0</v>
      </c>
      <c r="F593" s="110">
        <f t="shared" ca="1" si="179"/>
        <v>0.16943256749999999</v>
      </c>
      <c r="G593">
        <v>1</v>
      </c>
      <c r="H593">
        <v>0</v>
      </c>
      <c r="I593">
        <v>5</v>
      </c>
      <c r="J593" s="1">
        <f t="shared" ca="1" si="180"/>
        <v>0.73509189062499991</v>
      </c>
      <c r="K593" s="1">
        <f t="shared" ca="1" si="181"/>
        <v>0.1245485063770229</v>
      </c>
      <c r="L593" s="13">
        <f t="shared" ca="1" si="182"/>
        <v>354</v>
      </c>
      <c r="M593" s="7">
        <f t="shared" ca="1" si="183"/>
        <v>646</v>
      </c>
      <c r="N593" s="26">
        <f t="shared" ca="1" si="184"/>
        <v>3</v>
      </c>
      <c r="O593" s="44">
        <f t="shared" ca="1" si="185"/>
        <v>2.2641455309069398</v>
      </c>
      <c r="P593" s="44">
        <f t="shared" ca="1" si="186"/>
        <v>22.641455309069404</v>
      </c>
      <c r="Q593" s="44">
        <f t="shared" ca="1" si="187"/>
        <v>22.641455309069404</v>
      </c>
      <c r="R593" s="44">
        <f t="shared" ca="1" si="188"/>
        <v>2.2641455309069403</v>
      </c>
      <c r="S593" s="44">
        <f t="shared" ca="1" si="189"/>
        <v>2.2641455309069398</v>
      </c>
      <c r="T593" s="4">
        <f t="shared" ca="1" si="190"/>
        <v>0.28199594409467088</v>
      </c>
      <c r="U593" s="120">
        <f t="shared" ca="1" si="191"/>
        <v>1544.7475619899244</v>
      </c>
      <c r="V593" s="4">
        <f t="shared" ca="1" si="192"/>
        <v>192.39600157539269</v>
      </c>
      <c r="W593" s="13">
        <f t="shared" ca="1" si="193"/>
        <v>24891.340500000002</v>
      </c>
      <c r="X593" s="4">
        <f t="shared" ca="1" si="194"/>
        <v>3100.1792809968988</v>
      </c>
      <c r="Y593" s="4">
        <f t="shared" si="195"/>
        <v>0</v>
      </c>
      <c r="Z593" s="13">
        <f t="shared" ca="1" si="196"/>
        <v>24891.340500000002</v>
      </c>
      <c r="AA593" s="4">
        <f t="shared" ca="1" si="197"/>
        <v>3100.1792809968988</v>
      </c>
    </row>
    <row r="594" spans="1:27">
      <c r="A594">
        <v>0</v>
      </c>
      <c r="B594">
        <v>1</v>
      </c>
      <c r="C594">
        <f t="shared" ca="1" si="176"/>
        <v>6</v>
      </c>
      <c r="D594">
        <f t="shared" ca="1" si="177"/>
        <v>5</v>
      </c>
      <c r="E594">
        <f t="shared" ca="1" si="178"/>
        <v>0</v>
      </c>
      <c r="F594" s="110">
        <f t="shared" ca="1" si="179"/>
        <v>0.16943256749999999</v>
      </c>
      <c r="G594">
        <v>1</v>
      </c>
      <c r="H594">
        <v>0</v>
      </c>
      <c r="I594">
        <v>4</v>
      </c>
      <c r="J594" s="1">
        <f t="shared" ca="1" si="180"/>
        <v>0.19344523437500014</v>
      </c>
      <c r="K594" s="1">
        <f t="shared" ca="1" si="181"/>
        <v>3.2775922730795527E-2</v>
      </c>
      <c r="L594" s="13">
        <f t="shared" ca="1" si="182"/>
        <v>334</v>
      </c>
      <c r="M594" s="7">
        <f t="shared" ca="1" si="183"/>
        <v>666</v>
      </c>
      <c r="N594" s="26">
        <f t="shared" ca="1" si="184"/>
        <v>3</v>
      </c>
      <c r="O594" s="44">
        <f t="shared" ca="1" si="185"/>
        <v>2.2641455309069398</v>
      </c>
      <c r="P594" s="44">
        <f t="shared" ca="1" si="186"/>
        <v>22.641455309069404</v>
      </c>
      <c r="Q594" s="44">
        <f t="shared" ca="1" si="187"/>
        <v>22.641455309069404</v>
      </c>
      <c r="R594" s="44">
        <f t="shared" ca="1" si="188"/>
        <v>2.2641455309069403</v>
      </c>
      <c r="S594" s="44">
        <f t="shared" ca="1" si="189"/>
        <v>2.2641455309069398</v>
      </c>
      <c r="T594" s="4">
        <f t="shared" ca="1" si="190"/>
        <v>7.4209458972281872E-2</v>
      </c>
      <c r="U594" s="120">
        <f t="shared" ca="1" si="191"/>
        <v>1524.7475619899244</v>
      </c>
      <c r="V594" s="4">
        <f t="shared" ca="1" si="192"/>
        <v>49.975008275750625</v>
      </c>
      <c r="W594" s="13">
        <f t="shared" ca="1" si="193"/>
        <v>20863.615500000004</v>
      </c>
      <c r="X594" s="4">
        <f t="shared" ca="1" si="194"/>
        <v>683.82424951302801</v>
      </c>
      <c r="Y594" s="4">
        <f t="shared" si="195"/>
        <v>0</v>
      </c>
      <c r="Z594" s="13">
        <f t="shared" ca="1" si="196"/>
        <v>20863.615500000004</v>
      </c>
      <c r="AA594" s="4">
        <f t="shared" ca="1" si="197"/>
        <v>683.82424951302801</v>
      </c>
    </row>
    <row r="595" spans="1:27">
      <c r="A595">
        <v>0</v>
      </c>
      <c r="B595">
        <v>1</v>
      </c>
      <c r="C595">
        <f t="shared" ca="1" si="176"/>
        <v>6</v>
      </c>
      <c r="D595">
        <f t="shared" ca="1" si="177"/>
        <v>5</v>
      </c>
      <c r="E595">
        <f t="shared" ca="1" si="178"/>
        <v>0</v>
      </c>
      <c r="F595" s="110">
        <f t="shared" ca="1" si="179"/>
        <v>0.16943256749999999</v>
      </c>
      <c r="G595">
        <v>1</v>
      </c>
      <c r="H595">
        <v>0</v>
      </c>
      <c r="I595">
        <v>3</v>
      </c>
      <c r="J595" s="1">
        <f t="shared" ca="1" si="180"/>
        <v>2.0362656250000031E-2</v>
      </c>
      <c r="K595" s="1">
        <f t="shared" ca="1" si="181"/>
        <v>3.4500971295574269E-3</v>
      </c>
      <c r="L595" s="13">
        <f t="shared" ca="1" si="182"/>
        <v>314</v>
      </c>
      <c r="M595" s="7">
        <f t="shared" ca="1" si="183"/>
        <v>686</v>
      </c>
      <c r="N595" s="26">
        <f t="shared" ca="1" si="184"/>
        <v>3</v>
      </c>
      <c r="O595" s="44">
        <f t="shared" ca="1" si="185"/>
        <v>2.2641455309069398</v>
      </c>
      <c r="P595" s="44">
        <f t="shared" ca="1" si="186"/>
        <v>22.641455309069404</v>
      </c>
      <c r="Q595" s="44">
        <f t="shared" ca="1" si="187"/>
        <v>22.641455309069404</v>
      </c>
      <c r="R595" s="44">
        <f t="shared" ca="1" si="188"/>
        <v>2.2641455309069403</v>
      </c>
      <c r="S595" s="44">
        <f t="shared" ca="1" si="189"/>
        <v>2.2641455309069398</v>
      </c>
      <c r="T595" s="4">
        <f t="shared" ca="1" si="190"/>
        <v>7.8115219970823092E-3</v>
      </c>
      <c r="U595" s="120">
        <f t="shared" ca="1" si="191"/>
        <v>1504.7475619899244</v>
      </c>
      <c r="V595" s="4">
        <f t="shared" ca="1" si="192"/>
        <v>5.1915252443299744</v>
      </c>
      <c r="W595" s="13">
        <f t="shared" ca="1" si="193"/>
        <v>16835.890500000001</v>
      </c>
      <c r="X595" s="4">
        <f t="shared" ca="1" si="194"/>
        <v>58.08545748759316</v>
      </c>
      <c r="Y595" s="4">
        <f t="shared" si="195"/>
        <v>0</v>
      </c>
      <c r="Z595" s="13">
        <f t="shared" ca="1" si="196"/>
        <v>16835.890500000001</v>
      </c>
      <c r="AA595" s="4">
        <f t="shared" ca="1" si="197"/>
        <v>58.08545748759316</v>
      </c>
    </row>
    <row r="596" spans="1:27">
      <c r="A596">
        <v>0</v>
      </c>
      <c r="B596">
        <v>1</v>
      </c>
      <c r="C596">
        <f t="shared" ca="1" si="176"/>
        <v>6</v>
      </c>
      <c r="D596">
        <f t="shared" ca="1" si="177"/>
        <v>5</v>
      </c>
      <c r="E596">
        <f t="shared" ca="1" si="178"/>
        <v>0</v>
      </c>
      <c r="F596" s="110">
        <f t="shared" ca="1" si="179"/>
        <v>0.16943256749999999</v>
      </c>
      <c r="G596">
        <v>1</v>
      </c>
      <c r="H596">
        <v>0</v>
      </c>
      <c r="I596">
        <v>2</v>
      </c>
      <c r="J596" s="1">
        <f t="shared" ca="1" si="180"/>
        <v>1.0717187500000028E-3</v>
      </c>
      <c r="K596" s="1">
        <f t="shared" ca="1" si="181"/>
        <v>1.8158405945039108E-4</v>
      </c>
      <c r="L596" s="13">
        <f t="shared" ca="1" si="182"/>
        <v>294</v>
      </c>
      <c r="M596" s="7">
        <f t="shared" ca="1" si="183"/>
        <v>706</v>
      </c>
      <c r="N596" s="26">
        <f t="shared" ca="1" si="184"/>
        <v>3</v>
      </c>
      <c r="O596" s="44">
        <f t="shared" ca="1" si="185"/>
        <v>2.2641455309069398</v>
      </c>
      <c r="P596" s="44">
        <f t="shared" ca="1" si="186"/>
        <v>22.641455309069404</v>
      </c>
      <c r="Q596" s="44">
        <f t="shared" ca="1" si="187"/>
        <v>22.641455309069404</v>
      </c>
      <c r="R596" s="44">
        <f t="shared" ca="1" si="188"/>
        <v>2.2641455309069403</v>
      </c>
      <c r="S596" s="44">
        <f t="shared" ca="1" si="189"/>
        <v>2.2641455309069398</v>
      </c>
      <c r="T596" s="4">
        <f t="shared" ca="1" si="190"/>
        <v>4.1113273668854305E-4</v>
      </c>
      <c r="U596" s="120">
        <f t="shared" ca="1" si="191"/>
        <v>1484.7475619899244</v>
      </c>
      <c r="V596" s="4">
        <f t="shared" ca="1" si="192"/>
        <v>0.26960648956520167</v>
      </c>
      <c r="W596" s="13">
        <f t="shared" ca="1" si="193"/>
        <v>12808.165500000003</v>
      </c>
      <c r="X596" s="4">
        <f t="shared" ca="1" si="194"/>
        <v>2.3257586856024486</v>
      </c>
      <c r="Y596" s="4">
        <f t="shared" si="195"/>
        <v>0</v>
      </c>
      <c r="Z596" s="13">
        <f t="shared" ca="1" si="196"/>
        <v>12808.165500000003</v>
      </c>
      <c r="AA596" s="4">
        <f t="shared" ca="1" si="197"/>
        <v>2.3257586856024486</v>
      </c>
    </row>
    <row r="597" spans="1:27">
      <c r="A597">
        <v>0</v>
      </c>
      <c r="B597">
        <v>1</v>
      </c>
      <c r="C597">
        <f t="shared" ca="1" si="176"/>
        <v>6</v>
      </c>
      <c r="D597">
        <f t="shared" ca="1" si="177"/>
        <v>5</v>
      </c>
      <c r="E597">
        <f t="shared" ca="1" si="178"/>
        <v>0</v>
      </c>
      <c r="F597" s="110">
        <f t="shared" ca="1" si="179"/>
        <v>0.16943256749999999</v>
      </c>
      <c r="G597">
        <v>1</v>
      </c>
      <c r="H597">
        <v>0</v>
      </c>
      <c r="I597">
        <v>1</v>
      </c>
      <c r="J597" s="1">
        <f t="shared" ca="1" si="180"/>
        <v>2.8203125000000098E-5</v>
      </c>
      <c r="K597" s="1">
        <f t="shared" ca="1" si="181"/>
        <v>4.778527880273454E-6</v>
      </c>
      <c r="L597" s="13">
        <f t="shared" ca="1" si="182"/>
        <v>274</v>
      </c>
      <c r="M597" s="7">
        <f t="shared" ca="1" si="183"/>
        <v>726</v>
      </c>
      <c r="N597" s="26">
        <f t="shared" ca="1" si="184"/>
        <v>3</v>
      </c>
      <c r="O597" s="44">
        <f t="shared" ca="1" si="185"/>
        <v>2.2641455309069398</v>
      </c>
      <c r="P597" s="44">
        <f t="shared" ca="1" si="186"/>
        <v>22.641455309069404</v>
      </c>
      <c r="Q597" s="44">
        <f t="shared" ca="1" si="187"/>
        <v>22.641455309069404</v>
      </c>
      <c r="R597" s="44">
        <f t="shared" ca="1" si="188"/>
        <v>2.2641455309069403</v>
      </c>
      <c r="S597" s="44">
        <f t="shared" ca="1" si="189"/>
        <v>2.2641455309069398</v>
      </c>
      <c r="T597" s="4">
        <f t="shared" ca="1" si="190"/>
        <v>1.0819282544435354E-5</v>
      </c>
      <c r="U597" s="120">
        <f t="shared" ca="1" si="191"/>
        <v>1464.7475619899244</v>
      </c>
      <c r="V597" s="4">
        <f t="shared" ca="1" si="192"/>
        <v>6.9993370625314232E-3</v>
      </c>
      <c r="W597" s="13">
        <f t="shared" ca="1" si="193"/>
        <v>8780.4405000000006</v>
      </c>
      <c r="X597" s="4">
        <f t="shared" ca="1" si="194"/>
        <v>4.1957579730332192E-2</v>
      </c>
      <c r="Y597" s="4">
        <f t="shared" si="195"/>
        <v>0</v>
      </c>
      <c r="Z597" s="13">
        <f t="shared" ca="1" si="196"/>
        <v>8780.4405000000006</v>
      </c>
      <c r="AA597" s="4">
        <f t="shared" ca="1" si="197"/>
        <v>4.1957579730332192E-2</v>
      </c>
    </row>
    <row r="598" spans="1:27">
      <c r="A598">
        <v>0</v>
      </c>
      <c r="B598">
        <v>1</v>
      </c>
      <c r="C598">
        <f t="shared" ca="1" si="176"/>
        <v>6</v>
      </c>
      <c r="D598">
        <f t="shared" ca="1" si="177"/>
        <v>5</v>
      </c>
      <c r="E598">
        <f t="shared" ca="1" si="178"/>
        <v>0</v>
      </c>
      <c r="F598" s="110">
        <f t="shared" ca="1" si="179"/>
        <v>0.16943256749999999</v>
      </c>
      <c r="G598">
        <v>1</v>
      </c>
      <c r="H598">
        <v>0</v>
      </c>
      <c r="I598">
        <v>0</v>
      </c>
      <c r="J598" s="1">
        <f t="shared" ca="1" si="180"/>
        <v>2.9687500000000134E-7</v>
      </c>
      <c r="K598" s="1">
        <f t="shared" ca="1" si="181"/>
        <v>5.0300293476562724E-8</v>
      </c>
      <c r="L598" s="13">
        <f t="shared" ca="1" si="182"/>
        <v>254</v>
      </c>
      <c r="M598" s="7">
        <f t="shared" ca="1" si="183"/>
        <v>746</v>
      </c>
      <c r="N598" s="26">
        <f t="shared" ca="1" si="184"/>
        <v>3</v>
      </c>
      <c r="O598" s="44">
        <f t="shared" ca="1" si="185"/>
        <v>2.2641455309069398</v>
      </c>
      <c r="P598" s="44">
        <f t="shared" ca="1" si="186"/>
        <v>22.641455309069404</v>
      </c>
      <c r="Q598" s="44">
        <f t="shared" ca="1" si="187"/>
        <v>22.641455309069404</v>
      </c>
      <c r="R598" s="44">
        <f t="shared" ca="1" si="188"/>
        <v>2.2641455309069403</v>
      </c>
      <c r="S598" s="44">
        <f t="shared" ca="1" si="189"/>
        <v>2.2641455309069398</v>
      </c>
      <c r="T598" s="4">
        <f t="shared" ca="1" si="190"/>
        <v>1.1388718467826699E-7</v>
      </c>
      <c r="U598" s="120">
        <f t="shared" ca="1" si="191"/>
        <v>1444.7475619899244</v>
      </c>
      <c r="V598" s="4">
        <f t="shared" ca="1" si="192"/>
        <v>7.2671226367641695E-5</v>
      </c>
      <c r="W598" s="13">
        <f t="shared" ca="1" si="193"/>
        <v>4752.7155000000012</v>
      </c>
      <c r="X598" s="4">
        <f t="shared" ca="1" si="194"/>
        <v>2.3906298446060861E-4</v>
      </c>
      <c r="Y598" s="4">
        <f t="shared" si="195"/>
        <v>0</v>
      </c>
      <c r="Z598" s="13">
        <f t="shared" ca="1" si="196"/>
        <v>4752.7155000000012</v>
      </c>
      <c r="AA598" s="4">
        <f t="shared" ca="1" si="197"/>
        <v>2.3906298446060861E-4</v>
      </c>
    </row>
    <row r="599" spans="1:27">
      <c r="A599">
        <v>0</v>
      </c>
      <c r="B599">
        <v>1</v>
      </c>
      <c r="C599">
        <f t="shared" ca="1" si="176"/>
        <v>6</v>
      </c>
      <c r="D599">
        <f t="shared" ca="1" si="177"/>
        <v>5</v>
      </c>
      <c r="E599">
        <f t="shared" ca="1" si="178"/>
        <v>0</v>
      </c>
      <c r="F599" s="110">
        <f t="shared" ca="1" si="179"/>
        <v>0.16943256749999999</v>
      </c>
      <c r="G599">
        <v>0</v>
      </c>
      <c r="H599">
        <v>1</v>
      </c>
      <c r="I599">
        <v>7</v>
      </c>
      <c r="J599" s="1">
        <f t="shared" ca="1" si="180"/>
        <v>0</v>
      </c>
      <c r="K599" s="1">
        <f t="shared" ca="1" si="181"/>
        <v>0</v>
      </c>
      <c r="L599" s="13">
        <f t="shared" ca="1" si="182"/>
        <v>394</v>
      </c>
      <c r="M599" s="7">
        <f t="shared" ca="1" si="183"/>
        <v>606</v>
      </c>
      <c r="N599" s="26">
        <f t="shared" ca="1" si="184"/>
        <v>3</v>
      </c>
      <c r="O599" s="44">
        <f t="shared" ca="1" si="185"/>
        <v>2.2641455309069398</v>
      </c>
      <c r="P599" s="44">
        <f t="shared" ca="1" si="186"/>
        <v>22.641455309069404</v>
      </c>
      <c r="Q599" s="44">
        <f t="shared" ca="1" si="187"/>
        <v>22.641455309069404</v>
      </c>
      <c r="R599" s="44">
        <f t="shared" ca="1" si="188"/>
        <v>2.2641455309069403</v>
      </c>
      <c r="S599" s="44">
        <f t="shared" ca="1" si="189"/>
        <v>2.2641455309069398</v>
      </c>
      <c r="T599" s="4">
        <f t="shared" ca="1" si="190"/>
        <v>0</v>
      </c>
      <c r="U599" s="120">
        <f t="shared" ca="1" si="191"/>
        <v>1584.7475619899244</v>
      </c>
      <c r="V599" s="4">
        <f t="shared" ca="1" si="192"/>
        <v>0</v>
      </c>
      <c r="W599" s="13">
        <f t="shared" ca="1" si="193"/>
        <v>28194.075000000001</v>
      </c>
      <c r="X599" s="4">
        <f t="shared" ca="1" si="194"/>
        <v>0</v>
      </c>
      <c r="Y599" s="4">
        <f t="shared" si="195"/>
        <v>0</v>
      </c>
      <c r="Z599" s="13">
        <f t="shared" ca="1" si="196"/>
        <v>28194.075000000001</v>
      </c>
      <c r="AA599" s="4">
        <f t="shared" ca="1" si="197"/>
        <v>0</v>
      </c>
    </row>
    <row r="600" spans="1:27">
      <c r="A600">
        <v>0</v>
      </c>
      <c r="B600">
        <v>1</v>
      </c>
      <c r="C600">
        <f t="shared" ca="1" si="176"/>
        <v>6</v>
      </c>
      <c r="D600">
        <f t="shared" ca="1" si="177"/>
        <v>5</v>
      </c>
      <c r="E600">
        <f t="shared" ca="1" si="178"/>
        <v>0</v>
      </c>
      <c r="F600" s="110">
        <f t="shared" ca="1" si="179"/>
        <v>0.16943256749999999</v>
      </c>
      <c r="G600">
        <v>0</v>
      </c>
      <c r="H600">
        <v>1</v>
      </c>
      <c r="I600">
        <v>6</v>
      </c>
      <c r="J600" s="1">
        <f t="shared" ca="1" si="180"/>
        <v>0</v>
      </c>
      <c r="K600" s="1">
        <f t="shared" ca="1" si="181"/>
        <v>0</v>
      </c>
      <c r="L600" s="13">
        <f t="shared" ca="1" si="182"/>
        <v>374</v>
      </c>
      <c r="M600" s="7">
        <f t="shared" ca="1" si="183"/>
        <v>626</v>
      </c>
      <c r="N600" s="26">
        <f t="shared" ca="1" si="184"/>
        <v>3</v>
      </c>
      <c r="O600" s="44">
        <f t="shared" ca="1" si="185"/>
        <v>2.2641455309069398</v>
      </c>
      <c r="P600" s="44">
        <f t="shared" ca="1" si="186"/>
        <v>22.641455309069404</v>
      </c>
      <c r="Q600" s="44">
        <f t="shared" ca="1" si="187"/>
        <v>22.641455309069404</v>
      </c>
      <c r="R600" s="44">
        <f t="shared" ca="1" si="188"/>
        <v>2.2641455309069403</v>
      </c>
      <c r="S600" s="44">
        <f t="shared" ca="1" si="189"/>
        <v>2.2641455309069398</v>
      </c>
      <c r="T600" s="4">
        <f t="shared" ca="1" si="190"/>
        <v>0</v>
      </c>
      <c r="U600" s="120">
        <f t="shared" ca="1" si="191"/>
        <v>1564.7475619899244</v>
      </c>
      <c r="V600" s="4">
        <f t="shared" ca="1" si="192"/>
        <v>0</v>
      </c>
      <c r="W600" s="13">
        <f t="shared" ca="1" si="193"/>
        <v>24166.350000000002</v>
      </c>
      <c r="X600" s="4">
        <f t="shared" ca="1" si="194"/>
        <v>0</v>
      </c>
      <c r="Y600" s="4">
        <f t="shared" si="195"/>
        <v>0</v>
      </c>
      <c r="Z600" s="13">
        <f t="shared" ca="1" si="196"/>
        <v>24166.350000000002</v>
      </c>
      <c r="AA600" s="4">
        <f t="shared" ca="1" si="197"/>
        <v>0</v>
      </c>
    </row>
    <row r="601" spans="1:27">
      <c r="A601">
        <v>0</v>
      </c>
      <c r="B601">
        <v>1</v>
      </c>
      <c r="C601">
        <f t="shared" ca="1" si="176"/>
        <v>6</v>
      </c>
      <c r="D601">
        <f t="shared" ca="1" si="177"/>
        <v>5</v>
      </c>
      <c r="E601">
        <f t="shared" ca="1" si="178"/>
        <v>0</v>
      </c>
      <c r="F601" s="110">
        <f t="shared" ca="1" si="179"/>
        <v>0.16943256749999999</v>
      </c>
      <c r="G601">
        <v>0</v>
      </c>
      <c r="H601">
        <v>1</v>
      </c>
      <c r="I601">
        <v>5</v>
      </c>
      <c r="J601" s="1">
        <f t="shared" ca="1" si="180"/>
        <v>0</v>
      </c>
      <c r="K601" s="1">
        <f t="shared" ca="1" si="181"/>
        <v>0</v>
      </c>
      <c r="L601" s="13">
        <f t="shared" ca="1" si="182"/>
        <v>354</v>
      </c>
      <c r="M601" s="7">
        <f t="shared" ca="1" si="183"/>
        <v>646</v>
      </c>
      <c r="N601" s="26">
        <f t="shared" ca="1" si="184"/>
        <v>3</v>
      </c>
      <c r="O601" s="44">
        <f t="shared" ca="1" si="185"/>
        <v>2.2641455309069398</v>
      </c>
      <c r="P601" s="44">
        <f t="shared" ca="1" si="186"/>
        <v>22.641455309069404</v>
      </c>
      <c r="Q601" s="44">
        <f t="shared" ca="1" si="187"/>
        <v>22.641455309069404</v>
      </c>
      <c r="R601" s="44">
        <f t="shared" ca="1" si="188"/>
        <v>2.2641455309069403</v>
      </c>
      <c r="S601" s="44">
        <f t="shared" ca="1" si="189"/>
        <v>2.2641455309069398</v>
      </c>
      <c r="T601" s="4">
        <f t="shared" ca="1" si="190"/>
        <v>0</v>
      </c>
      <c r="U601" s="120">
        <f t="shared" ca="1" si="191"/>
        <v>1544.7475619899244</v>
      </c>
      <c r="V601" s="4">
        <f t="shared" ca="1" si="192"/>
        <v>0</v>
      </c>
      <c r="W601" s="13">
        <f t="shared" ca="1" si="193"/>
        <v>20138.625</v>
      </c>
      <c r="X601" s="4">
        <f t="shared" ca="1" si="194"/>
        <v>0</v>
      </c>
      <c r="Y601" s="4">
        <f t="shared" si="195"/>
        <v>0</v>
      </c>
      <c r="Z601" s="13">
        <f t="shared" ca="1" si="196"/>
        <v>20138.625</v>
      </c>
      <c r="AA601" s="4">
        <f t="shared" ca="1" si="197"/>
        <v>0</v>
      </c>
    </row>
    <row r="602" spans="1:27">
      <c r="A602">
        <v>0</v>
      </c>
      <c r="B602">
        <v>1</v>
      </c>
      <c r="C602">
        <f t="shared" ca="1" si="176"/>
        <v>6</v>
      </c>
      <c r="D602">
        <f t="shared" ca="1" si="177"/>
        <v>5</v>
      </c>
      <c r="E602">
        <f t="shared" ca="1" si="178"/>
        <v>0</v>
      </c>
      <c r="F602" s="110">
        <f t="shared" ca="1" si="179"/>
        <v>0.16943256749999999</v>
      </c>
      <c r="G602">
        <v>0</v>
      </c>
      <c r="H602">
        <v>1</v>
      </c>
      <c r="I602">
        <v>4</v>
      </c>
      <c r="J602" s="1">
        <f t="shared" ca="1" si="180"/>
        <v>0</v>
      </c>
      <c r="K602" s="1">
        <f t="shared" ca="1" si="181"/>
        <v>0</v>
      </c>
      <c r="L602" s="13">
        <f t="shared" ca="1" si="182"/>
        <v>334</v>
      </c>
      <c r="M602" s="7">
        <f t="shared" ca="1" si="183"/>
        <v>666</v>
      </c>
      <c r="N602" s="26">
        <f t="shared" ca="1" si="184"/>
        <v>3</v>
      </c>
      <c r="O602" s="44">
        <f t="shared" ca="1" si="185"/>
        <v>2.2641455309069398</v>
      </c>
      <c r="P602" s="44">
        <f t="shared" ca="1" si="186"/>
        <v>22.641455309069404</v>
      </c>
      <c r="Q602" s="44">
        <f t="shared" ca="1" si="187"/>
        <v>22.641455309069404</v>
      </c>
      <c r="R602" s="44">
        <f t="shared" ca="1" si="188"/>
        <v>2.2641455309069403</v>
      </c>
      <c r="S602" s="44">
        <f t="shared" ca="1" si="189"/>
        <v>2.2641455309069398</v>
      </c>
      <c r="T602" s="4">
        <f t="shared" ca="1" si="190"/>
        <v>0</v>
      </c>
      <c r="U602" s="120">
        <f t="shared" ca="1" si="191"/>
        <v>1524.7475619899244</v>
      </c>
      <c r="V602" s="4">
        <f t="shared" ca="1" si="192"/>
        <v>0</v>
      </c>
      <c r="W602" s="13">
        <f t="shared" ca="1" si="193"/>
        <v>16110.900000000001</v>
      </c>
      <c r="X602" s="4">
        <f t="shared" ca="1" si="194"/>
        <v>0</v>
      </c>
      <c r="Y602" s="4">
        <f t="shared" si="195"/>
        <v>0</v>
      </c>
      <c r="Z602" s="13">
        <f t="shared" ca="1" si="196"/>
        <v>16110.900000000001</v>
      </c>
      <c r="AA602" s="4">
        <f t="shared" ca="1" si="197"/>
        <v>0</v>
      </c>
    </row>
    <row r="603" spans="1:27">
      <c r="A603">
        <v>0</v>
      </c>
      <c r="B603">
        <v>1</v>
      </c>
      <c r="C603">
        <f t="shared" ca="1" si="176"/>
        <v>6</v>
      </c>
      <c r="D603">
        <f t="shared" ca="1" si="177"/>
        <v>5</v>
      </c>
      <c r="E603">
        <f t="shared" ca="1" si="178"/>
        <v>0</v>
      </c>
      <c r="F603" s="110">
        <f t="shared" ca="1" si="179"/>
        <v>0.16943256749999999</v>
      </c>
      <c r="G603">
        <v>0</v>
      </c>
      <c r="H603">
        <v>1</v>
      </c>
      <c r="I603">
        <v>3</v>
      </c>
      <c r="J603" s="1">
        <f t="shared" ca="1" si="180"/>
        <v>0</v>
      </c>
      <c r="K603" s="1">
        <f t="shared" ca="1" si="181"/>
        <v>0</v>
      </c>
      <c r="L603" s="13">
        <f t="shared" ca="1" si="182"/>
        <v>314</v>
      </c>
      <c r="M603" s="7">
        <f t="shared" ca="1" si="183"/>
        <v>686</v>
      </c>
      <c r="N603" s="26">
        <f t="shared" ca="1" si="184"/>
        <v>3</v>
      </c>
      <c r="O603" s="44">
        <f t="shared" ca="1" si="185"/>
        <v>2.2641455309069398</v>
      </c>
      <c r="P603" s="44">
        <f t="shared" ca="1" si="186"/>
        <v>22.641455309069404</v>
      </c>
      <c r="Q603" s="44">
        <f t="shared" ca="1" si="187"/>
        <v>22.641455309069404</v>
      </c>
      <c r="R603" s="44">
        <f t="shared" ca="1" si="188"/>
        <v>2.2641455309069403</v>
      </c>
      <c r="S603" s="44">
        <f t="shared" ca="1" si="189"/>
        <v>2.2641455309069398</v>
      </c>
      <c r="T603" s="4">
        <f t="shared" ca="1" si="190"/>
        <v>0</v>
      </c>
      <c r="U603" s="120">
        <f t="shared" ca="1" si="191"/>
        <v>1504.7475619899244</v>
      </c>
      <c r="V603" s="4">
        <f t="shared" ca="1" si="192"/>
        <v>0</v>
      </c>
      <c r="W603" s="13">
        <f t="shared" ca="1" si="193"/>
        <v>12083.175000000001</v>
      </c>
      <c r="X603" s="4">
        <f t="shared" ca="1" si="194"/>
        <v>0</v>
      </c>
      <c r="Y603" s="4">
        <f t="shared" si="195"/>
        <v>0</v>
      </c>
      <c r="Z603" s="13">
        <f t="shared" ca="1" si="196"/>
        <v>12083.175000000001</v>
      </c>
      <c r="AA603" s="4">
        <f t="shared" ca="1" si="197"/>
        <v>0</v>
      </c>
    </row>
    <row r="604" spans="1:27">
      <c r="A604">
        <v>0</v>
      </c>
      <c r="B604">
        <v>1</v>
      </c>
      <c r="C604">
        <f t="shared" ca="1" si="176"/>
        <v>6</v>
      </c>
      <c r="D604">
        <f t="shared" ca="1" si="177"/>
        <v>5</v>
      </c>
      <c r="E604">
        <f t="shared" ca="1" si="178"/>
        <v>0</v>
      </c>
      <c r="F604" s="110">
        <f t="shared" ca="1" si="179"/>
        <v>0.16943256749999999</v>
      </c>
      <c r="G604">
        <v>0</v>
      </c>
      <c r="H604">
        <v>1</v>
      </c>
      <c r="I604">
        <v>2</v>
      </c>
      <c r="J604" s="1">
        <f t="shared" ca="1" si="180"/>
        <v>0</v>
      </c>
      <c r="K604" s="1">
        <f t="shared" ca="1" si="181"/>
        <v>0</v>
      </c>
      <c r="L604" s="13">
        <f t="shared" ca="1" si="182"/>
        <v>294</v>
      </c>
      <c r="M604" s="7">
        <f t="shared" ca="1" si="183"/>
        <v>706</v>
      </c>
      <c r="N604" s="26">
        <f t="shared" ca="1" si="184"/>
        <v>3</v>
      </c>
      <c r="O604" s="44">
        <f t="shared" ca="1" si="185"/>
        <v>2.2641455309069398</v>
      </c>
      <c r="P604" s="44">
        <f t="shared" ca="1" si="186"/>
        <v>22.641455309069404</v>
      </c>
      <c r="Q604" s="44">
        <f t="shared" ca="1" si="187"/>
        <v>22.641455309069404</v>
      </c>
      <c r="R604" s="44">
        <f t="shared" ca="1" si="188"/>
        <v>2.2641455309069403</v>
      </c>
      <c r="S604" s="44">
        <f t="shared" ca="1" si="189"/>
        <v>2.2641455309069398</v>
      </c>
      <c r="T604" s="4">
        <f t="shared" ca="1" si="190"/>
        <v>0</v>
      </c>
      <c r="U604" s="120">
        <f t="shared" ca="1" si="191"/>
        <v>1484.7475619899244</v>
      </c>
      <c r="V604" s="4">
        <f t="shared" ca="1" si="192"/>
        <v>0</v>
      </c>
      <c r="W604" s="13">
        <f t="shared" ca="1" si="193"/>
        <v>8055.4500000000007</v>
      </c>
      <c r="X604" s="4">
        <f t="shared" ca="1" si="194"/>
        <v>0</v>
      </c>
      <c r="Y604" s="4">
        <f t="shared" si="195"/>
        <v>0</v>
      </c>
      <c r="Z604" s="13">
        <f t="shared" ca="1" si="196"/>
        <v>8055.4500000000007</v>
      </c>
      <c r="AA604" s="4">
        <f t="shared" ca="1" si="197"/>
        <v>0</v>
      </c>
    </row>
    <row r="605" spans="1:27">
      <c r="A605">
        <v>0</v>
      </c>
      <c r="B605">
        <v>1</v>
      </c>
      <c r="C605">
        <f t="shared" ca="1" si="176"/>
        <v>6</v>
      </c>
      <c r="D605">
        <f t="shared" ca="1" si="177"/>
        <v>5</v>
      </c>
      <c r="E605">
        <f t="shared" ca="1" si="178"/>
        <v>0</v>
      </c>
      <c r="F605" s="110">
        <f t="shared" ca="1" si="179"/>
        <v>0.16943256749999999</v>
      </c>
      <c r="G605">
        <v>0</v>
      </c>
      <c r="H605">
        <v>1</v>
      </c>
      <c r="I605">
        <v>1</v>
      </c>
      <c r="J605" s="1">
        <f t="shared" ca="1" si="180"/>
        <v>0</v>
      </c>
      <c r="K605" s="1">
        <f t="shared" ca="1" si="181"/>
        <v>0</v>
      </c>
      <c r="L605" s="13">
        <f t="shared" ca="1" si="182"/>
        <v>274</v>
      </c>
      <c r="M605" s="7">
        <f t="shared" ca="1" si="183"/>
        <v>726</v>
      </c>
      <c r="N605" s="26">
        <f t="shared" ca="1" si="184"/>
        <v>3</v>
      </c>
      <c r="O605" s="44">
        <f t="shared" ca="1" si="185"/>
        <v>2.2641455309069398</v>
      </c>
      <c r="P605" s="44">
        <f t="shared" ca="1" si="186"/>
        <v>22.641455309069404</v>
      </c>
      <c r="Q605" s="44">
        <f t="shared" ca="1" si="187"/>
        <v>22.641455309069404</v>
      </c>
      <c r="R605" s="44">
        <f t="shared" ca="1" si="188"/>
        <v>2.2641455309069403</v>
      </c>
      <c r="S605" s="44">
        <f t="shared" ca="1" si="189"/>
        <v>2.2641455309069398</v>
      </c>
      <c r="T605" s="4">
        <f t="shared" ca="1" si="190"/>
        <v>0</v>
      </c>
      <c r="U605" s="120">
        <f t="shared" ca="1" si="191"/>
        <v>1464.7475619899244</v>
      </c>
      <c r="V605" s="4">
        <f t="shared" ca="1" si="192"/>
        <v>0</v>
      </c>
      <c r="W605" s="13">
        <f t="shared" ca="1" si="193"/>
        <v>4027.7250000000004</v>
      </c>
      <c r="X605" s="4">
        <f t="shared" ca="1" si="194"/>
        <v>0</v>
      </c>
      <c r="Y605" s="4">
        <f t="shared" si="195"/>
        <v>0</v>
      </c>
      <c r="Z605" s="13">
        <f t="shared" ca="1" si="196"/>
        <v>4027.7250000000004</v>
      </c>
      <c r="AA605" s="4">
        <f t="shared" ca="1" si="197"/>
        <v>0</v>
      </c>
    </row>
    <row r="606" spans="1:27">
      <c r="A606">
        <v>0</v>
      </c>
      <c r="B606">
        <v>1</v>
      </c>
      <c r="C606">
        <f t="shared" ca="1" si="176"/>
        <v>6</v>
      </c>
      <c r="D606">
        <f t="shared" ca="1" si="177"/>
        <v>5</v>
      </c>
      <c r="E606">
        <f t="shared" ca="1" si="178"/>
        <v>0</v>
      </c>
      <c r="F606" s="110">
        <f t="shared" ca="1" si="179"/>
        <v>0.16943256749999999</v>
      </c>
      <c r="G606">
        <v>0</v>
      </c>
      <c r="H606">
        <v>1</v>
      </c>
      <c r="I606">
        <v>0</v>
      </c>
      <c r="J606" s="1">
        <f t="shared" ca="1" si="180"/>
        <v>0</v>
      </c>
      <c r="K606" s="1">
        <f t="shared" ca="1" si="181"/>
        <v>0</v>
      </c>
      <c r="L606" s="13">
        <f t="shared" ca="1" si="182"/>
        <v>254</v>
      </c>
      <c r="M606" s="7">
        <f t="shared" ca="1" si="183"/>
        <v>746</v>
      </c>
      <c r="N606" s="26">
        <f t="shared" ca="1" si="184"/>
        <v>3</v>
      </c>
      <c r="O606" s="44">
        <f t="shared" ca="1" si="185"/>
        <v>2.2641455309069398</v>
      </c>
      <c r="P606" s="44">
        <f t="shared" ca="1" si="186"/>
        <v>22.641455309069404</v>
      </c>
      <c r="Q606" s="44">
        <f t="shared" ca="1" si="187"/>
        <v>22.641455309069404</v>
      </c>
      <c r="R606" s="44">
        <f t="shared" ca="1" si="188"/>
        <v>2.2641455309069403</v>
      </c>
      <c r="S606" s="44">
        <f t="shared" ca="1" si="189"/>
        <v>2.2641455309069398</v>
      </c>
      <c r="T606" s="4">
        <f t="shared" ca="1" si="190"/>
        <v>0</v>
      </c>
      <c r="U606" s="120">
        <f t="shared" ca="1" si="191"/>
        <v>1444.7475619899244</v>
      </c>
      <c r="V606" s="4">
        <f t="shared" ca="1" si="192"/>
        <v>0</v>
      </c>
      <c r="W606" s="13">
        <f t="shared" ca="1" si="193"/>
        <v>0</v>
      </c>
      <c r="X606" s="4">
        <f t="shared" ca="1" si="194"/>
        <v>0</v>
      </c>
      <c r="Y606" s="4">
        <f t="shared" si="195"/>
        <v>0</v>
      </c>
      <c r="Z606" s="13">
        <f t="shared" ca="1" si="196"/>
        <v>0</v>
      </c>
      <c r="AA606" s="4">
        <f t="shared" ca="1" si="197"/>
        <v>0</v>
      </c>
    </row>
    <row r="607" spans="1:27">
      <c r="A607">
        <v>0</v>
      </c>
      <c r="B607">
        <v>1</v>
      </c>
      <c r="C607">
        <f t="shared" ca="1" si="176"/>
        <v>6</v>
      </c>
      <c r="D607">
        <f t="shared" ca="1" si="177"/>
        <v>5</v>
      </c>
      <c r="E607">
        <f t="shared" ca="1" si="178"/>
        <v>0</v>
      </c>
      <c r="F607" s="110">
        <f t="shared" ca="1" si="179"/>
        <v>0.16943256749999999</v>
      </c>
      <c r="G607">
        <v>0</v>
      </c>
      <c r="H607">
        <v>0</v>
      </c>
      <c r="I607">
        <v>7</v>
      </c>
      <c r="J607" s="1">
        <f t="shared" ca="1" si="180"/>
        <v>0</v>
      </c>
      <c r="K607" s="1">
        <f t="shared" ca="1" si="181"/>
        <v>0</v>
      </c>
      <c r="L607" s="13">
        <f t="shared" ca="1" si="182"/>
        <v>140</v>
      </c>
      <c r="M607" s="7">
        <f t="shared" ca="1" si="183"/>
        <v>860</v>
      </c>
      <c r="N607" s="26">
        <f t="shared" ca="1" si="184"/>
        <v>4</v>
      </c>
      <c r="O607" s="44">
        <f t="shared" ca="1" si="185"/>
        <v>2.8910364854084887</v>
      </c>
      <c r="P607" s="44">
        <f t="shared" ca="1" si="186"/>
        <v>28.910364854084886</v>
      </c>
      <c r="Q607" s="44">
        <f t="shared" ca="1" si="187"/>
        <v>28.910364854084886</v>
      </c>
      <c r="R607" s="44">
        <f t="shared" ca="1" si="188"/>
        <v>2.8910364854084887</v>
      </c>
      <c r="S607" s="44">
        <f t="shared" ca="1" si="189"/>
        <v>2.8910364854084882</v>
      </c>
      <c r="T607" s="4">
        <f t="shared" ca="1" si="190"/>
        <v>0</v>
      </c>
      <c r="U607" s="120">
        <f t="shared" ca="1" si="191"/>
        <v>1600.6349838037554</v>
      </c>
      <c r="V607" s="4">
        <f t="shared" ca="1" si="192"/>
        <v>0</v>
      </c>
      <c r="W607" s="13">
        <f t="shared" ca="1" si="193"/>
        <v>28194.075000000001</v>
      </c>
      <c r="X607" s="4">
        <f t="shared" ca="1" si="194"/>
        <v>0</v>
      </c>
      <c r="Y607" s="4">
        <f t="shared" si="195"/>
        <v>0</v>
      </c>
      <c r="Z607" s="13">
        <f t="shared" ca="1" si="196"/>
        <v>28194.075000000001</v>
      </c>
      <c r="AA607" s="4">
        <f t="shared" ca="1" si="197"/>
        <v>0</v>
      </c>
    </row>
    <row r="608" spans="1:27">
      <c r="A608">
        <v>0</v>
      </c>
      <c r="B608">
        <v>1</v>
      </c>
      <c r="C608">
        <f t="shared" ca="1" si="176"/>
        <v>6</v>
      </c>
      <c r="D608">
        <f t="shared" ca="1" si="177"/>
        <v>5</v>
      </c>
      <c r="E608">
        <f t="shared" ca="1" si="178"/>
        <v>0</v>
      </c>
      <c r="F608" s="110">
        <f t="shared" ca="1" si="179"/>
        <v>0.16943256749999999</v>
      </c>
      <c r="G608">
        <v>0</v>
      </c>
      <c r="H608">
        <v>0</v>
      </c>
      <c r="I608">
        <v>6</v>
      </c>
      <c r="J608" s="1">
        <f t="shared" ca="1" si="180"/>
        <v>0</v>
      </c>
      <c r="K608" s="1">
        <f t="shared" ca="1" si="181"/>
        <v>0</v>
      </c>
      <c r="L608" s="13">
        <f t="shared" ca="1" si="182"/>
        <v>120</v>
      </c>
      <c r="M608" s="7">
        <f t="shared" ca="1" si="183"/>
        <v>880</v>
      </c>
      <c r="N608" s="26">
        <f t="shared" ca="1" si="184"/>
        <v>4</v>
      </c>
      <c r="O608" s="44">
        <f t="shared" ca="1" si="185"/>
        <v>2.8910364854084887</v>
      </c>
      <c r="P608" s="44">
        <f t="shared" ca="1" si="186"/>
        <v>28.910364854084886</v>
      </c>
      <c r="Q608" s="44">
        <f t="shared" ca="1" si="187"/>
        <v>28.910364854084886</v>
      </c>
      <c r="R608" s="44">
        <f t="shared" ca="1" si="188"/>
        <v>2.8910364854084887</v>
      </c>
      <c r="S608" s="44">
        <f t="shared" ca="1" si="189"/>
        <v>2.8910364854084882</v>
      </c>
      <c r="T608" s="4">
        <f t="shared" ca="1" si="190"/>
        <v>0</v>
      </c>
      <c r="U608" s="120">
        <f t="shared" ca="1" si="191"/>
        <v>1580.6349838037554</v>
      </c>
      <c r="V608" s="4">
        <f t="shared" ca="1" si="192"/>
        <v>0</v>
      </c>
      <c r="W608" s="13">
        <f t="shared" ca="1" si="193"/>
        <v>24166.350000000002</v>
      </c>
      <c r="X608" s="4">
        <f t="shared" ca="1" si="194"/>
        <v>0</v>
      </c>
      <c r="Y608" s="4">
        <f t="shared" si="195"/>
        <v>0</v>
      </c>
      <c r="Z608" s="13">
        <f t="shared" ca="1" si="196"/>
        <v>24166.350000000002</v>
      </c>
      <c r="AA608" s="4">
        <f t="shared" ca="1" si="197"/>
        <v>0</v>
      </c>
    </row>
    <row r="609" spans="1:27">
      <c r="A609">
        <v>0</v>
      </c>
      <c r="B609">
        <v>1</v>
      </c>
      <c r="C609">
        <f t="shared" ca="1" si="176"/>
        <v>6</v>
      </c>
      <c r="D609">
        <f t="shared" ca="1" si="177"/>
        <v>5</v>
      </c>
      <c r="E609">
        <f t="shared" ca="1" si="178"/>
        <v>0</v>
      </c>
      <c r="F609" s="110">
        <f t="shared" ca="1" si="179"/>
        <v>0.16943256749999999</v>
      </c>
      <c r="G609">
        <v>0</v>
      </c>
      <c r="H609">
        <v>0</v>
      </c>
      <c r="I609">
        <v>5</v>
      </c>
      <c r="J609" s="1">
        <f t="shared" ca="1" si="180"/>
        <v>3.8689046875000001E-2</v>
      </c>
      <c r="K609" s="1">
        <f t="shared" ca="1" si="181"/>
        <v>6.5551845461591018E-3</v>
      </c>
      <c r="L609" s="13">
        <f t="shared" ca="1" si="182"/>
        <v>100</v>
      </c>
      <c r="M609" s="7">
        <f t="shared" ca="1" si="183"/>
        <v>900</v>
      </c>
      <c r="N609" s="26">
        <f t="shared" ca="1" si="184"/>
        <v>4</v>
      </c>
      <c r="O609" s="44">
        <f t="shared" ca="1" si="185"/>
        <v>2.8910364854084887</v>
      </c>
      <c r="P609" s="44">
        <f t="shared" ca="1" si="186"/>
        <v>28.910364854084886</v>
      </c>
      <c r="Q609" s="44">
        <f t="shared" ca="1" si="187"/>
        <v>28.910364854084886</v>
      </c>
      <c r="R609" s="44">
        <f t="shared" ca="1" si="188"/>
        <v>2.8910364854084887</v>
      </c>
      <c r="S609" s="44">
        <f t="shared" ca="1" si="189"/>
        <v>2.8910364854084882</v>
      </c>
      <c r="T609" s="4">
        <f t="shared" ca="1" si="190"/>
        <v>1.8951277691531845E-2</v>
      </c>
      <c r="U609" s="120">
        <f t="shared" ca="1" si="191"/>
        <v>1560.6349838037554</v>
      </c>
      <c r="V609" s="4">
        <f t="shared" ca="1" si="192"/>
        <v>10.230250328025637</v>
      </c>
      <c r="W609" s="13">
        <f t="shared" ca="1" si="193"/>
        <v>20138.625</v>
      </c>
      <c r="X609" s="4">
        <f t="shared" ca="1" si="194"/>
        <v>132.01240338089335</v>
      </c>
      <c r="Y609" s="4">
        <f t="shared" si="195"/>
        <v>0</v>
      </c>
      <c r="Z609" s="13">
        <f t="shared" ca="1" si="196"/>
        <v>20138.625</v>
      </c>
      <c r="AA609" s="4">
        <f t="shared" ca="1" si="197"/>
        <v>132.01240338089335</v>
      </c>
    </row>
    <row r="610" spans="1:27">
      <c r="A610">
        <v>0</v>
      </c>
      <c r="B610">
        <v>1</v>
      </c>
      <c r="C610">
        <f t="shared" ca="1" si="176"/>
        <v>6</v>
      </c>
      <c r="D610">
        <f t="shared" ca="1" si="177"/>
        <v>5</v>
      </c>
      <c r="E610">
        <f t="shared" ca="1" si="178"/>
        <v>0</v>
      </c>
      <c r="F610" s="110">
        <f t="shared" ca="1" si="179"/>
        <v>0.16943256749999999</v>
      </c>
      <c r="G610">
        <v>0</v>
      </c>
      <c r="H610">
        <v>0</v>
      </c>
      <c r="I610">
        <v>4</v>
      </c>
      <c r="J610" s="1">
        <f t="shared" ca="1" si="180"/>
        <v>1.0181328125000009E-2</v>
      </c>
      <c r="K610" s="1">
        <f t="shared" ca="1" si="181"/>
        <v>1.7250485647787124E-3</v>
      </c>
      <c r="L610" s="13">
        <f t="shared" ca="1" si="182"/>
        <v>80</v>
      </c>
      <c r="M610" s="7">
        <f t="shared" ca="1" si="183"/>
        <v>920</v>
      </c>
      <c r="N610" s="26">
        <f t="shared" ca="1" si="184"/>
        <v>4</v>
      </c>
      <c r="O610" s="44">
        <f t="shared" ca="1" si="185"/>
        <v>2.8910364854084887</v>
      </c>
      <c r="P610" s="44">
        <f t="shared" ca="1" si="186"/>
        <v>28.910364854084886</v>
      </c>
      <c r="Q610" s="44">
        <f t="shared" ca="1" si="187"/>
        <v>28.910364854084886</v>
      </c>
      <c r="R610" s="44">
        <f t="shared" ca="1" si="188"/>
        <v>2.8910364854084887</v>
      </c>
      <c r="S610" s="44">
        <f t="shared" ca="1" si="189"/>
        <v>2.8910364854084882</v>
      </c>
      <c r="T610" s="4">
        <f t="shared" ca="1" si="190"/>
        <v>4.9871783398768056E-3</v>
      </c>
      <c r="U610" s="120">
        <f t="shared" ca="1" si="191"/>
        <v>1540.6349838037554</v>
      </c>
      <c r="V610" s="4">
        <f t="shared" ca="1" si="192"/>
        <v>2.657670167658543</v>
      </c>
      <c r="W610" s="13">
        <f t="shared" ca="1" si="193"/>
        <v>16110.900000000001</v>
      </c>
      <c r="X610" s="4">
        <f t="shared" ca="1" si="194"/>
        <v>27.792084922293359</v>
      </c>
      <c r="Y610" s="4">
        <f t="shared" si="195"/>
        <v>0</v>
      </c>
      <c r="Z610" s="13">
        <f t="shared" ca="1" si="196"/>
        <v>16110.900000000001</v>
      </c>
      <c r="AA610" s="4">
        <f t="shared" ca="1" si="197"/>
        <v>27.792084922293359</v>
      </c>
    </row>
    <row r="611" spans="1:27">
      <c r="A611">
        <v>0</v>
      </c>
      <c r="B611">
        <v>1</v>
      </c>
      <c r="C611">
        <f t="shared" ca="1" si="176"/>
        <v>6</v>
      </c>
      <c r="D611">
        <f t="shared" ca="1" si="177"/>
        <v>5</v>
      </c>
      <c r="E611">
        <f t="shared" ca="1" si="178"/>
        <v>0</v>
      </c>
      <c r="F611" s="110">
        <f t="shared" ca="1" si="179"/>
        <v>0.16943256749999999</v>
      </c>
      <c r="G611">
        <v>0</v>
      </c>
      <c r="H611">
        <v>0</v>
      </c>
      <c r="I611">
        <v>3</v>
      </c>
      <c r="J611" s="1">
        <f t="shared" ca="1" si="180"/>
        <v>1.0717187500000017E-3</v>
      </c>
      <c r="K611" s="1">
        <f t="shared" ca="1" si="181"/>
        <v>1.8158405945039091E-4</v>
      </c>
      <c r="L611" s="13">
        <f t="shared" ca="1" si="182"/>
        <v>60</v>
      </c>
      <c r="M611" s="7">
        <f t="shared" ca="1" si="183"/>
        <v>940</v>
      </c>
      <c r="N611" s="26">
        <f t="shared" ca="1" si="184"/>
        <v>4</v>
      </c>
      <c r="O611" s="44">
        <f t="shared" ca="1" si="185"/>
        <v>2.8910364854084887</v>
      </c>
      <c r="P611" s="44">
        <f t="shared" ca="1" si="186"/>
        <v>28.910364854084886</v>
      </c>
      <c r="Q611" s="44">
        <f t="shared" ca="1" si="187"/>
        <v>28.910364854084886</v>
      </c>
      <c r="R611" s="44">
        <f t="shared" ca="1" si="188"/>
        <v>2.8910364854084887</v>
      </c>
      <c r="S611" s="44">
        <f t="shared" ca="1" si="189"/>
        <v>2.8910364854084882</v>
      </c>
      <c r="T611" s="4">
        <f t="shared" ca="1" si="190"/>
        <v>5.2496614103966408E-4</v>
      </c>
      <c r="U611" s="120">
        <f t="shared" ca="1" si="191"/>
        <v>1520.6349838037554</v>
      </c>
      <c r="V611" s="4">
        <f t="shared" ca="1" si="192"/>
        <v>0.27612307330136537</v>
      </c>
      <c r="W611" s="13">
        <f t="shared" ca="1" si="193"/>
        <v>12083.175000000001</v>
      </c>
      <c r="X611" s="4">
        <f t="shared" ca="1" si="194"/>
        <v>2.1941119675494773</v>
      </c>
      <c r="Y611" s="4">
        <f t="shared" si="195"/>
        <v>0</v>
      </c>
      <c r="Z611" s="13">
        <f t="shared" ca="1" si="196"/>
        <v>12083.175000000001</v>
      </c>
      <c r="AA611" s="4">
        <f t="shared" ca="1" si="197"/>
        <v>2.1941119675494773</v>
      </c>
    </row>
    <row r="612" spans="1:27">
      <c r="A612">
        <v>0</v>
      </c>
      <c r="B612">
        <v>1</v>
      </c>
      <c r="C612">
        <f t="shared" ca="1" si="176"/>
        <v>6</v>
      </c>
      <c r="D612">
        <f t="shared" ca="1" si="177"/>
        <v>5</v>
      </c>
      <c r="E612">
        <f t="shared" ca="1" si="178"/>
        <v>0</v>
      </c>
      <c r="F612" s="110">
        <f t="shared" ca="1" si="179"/>
        <v>0.16943256749999999</v>
      </c>
      <c r="G612">
        <v>0</v>
      </c>
      <c r="H612">
        <v>0</v>
      </c>
      <c r="I612">
        <v>2</v>
      </c>
      <c r="J612" s="1">
        <f t="shared" ca="1" si="180"/>
        <v>5.6406250000000155E-5</v>
      </c>
      <c r="K612" s="1">
        <f t="shared" ca="1" si="181"/>
        <v>9.5570557605469012E-6</v>
      </c>
      <c r="L612" s="13">
        <f t="shared" ca="1" si="182"/>
        <v>40</v>
      </c>
      <c r="M612" s="7">
        <f t="shared" ca="1" si="183"/>
        <v>960</v>
      </c>
      <c r="N612" s="26">
        <f t="shared" ca="1" si="184"/>
        <v>4</v>
      </c>
      <c r="O612" s="44">
        <f t="shared" ca="1" si="185"/>
        <v>2.8910364854084887</v>
      </c>
      <c r="P612" s="44">
        <f t="shared" ca="1" si="186"/>
        <v>28.910364854084886</v>
      </c>
      <c r="Q612" s="44">
        <f t="shared" ca="1" si="187"/>
        <v>28.910364854084886</v>
      </c>
      <c r="R612" s="44">
        <f t="shared" ca="1" si="188"/>
        <v>2.8910364854084887</v>
      </c>
      <c r="S612" s="44">
        <f t="shared" ca="1" si="189"/>
        <v>2.8910364854084882</v>
      </c>
      <c r="T612" s="4">
        <f t="shared" ca="1" si="190"/>
        <v>2.7629796896824461E-5</v>
      </c>
      <c r="U612" s="120">
        <f t="shared" ca="1" si="191"/>
        <v>1500.6349838037554</v>
      </c>
      <c r="V612" s="4">
        <f t="shared" ca="1" si="192"/>
        <v>1.4341652216439887E-2</v>
      </c>
      <c r="W612" s="13">
        <f t="shared" ca="1" si="193"/>
        <v>8055.4500000000007</v>
      </c>
      <c r="X612" s="4">
        <f t="shared" ca="1" si="194"/>
        <v>7.6986384826297535E-2</v>
      </c>
      <c r="Y612" s="4">
        <f t="shared" si="195"/>
        <v>0</v>
      </c>
      <c r="Z612" s="13">
        <f t="shared" ca="1" si="196"/>
        <v>8055.4500000000007</v>
      </c>
      <c r="AA612" s="4">
        <f t="shared" ca="1" si="197"/>
        <v>7.6986384826297535E-2</v>
      </c>
    </row>
    <row r="613" spans="1:27">
      <c r="A613">
        <v>0</v>
      </c>
      <c r="B613">
        <v>1</v>
      </c>
      <c r="C613">
        <f t="shared" ca="1" si="176"/>
        <v>6</v>
      </c>
      <c r="D613">
        <f t="shared" ca="1" si="177"/>
        <v>5</v>
      </c>
      <c r="E613">
        <f t="shared" ca="1" si="178"/>
        <v>0</v>
      </c>
      <c r="F613" s="110">
        <f t="shared" ca="1" si="179"/>
        <v>0.16943256749999999</v>
      </c>
      <c r="G613">
        <v>0</v>
      </c>
      <c r="H613">
        <v>0</v>
      </c>
      <c r="I613">
        <v>1</v>
      </c>
      <c r="J613" s="1">
        <f t="shared" ca="1" si="180"/>
        <v>1.4843750000000054E-6</v>
      </c>
      <c r="K613" s="1">
        <f t="shared" ca="1" si="181"/>
        <v>2.5150146738281339E-7</v>
      </c>
      <c r="L613" s="13">
        <f t="shared" ca="1" si="182"/>
        <v>20</v>
      </c>
      <c r="M613" s="7">
        <f t="shared" ca="1" si="183"/>
        <v>980</v>
      </c>
      <c r="N613" s="26">
        <f t="shared" ca="1" si="184"/>
        <v>4</v>
      </c>
      <c r="O613" s="44">
        <f t="shared" ca="1" si="185"/>
        <v>2.8910364854084887</v>
      </c>
      <c r="P613" s="44">
        <f t="shared" ca="1" si="186"/>
        <v>28.910364854084886</v>
      </c>
      <c r="Q613" s="44">
        <f t="shared" ca="1" si="187"/>
        <v>28.910364854084886</v>
      </c>
      <c r="R613" s="44">
        <f t="shared" ca="1" si="188"/>
        <v>2.8910364854084887</v>
      </c>
      <c r="S613" s="44">
        <f t="shared" ca="1" si="189"/>
        <v>2.8910364854084882</v>
      </c>
      <c r="T613" s="4">
        <f t="shared" ca="1" si="190"/>
        <v>7.2709991833748631E-7</v>
      </c>
      <c r="U613" s="120">
        <f t="shared" ca="1" si="191"/>
        <v>1480.6349838037554</v>
      </c>
      <c r="V613" s="4">
        <f t="shared" ca="1" si="192"/>
        <v>3.7238187108497262E-4</v>
      </c>
      <c r="W613" s="13">
        <f t="shared" ca="1" si="193"/>
        <v>4027.7250000000004</v>
      </c>
      <c r="X613" s="4">
        <f t="shared" ca="1" si="194"/>
        <v>1.0129787477144421E-3</v>
      </c>
      <c r="Y613" s="4">
        <f t="shared" si="195"/>
        <v>0</v>
      </c>
      <c r="Z613" s="13">
        <f t="shared" ca="1" si="196"/>
        <v>4027.7250000000004</v>
      </c>
      <c r="AA613" s="4">
        <f t="shared" ca="1" si="197"/>
        <v>1.0129787477144421E-3</v>
      </c>
    </row>
    <row r="614" spans="1:27">
      <c r="A614">
        <v>0</v>
      </c>
      <c r="B614">
        <v>1</v>
      </c>
      <c r="C614">
        <f t="shared" ca="1" si="176"/>
        <v>6</v>
      </c>
      <c r="D614">
        <f t="shared" ca="1" si="177"/>
        <v>5</v>
      </c>
      <c r="E614">
        <f t="shared" ca="1" si="178"/>
        <v>0</v>
      </c>
      <c r="F614" s="110">
        <f t="shared" ca="1" si="179"/>
        <v>0.16943256749999999</v>
      </c>
      <c r="G614">
        <v>0</v>
      </c>
      <c r="H614">
        <v>0</v>
      </c>
      <c r="I614">
        <v>0</v>
      </c>
      <c r="J614" s="1">
        <f t="shared" ca="1" si="180"/>
        <v>1.5625000000000072E-8</v>
      </c>
      <c r="K614" s="1">
        <f t="shared" ca="1" si="181"/>
        <v>2.647383867187512E-9</v>
      </c>
      <c r="L614" s="13">
        <f t="shared" ca="1" si="182"/>
        <v>0</v>
      </c>
      <c r="M614" s="7">
        <f t="shared" ca="1" si="183"/>
        <v>1000</v>
      </c>
      <c r="N614" s="26">
        <f t="shared" ca="1" si="184"/>
        <v>4</v>
      </c>
      <c r="O614" s="44">
        <f t="shared" ca="1" si="185"/>
        <v>2.8910364854084887</v>
      </c>
      <c r="P614" s="44">
        <f t="shared" ca="1" si="186"/>
        <v>28.910364854084886</v>
      </c>
      <c r="Q614" s="44">
        <f t="shared" ca="1" si="187"/>
        <v>28.910364854084886</v>
      </c>
      <c r="R614" s="44">
        <f t="shared" ca="1" si="188"/>
        <v>2.8910364854084887</v>
      </c>
      <c r="S614" s="44">
        <f t="shared" ca="1" si="189"/>
        <v>2.8910364854084882</v>
      </c>
      <c r="T614" s="4">
        <f t="shared" ca="1" si="190"/>
        <v>7.6536833509209161E-9</v>
      </c>
      <c r="U614" s="120">
        <f t="shared" ca="1" si="191"/>
        <v>1460.6349838037554</v>
      </c>
      <c r="V614" s="4">
        <f t="shared" ca="1" si="192"/>
        <v>3.8668614919717547E-6</v>
      </c>
      <c r="W614" s="13">
        <f t="shared" ca="1" si="193"/>
        <v>0</v>
      </c>
      <c r="X614" s="4">
        <f t="shared" ca="1" si="194"/>
        <v>0</v>
      </c>
      <c r="Y614" s="4">
        <f t="shared" si="195"/>
        <v>0</v>
      </c>
      <c r="Z614" s="13">
        <f t="shared" ca="1" si="196"/>
        <v>0</v>
      </c>
      <c r="AA614" s="4">
        <f t="shared" ca="1" si="197"/>
        <v>0</v>
      </c>
    </row>
    <row r="615" spans="1:27">
      <c r="A615">
        <v>0</v>
      </c>
      <c r="B615">
        <v>2</v>
      </c>
      <c r="C615">
        <f t="shared" ref="C615:C678" ca="1" si="198">MIN(8, 1+$B$543+$B$542+A615+B615)</f>
        <v>7</v>
      </c>
      <c r="D615">
        <f t="shared" ref="D615:D678" ca="1" si="199">C615-(1+$B$543)</f>
        <v>6</v>
      </c>
      <c r="E615">
        <f t="shared" ref="E615:E678" ca="1" si="200">MIN(A615, C615-(1+$B$543+$B$542))</f>
        <v>0</v>
      </c>
      <c r="F615" s="110">
        <f t="shared" ref="F615:F678" ca="1" si="201">IF(A615=3, Set2QA, IF(A615=2, (1-Set2QA)*Set2TA + (1-Set2QA)*(1-Set2TA)*(1-Set2DA)*Set2AM3*Set2AM33, IF(A615=1, (1-Set2QA)*(1-Set2TA)*Set2DA + (1-Set2QA)*(1-Set2TA)*(1-Set2DA)*Set2AM3*Set2AM32, (1-Set2QA)*(1-Set2TA)*(1-Set2DA)*(1-Set2AM3)))) * IF($B$542+$B$543&gt;0, IF(B615=3, Set2QA, IF(B615=2, (1-Set2QA)*Set2TA, IF(B615=1, (1-Set2QA)*(1-Set2TA)*Set2DA, (1-Set2QA)*(1-Set2TA)*(1-Set2DA)))), IF(B615=0, 1, 0))</f>
        <v>1.383123E-2</v>
      </c>
      <c r="G615">
        <v>1</v>
      </c>
      <c r="H615">
        <v>1</v>
      </c>
      <c r="I615">
        <v>7</v>
      </c>
      <c r="J615" s="1">
        <f t="shared" ref="J615:J678" ca="1" si="202">POWER(95%,G615)*POWER(5%, 1-G615) * IF($B$543=0, IF(H615=0, 1, 0), POWER(Set2WSHitRate,H615)*POWER(1-Set2WSHitRate, 1-H615)) * IF(I615&lt;=D615, POWER(Set2WSHitRate, I615)*POWER(1-Set2WSHitRate, D615-I615)*COMBIN(D615,I615), 0)</f>
        <v>0</v>
      </c>
      <c r="K615" s="1">
        <f t="shared" ref="K615:K678" ca="1" si="203">F615*J615</f>
        <v>0</v>
      </c>
      <c r="L615" s="13">
        <f t="shared" ref="L615:L678" ca="1" si="204">MAX((G615+H615)*Set2WSTP + I615*$B$539, Set2SaveTP)</f>
        <v>648</v>
      </c>
      <c r="M615" s="7">
        <f t="shared" ref="M615:M678" ca="1" si="205">MAX(Set2MinTP-(L615+Set2Regain), 0)</f>
        <v>352</v>
      </c>
      <c r="N615" s="26">
        <f t="shared" ref="N615:N678" ca="1" si="206">CEILING(M615/Set2MeleeTP, 1)</f>
        <v>2</v>
      </c>
      <c r="O615" s="44">
        <f t="shared" ref="O615:O678" ca="1" si="207">VLOOKUP(N615, AvgRoundsSet2, 2)</f>
        <v>1.5942243152407929</v>
      </c>
      <c r="P615" s="44">
        <f t="shared" ref="P615:P678" ca="1" si="208">VLOOKUP(CEILING(MAX(M615-1, 0)/Set2MeleeTP, 1), AvgRoundsSet2, 2) + VLOOKUP(CEILING(MAX(M615-2, 0)/Set2MeleeTP, 1), AvgRoundsSet2, 2) + VLOOKUP(CEILING(MAX(M615-3, 0)/Set2MeleeTP, 1), AvgRoundsSet2, 2) + VLOOKUP(CEILING(MAX(M615-4, 0)/Set2MeleeTP, 1), AvgRoundsSet2, 2) + VLOOKUP(CEILING(MAX(M615-5, 0)/Set2MeleeTP, 1), AvgRoundsSet2, 2) + VLOOKUP(CEILING(MAX(M615-6, 0)/Set2MeleeTP, 1), AvgRoundsSet2, 2) + VLOOKUP(CEILING(MAX(M615-7, 0)/Set2MeleeTP, 1), AvgRoundsSet2, 2) + VLOOKUP(CEILING(MAX(M615-8, 0)/Set2MeleeTP, 1), AvgRoundsSet2, 2) + VLOOKUP(CEILING(MAX(M615-9, 0)/Set2MeleeTP, 1), AvgRoundsSet2, 2) + VLOOKUP(CEILING(MAX(M615-10, 0)/Set2MeleeTP, 1), AvgRoundsSet2, 2)</f>
        <v>15.942243152407926</v>
      </c>
      <c r="Q615" s="44">
        <f t="shared" ref="Q615:Q678" ca="1" si="209">VLOOKUP(CEILING(MAX(M615-11, 0)/Set2MeleeTP, 1), AvgRoundsSet2, 2) + VLOOKUP(CEILING(MAX(M615-12, 0)/Set2MeleeTP, 1), AvgRoundsSet2, 2) + VLOOKUP(CEILING(MAX(M615-13, 0)/Set2MeleeTP, 1), AvgRoundsSet2, 2) + VLOOKUP(CEILING(MAX(M615-14, 0)/Set2MeleeTP, 1), AvgRoundsSet2, 2) + VLOOKUP(CEILING(MAX(M615-15, 0)/Set2MeleeTP, 1), AvgRoundsSet2, 2) + VLOOKUP(CEILING(MAX(M615-16, 0)/Set2MeleeTP, 1), AvgRoundsSet2, 2) + VLOOKUP(CEILING(MAX(M615-17, 0)/Set2MeleeTP, 1), AvgRoundsSet2, 2) + VLOOKUP(CEILING(MAX(M615-18, 0)/Set2MeleeTP, 1), AvgRoundsSet2, 2) + VLOOKUP(CEILING(MAX(M615-19, 0)/Set2MeleeTP, 1), AvgRoundsSet2, 2) + VLOOKUP(CEILING(MAX(M615-20, 0)/Set2MeleeTP, 1), AvgRoundsSet2, 2)</f>
        <v>15.942243152407926</v>
      </c>
      <c r="R615" s="44">
        <f t="shared" ref="R615:R678" ca="1" si="210">(P615+Q615)/20</f>
        <v>1.5942243152407927</v>
      </c>
      <c r="S615" s="44">
        <f t="shared" ref="S615:S678" ca="1" si="211">R615*Set2ConserveTP + O615*(1-Set2ConserveTP)</f>
        <v>1.5942243152407927</v>
      </c>
      <c r="T615" s="4">
        <f t="shared" ref="T615:T678" ca="1" si="212">K615*S615</f>
        <v>0</v>
      </c>
      <c r="U615" s="120">
        <f t="shared" ref="U615:U678" ca="1" si="213">MIN(L615+(S615+Set2OverTP)*AvgHitsPerRound2*Set2MeleeTP + Set2Regain + 10.5*Set2ConserveTP, 3000)</f>
        <v>1550.3348669012169</v>
      </c>
      <c r="V615" s="4">
        <f t="shared" ref="V615:V678" ca="1" si="214">U615*K615</f>
        <v>0</v>
      </c>
      <c r="W615" s="13">
        <f t="shared" ref="W615:W678" ca="1" si="215">G615*$K$543*((1-$L$543)*$L$547 + $L$543*$M$547*$M$543)*Set2WSDmg + H615*$K$546*((1-$L$546)*$L$548 + $L$546*$M$548*$M$544) + I615*$K$544*((1-$L$544)*$L$547 + $L$544*$M$547*$M$544) + E615*$K$545*$L$545*$M$543</f>
        <v>32946.790500000003</v>
      </c>
      <c r="X615" s="4">
        <f t="shared" ref="X615:X678" ca="1" si="216">K615*W615</f>
        <v>0</v>
      </c>
      <c r="Y615" s="4">
        <f t="shared" ref="Y615:Y678" si="217">IF($B$545=1, (VLOOKUP(C615, IF($B$546=10%,Souleater10,Souleater12), 6, FALSE) * $B$547), 0)</f>
        <v>0</v>
      </c>
      <c r="Z615" s="13">
        <f t="shared" ca="1" si="196"/>
        <v>32946.790500000003</v>
      </c>
      <c r="AA615" s="4">
        <f t="shared" ca="1" si="197"/>
        <v>0</v>
      </c>
    </row>
    <row r="616" spans="1:27">
      <c r="A616">
        <v>0</v>
      </c>
      <c r="B616">
        <v>2</v>
      </c>
      <c r="C616">
        <f t="shared" ca="1" si="198"/>
        <v>7</v>
      </c>
      <c r="D616">
        <f t="shared" ca="1" si="199"/>
        <v>6</v>
      </c>
      <c r="E616">
        <f t="shared" ca="1" si="200"/>
        <v>0</v>
      </c>
      <c r="F616" s="110">
        <f t="shared" ca="1" si="201"/>
        <v>1.383123E-2</v>
      </c>
      <c r="G616">
        <v>1</v>
      </c>
      <c r="H616">
        <v>1</v>
      </c>
      <c r="I616">
        <v>6</v>
      </c>
      <c r="J616" s="1">
        <f t="shared" ca="1" si="202"/>
        <v>0</v>
      </c>
      <c r="K616" s="1">
        <f t="shared" ca="1" si="203"/>
        <v>0</v>
      </c>
      <c r="L616" s="13">
        <f t="shared" ca="1" si="204"/>
        <v>628</v>
      </c>
      <c r="M616" s="7">
        <f t="shared" ca="1" si="205"/>
        <v>372</v>
      </c>
      <c r="N616" s="26">
        <f t="shared" ca="1" si="206"/>
        <v>2</v>
      </c>
      <c r="O616" s="44">
        <f t="shared" ca="1" si="207"/>
        <v>1.5942243152407929</v>
      </c>
      <c r="P616" s="44">
        <f t="shared" ca="1" si="208"/>
        <v>15.942243152407926</v>
      </c>
      <c r="Q616" s="44">
        <f t="shared" ca="1" si="209"/>
        <v>15.942243152407926</v>
      </c>
      <c r="R616" s="44">
        <f t="shared" ca="1" si="210"/>
        <v>1.5942243152407927</v>
      </c>
      <c r="S616" s="44">
        <f t="shared" ca="1" si="211"/>
        <v>1.5942243152407927</v>
      </c>
      <c r="T616" s="4">
        <f t="shared" ca="1" si="212"/>
        <v>0</v>
      </c>
      <c r="U616" s="120">
        <f t="shared" ca="1" si="213"/>
        <v>1530.3348669012169</v>
      </c>
      <c r="V616" s="4">
        <f t="shared" ca="1" si="214"/>
        <v>0</v>
      </c>
      <c r="W616" s="13">
        <f t="shared" ca="1" si="215"/>
        <v>28919.065500000004</v>
      </c>
      <c r="X616" s="4">
        <f t="shared" ca="1" si="216"/>
        <v>0</v>
      </c>
      <c r="Y616" s="4">
        <f t="shared" si="217"/>
        <v>0</v>
      </c>
      <c r="Z616" s="13">
        <f t="shared" ref="Z616:Z679" ca="1" si="218">Y616+W616</f>
        <v>28919.065500000004</v>
      </c>
      <c r="AA616" s="4">
        <f t="shared" ref="AA616:AA679" ca="1" si="219">Z616*K616</f>
        <v>0</v>
      </c>
    </row>
    <row r="617" spans="1:27">
      <c r="A617">
        <v>0</v>
      </c>
      <c r="B617">
        <v>2</v>
      </c>
      <c r="C617">
        <f t="shared" ca="1" si="198"/>
        <v>7</v>
      </c>
      <c r="D617">
        <f t="shared" ca="1" si="199"/>
        <v>6</v>
      </c>
      <c r="E617">
        <f t="shared" ca="1" si="200"/>
        <v>0</v>
      </c>
      <c r="F617" s="110">
        <f t="shared" ca="1" si="201"/>
        <v>1.383123E-2</v>
      </c>
      <c r="G617">
        <v>1</v>
      </c>
      <c r="H617">
        <v>1</v>
      </c>
      <c r="I617">
        <v>5</v>
      </c>
      <c r="J617" s="1">
        <f t="shared" ca="1" si="202"/>
        <v>0</v>
      </c>
      <c r="K617" s="1">
        <f t="shared" ca="1" si="203"/>
        <v>0</v>
      </c>
      <c r="L617" s="13">
        <f t="shared" ca="1" si="204"/>
        <v>608</v>
      </c>
      <c r="M617" s="7">
        <f t="shared" ca="1" si="205"/>
        <v>392</v>
      </c>
      <c r="N617" s="26">
        <f t="shared" ca="1" si="206"/>
        <v>2</v>
      </c>
      <c r="O617" s="44">
        <f t="shared" ca="1" si="207"/>
        <v>1.5942243152407929</v>
      </c>
      <c r="P617" s="44">
        <f t="shared" ca="1" si="208"/>
        <v>15.942243152407926</v>
      </c>
      <c r="Q617" s="44">
        <f t="shared" ca="1" si="209"/>
        <v>15.942243152407926</v>
      </c>
      <c r="R617" s="44">
        <f t="shared" ca="1" si="210"/>
        <v>1.5942243152407927</v>
      </c>
      <c r="S617" s="44">
        <f t="shared" ca="1" si="211"/>
        <v>1.5942243152407927</v>
      </c>
      <c r="T617" s="4">
        <f t="shared" ca="1" si="212"/>
        <v>0</v>
      </c>
      <c r="U617" s="120">
        <f t="shared" ca="1" si="213"/>
        <v>1510.3348669012169</v>
      </c>
      <c r="V617" s="4">
        <f t="shared" ca="1" si="214"/>
        <v>0</v>
      </c>
      <c r="W617" s="13">
        <f t="shared" ca="1" si="215"/>
        <v>24891.340500000002</v>
      </c>
      <c r="X617" s="4">
        <f t="shared" ca="1" si="216"/>
        <v>0</v>
      </c>
      <c r="Y617" s="4">
        <f t="shared" si="217"/>
        <v>0</v>
      </c>
      <c r="Z617" s="13">
        <f t="shared" ca="1" si="218"/>
        <v>24891.340500000002</v>
      </c>
      <c r="AA617" s="4">
        <f t="shared" ca="1" si="219"/>
        <v>0</v>
      </c>
    </row>
    <row r="618" spans="1:27">
      <c r="A618">
        <v>0</v>
      </c>
      <c r="B618">
        <v>2</v>
      </c>
      <c r="C618">
        <f t="shared" ca="1" si="198"/>
        <v>7</v>
      </c>
      <c r="D618">
        <f t="shared" ca="1" si="199"/>
        <v>6</v>
      </c>
      <c r="E618">
        <f t="shared" ca="1" si="200"/>
        <v>0</v>
      </c>
      <c r="F618" s="110">
        <f t="shared" ca="1" si="201"/>
        <v>1.383123E-2</v>
      </c>
      <c r="G618">
        <v>1</v>
      </c>
      <c r="H618">
        <v>1</v>
      </c>
      <c r="I618">
        <v>4</v>
      </c>
      <c r="J618" s="1">
        <f t="shared" ca="1" si="202"/>
        <v>0</v>
      </c>
      <c r="K618" s="1">
        <f t="shared" ca="1" si="203"/>
        <v>0</v>
      </c>
      <c r="L618" s="13">
        <f t="shared" ca="1" si="204"/>
        <v>588</v>
      </c>
      <c r="M618" s="7">
        <f t="shared" ca="1" si="205"/>
        <v>412</v>
      </c>
      <c r="N618" s="26">
        <f t="shared" ca="1" si="206"/>
        <v>2</v>
      </c>
      <c r="O618" s="44">
        <f t="shared" ca="1" si="207"/>
        <v>1.5942243152407929</v>
      </c>
      <c r="P618" s="44">
        <f t="shared" ca="1" si="208"/>
        <v>15.942243152407926</v>
      </c>
      <c r="Q618" s="44">
        <f t="shared" ca="1" si="209"/>
        <v>15.942243152407926</v>
      </c>
      <c r="R618" s="44">
        <f t="shared" ca="1" si="210"/>
        <v>1.5942243152407927</v>
      </c>
      <c r="S618" s="44">
        <f t="shared" ca="1" si="211"/>
        <v>1.5942243152407927</v>
      </c>
      <c r="T618" s="4">
        <f t="shared" ca="1" si="212"/>
        <v>0</v>
      </c>
      <c r="U618" s="120">
        <f t="shared" ca="1" si="213"/>
        <v>1490.3348669012169</v>
      </c>
      <c r="V618" s="4">
        <f t="shared" ca="1" si="214"/>
        <v>0</v>
      </c>
      <c r="W618" s="13">
        <f t="shared" ca="1" si="215"/>
        <v>20863.615500000004</v>
      </c>
      <c r="X618" s="4">
        <f t="shared" ca="1" si="216"/>
        <v>0</v>
      </c>
      <c r="Y618" s="4">
        <f t="shared" si="217"/>
        <v>0</v>
      </c>
      <c r="Z618" s="13">
        <f t="shared" ca="1" si="218"/>
        <v>20863.615500000004</v>
      </c>
      <c r="AA618" s="4">
        <f t="shared" ca="1" si="219"/>
        <v>0</v>
      </c>
    </row>
    <row r="619" spans="1:27">
      <c r="A619">
        <v>0</v>
      </c>
      <c r="B619">
        <v>2</v>
      </c>
      <c r="C619">
        <f t="shared" ca="1" si="198"/>
        <v>7</v>
      </c>
      <c r="D619">
        <f t="shared" ca="1" si="199"/>
        <v>6</v>
      </c>
      <c r="E619">
        <f t="shared" ca="1" si="200"/>
        <v>0</v>
      </c>
      <c r="F619" s="110">
        <f t="shared" ca="1" si="201"/>
        <v>1.383123E-2</v>
      </c>
      <c r="G619">
        <v>1</v>
      </c>
      <c r="H619">
        <v>1</v>
      </c>
      <c r="I619">
        <v>3</v>
      </c>
      <c r="J619" s="1">
        <f t="shared" ca="1" si="202"/>
        <v>0</v>
      </c>
      <c r="K619" s="1">
        <f t="shared" ca="1" si="203"/>
        <v>0</v>
      </c>
      <c r="L619" s="13">
        <f t="shared" ca="1" si="204"/>
        <v>568</v>
      </c>
      <c r="M619" s="7">
        <f t="shared" ca="1" si="205"/>
        <v>432</v>
      </c>
      <c r="N619" s="26">
        <f t="shared" ca="1" si="206"/>
        <v>2</v>
      </c>
      <c r="O619" s="44">
        <f t="shared" ca="1" si="207"/>
        <v>1.5942243152407929</v>
      </c>
      <c r="P619" s="44">
        <f t="shared" ca="1" si="208"/>
        <v>15.942243152407926</v>
      </c>
      <c r="Q619" s="44">
        <f t="shared" ca="1" si="209"/>
        <v>15.942243152407926</v>
      </c>
      <c r="R619" s="44">
        <f t="shared" ca="1" si="210"/>
        <v>1.5942243152407927</v>
      </c>
      <c r="S619" s="44">
        <f t="shared" ca="1" si="211"/>
        <v>1.5942243152407927</v>
      </c>
      <c r="T619" s="4">
        <f t="shared" ca="1" si="212"/>
        <v>0</v>
      </c>
      <c r="U619" s="120">
        <f t="shared" ca="1" si="213"/>
        <v>1470.3348669012169</v>
      </c>
      <c r="V619" s="4">
        <f t="shared" ca="1" si="214"/>
        <v>0</v>
      </c>
      <c r="W619" s="13">
        <f t="shared" ca="1" si="215"/>
        <v>16835.890500000001</v>
      </c>
      <c r="X619" s="4">
        <f t="shared" ca="1" si="216"/>
        <v>0</v>
      </c>
      <c r="Y619" s="4">
        <f t="shared" si="217"/>
        <v>0</v>
      </c>
      <c r="Z619" s="13">
        <f t="shared" ca="1" si="218"/>
        <v>16835.890500000001</v>
      </c>
      <c r="AA619" s="4">
        <f t="shared" ca="1" si="219"/>
        <v>0</v>
      </c>
    </row>
    <row r="620" spans="1:27">
      <c r="A620">
        <v>0</v>
      </c>
      <c r="B620">
        <v>2</v>
      </c>
      <c r="C620">
        <f t="shared" ca="1" si="198"/>
        <v>7</v>
      </c>
      <c r="D620">
        <f t="shared" ca="1" si="199"/>
        <v>6</v>
      </c>
      <c r="E620">
        <f t="shared" ca="1" si="200"/>
        <v>0</v>
      </c>
      <c r="F620" s="110">
        <f t="shared" ca="1" si="201"/>
        <v>1.383123E-2</v>
      </c>
      <c r="G620">
        <v>1</v>
      </c>
      <c r="H620">
        <v>1</v>
      </c>
      <c r="I620">
        <v>2</v>
      </c>
      <c r="J620" s="1">
        <f t="shared" ca="1" si="202"/>
        <v>0</v>
      </c>
      <c r="K620" s="1">
        <f t="shared" ca="1" si="203"/>
        <v>0</v>
      </c>
      <c r="L620" s="13">
        <f t="shared" ca="1" si="204"/>
        <v>548</v>
      </c>
      <c r="M620" s="7">
        <f t="shared" ca="1" si="205"/>
        <v>452</v>
      </c>
      <c r="N620" s="26">
        <f t="shared" ca="1" si="206"/>
        <v>2</v>
      </c>
      <c r="O620" s="44">
        <f t="shared" ca="1" si="207"/>
        <v>1.5942243152407929</v>
      </c>
      <c r="P620" s="44">
        <f t="shared" ca="1" si="208"/>
        <v>15.942243152407926</v>
      </c>
      <c r="Q620" s="44">
        <f t="shared" ca="1" si="209"/>
        <v>15.942243152407926</v>
      </c>
      <c r="R620" s="44">
        <f t="shared" ca="1" si="210"/>
        <v>1.5942243152407927</v>
      </c>
      <c r="S620" s="44">
        <f t="shared" ca="1" si="211"/>
        <v>1.5942243152407927</v>
      </c>
      <c r="T620" s="4">
        <f t="shared" ca="1" si="212"/>
        <v>0</v>
      </c>
      <c r="U620" s="120">
        <f t="shared" ca="1" si="213"/>
        <v>1450.3348669012169</v>
      </c>
      <c r="V620" s="4">
        <f t="shared" ca="1" si="214"/>
        <v>0</v>
      </c>
      <c r="W620" s="13">
        <f t="shared" ca="1" si="215"/>
        <v>12808.165500000003</v>
      </c>
      <c r="X620" s="4">
        <f t="shared" ca="1" si="216"/>
        <v>0</v>
      </c>
      <c r="Y620" s="4">
        <f t="shared" si="217"/>
        <v>0</v>
      </c>
      <c r="Z620" s="13">
        <f t="shared" ca="1" si="218"/>
        <v>12808.165500000003</v>
      </c>
      <c r="AA620" s="4">
        <f t="shared" ca="1" si="219"/>
        <v>0</v>
      </c>
    </row>
    <row r="621" spans="1:27">
      <c r="A621">
        <v>0</v>
      </c>
      <c r="B621">
        <v>2</v>
      </c>
      <c r="C621">
        <f t="shared" ca="1" si="198"/>
        <v>7</v>
      </c>
      <c r="D621">
        <f t="shared" ca="1" si="199"/>
        <v>6</v>
      </c>
      <c r="E621">
        <f t="shared" ca="1" si="200"/>
        <v>0</v>
      </c>
      <c r="F621" s="110">
        <f t="shared" ca="1" si="201"/>
        <v>1.383123E-2</v>
      </c>
      <c r="G621">
        <v>1</v>
      </c>
      <c r="H621">
        <v>1</v>
      </c>
      <c r="I621">
        <v>1</v>
      </c>
      <c r="J621" s="1">
        <f t="shared" ca="1" si="202"/>
        <v>0</v>
      </c>
      <c r="K621" s="1">
        <f t="shared" ca="1" si="203"/>
        <v>0</v>
      </c>
      <c r="L621" s="13">
        <f t="shared" ca="1" si="204"/>
        <v>528</v>
      </c>
      <c r="M621" s="7">
        <f t="shared" ca="1" si="205"/>
        <v>472</v>
      </c>
      <c r="N621" s="26">
        <f t="shared" ca="1" si="206"/>
        <v>2</v>
      </c>
      <c r="O621" s="44">
        <f t="shared" ca="1" si="207"/>
        <v>1.5942243152407929</v>
      </c>
      <c r="P621" s="44">
        <f t="shared" ca="1" si="208"/>
        <v>15.942243152407926</v>
      </c>
      <c r="Q621" s="44">
        <f t="shared" ca="1" si="209"/>
        <v>15.942243152407926</v>
      </c>
      <c r="R621" s="44">
        <f t="shared" ca="1" si="210"/>
        <v>1.5942243152407927</v>
      </c>
      <c r="S621" s="44">
        <f t="shared" ca="1" si="211"/>
        <v>1.5942243152407927</v>
      </c>
      <c r="T621" s="4">
        <f t="shared" ca="1" si="212"/>
        <v>0</v>
      </c>
      <c r="U621" s="120">
        <f t="shared" ca="1" si="213"/>
        <v>1430.3348669012169</v>
      </c>
      <c r="V621" s="4">
        <f t="shared" ca="1" si="214"/>
        <v>0</v>
      </c>
      <c r="W621" s="13">
        <f t="shared" ca="1" si="215"/>
        <v>8780.4405000000006</v>
      </c>
      <c r="X621" s="4">
        <f t="shared" ca="1" si="216"/>
        <v>0</v>
      </c>
      <c r="Y621" s="4">
        <f t="shared" si="217"/>
        <v>0</v>
      </c>
      <c r="Z621" s="13">
        <f t="shared" ca="1" si="218"/>
        <v>8780.4405000000006</v>
      </c>
      <c r="AA621" s="4">
        <f t="shared" ca="1" si="219"/>
        <v>0</v>
      </c>
    </row>
    <row r="622" spans="1:27">
      <c r="A622">
        <v>0</v>
      </c>
      <c r="B622">
        <v>2</v>
      </c>
      <c r="C622">
        <f t="shared" ca="1" si="198"/>
        <v>7</v>
      </c>
      <c r="D622">
        <f t="shared" ca="1" si="199"/>
        <v>6</v>
      </c>
      <c r="E622">
        <f t="shared" ca="1" si="200"/>
        <v>0</v>
      </c>
      <c r="F622" s="110">
        <f t="shared" ca="1" si="201"/>
        <v>1.383123E-2</v>
      </c>
      <c r="G622">
        <v>1</v>
      </c>
      <c r="H622">
        <v>1</v>
      </c>
      <c r="I622">
        <v>0</v>
      </c>
      <c r="J622" s="1">
        <f t="shared" ca="1" si="202"/>
        <v>0</v>
      </c>
      <c r="K622" s="1">
        <f t="shared" ca="1" si="203"/>
        <v>0</v>
      </c>
      <c r="L622" s="13">
        <f t="shared" ca="1" si="204"/>
        <v>508</v>
      </c>
      <c r="M622" s="7">
        <f t="shared" ca="1" si="205"/>
        <v>492</v>
      </c>
      <c r="N622" s="26">
        <f t="shared" ca="1" si="206"/>
        <v>2</v>
      </c>
      <c r="O622" s="44">
        <f t="shared" ca="1" si="207"/>
        <v>1.5942243152407929</v>
      </c>
      <c r="P622" s="44">
        <f t="shared" ca="1" si="208"/>
        <v>15.942243152407926</v>
      </c>
      <c r="Q622" s="44">
        <f t="shared" ca="1" si="209"/>
        <v>15.942243152407926</v>
      </c>
      <c r="R622" s="44">
        <f t="shared" ca="1" si="210"/>
        <v>1.5942243152407927</v>
      </c>
      <c r="S622" s="44">
        <f t="shared" ca="1" si="211"/>
        <v>1.5942243152407927</v>
      </c>
      <c r="T622" s="4">
        <f t="shared" ca="1" si="212"/>
        <v>0</v>
      </c>
      <c r="U622" s="120">
        <f t="shared" ca="1" si="213"/>
        <v>1410.3348669012169</v>
      </c>
      <c r="V622" s="4">
        <f t="shared" ca="1" si="214"/>
        <v>0</v>
      </c>
      <c r="W622" s="13">
        <f t="shared" ca="1" si="215"/>
        <v>4752.7155000000012</v>
      </c>
      <c r="X622" s="4">
        <f t="shared" ca="1" si="216"/>
        <v>0</v>
      </c>
      <c r="Y622" s="4">
        <f t="shared" si="217"/>
        <v>0</v>
      </c>
      <c r="Z622" s="13">
        <f t="shared" ca="1" si="218"/>
        <v>4752.7155000000012</v>
      </c>
      <c r="AA622" s="4">
        <f t="shared" ca="1" si="219"/>
        <v>0</v>
      </c>
    </row>
    <row r="623" spans="1:27">
      <c r="A623">
        <v>0</v>
      </c>
      <c r="B623">
        <v>2</v>
      </c>
      <c r="C623">
        <f t="shared" ca="1" si="198"/>
        <v>7</v>
      </c>
      <c r="D623">
        <f t="shared" ca="1" si="199"/>
        <v>6</v>
      </c>
      <c r="E623">
        <f t="shared" ca="1" si="200"/>
        <v>0</v>
      </c>
      <c r="F623" s="110">
        <f t="shared" ca="1" si="201"/>
        <v>1.383123E-2</v>
      </c>
      <c r="G623">
        <v>1</v>
      </c>
      <c r="H623">
        <v>0</v>
      </c>
      <c r="I623">
        <v>7</v>
      </c>
      <c r="J623" s="1">
        <f t="shared" ca="1" si="202"/>
        <v>0</v>
      </c>
      <c r="K623" s="1">
        <f t="shared" ca="1" si="203"/>
        <v>0</v>
      </c>
      <c r="L623" s="13">
        <f t="shared" ca="1" si="204"/>
        <v>394</v>
      </c>
      <c r="M623" s="7">
        <f t="shared" ca="1" si="205"/>
        <v>606</v>
      </c>
      <c r="N623" s="26">
        <f t="shared" ca="1" si="206"/>
        <v>3</v>
      </c>
      <c r="O623" s="44">
        <f t="shared" ca="1" si="207"/>
        <v>2.2641455309069398</v>
      </c>
      <c r="P623" s="44">
        <f t="shared" ca="1" si="208"/>
        <v>22.641455309069404</v>
      </c>
      <c r="Q623" s="44">
        <f t="shared" ca="1" si="209"/>
        <v>22.641455309069404</v>
      </c>
      <c r="R623" s="44">
        <f t="shared" ca="1" si="210"/>
        <v>2.2641455309069403</v>
      </c>
      <c r="S623" s="44">
        <f t="shared" ca="1" si="211"/>
        <v>2.2641455309069398</v>
      </c>
      <c r="T623" s="4">
        <f t="shared" ca="1" si="212"/>
        <v>0</v>
      </c>
      <c r="U623" s="120">
        <f t="shared" ca="1" si="213"/>
        <v>1584.7475619899244</v>
      </c>
      <c r="V623" s="4">
        <f t="shared" ca="1" si="214"/>
        <v>0</v>
      </c>
      <c r="W623" s="13">
        <f t="shared" ca="1" si="215"/>
        <v>32946.790500000003</v>
      </c>
      <c r="X623" s="4">
        <f t="shared" ca="1" si="216"/>
        <v>0</v>
      </c>
      <c r="Y623" s="4">
        <f t="shared" si="217"/>
        <v>0</v>
      </c>
      <c r="Z623" s="13">
        <f t="shared" ca="1" si="218"/>
        <v>32946.790500000003</v>
      </c>
      <c r="AA623" s="4">
        <f t="shared" ca="1" si="219"/>
        <v>0</v>
      </c>
    </row>
    <row r="624" spans="1:27">
      <c r="A624">
        <v>0</v>
      </c>
      <c r="B624">
        <v>2</v>
      </c>
      <c r="C624">
        <f t="shared" ca="1" si="198"/>
        <v>7</v>
      </c>
      <c r="D624">
        <f t="shared" ca="1" si="199"/>
        <v>6</v>
      </c>
      <c r="E624">
        <f t="shared" ca="1" si="200"/>
        <v>0</v>
      </c>
      <c r="F624" s="110">
        <f t="shared" ca="1" si="201"/>
        <v>1.383123E-2</v>
      </c>
      <c r="G624">
        <v>1</v>
      </c>
      <c r="H624">
        <v>0</v>
      </c>
      <c r="I624">
        <v>6</v>
      </c>
      <c r="J624" s="1">
        <f t="shared" ca="1" si="202"/>
        <v>0.69833729609374984</v>
      </c>
      <c r="K624" s="1">
        <f t="shared" ca="1" si="203"/>
        <v>9.6588637598507554E-3</v>
      </c>
      <c r="L624" s="13">
        <f t="shared" ca="1" si="204"/>
        <v>374</v>
      </c>
      <c r="M624" s="7">
        <f t="shared" ca="1" si="205"/>
        <v>626</v>
      </c>
      <c r="N624" s="26">
        <f t="shared" ca="1" si="206"/>
        <v>3</v>
      </c>
      <c r="O624" s="44">
        <f t="shared" ca="1" si="207"/>
        <v>2.2641455309069398</v>
      </c>
      <c r="P624" s="44">
        <f t="shared" ca="1" si="208"/>
        <v>22.641455309069404</v>
      </c>
      <c r="Q624" s="44">
        <f t="shared" ca="1" si="209"/>
        <v>22.641455309069404</v>
      </c>
      <c r="R624" s="44">
        <f t="shared" ca="1" si="210"/>
        <v>2.2641455309069403</v>
      </c>
      <c r="S624" s="44">
        <f t="shared" ca="1" si="211"/>
        <v>2.2641455309069398</v>
      </c>
      <c r="T624" s="4">
        <f t="shared" ca="1" si="212"/>
        <v>2.1869073215505089E-2</v>
      </c>
      <c r="U624" s="120">
        <f t="shared" ca="1" si="213"/>
        <v>1564.7475619899244</v>
      </c>
      <c r="V624" s="4">
        <f t="shared" ca="1" si="214"/>
        <v>15.113683519819304</v>
      </c>
      <c r="W624" s="13">
        <f t="shared" ca="1" si="215"/>
        <v>28919.065500000004</v>
      </c>
      <c r="X624" s="4">
        <f t="shared" ca="1" si="216"/>
        <v>279.3253137267003</v>
      </c>
      <c r="Y624" s="4">
        <f t="shared" si="217"/>
        <v>0</v>
      </c>
      <c r="Z624" s="13">
        <f t="shared" ca="1" si="218"/>
        <v>28919.065500000004</v>
      </c>
      <c r="AA624" s="4">
        <f t="shared" ca="1" si="219"/>
        <v>279.3253137267003</v>
      </c>
    </row>
    <row r="625" spans="1:27">
      <c r="A625">
        <v>0</v>
      </c>
      <c r="B625">
        <v>2</v>
      </c>
      <c r="C625">
        <f t="shared" ca="1" si="198"/>
        <v>7</v>
      </c>
      <c r="D625">
        <f t="shared" ca="1" si="199"/>
        <v>6</v>
      </c>
      <c r="E625">
        <f t="shared" ca="1" si="200"/>
        <v>0</v>
      </c>
      <c r="F625" s="110">
        <f t="shared" ca="1" si="201"/>
        <v>1.383123E-2</v>
      </c>
      <c r="G625">
        <v>1</v>
      </c>
      <c r="H625">
        <v>0</v>
      </c>
      <c r="I625">
        <v>5</v>
      </c>
      <c r="J625" s="1">
        <f t="shared" ca="1" si="202"/>
        <v>0.22052756718750019</v>
      </c>
      <c r="K625" s="1">
        <f t="shared" ca="1" si="203"/>
        <v>3.0501675031107682E-3</v>
      </c>
      <c r="L625" s="13">
        <f t="shared" ca="1" si="204"/>
        <v>354</v>
      </c>
      <c r="M625" s="7">
        <f t="shared" ca="1" si="205"/>
        <v>646</v>
      </c>
      <c r="N625" s="26">
        <f t="shared" ca="1" si="206"/>
        <v>3</v>
      </c>
      <c r="O625" s="44">
        <f t="shared" ca="1" si="207"/>
        <v>2.2641455309069398</v>
      </c>
      <c r="P625" s="44">
        <f t="shared" ca="1" si="208"/>
        <v>22.641455309069404</v>
      </c>
      <c r="Q625" s="44">
        <f t="shared" ca="1" si="209"/>
        <v>22.641455309069404</v>
      </c>
      <c r="R625" s="44">
        <f t="shared" ca="1" si="210"/>
        <v>2.2641455309069403</v>
      </c>
      <c r="S625" s="44">
        <f t="shared" ca="1" si="211"/>
        <v>2.2641455309069398</v>
      </c>
      <c r="T625" s="4">
        <f t="shared" ca="1" si="212"/>
        <v>6.9060231206858249E-3</v>
      </c>
      <c r="U625" s="120">
        <f t="shared" ca="1" si="213"/>
        <v>1544.7475619899244</v>
      </c>
      <c r="V625" s="4">
        <f t="shared" ca="1" si="214"/>
        <v>4.7117388140912544</v>
      </c>
      <c r="W625" s="13">
        <f t="shared" ca="1" si="215"/>
        <v>24891.340500000002</v>
      </c>
      <c r="X625" s="4">
        <f t="shared" ca="1" si="216"/>
        <v>75.922757901964943</v>
      </c>
      <c r="Y625" s="4">
        <f t="shared" si="217"/>
        <v>0</v>
      </c>
      <c r="Z625" s="13">
        <f t="shared" ca="1" si="218"/>
        <v>24891.340500000002</v>
      </c>
      <c r="AA625" s="4">
        <f t="shared" ca="1" si="219"/>
        <v>75.922757901964943</v>
      </c>
    </row>
    <row r="626" spans="1:27">
      <c r="A626">
        <v>0</v>
      </c>
      <c r="B626">
        <v>2</v>
      </c>
      <c r="C626">
        <f t="shared" ca="1" si="198"/>
        <v>7</v>
      </c>
      <c r="D626">
        <f t="shared" ca="1" si="199"/>
        <v>6</v>
      </c>
      <c r="E626">
        <f t="shared" ca="1" si="200"/>
        <v>0</v>
      </c>
      <c r="F626" s="110">
        <f t="shared" ca="1" si="201"/>
        <v>1.383123E-2</v>
      </c>
      <c r="G626">
        <v>1</v>
      </c>
      <c r="H626">
        <v>0</v>
      </c>
      <c r="I626">
        <v>4</v>
      </c>
      <c r="J626" s="1">
        <f t="shared" ca="1" si="202"/>
        <v>2.9016785156250047E-2</v>
      </c>
      <c r="K626" s="1">
        <f t="shared" ca="1" si="203"/>
        <v>4.0133782935668032E-4</v>
      </c>
      <c r="L626" s="13">
        <f t="shared" ca="1" si="204"/>
        <v>334</v>
      </c>
      <c r="M626" s="7">
        <f t="shared" ca="1" si="205"/>
        <v>666</v>
      </c>
      <c r="N626" s="26">
        <f t="shared" ca="1" si="206"/>
        <v>3</v>
      </c>
      <c r="O626" s="44">
        <f t="shared" ca="1" si="207"/>
        <v>2.2641455309069398</v>
      </c>
      <c r="P626" s="44">
        <f t="shared" ca="1" si="208"/>
        <v>22.641455309069404</v>
      </c>
      <c r="Q626" s="44">
        <f t="shared" ca="1" si="209"/>
        <v>22.641455309069404</v>
      </c>
      <c r="R626" s="44">
        <f t="shared" ca="1" si="210"/>
        <v>2.2641455309069403</v>
      </c>
      <c r="S626" s="44">
        <f t="shared" ca="1" si="211"/>
        <v>2.2641455309069398</v>
      </c>
      <c r="T626" s="4">
        <f t="shared" ca="1" si="212"/>
        <v>9.0868725272181974E-4</v>
      </c>
      <c r="U626" s="120">
        <f t="shared" ca="1" si="213"/>
        <v>1524.7475619899244</v>
      </c>
      <c r="V626" s="4">
        <f t="shared" ca="1" si="214"/>
        <v>0.61193887684592663</v>
      </c>
      <c r="W626" s="13">
        <f t="shared" ca="1" si="215"/>
        <v>20863.615500000004</v>
      </c>
      <c r="X626" s="4">
        <f t="shared" ca="1" si="216"/>
        <v>8.3733581573023912</v>
      </c>
      <c r="Y626" s="4">
        <f t="shared" si="217"/>
        <v>0</v>
      </c>
      <c r="Z626" s="13">
        <f t="shared" ca="1" si="218"/>
        <v>20863.615500000004</v>
      </c>
      <c r="AA626" s="4">
        <f t="shared" ca="1" si="219"/>
        <v>8.3733581573023912</v>
      </c>
    </row>
    <row r="627" spans="1:27">
      <c r="A627">
        <v>0</v>
      </c>
      <c r="B627">
        <v>2</v>
      </c>
      <c r="C627">
        <f t="shared" ca="1" si="198"/>
        <v>7</v>
      </c>
      <c r="D627">
        <f t="shared" ca="1" si="199"/>
        <v>6</v>
      </c>
      <c r="E627">
        <f t="shared" ca="1" si="200"/>
        <v>0</v>
      </c>
      <c r="F627" s="110">
        <f t="shared" ca="1" si="201"/>
        <v>1.383123E-2</v>
      </c>
      <c r="G627">
        <v>1</v>
      </c>
      <c r="H627">
        <v>0</v>
      </c>
      <c r="I627">
        <v>3</v>
      </c>
      <c r="J627" s="1">
        <f t="shared" ca="1" si="202"/>
        <v>2.0362656250000047E-3</v>
      </c>
      <c r="K627" s="1">
        <f t="shared" ca="1" si="203"/>
        <v>2.8164058200468814E-5</v>
      </c>
      <c r="L627" s="13">
        <f t="shared" ca="1" si="204"/>
        <v>314</v>
      </c>
      <c r="M627" s="7">
        <f t="shared" ca="1" si="205"/>
        <v>686</v>
      </c>
      <c r="N627" s="26">
        <f t="shared" ca="1" si="206"/>
        <v>3</v>
      </c>
      <c r="O627" s="44">
        <f t="shared" ca="1" si="207"/>
        <v>2.2641455309069398</v>
      </c>
      <c r="P627" s="44">
        <f t="shared" ca="1" si="208"/>
        <v>22.641455309069404</v>
      </c>
      <c r="Q627" s="44">
        <f t="shared" ca="1" si="209"/>
        <v>22.641455309069404</v>
      </c>
      <c r="R627" s="44">
        <f t="shared" ca="1" si="210"/>
        <v>2.2641455309069403</v>
      </c>
      <c r="S627" s="44">
        <f t="shared" ca="1" si="211"/>
        <v>2.2641455309069398</v>
      </c>
      <c r="T627" s="4">
        <f t="shared" ca="1" si="212"/>
        <v>6.3767526506794422E-5</v>
      </c>
      <c r="U627" s="120">
        <f t="shared" ca="1" si="213"/>
        <v>1504.7475619899244</v>
      </c>
      <c r="V627" s="4">
        <f t="shared" ca="1" si="214"/>
        <v>4.2379797912897789E-2</v>
      </c>
      <c r="W627" s="13">
        <f t="shared" ca="1" si="215"/>
        <v>16835.890500000001</v>
      </c>
      <c r="X627" s="4">
        <f t="shared" ca="1" si="216"/>
        <v>0.47416699989872002</v>
      </c>
      <c r="Y627" s="4">
        <f t="shared" si="217"/>
        <v>0</v>
      </c>
      <c r="Z627" s="13">
        <f t="shared" ca="1" si="218"/>
        <v>16835.890500000001</v>
      </c>
      <c r="AA627" s="4">
        <f t="shared" ca="1" si="219"/>
        <v>0.47416699989872002</v>
      </c>
    </row>
    <row r="628" spans="1:27">
      <c r="A628">
        <v>0</v>
      </c>
      <c r="B628">
        <v>2</v>
      </c>
      <c r="C628">
        <f t="shared" ca="1" si="198"/>
        <v>7</v>
      </c>
      <c r="D628">
        <f t="shared" ca="1" si="199"/>
        <v>6</v>
      </c>
      <c r="E628">
        <f t="shared" ca="1" si="200"/>
        <v>0</v>
      </c>
      <c r="F628" s="110">
        <f t="shared" ca="1" si="201"/>
        <v>1.383123E-2</v>
      </c>
      <c r="G628">
        <v>1</v>
      </c>
      <c r="H628">
        <v>0</v>
      </c>
      <c r="I628">
        <v>2</v>
      </c>
      <c r="J628" s="1">
        <f t="shared" ca="1" si="202"/>
        <v>8.0378906250000291E-5</v>
      </c>
      <c r="K628" s="1">
        <f t="shared" ca="1" si="203"/>
        <v>1.1117391394921914E-6</v>
      </c>
      <c r="L628" s="13">
        <f t="shared" ca="1" si="204"/>
        <v>294</v>
      </c>
      <c r="M628" s="7">
        <f t="shared" ca="1" si="205"/>
        <v>706</v>
      </c>
      <c r="N628" s="26">
        <f t="shared" ca="1" si="206"/>
        <v>3</v>
      </c>
      <c r="O628" s="44">
        <f t="shared" ca="1" si="207"/>
        <v>2.2641455309069398</v>
      </c>
      <c r="P628" s="44">
        <f t="shared" ca="1" si="208"/>
        <v>22.641455309069404</v>
      </c>
      <c r="Q628" s="44">
        <f t="shared" ca="1" si="209"/>
        <v>22.641455309069404</v>
      </c>
      <c r="R628" s="44">
        <f t="shared" ca="1" si="210"/>
        <v>2.2641455309069403</v>
      </c>
      <c r="S628" s="44">
        <f t="shared" ca="1" si="211"/>
        <v>2.2641455309069398</v>
      </c>
      <c r="T628" s="4">
        <f t="shared" ca="1" si="212"/>
        <v>2.5171392042155723E-6</v>
      </c>
      <c r="U628" s="120">
        <f t="shared" ca="1" si="213"/>
        <v>1484.7475619899244</v>
      </c>
      <c r="V628" s="4">
        <f t="shared" ca="1" si="214"/>
        <v>1.6506519769298078E-3</v>
      </c>
      <c r="W628" s="13">
        <f t="shared" ca="1" si="215"/>
        <v>12808.165500000003</v>
      </c>
      <c r="X628" s="4">
        <f t="shared" ca="1" si="216"/>
        <v>1.4239338891443578E-2</v>
      </c>
      <c r="Y628" s="4">
        <f t="shared" si="217"/>
        <v>0</v>
      </c>
      <c r="Z628" s="13">
        <f t="shared" ca="1" si="218"/>
        <v>12808.165500000003</v>
      </c>
      <c r="AA628" s="4">
        <f t="shared" ca="1" si="219"/>
        <v>1.4239338891443578E-2</v>
      </c>
    </row>
    <row r="629" spans="1:27">
      <c r="A629">
        <v>0</v>
      </c>
      <c r="B629">
        <v>2</v>
      </c>
      <c r="C629">
        <f t="shared" ca="1" si="198"/>
        <v>7</v>
      </c>
      <c r="D629">
        <f t="shared" ca="1" si="199"/>
        <v>6</v>
      </c>
      <c r="E629">
        <f t="shared" ca="1" si="200"/>
        <v>0</v>
      </c>
      <c r="F629" s="110">
        <f t="shared" ca="1" si="201"/>
        <v>1.383123E-2</v>
      </c>
      <c r="G629">
        <v>1</v>
      </c>
      <c r="H629">
        <v>0</v>
      </c>
      <c r="I629">
        <v>1</v>
      </c>
      <c r="J629" s="1">
        <f t="shared" ca="1" si="202"/>
        <v>1.6921875000000077E-6</v>
      </c>
      <c r="K629" s="1">
        <f t="shared" ca="1" si="203"/>
        <v>2.3405034515625107E-8</v>
      </c>
      <c r="L629" s="13">
        <f t="shared" ca="1" si="204"/>
        <v>274</v>
      </c>
      <c r="M629" s="7">
        <f t="shared" ca="1" si="205"/>
        <v>726</v>
      </c>
      <c r="N629" s="26">
        <f t="shared" ca="1" si="206"/>
        <v>3</v>
      </c>
      <c r="O629" s="44">
        <f t="shared" ca="1" si="207"/>
        <v>2.2641455309069398</v>
      </c>
      <c r="P629" s="44">
        <f t="shared" ca="1" si="208"/>
        <v>22.641455309069404</v>
      </c>
      <c r="Q629" s="44">
        <f t="shared" ca="1" si="209"/>
        <v>22.641455309069404</v>
      </c>
      <c r="R629" s="44">
        <f t="shared" ca="1" si="210"/>
        <v>2.2641455309069403</v>
      </c>
      <c r="S629" s="44">
        <f t="shared" ca="1" si="211"/>
        <v>2.2641455309069398</v>
      </c>
      <c r="T629" s="4">
        <f t="shared" ca="1" si="212"/>
        <v>5.2992404299275261E-8</v>
      </c>
      <c r="U629" s="120">
        <f t="shared" ca="1" si="213"/>
        <v>1464.7475619899244</v>
      </c>
      <c r="V629" s="4">
        <f t="shared" ca="1" si="214"/>
        <v>3.4282467245051909E-5</v>
      </c>
      <c r="W629" s="13">
        <f t="shared" ca="1" si="215"/>
        <v>8780.4405000000006</v>
      </c>
      <c r="X629" s="4">
        <f t="shared" ca="1" si="216"/>
        <v>2.0550651296489259E-4</v>
      </c>
      <c r="Y629" s="4">
        <f t="shared" si="217"/>
        <v>0</v>
      </c>
      <c r="Z629" s="13">
        <f t="shared" ca="1" si="218"/>
        <v>8780.4405000000006</v>
      </c>
      <c r="AA629" s="4">
        <f t="shared" ca="1" si="219"/>
        <v>2.0550651296489259E-4</v>
      </c>
    </row>
    <row r="630" spans="1:27">
      <c r="A630">
        <v>0</v>
      </c>
      <c r="B630">
        <v>2</v>
      </c>
      <c r="C630">
        <f t="shared" ca="1" si="198"/>
        <v>7</v>
      </c>
      <c r="D630">
        <f t="shared" ca="1" si="199"/>
        <v>6</v>
      </c>
      <c r="E630">
        <f t="shared" ca="1" si="200"/>
        <v>0</v>
      </c>
      <c r="F630" s="110">
        <f t="shared" ca="1" si="201"/>
        <v>1.383123E-2</v>
      </c>
      <c r="G630">
        <v>1</v>
      </c>
      <c r="H630">
        <v>0</v>
      </c>
      <c r="I630">
        <v>0</v>
      </c>
      <c r="J630" s="1">
        <f t="shared" ca="1" si="202"/>
        <v>1.4843750000000078E-8</v>
      </c>
      <c r="K630" s="1">
        <f t="shared" ca="1" si="203"/>
        <v>2.0530732031250107E-10</v>
      </c>
      <c r="L630" s="13">
        <f t="shared" ca="1" si="204"/>
        <v>254</v>
      </c>
      <c r="M630" s="7">
        <f t="shared" ca="1" si="205"/>
        <v>746</v>
      </c>
      <c r="N630" s="26">
        <f t="shared" ca="1" si="206"/>
        <v>3</v>
      </c>
      <c r="O630" s="44">
        <f t="shared" ca="1" si="207"/>
        <v>2.2641455309069398</v>
      </c>
      <c r="P630" s="44">
        <f t="shared" ca="1" si="208"/>
        <v>22.641455309069404</v>
      </c>
      <c r="Q630" s="44">
        <f t="shared" ca="1" si="209"/>
        <v>22.641455309069404</v>
      </c>
      <c r="R630" s="44">
        <f t="shared" ca="1" si="210"/>
        <v>2.2641455309069403</v>
      </c>
      <c r="S630" s="44">
        <f t="shared" ca="1" si="211"/>
        <v>2.2641455309069398</v>
      </c>
      <c r="T630" s="4">
        <f t="shared" ca="1" si="212"/>
        <v>4.6484565174802889E-10</v>
      </c>
      <c r="U630" s="120">
        <f t="shared" ca="1" si="213"/>
        <v>1444.7475619899244</v>
      </c>
      <c r="V630" s="4">
        <f t="shared" ca="1" si="214"/>
        <v>2.9661725048017043E-7</v>
      </c>
      <c r="W630" s="13">
        <f t="shared" ca="1" si="215"/>
        <v>4752.7155000000012</v>
      </c>
      <c r="X630" s="4">
        <f t="shared" ca="1" si="216"/>
        <v>9.7576728351268898E-7</v>
      </c>
      <c r="Y630" s="4">
        <f t="shared" si="217"/>
        <v>0</v>
      </c>
      <c r="Z630" s="13">
        <f t="shared" ca="1" si="218"/>
        <v>4752.7155000000012</v>
      </c>
      <c r="AA630" s="4">
        <f t="shared" ca="1" si="219"/>
        <v>9.7576728351268898E-7</v>
      </c>
    </row>
    <row r="631" spans="1:27">
      <c r="A631">
        <v>0</v>
      </c>
      <c r="B631">
        <v>2</v>
      </c>
      <c r="C631">
        <f t="shared" ca="1" si="198"/>
        <v>7</v>
      </c>
      <c r="D631">
        <f t="shared" ca="1" si="199"/>
        <v>6</v>
      </c>
      <c r="E631">
        <f t="shared" ca="1" si="200"/>
        <v>0</v>
      </c>
      <c r="F631" s="110">
        <f t="shared" ca="1" si="201"/>
        <v>1.383123E-2</v>
      </c>
      <c r="G631">
        <v>0</v>
      </c>
      <c r="H631">
        <v>1</v>
      </c>
      <c r="I631">
        <v>7</v>
      </c>
      <c r="J631" s="1">
        <f t="shared" ca="1" si="202"/>
        <v>0</v>
      </c>
      <c r="K631" s="1">
        <f t="shared" ca="1" si="203"/>
        <v>0</v>
      </c>
      <c r="L631" s="13">
        <f t="shared" ca="1" si="204"/>
        <v>394</v>
      </c>
      <c r="M631" s="7">
        <f t="shared" ca="1" si="205"/>
        <v>606</v>
      </c>
      <c r="N631" s="26">
        <f t="shared" ca="1" si="206"/>
        <v>3</v>
      </c>
      <c r="O631" s="44">
        <f t="shared" ca="1" si="207"/>
        <v>2.2641455309069398</v>
      </c>
      <c r="P631" s="44">
        <f t="shared" ca="1" si="208"/>
        <v>22.641455309069404</v>
      </c>
      <c r="Q631" s="44">
        <f t="shared" ca="1" si="209"/>
        <v>22.641455309069404</v>
      </c>
      <c r="R631" s="44">
        <f t="shared" ca="1" si="210"/>
        <v>2.2641455309069403</v>
      </c>
      <c r="S631" s="44">
        <f t="shared" ca="1" si="211"/>
        <v>2.2641455309069398</v>
      </c>
      <c r="T631" s="4">
        <f t="shared" ca="1" si="212"/>
        <v>0</v>
      </c>
      <c r="U631" s="120">
        <f t="shared" ca="1" si="213"/>
        <v>1584.7475619899244</v>
      </c>
      <c r="V631" s="4">
        <f t="shared" ca="1" si="214"/>
        <v>0</v>
      </c>
      <c r="W631" s="13">
        <f t="shared" ca="1" si="215"/>
        <v>28194.075000000001</v>
      </c>
      <c r="X631" s="4">
        <f t="shared" ca="1" si="216"/>
        <v>0</v>
      </c>
      <c r="Y631" s="4">
        <f t="shared" si="217"/>
        <v>0</v>
      </c>
      <c r="Z631" s="13">
        <f t="shared" ca="1" si="218"/>
        <v>28194.075000000001</v>
      </c>
      <c r="AA631" s="4">
        <f t="shared" ca="1" si="219"/>
        <v>0</v>
      </c>
    </row>
    <row r="632" spans="1:27">
      <c r="A632">
        <v>0</v>
      </c>
      <c r="B632">
        <v>2</v>
      </c>
      <c r="C632">
        <f t="shared" ca="1" si="198"/>
        <v>7</v>
      </c>
      <c r="D632">
        <f t="shared" ca="1" si="199"/>
        <v>6</v>
      </c>
      <c r="E632">
        <f t="shared" ca="1" si="200"/>
        <v>0</v>
      </c>
      <c r="F632" s="110">
        <f t="shared" ca="1" si="201"/>
        <v>1.383123E-2</v>
      </c>
      <c r="G632">
        <v>0</v>
      </c>
      <c r="H632">
        <v>1</v>
      </c>
      <c r="I632">
        <v>6</v>
      </c>
      <c r="J632" s="1">
        <f t="shared" ca="1" si="202"/>
        <v>0</v>
      </c>
      <c r="K632" s="1">
        <f t="shared" ca="1" si="203"/>
        <v>0</v>
      </c>
      <c r="L632" s="13">
        <f t="shared" ca="1" si="204"/>
        <v>374</v>
      </c>
      <c r="M632" s="7">
        <f t="shared" ca="1" si="205"/>
        <v>626</v>
      </c>
      <c r="N632" s="26">
        <f t="shared" ca="1" si="206"/>
        <v>3</v>
      </c>
      <c r="O632" s="44">
        <f t="shared" ca="1" si="207"/>
        <v>2.2641455309069398</v>
      </c>
      <c r="P632" s="44">
        <f t="shared" ca="1" si="208"/>
        <v>22.641455309069404</v>
      </c>
      <c r="Q632" s="44">
        <f t="shared" ca="1" si="209"/>
        <v>22.641455309069404</v>
      </c>
      <c r="R632" s="44">
        <f t="shared" ca="1" si="210"/>
        <v>2.2641455309069403</v>
      </c>
      <c r="S632" s="44">
        <f t="shared" ca="1" si="211"/>
        <v>2.2641455309069398</v>
      </c>
      <c r="T632" s="4">
        <f t="shared" ca="1" si="212"/>
        <v>0</v>
      </c>
      <c r="U632" s="120">
        <f t="shared" ca="1" si="213"/>
        <v>1564.7475619899244</v>
      </c>
      <c r="V632" s="4">
        <f t="shared" ca="1" si="214"/>
        <v>0</v>
      </c>
      <c r="W632" s="13">
        <f t="shared" ca="1" si="215"/>
        <v>24166.350000000002</v>
      </c>
      <c r="X632" s="4">
        <f t="shared" ca="1" si="216"/>
        <v>0</v>
      </c>
      <c r="Y632" s="4">
        <f t="shared" si="217"/>
        <v>0</v>
      </c>
      <c r="Z632" s="13">
        <f t="shared" ca="1" si="218"/>
        <v>24166.350000000002</v>
      </c>
      <c r="AA632" s="4">
        <f t="shared" ca="1" si="219"/>
        <v>0</v>
      </c>
    </row>
    <row r="633" spans="1:27">
      <c r="A633">
        <v>0</v>
      </c>
      <c r="B633">
        <v>2</v>
      </c>
      <c r="C633">
        <f t="shared" ca="1" si="198"/>
        <v>7</v>
      </c>
      <c r="D633">
        <f t="shared" ca="1" si="199"/>
        <v>6</v>
      </c>
      <c r="E633">
        <f t="shared" ca="1" si="200"/>
        <v>0</v>
      </c>
      <c r="F633" s="110">
        <f t="shared" ca="1" si="201"/>
        <v>1.383123E-2</v>
      </c>
      <c r="G633">
        <v>0</v>
      </c>
      <c r="H633">
        <v>1</v>
      </c>
      <c r="I633">
        <v>5</v>
      </c>
      <c r="J633" s="1">
        <f t="shared" ca="1" si="202"/>
        <v>0</v>
      </c>
      <c r="K633" s="1">
        <f t="shared" ca="1" si="203"/>
        <v>0</v>
      </c>
      <c r="L633" s="13">
        <f t="shared" ca="1" si="204"/>
        <v>354</v>
      </c>
      <c r="M633" s="7">
        <f t="shared" ca="1" si="205"/>
        <v>646</v>
      </c>
      <c r="N633" s="26">
        <f t="shared" ca="1" si="206"/>
        <v>3</v>
      </c>
      <c r="O633" s="44">
        <f t="shared" ca="1" si="207"/>
        <v>2.2641455309069398</v>
      </c>
      <c r="P633" s="44">
        <f t="shared" ca="1" si="208"/>
        <v>22.641455309069404</v>
      </c>
      <c r="Q633" s="44">
        <f t="shared" ca="1" si="209"/>
        <v>22.641455309069404</v>
      </c>
      <c r="R633" s="44">
        <f t="shared" ca="1" si="210"/>
        <v>2.2641455309069403</v>
      </c>
      <c r="S633" s="44">
        <f t="shared" ca="1" si="211"/>
        <v>2.2641455309069398</v>
      </c>
      <c r="T633" s="4">
        <f t="shared" ca="1" si="212"/>
        <v>0</v>
      </c>
      <c r="U633" s="120">
        <f t="shared" ca="1" si="213"/>
        <v>1544.7475619899244</v>
      </c>
      <c r="V633" s="4">
        <f t="shared" ca="1" si="214"/>
        <v>0</v>
      </c>
      <c r="W633" s="13">
        <f t="shared" ca="1" si="215"/>
        <v>20138.625</v>
      </c>
      <c r="X633" s="4">
        <f t="shared" ca="1" si="216"/>
        <v>0</v>
      </c>
      <c r="Y633" s="4">
        <f t="shared" si="217"/>
        <v>0</v>
      </c>
      <c r="Z633" s="13">
        <f t="shared" ca="1" si="218"/>
        <v>20138.625</v>
      </c>
      <c r="AA633" s="4">
        <f t="shared" ca="1" si="219"/>
        <v>0</v>
      </c>
    </row>
    <row r="634" spans="1:27">
      <c r="A634">
        <v>0</v>
      </c>
      <c r="B634">
        <v>2</v>
      </c>
      <c r="C634">
        <f t="shared" ca="1" si="198"/>
        <v>7</v>
      </c>
      <c r="D634">
        <f t="shared" ca="1" si="199"/>
        <v>6</v>
      </c>
      <c r="E634">
        <f t="shared" ca="1" si="200"/>
        <v>0</v>
      </c>
      <c r="F634" s="110">
        <f t="shared" ca="1" si="201"/>
        <v>1.383123E-2</v>
      </c>
      <c r="G634">
        <v>0</v>
      </c>
      <c r="H634">
        <v>1</v>
      </c>
      <c r="I634">
        <v>4</v>
      </c>
      <c r="J634" s="1">
        <f t="shared" ca="1" si="202"/>
        <v>0</v>
      </c>
      <c r="K634" s="1">
        <f t="shared" ca="1" si="203"/>
        <v>0</v>
      </c>
      <c r="L634" s="13">
        <f t="shared" ca="1" si="204"/>
        <v>334</v>
      </c>
      <c r="M634" s="7">
        <f t="shared" ca="1" si="205"/>
        <v>666</v>
      </c>
      <c r="N634" s="26">
        <f t="shared" ca="1" si="206"/>
        <v>3</v>
      </c>
      <c r="O634" s="44">
        <f t="shared" ca="1" si="207"/>
        <v>2.2641455309069398</v>
      </c>
      <c r="P634" s="44">
        <f t="shared" ca="1" si="208"/>
        <v>22.641455309069404</v>
      </c>
      <c r="Q634" s="44">
        <f t="shared" ca="1" si="209"/>
        <v>22.641455309069404</v>
      </c>
      <c r="R634" s="44">
        <f t="shared" ca="1" si="210"/>
        <v>2.2641455309069403</v>
      </c>
      <c r="S634" s="44">
        <f t="shared" ca="1" si="211"/>
        <v>2.2641455309069398</v>
      </c>
      <c r="T634" s="4">
        <f t="shared" ca="1" si="212"/>
        <v>0</v>
      </c>
      <c r="U634" s="120">
        <f t="shared" ca="1" si="213"/>
        <v>1524.7475619899244</v>
      </c>
      <c r="V634" s="4">
        <f t="shared" ca="1" si="214"/>
        <v>0</v>
      </c>
      <c r="W634" s="13">
        <f t="shared" ca="1" si="215"/>
        <v>16110.900000000001</v>
      </c>
      <c r="X634" s="4">
        <f t="shared" ca="1" si="216"/>
        <v>0</v>
      </c>
      <c r="Y634" s="4">
        <f t="shared" si="217"/>
        <v>0</v>
      </c>
      <c r="Z634" s="13">
        <f t="shared" ca="1" si="218"/>
        <v>16110.900000000001</v>
      </c>
      <c r="AA634" s="4">
        <f t="shared" ca="1" si="219"/>
        <v>0</v>
      </c>
    </row>
    <row r="635" spans="1:27">
      <c r="A635">
        <v>0</v>
      </c>
      <c r="B635">
        <v>2</v>
      </c>
      <c r="C635">
        <f t="shared" ca="1" si="198"/>
        <v>7</v>
      </c>
      <c r="D635">
        <f t="shared" ca="1" si="199"/>
        <v>6</v>
      </c>
      <c r="E635">
        <f t="shared" ca="1" si="200"/>
        <v>0</v>
      </c>
      <c r="F635" s="110">
        <f t="shared" ca="1" si="201"/>
        <v>1.383123E-2</v>
      </c>
      <c r="G635">
        <v>0</v>
      </c>
      <c r="H635">
        <v>1</v>
      </c>
      <c r="I635">
        <v>3</v>
      </c>
      <c r="J635" s="1">
        <f t="shared" ca="1" si="202"/>
        <v>0</v>
      </c>
      <c r="K635" s="1">
        <f t="shared" ca="1" si="203"/>
        <v>0</v>
      </c>
      <c r="L635" s="13">
        <f t="shared" ca="1" si="204"/>
        <v>314</v>
      </c>
      <c r="M635" s="7">
        <f t="shared" ca="1" si="205"/>
        <v>686</v>
      </c>
      <c r="N635" s="26">
        <f t="shared" ca="1" si="206"/>
        <v>3</v>
      </c>
      <c r="O635" s="44">
        <f t="shared" ca="1" si="207"/>
        <v>2.2641455309069398</v>
      </c>
      <c r="P635" s="44">
        <f t="shared" ca="1" si="208"/>
        <v>22.641455309069404</v>
      </c>
      <c r="Q635" s="44">
        <f t="shared" ca="1" si="209"/>
        <v>22.641455309069404</v>
      </c>
      <c r="R635" s="44">
        <f t="shared" ca="1" si="210"/>
        <v>2.2641455309069403</v>
      </c>
      <c r="S635" s="44">
        <f t="shared" ca="1" si="211"/>
        <v>2.2641455309069398</v>
      </c>
      <c r="T635" s="4">
        <f t="shared" ca="1" si="212"/>
        <v>0</v>
      </c>
      <c r="U635" s="120">
        <f t="shared" ca="1" si="213"/>
        <v>1504.7475619899244</v>
      </c>
      <c r="V635" s="4">
        <f t="shared" ca="1" si="214"/>
        <v>0</v>
      </c>
      <c r="W635" s="13">
        <f t="shared" ca="1" si="215"/>
        <v>12083.175000000001</v>
      </c>
      <c r="X635" s="4">
        <f t="shared" ca="1" si="216"/>
        <v>0</v>
      </c>
      <c r="Y635" s="4">
        <f t="shared" si="217"/>
        <v>0</v>
      </c>
      <c r="Z635" s="13">
        <f t="shared" ca="1" si="218"/>
        <v>12083.175000000001</v>
      </c>
      <c r="AA635" s="4">
        <f t="shared" ca="1" si="219"/>
        <v>0</v>
      </c>
    </row>
    <row r="636" spans="1:27">
      <c r="A636">
        <v>0</v>
      </c>
      <c r="B636">
        <v>2</v>
      </c>
      <c r="C636">
        <f t="shared" ca="1" si="198"/>
        <v>7</v>
      </c>
      <c r="D636">
        <f t="shared" ca="1" si="199"/>
        <v>6</v>
      </c>
      <c r="E636">
        <f t="shared" ca="1" si="200"/>
        <v>0</v>
      </c>
      <c r="F636" s="110">
        <f t="shared" ca="1" si="201"/>
        <v>1.383123E-2</v>
      </c>
      <c r="G636">
        <v>0</v>
      </c>
      <c r="H636">
        <v>1</v>
      </c>
      <c r="I636">
        <v>2</v>
      </c>
      <c r="J636" s="1">
        <f t="shared" ca="1" si="202"/>
        <v>0</v>
      </c>
      <c r="K636" s="1">
        <f t="shared" ca="1" si="203"/>
        <v>0</v>
      </c>
      <c r="L636" s="13">
        <f t="shared" ca="1" si="204"/>
        <v>294</v>
      </c>
      <c r="M636" s="7">
        <f t="shared" ca="1" si="205"/>
        <v>706</v>
      </c>
      <c r="N636" s="26">
        <f t="shared" ca="1" si="206"/>
        <v>3</v>
      </c>
      <c r="O636" s="44">
        <f t="shared" ca="1" si="207"/>
        <v>2.2641455309069398</v>
      </c>
      <c r="P636" s="44">
        <f t="shared" ca="1" si="208"/>
        <v>22.641455309069404</v>
      </c>
      <c r="Q636" s="44">
        <f t="shared" ca="1" si="209"/>
        <v>22.641455309069404</v>
      </c>
      <c r="R636" s="44">
        <f t="shared" ca="1" si="210"/>
        <v>2.2641455309069403</v>
      </c>
      <c r="S636" s="44">
        <f t="shared" ca="1" si="211"/>
        <v>2.2641455309069398</v>
      </c>
      <c r="T636" s="4">
        <f t="shared" ca="1" si="212"/>
        <v>0</v>
      </c>
      <c r="U636" s="120">
        <f t="shared" ca="1" si="213"/>
        <v>1484.7475619899244</v>
      </c>
      <c r="V636" s="4">
        <f t="shared" ca="1" si="214"/>
        <v>0</v>
      </c>
      <c r="W636" s="13">
        <f t="shared" ca="1" si="215"/>
        <v>8055.4500000000007</v>
      </c>
      <c r="X636" s="4">
        <f t="shared" ca="1" si="216"/>
        <v>0</v>
      </c>
      <c r="Y636" s="4">
        <f t="shared" si="217"/>
        <v>0</v>
      </c>
      <c r="Z636" s="13">
        <f t="shared" ca="1" si="218"/>
        <v>8055.4500000000007</v>
      </c>
      <c r="AA636" s="4">
        <f t="shared" ca="1" si="219"/>
        <v>0</v>
      </c>
    </row>
    <row r="637" spans="1:27">
      <c r="A637">
        <v>0</v>
      </c>
      <c r="B637">
        <v>2</v>
      </c>
      <c r="C637">
        <f t="shared" ca="1" si="198"/>
        <v>7</v>
      </c>
      <c r="D637">
        <f t="shared" ca="1" si="199"/>
        <v>6</v>
      </c>
      <c r="E637">
        <f t="shared" ca="1" si="200"/>
        <v>0</v>
      </c>
      <c r="F637" s="110">
        <f t="shared" ca="1" si="201"/>
        <v>1.383123E-2</v>
      </c>
      <c r="G637">
        <v>0</v>
      </c>
      <c r="H637">
        <v>1</v>
      </c>
      <c r="I637">
        <v>1</v>
      </c>
      <c r="J637" s="1">
        <f t="shared" ca="1" si="202"/>
        <v>0</v>
      </c>
      <c r="K637" s="1">
        <f t="shared" ca="1" si="203"/>
        <v>0</v>
      </c>
      <c r="L637" s="13">
        <f t="shared" ca="1" si="204"/>
        <v>274</v>
      </c>
      <c r="M637" s="7">
        <f t="shared" ca="1" si="205"/>
        <v>726</v>
      </c>
      <c r="N637" s="26">
        <f t="shared" ca="1" si="206"/>
        <v>3</v>
      </c>
      <c r="O637" s="44">
        <f t="shared" ca="1" si="207"/>
        <v>2.2641455309069398</v>
      </c>
      <c r="P637" s="44">
        <f t="shared" ca="1" si="208"/>
        <v>22.641455309069404</v>
      </c>
      <c r="Q637" s="44">
        <f t="shared" ca="1" si="209"/>
        <v>22.641455309069404</v>
      </c>
      <c r="R637" s="44">
        <f t="shared" ca="1" si="210"/>
        <v>2.2641455309069403</v>
      </c>
      <c r="S637" s="44">
        <f t="shared" ca="1" si="211"/>
        <v>2.2641455309069398</v>
      </c>
      <c r="T637" s="4">
        <f t="shared" ca="1" si="212"/>
        <v>0</v>
      </c>
      <c r="U637" s="120">
        <f t="shared" ca="1" si="213"/>
        <v>1464.7475619899244</v>
      </c>
      <c r="V637" s="4">
        <f t="shared" ca="1" si="214"/>
        <v>0</v>
      </c>
      <c r="W637" s="13">
        <f t="shared" ca="1" si="215"/>
        <v>4027.7250000000004</v>
      </c>
      <c r="X637" s="4">
        <f t="shared" ca="1" si="216"/>
        <v>0</v>
      </c>
      <c r="Y637" s="4">
        <f t="shared" si="217"/>
        <v>0</v>
      </c>
      <c r="Z637" s="13">
        <f t="shared" ca="1" si="218"/>
        <v>4027.7250000000004</v>
      </c>
      <c r="AA637" s="4">
        <f t="shared" ca="1" si="219"/>
        <v>0</v>
      </c>
    </row>
    <row r="638" spans="1:27">
      <c r="A638">
        <v>0</v>
      </c>
      <c r="B638">
        <v>2</v>
      </c>
      <c r="C638">
        <f t="shared" ca="1" si="198"/>
        <v>7</v>
      </c>
      <c r="D638">
        <f t="shared" ca="1" si="199"/>
        <v>6</v>
      </c>
      <c r="E638">
        <f t="shared" ca="1" si="200"/>
        <v>0</v>
      </c>
      <c r="F638" s="110">
        <f t="shared" ca="1" si="201"/>
        <v>1.383123E-2</v>
      </c>
      <c r="G638">
        <v>0</v>
      </c>
      <c r="H638">
        <v>1</v>
      </c>
      <c r="I638">
        <v>0</v>
      </c>
      <c r="J638" s="1">
        <f t="shared" ca="1" si="202"/>
        <v>0</v>
      </c>
      <c r="K638" s="1">
        <f t="shared" ca="1" si="203"/>
        <v>0</v>
      </c>
      <c r="L638" s="13">
        <f t="shared" ca="1" si="204"/>
        <v>254</v>
      </c>
      <c r="M638" s="7">
        <f t="shared" ca="1" si="205"/>
        <v>746</v>
      </c>
      <c r="N638" s="26">
        <f t="shared" ca="1" si="206"/>
        <v>3</v>
      </c>
      <c r="O638" s="44">
        <f t="shared" ca="1" si="207"/>
        <v>2.2641455309069398</v>
      </c>
      <c r="P638" s="44">
        <f t="shared" ca="1" si="208"/>
        <v>22.641455309069404</v>
      </c>
      <c r="Q638" s="44">
        <f t="shared" ca="1" si="209"/>
        <v>22.641455309069404</v>
      </c>
      <c r="R638" s="44">
        <f t="shared" ca="1" si="210"/>
        <v>2.2641455309069403</v>
      </c>
      <c r="S638" s="44">
        <f t="shared" ca="1" si="211"/>
        <v>2.2641455309069398</v>
      </c>
      <c r="T638" s="4">
        <f t="shared" ca="1" si="212"/>
        <v>0</v>
      </c>
      <c r="U638" s="120">
        <f t="shared" ca="1" si="213"/>
        <v>1444.7475619899244</v>
      </c>
      <c r="V638" s="4">
        <f t="shared" ca="1" si="214"/>
        <v>0</v>
      </c>
      <c r="W638" s="13">
        <f t="shared" ca="1" si="215"/>
        <v>0</v>
      </c>
      <c r="X638" s="4">
        <f t="shared" ca="1" si="216"/>
        <v>0</v>
      </c>
      <c r="Y638" s="4">
        <f t="shared" si="217"/>
        <v>0</v>
      </c>
      <c r="Z638" s="13">
        <f t="shared" ca="1" si="218"/>
        <v>0</v>
      </c>
      <c r="AA638" s="4">
        <f t="shared" ca="1" si="219"/>
        <v>0</v>
      </c>
    </row>
    <row r="639" spans="1:27">
      <c r="A639">
        <v>0</v>
      </c>
      <c r="B639">
        <v>2</v>
      </c>
      <c r="C639">
        <f t="shared" ca="1" si="198"/>
        <v>7</v>
      </c>
      <c r="D639">
        <f t="shared" ca="1" si="199"/>
        <v>6</v>
      </c>
      <c r="E639">
        <f t="shared" ca="1" si="200"/>
        <v>0</v>
      </c>
      <c r="F639" s="110">
        <f t="shared" ca="1" si="201"/>
        <v>1.383123E-2</v>
      </c>
      <c r="G639">
        <v>0</v>
      </c>
      <c r="H639">
        <v>0</v>
      </c>
      <c r="I639">
        <v>7</v>
      </c>
      <c r="J639" s="1">
        <f t="shared" ca="1" si="202"/>
        <v>0</v>
      </c>
      <c r="K639" s="1">
        <f t="shared" ca="1" si="203"/>
        <v>0</v>
      </c>
      <c r="L639" s="13">
        <f t="shared" ca="1" si="204"/>
        <v>140</v>
      </c>
      <c r="M639" s="7">
        <f t="shared" ca="1" si="205"/>
        <v>860</v>
      </c>
      <c r="N639" s="26">
        <f t="shared" ca="1" si="206"/>
        <v>4</v>
      </c>
      <c r="O639" s="44">
        <f t="shared" ca="1" si="207"/>
        <v>2.8910364854084887</v>
      </c>
      <c r="P639" s="44">
        <f t="shared" ca="1" si="208"/>
        <v>28.910364854084886</v>
      </c>
      <c r="Q639" s="44">
        <f t="shared" ca="1" si="209"/>
        <v>28.910364854084886</v>
      </c>
      <c r="R639" s="44">
        <f t="shared" ca="1" si="210"/>
        <v>2.8910364854084887</v>
      </c>
      <c r="S639" s="44">
        <f t="shared" ca="1" si="211"/>
        <v>2.8910364854084882</v>
      </c>
      <c r="T639" s="4">
        <f t="shared" ca="1" si="212"/>
        <v>0</v>
      </c>
      <c r="U639" s="120">
        <f t="shared" ca="1" si="213"/>
        <v>1600.6349838037554</v>
      </c>
      <c r="V639" s="4">
        <f t="shared" ca="1" si="214"/>
        <v>0</v>
      </c>
      <c r="W639" s="13">
        <f t="shared" ca="1" si="215"/>
        <v>28194.075000000001</v>
      </c>
      <c r="X639" s="4">
        <f t="shared" ca="1" si="216"/>
        <v>0</v>
      </c>
      <c r="Y639" s="4">
        <f t="shared" si="217"/>
        <v>0</v>
      </c>
      <c r="Z639" s="13">
        <f t="shared" ca="1" si="218"/>
        <v>28194.075000000001</v>
      </c>
      <c r="AA639" s="4">
        <f t="shared" ca="1" si="219"/>
        <v>0</v>
      </c>
    </row>
    <row r="640" spans="1:27">
      <c r="A640">
        <v>0</v>
      </c>
      <c r="B640">
        <v>2</v>
      </c>
      <c r="C640">
        <f t="shared" ca="1" si="198"/>
        <v>7</v>
      </c>
      <c r="D640">
        <f t="shared" ca="1" si="199"/>
        <v>6</v>
      </c>
      <c r="E640">
        <f t="shared" ca="1" si="200"/>
        <v>0</v>
      </c>
      <c r="F640" s="110">
        <f t="shared" ca="1" si="201"/>
        <v>1.383123E-2</v>
      </c>
      <c r="G640">
        <v>0</v>
      </c>
      <c r="H640">
        <v>0</v>
      </c>
      <c r="I640">
        <v>6</v>
      </c>
      <c r="J640" s="1">
        <f t="shared" ca="1" si="202"/>
        <v>3.6754594531249997E-2</v>
      </c>
      <c r="K640" s="1">
        <f t="shared" ca="1" si="203"/>
        <v>5.0836125051846094E-4</v>
      </c>
      <c r="L640" s="13">
        <f t="shared" ca="1" si="204"/>
        <v>120</v>
      </c>
      <c r="M640" s="7">
        <f t="shared" ca="1" si="205"/>
        <v>880</v>
      </c>
      <c r="N640" s="26">
        <f t="shared" ca="1" si="206"/>
        <v>4</v>
      </c>
      <c r="O640" s="44">
        <f t="shared" ca="1" si="207"/>
        <v>2.8910364854084887</v>
      </c>
      <c r="P640" s="44">
        <f t="shared" ca="1" si="208"/>
        <v>28.910364854084886</v>
      </c>
      <c r="Q640" s="44">
        <f t="shared" ca="1" si="209"/>
        <v>28.910364854084886</v>
      </c>
      <c r="R640" s="44">
        <f t="shared" ca="1" si="210"/>
        <v>2.8910364854084887</v>
      </c>
      <c r="S640" s="44">
        <f t="shared" ca="1" si="211"/>
        <v>2.8910364854084882</v>
      </c>
      <c r="T640" s="4">
        <f t="shared" ca="1" si="212"/>
        <v>1.4696909230167553E-3</v>
      </c>
      <c r="U640" s="120">
        <f t="shared" ca="1" si="213"/>
        <v>1580.6349838037554</v>
      </c>
      <c r="V640" s="4">
        <f t="shared" ca="1" si="214"/>
        <v>0.8035335769797044</v>
      </c>
      <c r="W640" s="13">
        <f t="shared" ca="1" si="215"/>
        <v>24166.350000000002</v>
      </c>
      <c r="X640" s="4">
        <f t="shared" ca="1" si="216"/>
        <v>12.285235906466809</v>
      </c>
      <c r="Y640" s="4">
        <f t="shared" si="217"/>
        <v>0</v>
      </c>
      <c r="Z640" s="13">
        <f t="shared" ca="1" si="218"/>
        <v>24166.350000000002</v>
      </c>
      <c r="AA640" s="4">
        <f t="shared" ca="1" si="219"/>
        <v>12.285235906466809</v>
      </c>
    </row>
    <row r="641" spans="1:27">
      <c r="A641">
        <v>0</v>
      </c>
      <c r="B641">
        <v>2</v>
      </c>
      <c r="C641">
        <f t="shared" ca="1" si="198"/>
        <v>7</v>
      </c>
      <c r="D641">
        <f t="shared" ca="1" si="199"/>
        <v>6</v>
      </c>
      <c r="E641">
        <f t="shared" ca="1" si="200"/>
        <v>0</v>
      </c>
      <c r="F641" s="110">
        <f t="shared" ca="1" si="201"/>
        <v>1.383123E-2</v>
      </c>
      <c r="G641">
        <v>0</v>
      </c>
      <c r="H641">
        <v>0</v>
      </c>
      <c r="I641">
        <v>5</v>
      </c>
      <c r="J641" s="1">
        <f t="shared" ca="1" si="202"/>
        <v>1.1606714062500011E-2</v>
      </c>
      <c r="K641" s="1">
        <f t="shared" ca="1" si="203"/>
        <v>1.6053513174267204E-4</v>
      </c>
      <c r="L641" s="13">
        <f t="shared" ca="1" si="204"/>
        <v>100</v>
      </c>
      <c r="M641" s="7">
        <f t="shared" ca="1" si="205"/>
        <v>900</v>
      </c>
      <c r="N641" s="26">
        <f t="shared" ca="1" si="206"/>
        <v>4</v>
      </c>
      <c r="O641" s="44">
        <f t="shared" ca="1" si="207"/>
        <v>2.8910364854084887</v>
      </c>
      <c r="P641" s="44">
        <f t="shared" ca="1" si="208"/>
        <v>28.910364854084886</v>
      </c>
      <c r="Q641" s="44">
        <f t="shared" ca="1" si="209"/>
        <v>28.910364854084886</v>
      </c>
      <c r="R641" s="44">
        <f t="shared" ca="1" si="210"/>
        <v>2.8910364854084887</v>
      </c>
      <c r="S641" s="44">
        <f t="shared" ca="1" si="211"/>
        <v>2.8910364854084882</v>
      </c>
      <c r="T641" s="4">
        <f t="shared" ca="1" si="212"/>
        <v>4.6411292305792321E-4</v>
      </c>
      <c r="U641" s="120">
        <f t="shared" ca="1" si="213"/>
        <v>1560.6349838037554</v>
      </c>
      <c r="V641" s="4">
        <f t="shared" ca="1" si="214"/>
        <v>0.2505367427271587</v>
      </c>
      <c r="W641" s="13">
        <f t="shared" ca="1" si="215"/>
        <v>20138.625</v>
      </c>
      <c r="X641" s="4">
        <f t="shared" ca="1" si="216"/>
        <v>3.2329568174912686</v>
      </c>
      <c r="Y641" s="4">
        <f t="shared" si="217"/>
        <v>0</v>
      </c>
      <c r="Z641" s="13">
        <f t="shared" ca="1" si="218"/>
        <v>20138.625</v>
      </c>
      <c r="AA641" s="4">
        <f t="shared" ca="1" si="219"/>
        <v>3.2329568174912686</v>
      </c>
    </row>
    <row r="642" spans="1:27">
      <c r="A642">
        <v>0</v>
      </c>
      <c r="B642">
        <v>2</v>
      </c>
      <c r="C642">
        <f t="shared" ca="1" si="198"/>
        <v>7</v>
      </c>
      <c r="D642">
        <f t="shared" ca="1" si="199"/>
        <v>6</v>
      </c>
      <c r="E642">
        <f t="shared" ca="1" si="200"/>
        <v>0</v>
      </c>
      <c r="F642" s="110">
        <f t="shared" ca="1" si="201"/>
        <v>1.383123E-2</v>
      </c>
      <c r="G642">
        <v>0</v>
      </c>
      <c r="H642">
        <v>0</v>
      </c>
      <c r="I642">
        <v>4</v>
      </c>
      <c r="J642" s="1">
        <f t="shared" ca="1" si="202"/>
        <v>1.5271992187500026E-3</v>
      </c>
      <c r="K642" s="1">
        <f t="shared" ca="1" si="203"/>
        <v>2.1123043650351597E-5</v>
      </c>
      <c r="L642" s="13">
        <f t="shared" ca="1" si="204"/>
        <v>80</v>
      </c>
      <c r="M642" s="7">
        <f t="shared" ca="1" si="205"/>
        <v>920</v>
      </c>
      <c r="N642" s="26">
        <f t="shared" ca="1" si="206"/>
        <v>4</v>
      </c>
      <c r="O642" s="44">
        <f t="shared" ca="1" si="207"/>
        <v>2.8910364854084887</v>
      </c>
      <c r="P642" s="44">
        <f t="shared" ca="1" si="208"/>
        <v>28.910364854084886</v>
      </c>
      <c r="Q642" s="44">
        <f t="shared" ca="1" si="209"/>
        <v>28.910364854084886</v>
      </c>
      <c r="R642" s="44">
        <f t="shared" ca="1" si="210"/>
        <v>2.8910364854084887</v>
      </c>
      <c r="S642" s="44">
        <f t="shared" ca="1" si="211"/>
        <v>2.8910364854084882</v>
      </c>
      <c r="T642" s="4">
        <f t="shared" ca="1" si="212"/>
        <v>6.1067489876042566E-5</v>
      </c>
      <c r="U642" s="120">
        <f t="shared" ca="1" si="213"/>
        <v>1540.6349838037554</v>
      </c>
      <c r="V642" s="4">
        <f t="shared" ca="1" si="214"/>
        <v>3.2542900012145451E-2</v>
      </c>
      <c r="W642" s="13">
        <f t="shared" ca="1" si="215"/>
        <v>16110.900000000001</v>
      </c>
      <c r="X642" s="4">
        <f t="shared" ca="1" si="216"/>
        <v>0.34031124394644957</v>
      </c>
      <c r="Y642" s="4">
        <f t="shared" si="217"/>
        <v>0</v>
      </c>
      <c r="Z642" s="13">
        <f t="shared" ca="1" si="218"/>
        <v>16110.900000000001</v>
      </c>
      <c r="AA642" s="4">
        <f t="shared" ca="1" si="219"/>
        <v>0.34031124394644957</v>
      </c>
    </row>
    <row r="643" spans="1:27">
      <c r="A643">
        <v>0</v>
      </c>
      <c r="B643">
        <v>2</v>
      </c>
      <c r="C643">
        <f t="shared" ca="1" si="198"/>
        <v>7</v>
      </c>
      <c r="D643">
        <f t="shared" ca="1" si="199"/>
        <v>6</v>
      </c>
      <c r="E643">
        <f t="shared" ca="1" si="200"/>
        <v>0</v>
      </c>
      <c r="F643" s="110">
        <f t="shared" ca="1" si="201"/>
        <v>1.383123E-2</v>
      </c>
      <c r="G643">
        <v>0</v>
      </c>
      <c r="H643">
        <v>0</v>
      </c>
      <c r="I643">
        <v>3</v>
      </c>
      <c r="J643" s="1">
        <f t="shared" ca="1" si="202"/>
        <v>1.0717187500000027E-4</v>
      </c>
      <c r="K643" s="1">
        <f t="shared" ca="1" si="203"/>
        <v>1.4823188526562536E-6</v>
      </c>
      <c r="L643" s="13">
        <f t="shared" ca="1" si="204"/>
        <v>60</v>
      </c>
      <c r="M643" s="7">
        <f t="shared" ca="1" si="205"/>
        <v>940</v>
      </c>
      <c r="N643" s="26">
        <f t="shared" ca="1" si="206"/>
        <v>4</v>
      </c>
      <c r="O643" s="44">
        <f t="shared" ca="1" si="207"/>
        <v>2.8910364854084887</v>
      </c>
      <c r="P643" s="44">
        <f t="shared" ca="1" si="208"/>
        <v>28.910364854084886</v>
      </c>
      <c r="Q643" s="44">
        <f t="shared" ca="1" si="209"/>
        <v>28.910364854084886</v>
      </c>
      <c r="R643" s="44">
        <f t="shared" ca="1" si="210"/>
        <v>2.8910364854084887</v>
      </c>
      <c r="S643" s="44">
        <f t="shared" ca="1" si="211"/>
        <v>2.8910364854084882</v>
      </c>
      <c r="T643" s="4">
        <f t="shared" ca="1" si="212"/>
        <v>4.2854378860380785E-6</v>
      </c>
      <c r="U643" s="120">
        <f t="shared" ca="1" si="213"/>
        <v>1520.6349838037554</v>
      </c>
      <c r="V643" s="4">
        <f t="shared" ca="1" si="214"/>
        <v>2.2540659045009433E-3</v>
      </c>
      <c r="W643" s="13">
        <f t="shared" ca="1" si="215"/>
        <v>12083.175000000001</v>
      </c>
      <c r="X643" s="4">
        <f t="shared" ca="1" si="216"/>
        <v>1.791111810244473E-2</v>
      </c>
      <c r="Y643" s="4">
        <f t="shared" si="217"/>
        <v>0</v>
      </c>
      <c r="Z643" s="13">
        <f t="shared" ca="1" si="218"/>
        <v>12083.175000000001</v>
      </c>
      <c r="AA643" s="4">
        <f t="shared" ca="1" si="219"/>
        <v>1.791111810244473E-2</v>
      </c>
    </row>
    <row r="644" spans="1:27">
      <c r="A644">
        <v>0</v>
      </c>
      <c r="B644">
        <v>2</v>
      </c>
      <c r="C644">
        <f t="shared" ca="1" si="198"/>
        <v>7</v>
      </c>
      <c r="D644">
        <f t="shared" ca="1" si="199"/>
        <v>6</v>
      </c>
      <c r="E644">
        <f t="shared" ca="1" si="200"/>
        <v>0</v>
      </c>
      <c r="F644" s="110">
        <f t="shared" ca="1" si="201"/>
        <v>1.383123E-2</v>
      </c>
      <c r="G644">
        <v>0</v>
      </c>
      <c r="H644">
        <v>0</v>
      </c>
      <c r="I644">
        <v>2</v>
      </c>
      <c r="J644" s="1">
        <f t="shared" ca="1" si="202"/>
        <v>4.2304687500000152E-6</v>
      </c>
      <c r="K644" s="1">
        <f t="shared" ca="1" si="203"/>
        <v>5.8512586289062708E-8</v>
      </c>
      <c r="L644" s="13">
        <f t="shared" ca="1" si="204"/>
        <v>40</v>
      </c>
      <c r="M644" s="7">
        <f t="shared" ca="1" si="205"/>
        <v>960</v>
      </c>
      <c r="N644" s="26">
        <f t="shared" ca="1" si="206"/>
        <v>4</v>
      </c>
      <c r="O644" s="44">
        <f t="shared" ca="1" si="207"/>
        <v>2.8910364854084887</v>
      </c>
      <c r="P644" s="44">
        <f t="shared" ca="1" si="208"/>
        <v>28.910364854084886</v>
      </c>
      <c r="Q644" s="44">
        <f t="shared" ca="1" si="209"/>
        <v>28.910364854084886</v>
      </c>
      <c r="R644" s="44">
        <f t="shared" ca="1" si="210"/>
        <v>2.8910364854084887</v>
      </c>
      <c r="S644" s="44">
        <f t="shared" ca="1" si="211"/>
        <v>2.8910364854084882</v>
      </c>
      <c r="T644" s="4">
        <f t="shared" ca="1" si="212"/>
        <v>1.6916202181729276E-7</v>
      </c>
      <c r="U644" s="120">
        <f t="shared" ca="1" si="213"/>
        <v>1500.6349838037554</v>
      </c>
      <c r="V644" s="4">
        <f t="shared" ca="1" si="214"/>
        <v>8.7806033978203463E-5</v>
      </c>
      <c r="W644" s="13">
        <f t="shared" ca="1" si="215"/>
        <v>8055.4500000000007</v>
      </c>
      <c r="X644" s="4">
        <f t="shared" ca="1" si="216"/>
        <v>4.7134521322223026E-4</v>
      </c>
      <c r="Y644" s="4">
        <f t="shared" si="217"/>
        <v>0</v>
      </c>
      <c r="Z644" s="13">
        <f t="shared" ca="1" si="218"/>
        <v>8055.4500000000007</v>
      </c>
      <c r="AA644" s="4">
        <f t="shared" ca="1" si="219"/>
        <v>4.7134521322223026E-4</v>
      </c>
    </row>
    <row r="645" spans="1:27">
      <c r="A645">
        <v>0</v>
      </c>
      <c r="B645">
        <v>2</v>
      </c>
      <c r="C645">
        <f t="shared" ca="1" si="198"/>
        <v>7</v>
      </c>
      <c r="D645">
        <f t="shared" ca="1" si="199"/>
        <v>6</v>
      </c>
      <c r="E645">
        <f t="shared" ca="1" si="200"/>
        <v>0</v>
      </c>
      <c r="F645" s="110">
        <f t="shared" ca="1" si="201"/>
        <v>1.383123E-2</v>
      </c>
      <c r="G645">
        <v>0</v>
      </c>
      <c r="H645">
        <v>0</v>
      </c>
      <c r="I645">
        <v>1</v>
      </c>
      <c r="J645" s="1">
        <f t="shared" ca="1" si="202"/>
        <v>8.9062500000000418E-8</v>
      </c>
      <c r="K645" s="1">
        <f t="shared" ca="1" si="203"/>
        <v>1.2318439218750057E-9</v>
      </c>
      <c r="L645" s="13">
        <f t="shared" ca="1" si="204"/>
        <v>20</v>
      </c>
      <c r="M645" s="7">
        <f t="shared" ca="1" si="205"/>
        <v>980</v>
      </c>
      <c r="N645" s="26">
        <f t="shared" ca="1" si="206"/>
        <v>4</v>
      </c>
      <c r="O645" s="44">
        <f t="shared" ca="1" si="207"/>
        <v>2.8910364854084887</v>
      </c>
      <c r="P645" s="44">
        <f t="shared" ca="1" si="208"/>
        <v>28.910364854084886</v>
      </c>
      <c r="Q645" s="44">
        <f t="shared" ca="1" si="209"/>
        <v>28.910364854084886</v>
      </c>
      <c r="R645" s="44">
        <f t="shared" ca="1" si="210"/>
        <v>2.8910364854084887</v>
      </c>
      <c r="S645" s="44">
        <f t="shared" ca="1" si="211"/>
        <v>2.8910364854084882</v>
      </c>
      <c r="T645" s="4">
        <f t="shared" ca="1" si="212"/>
        <v>3.5613057224693247E-9</v>
      </c>
      <c r="U645" s="120">
        <f t="shared" ca="1" si="213"/>
        <v>1480.6349838037554</v>
      </c>
      <c r="V645" s="4">
        <f t="shared" ca="1" si="214"/>
        <v>1.8239112053141536E-6</v>
      </c>
      <c r="W645" s="13">
        <f t="shared" ca="1" si="215"/>
        <v>4027.7250000000004</v>
      </c>
      <c r="X645" s="4">
        <f t="shared" ca="1" si="216"/>
        <v>4.9615285602340082E-6</v>
      </c>
      <c r="Y645" s="4">
        <f t="shared" si="217"/>
        <v>0</v>
      </c>
      <c r="Z645" s="13">
        <f t="shared" ca="1" si="218"/>
        <v>4027.7250000000004</v>
      </c>
      <c r="AA645" s="4">
        <f t="shared" ca="1" si="219"/>
        <v>4.9615285602340082E-6</v>
      </c>
    </row>
    <row r="646" spans="1:27">
      <c r="A646">
        <v>0</v>
      </c>
      <c r="B646">
        <v>2</v>
      </c>
      <c r="C646">
        <f t="shared" ca="1" si="198"/>
        <v>7</v>
      </c>
      <c r="D646">
        <f t="shared" ca="1" si="199"/>
        <v>6</v>
      </c>
      <c r="E646">
        <f t="shared" ca="1" si="200"/>
        <v>0</v>
      </c>
      <c r="F646" s="110">
        <f t="shared" ca="1" si="201"/>
        <v>1.383123E-2</v>
      </c>
      <c r="G646">
        <v>0</v>
      </c>
      <c r="H646">
        <v>0</v>
      </c>
      <c r="I646">
        <v>0</v>
      </c>
      <c r="J646" s="1">
        <f t="shared" ca="1" si="202"/>
        <v>7.812500000000041E-10</v>
      </c>
      <c r="K646" s="1">
        <f t="shared" ca="1" si="203"/>
        <v>1.0805648437500057E-11</v>
      </c>
      <c r="L646" s="13">
        <f t="shared" ca="1" si="204"/>
        <v>0</v>
      </c>
      <c r="M646" s="7">
        <f t="shared" ca="1" si="205"/>
        <v>1000</v>
      </c>
      <c r="N646" s="26">
        <f t="shared" ca="1" si="206"/>
        <v>4</v>
      </c>
      <c r="O646" s="44">
        <f t="shared" ca="1" si="207"/>
        <v>2.8910364854084887</v>
      </c>
      <c r="P646" s="44">
        <f t="shared" ca="1" si="208"/>
        <v>28.910364854084886</v>
      </c>
      <c r="Q646" s="44">
        <f t="shared" ca="1" si="209"/>
        <v>28.910364854084886</v>
      </c>
      <c r="R646" s="44">
        <f t="shared" ca="1" si="210"/>
        <v>2.8910364854084887</v>
      </c>
      <c r="S646" s="44">
        <f t="shared" ca="1" si="211"/>
        <v>2.8910364854084882</v>
      </c>
      <c r="T646" s="4">
        <f t="shared" ca="1" si="212"/>
        <v>3.1239523881309886E-11</v>
      </c>
      <c r="U646" s="120">
        <f t="shared" ca="1" si="213"/>
        <v>1460.6349838037554</v>
      </c>
      <c r="V646" s="4">
        <f t="shared" ca="1" si="214"/>
        <v>1.5783108130496971E-8</v>
      </c>
      <c r="W646" s="13">
        <f t="shared" ca="1" si="215"/>
        <v>0</v>
      </c>
      <c r="X646" s="4">
        <f t="shared" ca="1" si="216"/>
        <v>0</v>
      </c>
      <c r="Y646" s="4">
        <f t="shared" si="217"/>
        <v>0</v>
      </c>
      <c r="Z646" s="13">
        <f t="shared" ca="1" si="218"/>
        <v>0</v>
      </c>
      <c r="AA646" s="4">
        <f t="shared" ca="1" si="219"/>
        <v>0</v>
      </c>
    </row>
    <row r="647" spans="1:27">
      <c r="A647">
        <v>0</v>
      </c>
      <c r="B647">
        <v>3</v>
      </c>
      <c r="C647">
        <f t="shared" ca="1" si="198"/>
        <v>8</v>
      </c>
      <c r="D647">
        <f t="shared" ca="1" si="199"/>
        <v>7</v>
      </c>
      <c r="E647">
        <f t="shared" ca="1" si="200"/>
        <v>0</v>
      </c>
      <c r="F647" s="110">
        <f t="shared" ca="1" si="201"/>
        <v>2.1388499999999998E-2</v>
      </c>
      <c r="G647">
        <v>1</v>
      </c>
      <c r="H647">
        <v>1</v>
      </c>
      <c r="I647">
        <v>7</v>
      </c>
      <c r="J647" s="1">
        <f t="shared" ca="1" si="202"/>
        <v>0</v>
      </c>
      <c r="K647" s="1">
        <f t="shared" ca="1" si="203"/>
        <v>0</v>
      </c>
      <c r="L647" s="13">
        <f t="shared" ca="1" si="204"/>
        <v>648</v>
      </c>
      <c r="M647" s="7">
        <f t="shared" ca="1" si="205"/>
        <v>352</v>
      </c>
      <c r="N647" s="26">
        <f t="shared" ca="1" si="206"/>
        <v>2</v>
      </c>
      <c r="O647" s="44">
        <f t="shared" ca="1" si="207"/>
        <v>1.5942243152407929</v>
      </c>
      <c r="P647" s="44">
        <f t="shared" ca="1" si="208"/>
        <v>15.942243152407926</v>
      </c>
      <c r="Q647" s="44">
        <f t="shared" ca="1" si="209"/>
        <v>15.942243152407926</v>
      </c>
      <c r="R647" s="44">
        <f t="shared" ca="1" si="210"/>
        <v>1.5942243152407927</v>
      </c>
      <c r="S647" s="44">
        <f t="shared" ca="1" si="211"/>
        <v>1.5942243152407927</v>
      </c>
      <c r="T647" s="4">
        <f t="shared" ca="1" si="212"/>
        <v>0</v>
      </c>
      <c r="U647" s="120">
        <f t="shared" ca="1" si="213"/>
        <v>1550.3348669012169</v>
      </c>
      <c r="V647" s="4">
        <f t="shared" ca="1" si="214"/>
        <v>0</v>
      </c>
      <c r="W647" s="13">
        <f t="shared" ca="1" si="215"/>
        <v>32946.790500000003</v>
      </c>
      <c r="X647" s="4">
        <f t="shared" ca="1" si="216"/>
        <v>0</v>
      </c>
      <c r="Y647" s="4">
        <f t="shared" si="217"/>
        <v>0</v>
      </c>
      <c r="Z647" s="13">
        <f t="shared" ca="1" si="218"/>
        <v>32946.790500000003</v>
      </c>
      <c r="AA647" s="4">
        <f t="shared" ca="1" si="219"/>
        <v>0</v>
      </c>
    </row>
    <row r="648" spans="1:27">
      <c r="A648">
        <v>0</v>
      </c>
      <c r="B648">
        <v>3</v>
      </c>
      <c r="C648">
        <f t="shared" ca="1" si="198"/>
        <v>8</v>
      </c>
      <c r="D648">
        <f t="shared" ca="1" si="199"/>
        <v>7</v>
      </c>
      <c r="E648">
        <f t="shared" ca="1" si="200"/>
        <v>0</v>
      </c>
      <c r="F648" s="110">
        <f t="shared" ca="1" si="201"/>
        <v>2.1388499999999998E-2</v>
      </c>
      <c r="G648">
        <v>1</v>
      </c>
      <c r="H648">
        <v>1</v>
      </c>
      <c r="I648">
        <v>6</v>
      </c>
      <c r="J648" s="1">
        <f t="shared" ca="1" si="202"/>
        <v>0</v>
      </c>
      <c r="K648" s="1">
        <f t="shared" ca="1" si="203"/>
        <v>0</v>
      </c>
      <c r="L648" s="13">
        <f t="shared" ca="1" si="204"/>
        <v>628</v>
      </c>
      <c r="M648" s="7">
        <f t="shared" ca="1" si="205"/>
        <v>372</v>
      </c>
      <c r="N648" s="26">
        <f t="shared" ca="1" si="206"/>
        <v>2</v>
      </c>
      <c r="O648" s="44">
        <f t="shared" ca="1" si="207"/>
        <v>1.5942243152407929</v>
      </c>
      <c r="P648" s="44">
        <f t="shared" ca="1" si="208"/>
        <v>15.942243152407926</v>
      </c>
      <c r="Q648" s="44">
        <f t="shared" ca="1" si="209"/>
        <v>15.942243152407926</v>
      </c>
      <c r="R648" s="44">
        <f t="shared" ca="1" si="210"/>
        <v>1.5942243152407927</v>
      </c>
      <c r="S648" s="44">
        <f t="shared" ca="1" si="211"/>
        <v>1.5942243152407927</v>
      </c>
      <c r="T648" s="4">
        <f t="shared" ca="1" si="212"/>
        <v>0</v>
      </c>
      <c r="U648" s="120">
        <f t="shared" ca="1" si="213"/>
        <v>1530.3348669012169</v>
      </c>
      <c r="V648" s="4">
        <f t="shared" ca="1" si="214"/>
        <v>0</v>
      </c>
      <c r="W648" s="13">
        <f t="shared" ca="1" si="215"/>
        <v>28919.065500000004</v>
      </c>
      <c r="X648" s="4">
        <f t="shared" ca="1" si="216"/>
        <v>0</v>
      </c>
      <c r="Y648" s="4">
        <f t="shared" si="217"/>
        <v>0</v>
      </c>
      <c r="Z648" s="13">
        <f t="shared" ca="1" si="218"/>
        <v>28919.065500000004</v>
      </c>
      <c r="AA648" s="4">
        <f t="shared" ca="1" si="219"/>
        <v>0</v>
      </c>
    </row>
    <row r="649" spans="1:27">
      <c r="A649">
        <v>0</v>
      </c>
      <c r="B649">
        <v>3</v>
      </c>
      <c r="C649">
        <f t="shared" ca="1" si="198"/>
        <v>8</v>
      </c>
      <c r="D649">
        <f t="shared" ca="1" si="199"/>
        <v>7</v>
      </c>
      <c r="E649">
        <f t="shared" ca="1" si="200"/>
        <v>0</v>
      </c>
      <c r="F649" s="110">
        <f t="shared" ca="1" si="201"/>
        <v>2.1388499999999998E-2</v>
      </c>
      <c r="G649">
        <v>1</v>
      </c>
      <c r="H649">
        <v>1</v>
      </c>
      <c r="I649">
        <v>5</v>
      </c>
      <c r="J649" s="1">
        <f t="shared" ca="1" si="202"/>
        <v>0</v>
      </c>
      <c r="K649" s="1">
        <f t="shared" ca="1" si="203"/>
        <v>0</v>
      </c>
      <c r="L649" s="13">
        <f t="shared" ca="1" si="204"/>
        <v>608</v>
      </c>
      <c r="M649" s="7">
        <f t="shared" ca="1" si="205"/>
        <v>392</v>
      </c>
      <c r="N649" s="26">
        <f t="shared" ca="1" si="206"/>
        <v>2</v>
      </c>
      <c r="O649" s="44">
        <f t="shared" ca="1" si="207"/>
        <v>1.5942243152407929</v>
      </c>
      <c r="P649" s="44">
        <f t="shared" ca="1" si="208"/>
        <v>15.942243152407926</v>
      </c>
      <c r="Q649" s="44">
        <f t="shared" ca="1" si="209"/>
        <v>15.942243152407926</v>
      </c>
      <c r="R649" s="44">
        <f t="shared" ca="1" si="210"/>
        <v>1.5942243152407927</v>
      </c>
      <c r="S649" s="44">
        <f t="shared" ca="1" si="211"/>
        <v>1.5942243152407927</v>
      </c>
      <c r="T649" s="4">
        <f t="shared" ca="1" si="212"/>
        <v>0</v>
      </c>
      <c r="U649" s="120">
        <f t="shared" ca="1" si="213"/>
        <v>1510.3348669012169</v>
      </c>
      <c r="V649" s="4">
        <f t="shared" ca="1" si="214"/>
        <v>0</v>
      </c>
      <c r="W649" s="13">
        <f t="shared" ca="1" si="215"/>
        <v>24891.340500000002</v>
      </c>
      <c r="X649" s="4">
        <f t="shared" ca="1" si="216"/>
        <v>0</v>
      </c>
      <c r="Y649" s="4">
        <f t="shared" si="217"/>
        <v>0</v>
      </c>
      <c r="Z649" s="13">
        <f t="shared" ca="1" si="218"/>
        <v>24891.340500000002</v>
      </c>
      <c r="AA649" s="4">
        <f t="shared" ca="1" si="219"/>
        <v>0</v>
      </c>
    </row>
    <row r="650" spans="1:27">
      <c r="A650">
        <v>0</v>
      </c>
      <c r="B650">
        <v>3</v>
      </c>
      <c r="C650">
        <f t="shared" ca="1" si="198"/>
        <v>8</v>
      </c>
      <c r="D650">
        <f t="shared" ca="1" si="199"/>
        <v>7</v>
      </c>
      <c r="E650">
        <f t="shared" ca="1" si="200"/>
        <v>0</v>
      </c>
      <c r="F650" s="110">
        <f t="shared" ca="1" si="201"/>
        <v>2.1388499999999998E-2</v>
      </c>
      <c r="G650">
        <v>1</v>
      </c>
      <c r="H650">
        <v>1</v>
      </c>
      <c r="I650">
        <v>4</v>
      </c>
      <c r="J650" s="1">
        <f t="shared" ca="1" si="202"/>
        <v>0</v>
      </c>
      <c r="K650" s="1">
        <f t="shared" ca="1" si="203"/>
        <v>0</v>
      </c>
      <c r="L650" s="13">
        <f t="shared" ca="1" si="204"/>
        <v>588</v>
      </c>
      <c r="M650" s="7">
        <f t="shared" ca="1" si="205"/>
        <v>412</v>
      </c>
      <c r="N650" s="26">
        <f t="shared" ca="1" si="206"/>
        <v>2</v>
      </c>
      <c r="O650" s="44">
        <f t="shared" ca="1" si="207"/>
        <v>1.5942243152407929</v>
      </c>
      <c r="P650" s="44">
        <f t="shared" ca="1" si="208"/>
        <v>15.942243152407926</v>
      </c>
      <c r="Q650" s="44">
        <f t="shared" ca="1" si="209"/>
        <v>15.942243152407926</v>
      </c>
      <c r="R650" s="44">
        <f t="shared" ca="1" si="210"/>
        <v>1.5942243152407927</v>
      </c>
      <c r="S650" s="44">
        <f t="shared" ca="1" si="211"/>
        <v>1.5942243152407927</v>
      </c>
      <c r="T650" s="4">
        <f t="shared" ca="1" si="212"/>
        <v>0</v>
      </c>
      <c r="U650" s="120">
        <f t="shared" ca="1" si="213"/>
        <v>1490.3348669012169</v>
      </c>
      <c r="V650" s="4">
        <f t="shared" ca="1" si="214"/>
        <v>0</v>
      </c>
      <c r="W650" s="13">
        <f t="shared" ca="1" si="215"/>
        <v>20863.615500000004</v>
      </c>
      <c r="X650" s="4">
        <f t="shared" ca="1" si="216"/>
        <v>0</v>
      </c>
      <c r="Y650" s="4">
        <f t="shared" si="217"/>
        <v>0</v>
      </c>
      <c r="Z650" s="13">
        <f t="shared" ca="1" si="218"/>
        <v>20863.615500000004</v>
      </c>
      <c r="AA650" s="4">
        <f t="shared" ca="1" si="219"/>
        <v>0</v>
      </c>
    </row>
    <row r="651" spans="1:27">
      <c r="A651">
        <v>0</v>
      </c>
      <c r="B651">
        <v>3</v>
      </c>
      <c r="C651">
        <f t="shared" ca="1" si="198"/>
        <v>8</v>
      </c>
      <c r="D651">
        <f t="shared" ca="1" si="199"/>
        <v>7</v>
      </c>
      <c r="E651">
        <f t="shared" ca="1" si="200"/>
        <v>0</v>
      </c>
      <c r="F651" s="110">
        <f t="shared" ca="1" si="201"/>
        <v>2.1388499999999998E-2</v>
      </c>
      <c r="G651">
        <v>1</v>
      </c>
      <c r="H651">
        <v>1</v>
      </c>
      <c r="I651">
        <v>3</v>
      </c>
      <c r="J651" s="1">
        <f t="shared" ca="1" si="202"/>
        <v>0</v>
      </c>
      <c r="K651" s="1">
        <f t="shared" ca="1" si="203"/>
        <v>0</v>
      </c>
      <c r="L651" s="13">
        <f t="shared" ca="1" si="204"/>
        <v>568</v>
      </c>
      <c r="M651" s="7">
        <f t="shared" ca="1" si="205"/>
        <v>432</v>
      </c>
      <c r="N651" s="26">
        <f t="shared" ca="1" si="206"/>
        <v>2</v>
      </c>
      <c r="O651" s="44">
        <f t="shared" ca="1" si="207"/>
        <v>1.5942243152407929</v>
      </c>
      <c r="P651" s="44">
        <f t="shared" ca="1" si="208"/>
        <v>15.942243152407926</v>
      </c>
      <c r="Q651" s="44">
        <f t="shared" ca="1" si="209"/>
        <v>15.942243152407926</v>
      </c>
      <c r="R651" s="44">
        <f t="shared" ca="1" si="210"/>
        <v>1.5942243152407927</v>
      </c>
      <c r="S651" s="44">
        <f t="shared" ca="1" si="211"/>
        <v>1.5942243152407927</v>
      </c>
      <c r="T651" s="4">
        <f t="shared" ca="1" si="212"/>
        <v>0</v>
      </c>
      <c r="U651" s="120">
        <f t="shared" ca="1" si="213"/>
        <v>1470.3348669012169</v>
      </c>
      <c r="V651" s="4">
        <f t="shared" ca="1" si="214"/>
        <v>0</v>
      </c>
      <c r="W651" s="13">
        <f t="shared" ca="1" si="215"/>
        <v>16835.890500000001</v>
      </c>
      <c r="X651" s="4">
        <f t="shared" ca="1" si="216"/>
        <v>0</v>
      </c>
      <c r="Y651" s="4">
        <f t="shared" si="217"/>
        <v>0</v>
      </c>
      <c r="Z651" s="13">
        <f t="shared" ca="1" si="218"/>
        <v>16835.890500000001</v>
      </c>
      <c r="AA651" s="4">
        <f t="shared" ca="1" si="219"/>
        <v>0</v>
      </c>
    </row>
    <row r="652" spans="1:27">
      <c r="A652">
        <v>0</v>
      </c>
      <c r="B652">
        <v>3</v>
      </c>
      <c r="C652">
        <f t="shared" ca="1" si="198"/>
        <v>8</v>
      </c>
      <c r="D652">
        <f t="shared" ca="1" si="199"/>
        <v>7</v>
      </c>
      <c r="E652">
        <f t="shared" ca="1" si="200"/>
        <v>0</v>
      </c>
      <c r="F652" s="110">
        <f t="shared" ca="1" si="201"/>
        <v>2.1388499999999998E-2</v>
      </c>
      <c r="G652">
        <v>1</v>
      </c>
      <c r="H652">
        <v>1</v>
      </c>
      <c r="I652">
        <v>2</v>
      </c>
      <c r="J652" s="1">
        <f t="shared" ca="1" si="202"/>
        <v>0</v>
      </c>
      <c r="K652" s="1">
        <f t="shared" ca="1" si="203"/>
        <v>0</v>
      </c>
      <c r="L652" s="13">
        <f t="shared" ca="1" si="204"/>
        <v>548</v>
      </c>
      <c r="M652" s="7">
        <f t="shared" ca="1" si="205"/>
        <v>452</v>
      </c>
      <c r="N652" s="26">
        <f t="shared" ca="1" si="206"/>
        <v>2</v>
      </c>
      <c r="O652" s="44">
        <f t="shared" ca="1" si="207"/>
        <v>1.5942243152407929</v>
      </c>
      <c r="P652" s="44">
        <f t="shared" ca="1" si="208"/>
        <v>15.942243152407926</v>
      </c>
      <c r="Q652" s="44">
        <f t="shared" ca="1" si="209"/>
        <v>15.942243152407926</v>
      </c>
      <c r="R652" s="44">
        <f t="shared" ca="1" si="210"/>
        <v>1.5942243152407927</v>
      </c>
      <c r="S652" s="44">
        <f t="shared" ca="1" si="211"/>
        <v>1.5942243152407927</v>
      </c>
      <c r="T652" s="4">
        <f t="shared" ca="1" si="212"/>
        <v>0</v>
      </c>
      <c r="U652" s="120">
        <f t="shared" ca="1" si="213"/>
        <v>1450.3348669012169</v>
      </c>
      <c r="V652" s="4">
        <f t="shared" ca="1" si="214"/>
        <v>0</v>
      </c>
      <c r="W652" s="13">
        <f t="shared" ca="1" si="215"/>
        <v>12808.165500000003</v>
      </c>
      <c r="X652" s="4">
        <f t="shared" ca="1" si="216"/>
        <v>0</v>
      </c>
      <c r="Y652" s="4">
        <f t="shared" si="217"/>
        <v>0</v>
      </c>
      <c r="Z652" s="13">
        <f t="shared" ca="1" si="218"/>
        <v>12808.165500000003</v>
      </c>
      <c r="AA652" s="4">
        <f t="shared" ca="1" si="219"/>
        <v>0</v>
      </c>
    </row>
    <row r="653" spans="1:27">
      <c r="A653">
        <v>0</v>
      </c>
      <c r="B653">
        <v>3</v>
      </c>
      <c r="C653">
        <f t="shared" ca="1" si="198"/>
        <v>8</v>
      </c>
      <c r="D653">
        <f t="shared" ca="1" si="199"/>
        <v>7</v>
      </c>
      <c r="E653">
        <f t="shared" ca="1" si="200"/>
        <v>0</v>
      </c>
      <c r="F653" s="110">
        <f t="shared" ca="1" si="201"/>
        <v>2.1388499999999998E-2</v>
      </c>
      <c r="G653">
        <v>1</v>
      </c>
      <c r="H653">
        <v>1</v>
      </c>
      <c r="I653">
        <v>1</v>
      </c>
      <c r="J653" s="1">
        <f t="shared" ca="1" si="202"/>
        <v>0</v>
      </c>
      <c r="K653" s="1">
        <f t="shared" ca="1" si="203"/>
        <v>0</v>
      </c>
      <c r="L653" s="13">
        <f t="shared" ca="1" si="204"/>
        <v>528</v>
      </c>
      <c r="M653" s="7">
        <f t="shared" ca="1" si="205"/>
        <v>472</v>
      </c>
      <c r="N653" s="26">
        <f t="shared" ca="1" si="206"/>
        <v>2</v>
      </c>
      <c r="O653" s="44">
        <f t="shared" ca="1" si="207"/>
        <v>1.5942243152407929</v>
      </c>
      <c r="P653" s="44">
        <f t="shared" ca="1" si="208"/>
        <v>15.942243152407926</v>
      </c>
      <c r="Q653" s="44">
        <f t="shared" ca="1" si="209"/>
        <v>15.942243152407926</v>
      </c>
      <c r="R653" s="44">
        <f t="shared" ca="1" si="210"/>
        <v>1.5942243152407927</v>
      </c>
      <c r="S653" s="44">
        <f t="shared" ca="1" si="211"/>
        <v>1.5942243152407927</v>
      </c>
      <c r="T653" s="4">
        <f t="shared" ca="1" si="212"/>
        <v>0</v>
      </c>
      <c r="U653" s="120">
        <f t="shared" ca="1" si="213"/>
        <v>1430.3348669012169</v>
      </c>
      <c r="V653" s="4">
        <f t="shared" ca="1" si="214"/>
        <v>0</v>
      </c>
      <c r="W653" s="13">
        <f t="shared" ca="1" si="215"/>
        <v>8780.4405000000006</v>
      </c>
      <c r="X653" s="4">
        <f t="shared" ca="1" si="216"/>
        <v>0</v>
      </c>
      <c r="Y653" s="4">
        <f t="shared" si="217"/>
        <v>0</v>
      </c>
      <c r="Z653" s="13">
        <f t="shared" ca="1" si="218"/>
        <v>8780.4405000000006</v>
      </c>
      <c r="AA653" s="4">
        <f t="shared" ca="1" si="219"/>
        <v>0</v>
      </c>
    </row>
    <row r="654" spans="1:27">
      <c r="A654">
        <v>0</v>
      </c>
      <c r="B654">
        <v>3</v>
      </c>
      <c r="C654">
        <f t="shared" ca="1" si="198"/>
        <v>8</v>
      </c>
      <c r="D654">
        <f t="shared" ca="1" si="199"/>
        <v>7</v>
      </c>
      <c r="E654">
        <f t="shared" ca="1" si="200"/>
        <v>0</v>
      </c>
      <c r="F654" s="110">
        <f t="shared" ca="1" si="201"/>
        <v>2.1388499999999998E-2</v>
      </c>
      <c r="G654">
        <v>1</v>
      </c>
      <c r="H654">
        <v>1</v>
      </c>
      <c r="I654">
        <v>0</v>
      </c>
      <c r="J654" s="1">
        <f t="shared" ca="1" si="202"/>
        <v>0</v>
      </c>
      <c r="K654" s="1">
        <f t="shared" ca="1" si="203"/>
        <v>0</v>
      </c>
      <c r="L654" s="13">
        <f t="shared" ca="1" si="204"/>
        <v>508</v>
      </c>
      <c r="M654" s="7">
        <f t="shared" ca="1" si="205"/>
        <v>492</v>
      </c>
      <c r="N654" s="26">
        <f t="shared" ca="1" si="206"/>
        <v>2</v>
      </c>
      <c r="O654" s="44">
        <f t="shared" ca="1" si="207"/>
        <v>1.5942243152407929</v>
      </c>
      <c r="P654" s="44">
        <f t="shared" ca="1" si="208"/>
        <v>15.942243152407926</v>
      </c>
      <c r="Q654" s="44">
        <f t="shared" ca="1" si="209"/>
        <v>15.942243152407926</v>
      </c>
      <c r="R654" s="44">
        <f t="shared" ca="1" si="210"/>
        <v>1.5942243152407927</v>
      </c>
      <c r="S654" s="44">
        <f t="shared" ca="1" si="211"/>
        <v>1.5942243152407927</v>
      </c>
      <c r="T654" s="4">
        <f t="shared" ca="1" si="212"/>
        <v>0</v>
      </c>
      <c r="U654" s="120">
        <f t="shared" ca="1" si="213"/>
        <v>1410.3348669012169</v>
      </c>
      <c r="V654" s="4">
        <f t="shared" ca="1" si="214"/>
        <v>0</v>
      </c>
      <c r="W654" s="13">
        <f t="shared" ca="1" si="215"/>
        <v>4752.7155000000012</v>
      </c>
      <c r="X654" s="4">
        <f t="shared" ca="1" si="216"/>
        <v>0</v>
      </c>
      <c r="Y654" s="4">
        <f t="shared" si="217"/>
        <v>0</v>
      </c>
      <c r="Z654" s="13">
        <f t="shared" ca="1" si="218"/>
        <v>4752.7155000000012</v>
      </c>
      <c r="AA654" s="4">
        <f t="shared" ca="1" si="219"/>
        <v>0</v>
      </c>
    </row>
    <row r="655" spans="1:27">
      <c r="A655">
        <v>0</v>
      </c>
      <c r="B655">
        <v>3</v>
      </c>
      <c r="C655">
        <f t="shared" ca="1" si="198"/>
        <v>8</v>
      </c>
      <c r="D655">
        <f t="shared" ca="1" si="199"/>
        <v>7</v>
      </c>
      <c r="E655">
        <f t="shared" ca="1" si="200"/>
        <v>0</v>
      </c>
      <c r="F655" s="110">
        <f t="shared" ca="1" si="201"/>
        <v>2.1388499999999998E-2</v>
      </c>
      <c r="G655">
        <v>1</v>
      </c>
      <c r="H655">
        <v>0</v>
      </c>
      <c r="I655">
        <v>7</v>
      </c>
      <c r="J655" s="1">
        <f t="shared" ca="1" si="202"/>
        <v>0.66342043128906247</v>
      </c>
      <c r="K655" s="1">
        <f t="shared" ca="1" si="203"/>
        <v>1.4189567894626111E-2</v>
      </c>
      <c r="L655" s="13">
        <f t="shared" ca="1" si="204"/>
        <v>394</v>
      </c>
      <c r="M655" s="7">
        <f t="shared" ca="1" si="205"/>
        <v>606</v>
      </c>
      <c r="N655" s="26">
        <f t="shared" ca="1" si="206"/>
        <v>3</v>
      </c>
      <c r="O655" s="44">
        <f t="shared" ca="1" si="207"/>
        <v>2.2641455309069398</v>
      </c>
      <c r="P655" s="44">
        <f t="shared" ca="1" si="208"/>
        <v>22.641455309069404</v>
      </c>
      <c r="Q655" s="44">
        <f t="shared" ca="1" si="209"/>
        <v>22.641455309069404</v>
      </c>
      <c r="R655" s="44">
        <f t="shared" ca="1" si="210"/>
        <v>2.2641455309069403</v>
      </c>
      <c r="S655" s="44">
        <f t="shared" ca="1" si="211"/>
        <v>2.2641455309069398</v>
      </c>
      <c r="T655" s="4">
        <f t="shared" ca="1" si="212"/>
        <v>3.2127246734118306E-2</v>
      </c>
      <c r="U655" s="120">
        <f t="shared" ca="1" si="213"/>
        <v>1584.7475619899244</v>
      </c>
      <c r="V655" s="4">
        <f t="shared" ca="1" si="214"/>
        <v>22.486883126699233</v>
      </c>
      <c r="W655" s="13">
        <f t="shared" ca="1" si="215"/>
        <v>32946.790500000003</v>
      </c>
      <c r="X655" s="4">
        <f t="shared" ca="1" si="216"/>
        <v>467.50072070977262</v>
      </c>
      <c r="Y655" s="4">
        <f t="shared" si="217"/>
        <v>0</v>
      </c>
      <c r="Z655" s="13">
        <f t="shared" ca="1" si="218"/>
        <v>32946.790500000003</v>
      </c>
      <c r="AA655" s="4">
        <f t="shared" ca="1" si="219"/>
        <v>467.50072070977262</v>
      </c>
    </row>
    <row r="656" spans="1:27">
      <c r="A656">
        <v>0</v>
      </c>
      <c r="B656">
        <v>3</v>
      </c>
      <c r="C656">
        <f t="shared" ca="1" si="198"/>
        <v>8</v>
      </c>
      <c r="D656">
        <f t="shared" ca="1" si="199"/>
        <v>7</v>
      </c>
      <c r="E656">
        <f t="shared" ca="1" si="200"/>
        <v>0</v>
      </c>
      <c r="F656" s="110">
        <f t="shared" ca="1" si="201"/>
        <v>2.1388499999999998E-2</v>
      </c>
      <c r="G656">
        <v>1</v>
      </c>
      <c r="H656">
        <v>0</v>
      </c>
      <c r="I656">
        <v>6</v>
      </c>
      <c r="J656" s="1">
        <f t="shared" ca="1" si="202"/>
        <v>0.24441805363281272</v>
      </c>
      <c r="K656" s="1">
        <f t="shared" ca="1" si="203"/>
        <v>5.2277355401254139E-3</v>
      </c>
      <c r="L656" s="13">
        <f t="shared" ca="1" si="204"/>
        <v>374</v>
      </c>
      <c r="M656" s="7">
        <f t="shared" ca="1" si="205"/>
        <v>626</v>
      </c>
      <c r="N656" s="26">
        <f t="shared" ca="1" si="206"/>
        <v>3</v>
      </c>
      <c r="O656" s="44">
        <f t="shared" ca="1" si="207"/>
        <v>2.2641455309069398</v>
      </c>
      <c r="P656" s="44">
        <f t="shared" ca="1" si="208"/>
        <v>22.641455309069404</v>
      </c>
      <c r="Q656" s="44">
        <f t="shared" ca="1" si="209"/>
        <v>22.641455309069404</v>
      </c>
      <c r="R656" s="44">
        <f t="shared" ca="1" si="210"/>
        <v>2.2641455309069403</v>
      </c>
      <c r="S656" s="44">
        <f t="shared" ca="1" si="211"/>
        <v>2.2641455309069398</v>
      </c>
      <c r="T656" s="4">
        <f t="shared" ca="1" si="212"/>
        <v>1.1836354059938332E-2</v>
      </c>
      <c r="U656" s="120">
        <f t="shared" ca="1" si="213"/>
        <v>1564.7475619899244</v>
      </c>
      <c r="V656" s="4">
        <f t="shared" ca="1" si="214"/>
        <v>8.1800864411393217</v>
      </c>
      <c r="W656" s="13">
        <f t="shared" ca="1" si="215"/>
        <v>28919.065500000004</v>
      </c>
      <c r="X656" s="4">
        <f t="shared" ca="1" si="216"/>
        <v>151.18122650156474</v>
      </c>
      <c r="Y656" s="4">
        <f t="shared" si="217"/>
        <v>0</v>
      </c>
      <c r="Z656" s="13">
        <f t="shared" ca="1" si="218"/>
        <v>28919.065500000004</v>
      </c>
      <c r="AA656" s="4">
        <f t="shared" ca="1" si="219"/>
        <v>151.18122650156474</v>
      </c>
    </row>
    <row r="657" spans="1:27">
      <c r="A657">
        <v>0</v>
      </c>
      <c r="B657">
        <v>3</v>
      </c>
      <c r="C657">
        <f t="shared" ca="1" si="198"/>
        <v>8</v>
      </c>
      <c r="D657">
        <f t="shared" ca="1" si="199"/>
        <v>7</v>
      </c>
      <c r="E657">
        <f t="shared" ca="1" si="200"/>
        <v>0</v>
      </c>
      <c r="F657" s="110">
        <f t="shared" ca="1" si="201"/>
        <v>2.1388499999999998E-2</v>
      </c>
      <c r="G657">
        <v>1</v>
      </c>
      <c r="H657">
        <v>0</v>
      </c>
      <c r="I657">
        <v>5</v>
      </c>
      <c r="J657" s="1">
        <f t="shared" ca="1" si="202"/>
        <v>3.8592324257812567E-2</v>
      </c>
      <c r="K657" s="1">
        <f t="shared" ca="1" si="203"/>
        <v>8.25431927388224E-4</v>
      </c>
      <c r="L657" s="13">
        <f t="shared" ca="1" si="204"/>
        <v>354</v>
      </c>
      <c r="M657" s="7">
        <f t="shared" ca="1" si="205"/>
        <v>646</v>
      </c>
      <c r="N657" s="26">
        <f t="shared" ca="1" si="206"/>
        <v>3</v>
      </c>
      <c r="O657" s="44">
        <f t="shared" ca="1" si="207"/>
        <v>2.2641455309069398</v>
      </c>
      <c r="P657" s="44">
        <f t="shared" ca="1" si="208"/>
        <v>22.641455309069404</v>
      </c>
      <c r="Q657" s="44">
        <f t="shared" ca="1" si="209"/>
        <v>22.641455309069404</v>
      </c>
      <c r="R657" s="44">
        <f t="shared" ca="1" si="210"/>
        <v>2.2641455309069403</v>
      </c>
      <c r="S657" s="44">
        <f t="shared" ca="1" si="211"/>
        <v>2.2641455309069398</v>
      </c>
      <c r="T657" s="4">
        <f t="shared" ca="1" si="212"/>
        <v>1.8688980094639491E-3</v>
      </c>
      <c r="U657" s="120">
        <f t="shared" ca="1" si="213"/>
        <v>1544.7475619899244</v>
      </c>
      <c r="V657" s="4">
        <f t="shared" ca="1" si="214"/>
        <v>1.2750839574216033</v>
      </c>
      <c r="W657" s="13">
        <f t="shared" ca="1" si="215"/>
        <v>24891.340500000002</v>
      </c>
      <c r="X657" s="4">
        <f t="shared" ca="1" si="216"/>
        <v>20.546107164191561</v>
      </c>
      <c r="Y657" s="4">
        <f t="shared" si="217"/>
        <v>0</v>
      </c>
      <c r="Z657" s="13">
        <f t="shared" ca="1" si="218"/>
        <v>24891.340500000002</v>
      </c>
      <c r="AA657" s="4">
        <f t="shared" ca="1" si="219"/>
        <v>20.546107164191561</v>
      </c>
    </row>
    <row r="658" spans="1:27">
      <c r="A658">
        <v>0</v>
      </c>
      <c r="B658">
        <v>3</v>
      </c>
      <c r="C658">
        <f t="shared" ca="1" si="198"/>
        <v>8</v>
      </c>
      <c r="D658">
        <f t="shared" ca="1" si="199"/>
        <v>7</v>
      </c>
      <c r="E658">
        <f t="shared" ca="1" si="200"/>
        <v>0</v>
      </c>
      <c r="F658" s="110">
        <f t="shared" ca="1" si="201"/>
        <v>2.1388499999999998E-2</v>
      </c>
      <c r="G658">
        <v>1</v>
      </c>
      <c r="H658">
        <v>0</v>
      </c>
      <c r="I658">
        <v>4</v>
      </c>
      <c r="J658" s="1">
        <f t="shared" ca="1" si="202"/>
        <v>3.3852916015625085E-3</v>
      </c>
      <c r="K658" s="1">
        <f t="shared" ca="1" si="203"/>
        <v>7.2406309420019701E-5</v>
      </c>
      <c r="L658" s="13">
        <f t="shared" ca="1" si="204"/>
        <v>334</v>
      </c>
      <c r="M658" s="7">
        <f t="shared" ca="1" si="205"/>
        <v>666</v>
      </c>
      <c r="N658" s="26">
        <f t="shared" ca="1" si="206"/>
        <v>3</v>
      </c>
      <c r="O658" s="44">
        <f t="shared" ca="1" si="207"/>
        <v>2.2641455309069398</v>
      </c>
      <c r="P658" s="44">
        <f t="shared" ca="1" si="208"/>
        <v>22.641455309069404</v>
      </c>
      <c r="Q658" s="44">
        <f t="shared" ca="1" si="209"/>
        <v>22.641455309069404</v>
      </c>
      <c r="R658" s="44">
        <f t="shared" ca="1" si="210"/>
        <v>2.2641455309069403</v>
      </c>
      <c r="S658" s="44">
        <f t="shared" ca="1" si="211"/>
        <v>2.2641455309069398</v>
      </c>
      <c r="T658" s="4">
        <f t="shared" ca="1" si="212"/>
        <v>1.6393842188280267E-4</v>
      </c>
      <c r="U658" s="120">
        <f t="shared" ca="1" si="213"/>
        <v>1524.7475619899244</v>
      </c>
      <c r="V658" s="4">
        <f t="shared" ca="1" si="214"/>
        <v>0.11040134376086314</v>
      </c>
      <c r="W658" s="13">
        <f t="shared" ca="1" si="215"/>
        <v>20863.615500000004</v>
      </c>
      <c r="X658" s="4">
        <f t="shared" ca="1" si="216"/>
        <v>1.5106573995133192</v>
      </c>
      <c r="Y658" s="4">
        <f t="shared" si="217"/>
        <v>0</v>
      </c>
      <c r="Z658" s="13">
        <f t="shared" ca="1" si="218"/>
        <v>20863.615500000004</v>
      </c>
      <c r="AA658" s="4">
        <f t="shared" ca="1" si="219"/>
        <v>1.5106573995133192</v>
      </c>
    </row>
    <row r="659" spans="1:27">
      <c r="A659">
        <v>0</v>
      </c>
      <c r="B659">
        <v>3</v>
      </c>
      <c r="C659">
        <f t="shared" ca="1" si="198"/>
        <v>8</v>
      </c>
      <c r="D659">
        <f t="shared" ca="1" si="199"/>
        <v>7</v>
      </c>
      <c r="E659">
        <f t="shared" ca="1" si="200"/>
        <v>0</v>
      </c>
      <c r="F659" s="110">
        <f t="shared" ca="1" si="201"/>
        <v>2.1388499999999998E-2</v>
      </c>
      <c r="G659">
        <v>1</v>
      </c>
      <c r="H659">
        <v>0</v>
      </c>
      <c r="I659">
        <v>3</v>
      </c>
      <c r="J659" s="1">
        <f t="shared" ca="1" si="202"/>
        <v>1.7817324218750058E-4</v>
      </c>
      <c r="K659" s="1">
        <f t="shared" ca="1" si="203"/>
        <v>3.8108583905273558E-6</v>
      </c>
      <c r="L659" s="13">
        <f t="shared" ca="1" si="204"/>
        <v>314</v>
      </c>
      <c r="M659" s="7">
        <f t="shared" ca="1" si="205"/>
        <v>686</v>
      </c>
      <c r="N659" s="26">
        <f t="shared" ca="1" si="206"/>
        <v>3</v>
      </c>
      <c r="O659" s="44">
        <f t="shared" ca="1" si="207"/>
        <v>2.2641455309069398</v>
      </c>
      <c r="P659" s="44">
        <f t="shared" ca="1" si="208"/>
        <v>22.641455309069404</v>
      </c>
      <c r="Q659" s="44">
        <f t="shared" ca="1" si="209"/>
        <v>22.641455309069404</v>
      </c>
      <c r="R659" s="44">
        <f t="shared" ca="1" si="210"/>
        <v>2.2641455309069403</v>
      </c>
      <c r="S659" s="44">
        <f t="shared" ca="1" si="211"/>
        <v>2.2641455309069398</v>
      </c>
      <c r="T659" s="4">
        <f t="shared" ca="1" si="212"/>
        <v>8.6283379938317255E-6</v>
      </c>
      <c r="U659" s="120">
        <f t="shared" ca="1" si="213"/>
        <v>1504.7475619899244</v>
      </c>
      <c r="V659" s="4">
        <f t="shared" ca="1" si="214"/>
        <v>5.7343798722348863E-3</v>
      </c>
      <c r="W659" s="13">
        <f t="shared" ca="1" si="215"/>
        <v>16835.890500000001</v>
      </c>
      <c r="X659" s="4">
        <f t="shared" ca="1" si="216"/>
        <v>6.4159194573924799E-2</v>
      </c>
      <c r="Y659" s="4">
        <f t="shared" si="217"/>
        <v>0</v>
      </c>
      <c r="Z659" s="13">
        <f t="shared" ca="1" si="218"/>
        <v>16835.890500000001</v>
      </c>
      <c r="AA659" s="4">
        <f t="shared" ca="1" si="219"/>
        <v>6.4159194573924799E-2</v>
      </c>
    </row>
    <row r="660" spans="1:27">
      <c r="A660">
        <v>0</v>
      </c>
      <c r="B660">
        <v>3</v>
      </c>
      <c r="C660">
        <f t="shared" ca="1" si="198"/>
        <v>8</v>
      </c>
      <c r="D660">
        <f t="shared" ca="1" si="199"/>
        <v>7</v>
      </c>
      <c r="E660">
        <f t="shared" ca="1" si="200"/>
        <v>0</v>
      </c>
      <c r="F660" s="110">
        <f t="shared" ca="1" si="201"/>
        <v>2.1388499999999998E-2</v>
      </c>
      <c r="G660">
        <v>1</v>
      </c>
      <c r="H660">
        <v>0</v>
      </c>
      <c r="I660">
        <v>2</v>
      </c>
      <c r="J660" s="1">
        <f t="shared" ca="1" si="202"/>
        <v>5.6265234375000243E-6</v>
      </c>
      <c r="K660" s="1">
        <f t="shared" ca="1" si="203"/>
        <v>1.2034289654296927E-7</v>
      </c>
      <c r="L660" s="13">
        <f t="shared" ca="1" si="204"/>
        <v>294</v>
      </c>
      <c r="M660" s="7">
        <f t="shared" ca="1" si="205"/>
        <v>706</v>
      </c>
      <c r="N660" s="26">
        <f t="shared" ca="1" si="206"/>
        <v>3</v>
      </c>
      <c r="O660" s="44">
        <f t="shared" ca="1" si="207"/>
        <v>2.2641455309069398</v>
      </c>
      <c r="P660" s="44">
        <f t="shared" ca="1" si="208"/>
        <v>22.641455309069404</v>
      </c>
      <c r="Q660" s="44">
        <f t="shared" ca="1" si="209"/>
        <v>22.641455309069404</v>
      </c>
      <c r="R660" s="44">
        <f t="shared" ca="1" si="210"/>
        <v>2.2641455309069403</v>
      </c>
      <c r="S660" s="44">
        <f t="shared" ca="1" si="211"/>
        <v>2.2641455309069398</v>
      </c>
      <c r="T660" s="4">
        <f t="shared" ca="1" si="212"/>
        <v>2.7247383138416007E-7</v>
      </c>
      <c r="U660" s="120">
        <f t="shared" ca="1" si="213"/>
        <v>1484.7475619899244</v>
      </c>
      <c r="V660" s="4">
        <f t="shared" ca="1" si="214"/>
        <v>1.7867882224497934E-4</v>
      </c>
      <c r="W660" s="13">
        <f t="shared" ca="1" si="215"/>
        <v>12808.165500000003</v>
      </c>
      <c r="X660" s="4">
        <f t="shared" ca="1" si="216"/>
        <v>1.5413717356717285E-3</v>
      </c>
      <c r="Y660" s="4">
        <f t="shared" si="217"/>
        <v>0</v>
      </c>
      <c r="Z660" s="13">
        <f t="shared" ca="1" si="218"/>
        <v>12808.165500000003</v>
      </c>
      <c r="AA660" s="4">
        <f t="shared" ca="1" si="219"/>
        <v>1.5413717356717285E-3</v>
      </c>
    </row>
    <row r="661" spans="1:27">
      <c r="A661">
        <v>0</v>
      </c>
      <c r="B661">
        <v>3</v>
      </c>
      <c r="C661">
        <f t="shared" ca="1" si="198"/>
        <v>8</v>
      </c>
      <c r="D661">
        <f t="shared" ca="1" si="199"/>
        <v>7</v>
      </c>
      <c r="E661">
        <f t="shared" ca="1" si="200"/>
        <v>0</v>
      </c>
      <c r="F661" s="110">
        <f t="shared" ca="1" si="201"/>
        <v>2.1388499999999998E-2</v>
      </c>
      <c r="G661">
        <v>1</v>
      </c>
      <c r="H661">
        <v>0</v>
      </c>
      <c r="I661">
        <v>1</v>
      </c>
      <c r="J661" s="1">
        <f t="shared" ca="1" si="202"/>
        <v>9.8710937500000504E-8</v>
      </c>
      <c r="K661" s="1">
        <f t="shared" ca="1" si="203"/>
        <v>2.1112788867187606E-9</v>
      </c>
      <c r="L661" s="13">
        <f t="shared" ca="1" si="204"/>
        <v>274</v>
      </c>
      <c r="M661" s="7">
        <f t="shared" ca="1" si="205"/>
        <v>726</v>
      </c>
      <c r="N661" s="26">
        <f t="shared" ca="1" si="206"/>
        <v>3</v>
      </c>
      <c r="O661" s="44">
        <f t="shared" ca="1" si="207"/>
        <v>2.2641455309069398</v>
      </c>
      <c r="P661" s="44">
        <f t="shared" ca="1" si="208"/>
        <v>22.641455309069404</v>
      </c>
      <c r="Q661" s="44">
        <f t="shared" ca="1" si="209"/>
        <v>22.641455309069404</v>
      </c>
      <c r="R661" s="44">
        <f t="shared" ca="1" si="210"/>
        <v>2.2641455309069403</v>
      </c>
      <c r="S661" s="44">
        <f t="shared" ca="1" si="211"/>
        <v>2.2641455309069398</v>
      </c>
      <c r="T661" s="4">
        <f t="shared" ca="1" si="212"/>
        <v>4.7802426558624615E-9</v>
      </c>
      <c r="U661" s="120">
        <f t="shared" ca="1" si="213"/>
        <v>1464.7475619899244</v>
      </c>
      <c r="V661" s="4">
        <f t="shared" ca="1" si="214"/>
        <v>3.0924906020021066E-6</v>
      </c>
      <c r="W661" s="13">
        <f t="shared" ca="1" si="215"/>
        <v>8780.4405000000006</v>
      </c>
      <c r="X661" s="4">
        <f t="shared" ca="1" si="216"/>
        <v>1.853795864374032E-5</v>
      </c>
      <c r="Y661" s="4">
        <f t="shared" si="217"/>
        <v>0</v>
      </c>
      <c r="Z661" s="13">
        <f t="shared" ca="1" si="218"/>
        <v>8780.4405000000006</v>
      </c>
      <c r="AA661" s="4">
        <f t="shared" ca="1" si="219"/>
        <v>1.853795864374032E-5</v>
      </c>
    </row>
    <row r="662" spans="1:27">
      <c r="A662">
        <v>0</v>
      </c>
      <c r="B662">
        <v>3</v>
      </c>
      <c r="C662">
        <f t="shared" ca="1" si="198"/>
        <v>8</v>
      </c>
      <c r="D662">
        <f t="shared" ca="1" si="199"/>
        <v>7</v>
      </c>
      <c r="E662">
        <f t="shared" ca="1" si="200"/>
        <v>0</v>
      </c>
      <c r="F662" s="110">
        <f t="shared" ca="1" si="201"/>
        <v>2.1388499999999998E-2</v>
      </c>
      <c r="G662">
        <v>1</v>
      </c>
      <c r="H662">
        <v>0</v>
      </c>
      <c r="I662">
        <v>0</v>
      </c>
      <c r="J662" s="1">
        <f t="shared" ca="1" si="202"/>
        <v>7.4218750000000458E-10</v>
      </c>
      <c r="K662" s="1">
        <f t="shared" ca="1" si="203"/>
        <v>1.5874277343750096E-11</v>
      </c>
      <c r="L662" s="13">
        <f t="shared" ca="1" si="204"/>
        <v>254</v>
      </c>
      <c r="M662" s="7">
        <f t="shared" ca="1" si="205"/>
        <v>746</v>
      </c>
      <c r="N662" s="26">
        <f t="shared" ca="1" si="206"/>
        <v>3</v>
      </c>
      <c r="O662" s="44">
        <f t="shared" ca="1" si="207"/>
        <v>2.2641455309069398</v>
      </c>
      <c r="P662" s="44">
        <f t="shared" ca="1" si="208"/>
        <v>22.641455309069404</v>
      </c>
      <c r="Q662" s="44">
        <f t="shared" ca="1" si="209"/>
        <v>22.641455309069404</v>
      </c>
      <c r="R662" s="44">
        <f t="shared" ca="1" si="210"/>
        <v>2.2641455309069403</v>
      </c>
      <c r="S662" s="44">
        <f t="shared" ca="1" si="211"/>
        <v>2.2641455309069398</v>
      </c>
      <c r="T662" s="4">
        <f t="shared" ca="1" si="212"/>
        <v>3.5941674104229065E-11</v>
      </c>
      <c r="U662" s="120">
        <f t="shared" ca="1" si="213"/>
        <v>1444.7475619899244</v>
      </c>
      <c r="V662" s="4">
        <f t="shared" ca="1" si="214"/>
        <v>2.2934323490734844E-8</v>
      </c>
      <c r="W662" s="13">
        <f t="shared" ca="1" si="215"/>
        <v>4752.7155000000012</v>
      </c>
      <c r="X662" s="4">
        <f t="shared" ca="1" si="216"/>
        <v>7.5445923982939924E-8</v>
      </c>
      <c r="Y662" s="4">
        <f t="shared" si="217"/>
        <v>0</v>
      </c>
      <c r="Z662" s="13">
        <f t="shared" ca="1" si="218"/>
        <v>4752.7155000000012</v>
      </c>
      <c r="AA662" s="4">
        <f t="shared" ca="1" si="219"/>
        <v>7.5445923982939924E-8</v>
      </c>
    </row>
    <row r="663" spans="1:27">
      <c r="A663">
        <v>0</v>
      </c>
      <c r="B663">
        <v>3</v>
      </c>
      <c r="C663">
        <f t="shared" ca="1" si="198"/>
        <v>8</v>
      </c>
      <c r="D663">
        <f t="shared" ca="1" si="199"/>
        <v>7</v>
      </c>
      <c r="E663">
        <f t="shared" ca="1" si="200"/>
        <v>0</v>
      </c>
      <c r="F663" s="110">
        <f t="shared" ca="1" si="201"/>
        <v>2.1388499999999998E-2</v>
      </c>
      <c r="G663">
        <v>0</v>
      </c>
      <c r="H663">
        <v>1</v>
      </c>
      <c r="I663">
        <v>7</v>
      </c>
      <c r="J663" s="1">
        <f t="shared" ca="1" si="202"/>
        <v>0</v>
      </c>
      <c r="K663" s="1">
        <f t="shared" ca="1" si="203"/>
        <v>0</v>
      </c>
      <c r="L663" s="13">
        <f t="shared" ca="1" si="204"/>
        <v>394</v>
      </c>
      <c r="M663" s="7">
        <f t="shared" ca="1" si="205"/>
        <v>606</v>
      </c>
      <c r="N663" s="26">
        <f t="shared" ca="1" si="206"/>
        <v>3</v>
      </c>
      <c r="O663" s="44">
        <f t="shared" ca="1" si="207"/>
        <v>2.2641455309069398</v>
      </c>
      <c r="P663" s="44">
        <f t="shared" ca="1" si="208"/>
        <v>22.641455309069404</v>
      </c>
      <c r="Q663" s="44">
        <f t="shared" ca="1" si="209"/>
        <v>22.641455309069404</v>
      </c>
      <c r="R663" s="44">
        <f t="shared" ca="1" si="210"/>
        <v>2.2641455309069403</v>
      </c>
      <c r="S663" s="44">
        <f t="shared" ca="1" si="211"/>
        <v>2.2641455309069398</v>
      </c>
      <c r="T663" s="4">
        <f t="shared" ca="1" si="212"/>
        <v>0</v>
      </c>
      <c r="U663" s="120">
        <f t="shared" ca="1" si="213"/>
        <v>1584.7475619899244</v>
      </c>
      <c r="V663" s="4">
        <f t="shared" ca="1" si="214"/>
        <v>0</v>
      </c>
      <c r="W663" s="13">
        <f t="shared" ca="1" si="215"/>
        <v>28194.075000000001</v>
      </c>
      <c r="X663" s="4">
        <f t="shared" ca="1" si="216"/>
        <v>0</v>
      </c>
      <c r="Y663" s="4">
        <f t="shared" si="217"/>
        <v>0</v>
      </c>
      <c r="Z663" s="13">
        <f t="shared" ca="1" si="218"/>
        <v>28194.075000000001</v>
      </c>
      <c r="AA663" s="4">
        <f t="shared" ca="1" si="219"/>
        <v>0</v>
      </c>
    </row>
    <row r="664" spans="1:27">
      <c r="A664">
        <v>0</v>
      </c>
      <c r="B664">
        <v>3</v>
      </c>
      <c r="C664">
        <f t="shared" ca="1" si="198"/>
        <v>8</v>
      </c>
      <c r="D664">
        <f t="shared" ca="1" si="199"/>
        <v>7</v>
      </c>
      <c r="E664">
        <f t="shared" ca="1" si="200"/>
        <v>0</v>
      </c>
      <c r="F664" s="110">
        <f t="shared" ca="1" si="201"/>
        <v>2.1388499999999998E-2</v>
      </c>
      <c r="G664">
        <v>0</v>
      </c>
      <c r="H664">
        <v>1</v>
      </c>
      <c r="I664">
        <v>6</v>
      </c>
      <c r="J664" s="1">
        <f t="shared" ca="1" si="202"/>
        <v>0</v>
      </c>
      <c r="K664" s="1">
        <f t="shared" ca="1" si="203"/>
        <v>0</v>
      </c>
      <c r="L664" s="13">
        <f t="shared" ca="1" si="204"/>
        <v>374</v>
      </c>
      <c r="M664" s="7">
        <f t="shared" ca="1" si="205"/>
        <v>626</v>
      </c>
      <c r="N664" s="26">
        <f t="shared" ca="1" si="206"/>
        <v>3</v>
      </c>
      <c r="O664" s="44">
        <f t="shared" ca="1" si="207"/>
        <v>2.2641455309069398</v>
      </c>
      <c r="P664" s="44">
        <f t="shared" ca="1" si="208"/>
        <v>22.641455309069404</v>
      </c>
      <c r="Q664" s="44">
        <f t="shared" ca="1" si="209"/>
        <v>22.641455309069404</v>
      </c>
      <c r="R664" s="44">
        <f t="shared" ca="1" si="210"/>
        <v>2.2641455309069403</v>
      </c>
      <c r="S664" s="44">
        <f t="shared" ca="1" si="211"/>
        <v>2.2641455309069398</v>
      </c>
      <c r="T664" s="4">
        <f t="shared" ca="1" si="212"/>
        <v>0</v>
      </c>
      <c r="U664" s="120">
        <f t="shared" ca="1" si="213"/>
        <v>1564.7475619899244</v>
      </c>
      <c r="V664" s="4">
        <f t="shared" ca="1" si="214"/>
        <v>0</v>
      </c>
      <c r="W664" s="13">
        <f t="shared" ca="1" si="215"/>
        <v>24166.350000000002</v>
      </c>
      <c r="X664" s="4">
        <f t="shared" ca="1" si="216"/>
        <v>0</v>
      </c>
      <c r="Y664" s="4">
        <f t="shared" si="217"/>
        <v>0</v>
      </c>
      <c r="Z664" s="13">
        <f t="shared" ca="1" si="218"/>
        <v>24166.350000000002</v>
      </c>
      <c r="AA664" s="4">
        <f t="shared" ca="1" si="219"/>
        <v>0</v>
      </c>
    </row>
    <row r="665" spans="1:27">
      <c r="A665">
        <v>0</v>
      </c>
      <c r="B665">
        <v>3</v>
      </c>
      <c r="C665">
        <f t="shared" ca="1" si="198"/>
        <v>8</v>
      </c>
      <c r="D665">
        <f t="shared" ca="1" si="199"/>
        <v>7</v>
      </c>
      <c r="E665">
        <f t="shared" ca="1" si="200"/>
        <v>0</v>
      </c>
      <c r="F665" s="110">
        <f t="shared" ca="1" si="201"/>
        <v>2.1388499999999998E-2</v>
      </c>
      <c r="G665">
        <v>0</v>
      </c>
      <c r="H665">
        <v>1</v>
      </c>
      <c r="I665">
        <v>5</v>
      </c>
      <c r="J665" s="1">
        <f t="shared" ca="1" si="202"/>
        <v>0</v>
      </c>
      <c r="K665" s="1">
        <f t="shared" ca="1" si="203"/>
        <v>0</v>
      </c>
      <c r="L665" s="13">
        <f t="shared" ca="1" si="204"/>
        <v>354</v>
      </c>
      <c r="M665" s="7">
        <f t="shared" ca="1" si="205"/>
        <v>646</v>
      </c>
      <c r="N665" s="26">
        <f t="shared" ca="1" si="206"/>
        <v>3</v>
      </c>
      <c r="O665" s="44">
        <f t="shared" ca="1" si="207"/>
        <v>2.2641455309069398</v>
      </c>
      <c r="P665" s="44">
        <f t="shared" ca="1" si="208"/>
        <v>22.641455309069404</v>
      </c>
      <c r="Q665" s="44">
        <f t="shared" ca="1" si="209"/>
        <v>22.641455309069404</v>
      </c>
      <c r="R665" s="44">
        <f t="shared" ca="1" si="210"/>
        <v>2.2641455309069403</v>
      </c>
      <c r="S665" s="44">
        <f t="shared" ca="1" si="211"/>
        <v>2.2641455309069398</v>
      </c>
      <c r="T665" s="4">
        <f t="shared" ca="1" si="212"/>
        <v>0</v>
      </c>
      <c r="U665" s="120">
        <f t="shared" ca="1" si="213"/>
        <v>1544.7475619899244</v>
      </c>
      <c r="V665" s="4">
        <f t="shared" ca="1" si="214"/>
        <v>0</v>
      </c>
      <c r="W665" s="13">
        <f t="shared" ca="1" si="215"/>
        <v>20138.625</v>
      </c>
      <c r="X665" s="4">
        <f t="shared" ca="1" si="216"/>
        <v>0</v>
      </c>
      <c r="Y665" s="4">
        <f t="shared" si="217"/>
        <v>0</v>
      </c>
      <c r="Z665" s="13">
        <f t="shared" ca="1" si="218"/>
        <v>20138.625</v>
      </c>
      <c r="AA665" s="4">
        <f t="shared" ca="1" si="219"/>
        <v>0</v>
      </c>
    </row>
    <row r="666" spans="1:27">
      <c r="A666">
        <v>0</v>
      </c>
      <c r="B666">
        <v>3</v>
      </c>
      <c r="C666">
        <f t="shared" ca="1" si="198"/>
        <v>8</v>
      </c>
      <c r="D666">
        <f t="shared" ca="1" si="199"/>
        <v>7</v>
      </c>
      <c r="E666">
        <f t="shared" ca="1" si="200"/>
        <v>0</v>
      </c>
      <c r="F666" s="110">
        <f t="shared" ca="1" si="201"/>
        <v>2.1388499999999998E-2</v>
      </c>
      <c r="G666">
        <v>0</v>
      </c>
      <c r="H666">
        <v>1</v>
      </c>
      <c r="I666">
        <v>4</v>
      </c>
      <c r="J666" s="1">
        <f t="shared" ca="1" si="202"/>
        <v>0</v>
      </c>
      <c r="K666" s="1">
        <f t="shared" ca="1" si="203"/>
        <v>0</v>
      </c>
      <c r="L666" s="13">
        <f t="shared" ca="1" si="204"/>
        <v>334</v>
      </c>
      <c r="M666" s="7">
        <f t="shared" ca="1" si="205"/>
        <v>666</v>
      </c>
      <c r="N666" s="26">
        <f t="shared" ca="1" si="206"/>
        <v>3</v>
      </c>
      <c r="O666" s="44">
        <f t="shared" ca="1" si="207"/>
        <v>2.2641455309069398</v>
      </c>
      <c r="P666" s="44">
        <f t="shared" ca="1" si="208"/>
        <v>22.641455309069404</v>
      </c>
      <c r="Q666" s="44">
        <f t="shared" ca="1" si="209"/>
        <v>22.641455309069404</v>
      </c>
      <c r="R666" s="44">
        <f t="shared" ca="1" si="210"/>
        <v>2.2641455309069403</v>
      </c>
      <c r="S666" s="44">
        <f t="shared" ca="1" si="211"/>
        <v>2.2641455309069398</v>
      </c>
      <c r="T666" s="4">
        <f t="shared" ca="1" si="212"/>
        <v>0</v>
      </c>
      <c r="U666" s="120">
        <f t="shared" ca="1" si="213"/>
        <v>1524.7475619899244</v>
      </c>
      <c r="V666" s="4">
        <f t="shared" ca="1" si="214"/>
        <v>0</v>
      </c>
      <c r="W666" s="13">
        <f t="shared" ca="1" si="215"/>
        <v>16110.900000000001</v>
      </c>
      <c r="X666" s="4">
        <f t="shared" ca="1" si="216"/>
        <v>0</v>
      </c>
      <c r="Y666" s="4">
        <f t="shared" si="217"/>
        <v>0</v>
      </c>
      <c r="Z666" s="13">
        <f t="shared" ca="1" si="218"/>
        <v>16110.900000000001</v>
      </c>
      <c r="AA666" s="4">
        <f t="shared" ca="1" si="219"/>
        <v>0</v>
      </c>
    </row>
    <row r="667" spans="1:27">
      <c r="A667">
        <v>0</v>
      </c>
      <c r="B667">
        <v>3</v>
      </c>
      <c r="C667">
        <f t="shared" ca="1" si="198"/>
        <v>8</v>
      </c>
      <c r="D667">
        <f t="shared" ca="1" si="199"/>
        <v>7</v>
      </c>
      <c r="E667">
        <f t="shared" ca="1" si="200"/>
        <v>0</v>
      </c>
      <c r="F667" s="110">
        <f t="shared" ca="1" si="201"/>
        <v>2.1388499999999998E-2</v>
      </c>
      <c r="G667">
        <v>0</v>
      </c>
      <c r="H667">
        <v>1</v>
      </c>
      <c r="I667">
        <v>3</v>
      </c>
      <c r="J667" s="1">
        <f t="shared" ca="1" si="202"/>
        <v>0</v>
      </c>
      <c r="K667" s="1">
        <f t="shared" ca="1" si="203"/>
        <v>0</v>
      </c>
      <c r="L667" s="13">
        <f t="shared" ca="1" si="204"/>
        <v>314</v>
      </c>
      <c r="M667" s="7">
        <f t="shared" ca="1" si="205"/>
        <v>686</v>
      </c>
      <c r="N667" s="26">
        <f t="shared" ca="1" si="206"/>
        <v>3</v>
      </c>
      <c r="O667" s="44">
        <f t="shared" ca="1" si="207"/>
        <v>2.2641455309069398</v>
      </c>
      <c r="P667" s="44">
        <f t="shared" ca="1" si="208"/>
        <v>22.641455309069404</v>
      </c>
      <c r="Q667" s="44">
        <f t="shared" ca="1" si="209"/>
        <v>22.641455309069404</v>
      </c>
      <c r="R667" s="44">
        <f t="shared" ca="1" si="210"/>
        <v>2.2641455309069403</v>
      </c>
      <c r="S667" s="44">
        <f t="shared" ca="1" si="211"/>
        <v>2.2641455309069398</v>
      </c>
      <c r="T667" s="4">
        <f t="shared" ca="1" si="212"/>
        <v>0</v>
      </c>
      <c r="U667" s="120">
        <f t="shared" ca="1" si="213"/>
        <v>1504.7475619899244</v>
      </c>
      <c r="V667" s="4">
        <f t="shared" ca="1" si="214"/>
        <v>0</v>
      </c>
      <c r="W667" s="13">
        <f t="shared" ca="1" si="215"/>
        <v>12083.175000000001</v>
      </c>
      <c r="X667" s="4">
        <f t="shared" ca="1" si="216"/>
        <v>0</v>
      </c>
      <c r="Y667" s="4">
        <f t="shared" si="217"/>
        <v>0</v>
      </c>
      <c r="Z667" s="13">
        <f t="shared" ca="1" si="218"/>
        <v>12083.175000000001</v>
      </c>
      <c r="AA667" s="4">
        <f t="shared" ca="1" si="219"/>
        <v>0</v>
      </c>
    </row>
    <row r="668" spans="1:27">
      <c r="A668">
        <v>0</v>
      </c>
      <c r="B668">
        <v>3</v>
      </c>
      <c r="C668">
        <f t="shared" ca="1" si="198"/>
        <v>8</v>
      </c>
      <c r="D668">
        <f t="shared" ca="1" si="199"/>
        <v>7</v>
      </c>
      <c r="E668">
        <f t="shared" ca="1" si="200"/>
        <v>0</v>
      </c>
      <c r="F668" s="110">
        <f t="shared" ca="1" si="201"/>
        <v>2.1388499999999998E-2</v>
      </c>
      <c r="G668">
        <v>0</v>
      </c>
      <c r="H668">
        <v>1</v>
      </c>
      <c r="I668">
        <v>2</v>
      </c>
      <c r="J668" s="1">
        <f t="shared" ca="1" si="202"/>
        <v>0</v>
      </c>
      <c r="K668" s="1">
        <f t="shared" ca="1" si="203"/>
        <v>0</v>
      </c>
      <c r="L668" s="13">
        <f t="shared" ca="1" si="204"/>
        <v>294</v>
      </c>
      <c r="M668" s="7">
        <f t="shared" ca="1" si="205"/>
        <v>706</v>
      </c>
      <c r="N668" s="26">
        <f t="shared" ca="1" si="206"/>
        <v>3</v>
      </c>
      <c r="O668" s="44">
        <f t="shared" ca="1" si="207"/>
        <v>2.2641455309069398</v>
      </c>
      <c r="P668" s="44">
        <f t="shared" ca="1" si="208"/>
        <v>22.641455309069404</v>
      </c>
      <c r="Q668" s="44">
        <f t="shared" ca="1" si="209"/>
        <v>22.641455309069404</v>
      </c>
      <c r="R668" s="44">
        <f t="shared" ca="1" si="210"/>
        <v>2.2641455309069403</v>
      </c>
      <c r="S668" s="44">
        <f t="shared" ca="1" si="211"/>
        <v>2.2641455309069398</v>
      </c>
      <c r="T668" s="4">
        <f t="shared" ca="1" si="212"/>
        <v>0</v>
      </c>
      <c r="U668" s="120">
        <f t="shared" ca="1" si="213"/>
        <v>1484.7475619899244</v>
      </c>
      <c r="V668" s="4">
        <f t="shared" ca="1" si="214"/>
        <v>0</v>
      </c>
      <c r="W668" s="13">
        <f t="shared" ca="1" si="215"/>
        <v>8055.4500000000007</v>
      </c>
      <c r="X668" s="4">
        <f t="shared" ca="1" si="216"/>
        <v>0</v>
      </c>
      <c r="Y668" s="4">
        <f t="shared" si="217"/>
        <v>0</v>
      </c>
      <c r="Z668" s="13">
        <f t="shared" ca="1" si="218"/>
        <v>8055.4500000000007</v>
      </c>
      <c r="AA668" s="4">
        <f t="shared" ca="1" si="219"/>
        <v>0</v>
      </c>
    </row>
    <row r="669" spans="1:27">
      <c r="A669">
        <v>0</v>
      </c>
      <c r="B669">
        <v>3</v>
      </c>
      <c r="C669">
        <f t="shared" ca="1" si="198"/>
        <v>8</v>
      </c>
      <c r="D669">
        <f t="shared" ca="1" si="199"/>
        <v>7</v>
      </c>
      <c r="E669">
        <f t="shared" ca="1" si="200"/>
        <v>0</v>
      </c>
      <c r="F669" s="110">
        <f t="shared" ca="1" si="201"/>
        <v>2.1388499999999998E-2</v>
      </c>
      <c r="G669">
        <v>0</v>
      </c>
      <c r="H669">
        <v>1</v>
      </c>
      <c r="I669">
        <v>1</v>
      </c>
      <c r="J669" s="1">
        <f t="shared" ca="1" si="202"/>
        <v>0</v>
      </c>
      <c r="K669" s="1">
        <f t="shared" ca="1" si="203"/>
        <v>0</v>
      </c>
      <c r="L669" s="13">
        <f t="shared" ca="1" si="204"/>
        <v>274</v>
      </c>
      <c r="M669" s="7">
        <f t="shared" ca="1" si="205"/>
        <v>726</v>
      </c>
      <c r="N669" s="26">
        <f t="shared" ca="1" si="206"/>
        <v>3</v>
      </c>
      <c r="O669" s="44">
        <f t="shared" ca="1" si="207"/>
        <v>2.2641455309069398</v>
      </c>
      <c r="P669" s="44">
        <f t="shared" ca="1" si="208"/>
        <v>22.641455309069404</v>
      </c>
      <c r="Q669" s="44">
        <f t="shared" ca="1" si="209"/>
        <v>22.641455309069404</v>
      </c>
      <c r="R669" s="44">
        <f t="shared" ca="1" si="210"/>
        <v>2.2641455309069403</v>
      </c>
      <c r="S669" s="44">
        <f t="shared" ca="1" si="211"/>
        <v>2.2641455309069398</v>
      </c>
      <c r="T669" s="4">
        <f t="shared" ca="1" si="212"/>
        <v>0</v>
      </c>
      <c r="U669" s="120">
        <f t="shared" ca="1" si="213"/>
        <v>1464.7475619899244</v>
      </c>
      <c r="V669" s="4">
        <f t="shared" ca="1" si="214"/>
        <v>0</v>
      </c>
      <c r="W669" s="13">
        <f t="shared" ca="1" si="215"/>
        <v>4027.7250000000004</v>
      </c>
      <c r="X669" s="4">
        <f t="shared" ca="1" si="216"/>
        <v>0</v>
      </c>
      <c r="Y669" s="4">
        <f t="shared" si="217"/>
        <v>0</v>
      </c>
      <c r="Z669" s="13">
        <f t="shared" ca="1" si="218"/>
        <v>4027.7250000000004</v>
      </c>
      <c r="AA669" s="4">
        <f t="shared" ca="1" si="219"/>
        <v>0</v>
      </c>
    </row>
    <row r="670" spans="1:27">
      <c r="A670">
        <v>0</v>
      </c>
      <c r="B670">
        <v>3</v>
      </c>
      <c r="C670">
        <f t="shared" ca="1" si="198"/>
        <v>8</v>
      </c>
      <c r="D670">
        <f t="shared" ca="1" si="199"/>
        <v>7</v>
      </c>
      <c r="E670">
        <f t="shared" ca="1" si="200"/>
        <v>0</v>
      </c>
      <c r="F670" s="110">
        <f t="shared" ca="1" si="201"/>
        <v>2.1388499999999998E-2</v>
      </c>
      <c r="G670">
        <v>0</v>
      </c>
      <c r="H670">
        <v>1</v>
      </c>
      <c r="I670">
        <v>0</v>
      </c>
      <c r="J670" s="1">
        <f t="shared" ca="1" si="202"/>
        <v>0</v>
      </c>
      <c r="K670" s="1">
        <f t="shared" ca="1" si="203"/>
        <v>0</v>
      </c>
      <c r="L670" s="13">
        <f t="shared" ca="1" si="204"/>
        <v>254</v>
      </c>
      <c r="M670" s="7">
        <f t="shared" ca="1" si="205"/>
        <v>746</v>
      </c>
      <c r="N670" s="26">
        <f t="shared" ca="1" si="206"/>
        <v>3</v>
      </c>
      <c r="O670" s="44">
        <f t="shared" ca="1" si="207"/>
        <v>2.2641455309069398</v>
      </c>
      <c r="P670" s="44">
        <f t="shared" ca="1" si="208"/>
        <v>22.641455309069404</v>
      </c>
      <c r="Q670" s="44">
        <f t="shared" ca="1" si="209"/>
        <v>22.641455309069404</v>
      </c>
      <c r="R670" s="44">
        <f t="shared" ca="1" si="210"/>
        <v>2.2641455309069403</v>
      </c>
      <c r="S670" s="44">
        <f t="shared" ca="1" si="211"/>
        <v>2.2641455309069398</v>
      </c>
      <c r="T670" s="4">
        <f t="shared" ca="1" si="212"/>
        <v>0</v>
      </c>
      <c r="U670" s="120">
        <f t="shared" ca="1" si="213"/>
        <v>1444.7475619899244</v>
      </c>
      <c r="V670" s="4">
        <f t="shared" ca="1" si="214"/>
        <v>0</v>
      </c>
      <c r="W670" s="13">
        <f t="shared" ca="1" si="215"/>
        <v>0</v>
      </c>
      <c r="X670" s="4">
        <f t="shared" ca="1" si="216"/>
        <v>0</v>
      </c>
      <c r="Y670" s="4">
        <f t="shared" si="217"/>
        <v>0</v>
      </c>
      <c r="Z670" s="13">
        <f t="shared" ca="1" si="218"/>
        <v>0</v>
      </c>
      <c r="AA670" s="4">
        <f t="shared" ca="1" si="219"/>
        <v>0</v>
      </c>
    </row>
    <row r="671" spans="1:27">
      <c r="A671">
        <v>0</v>
      </c>
      <c r="B671">
        <v>3</v>
      </c>
      <c r="C671">
        <f t="shared" ca="1" si="198"/>
        <v>8</v>
      </c>
      <c r="D671">
        <f t="shared" ca="1" si="199"/>
        <v>7</v>
      </c>
      <c r="E671">
        <f t="shared" ca="1" si="200"/>
        <v>0</v>
      </c>
      <c r="F671" s="110">
        <f t="shared" ca="1" si="201"/>
        <v>2.1388499999999998E-2</v>
      </c>
      <c r="G671">
        <v>0</v>
      </c>
      <c r="H671">
        <v>0</v>
      </c>
      <c r="I671">
        <v>7</v>
      </c>
      <c r="J671" s="1">
        <f t="shared" ca="1" si="202"/>
        <v>3.4916864804687496E-2</v>
      </c>
      <c r="K671" s="1">
        <f t="shared" ca="1" si="203"/>
        <v>7.4681936287505847E-4</v>
      </c>
      <c r="L671" s="13">
        <f t="shared" ca="1" si="204"/>
        <v>140</v>
      </c>
      <c r="M671" s="7">
        <f t="shared" ca="1" si="205"/>
        <v>860</v>
      </c>
      <c r="N671" s="26">
        <f t="shared" ca="1" si="206"/>
        <v>4</v>
      </c>
      <c r="O671" s="44">
        <f t="shared" ca="1" si="207"/>
        <v>2.8910364854084887</v>
      </c>
      <c r="P671" s="44">
        <f t="shared" ca="1" si="208"/>
        <v>28.910364854084886</v>
      </c>
      <c r="Q671" s="44">
        <f t="shared" ca="1" si="209"/>
        <v>28.910364854084886</v>
      </c>
      <c r="R671" s="44">
        <f t="shared" ca="1" si="210"/>
        <v>2.8910364854084887</v>
      </c>
      <c r="S671" s="44">
        <f t="shared" ca="1" si="211"/>
        <v>2.8910364854084882</v>
      </c>
      <c r="T671" s="4">
        <f t="shared" ca="1" si="212"/>
        <v>2.1590820260813156E-3</v>
      </c>
      <c r="U671" s="120">
        <f t="shared" ca="1" si="213"/>
        <v>1600.6349838037554</v>
      </c>
      <c r="V671" s="4">
        <f t="shared" ca="1" si="214"/>
        <v>1.1953851987998501</v>
      </c>
      <c r="W671" s="13">
        <f t="shared" ca="1" si="215"/>
        <v>28194.075000000001</v>
      </c>
      <c r="X671" s="4">
        <f t="shared" ca="1" si="216"/>
        <v>21.055881128351615</v>
      </c>
      <c r="Y671" s="4">
        <f t="shared" si="217"/>
        <v>0</v>
      </c>
      <c r="Z671" s="13">
        <f t="shared" ca="1" si="218"/>
        <v>28194.075000000001</v>
      </c>
      <c r="AA671" s="4">
        <f t="shared" ca="1" si="219"/>
        <v>21.055881128351615</v>
      </c>
    </row>
    <row r="672" spans="1:27">
      <c r="A672">
        <v>0</v>
      </c>
      <c r="B672">
        <v>3</v>
      </c>
      <c r="C672">
        <f t="shared" ca="1" si="198"/>
        <v>8</v>
      </c>
      <c r="D672">
        <f t="shared" ca="1" si="199"/>
        <v>7</v>
      </c>
      <c r="E672">
        <f t="shared" ca="1" si="200"/>
        <v>0</v>
      </c>
      <c r="F672" s="110">
        <f t="shared" ca="1" si="201"/>
        <v>2.1388499999999998E-2</v>
      </c>
      <c r="G672">
        <v>0</v>
      </c>
      <c r="H672">
        <v>0</v>
      </c>
      <c r="I672">
        <v>6</v>
      </c>
      <c r="J672" s="1">
        <f t="shared" ca="1" si="202"/>
        <v>1.2864108085937513E-2</v>
      </c>
      <c r="K672" s="1">
        <f t="shared" ca="1" si="203"/>
        <v>2.7514397579607447E-4</v>
      </c>
      <c r="L672" s="13">
        <f t="shared" ca="1" si="204"/>
        <v>120</v>
      </c>
      <c r="M672" s="7">
        <f t="shared" ca="1" si="205"/>
        <v>880</v>
      </c>
      <c r="N672" s="26">
        <f t="shared" ca="1" si="206"/>
        <v>4</v>
      </c>
      <c r="O672" s="44">
        <f t="shared" ca="1" si="207"/>
        <v>2.8910364854084887</v>
      </c>
      <c r="P672" s="44">
        <f t="shared" ca="1" si="208"/>
        <v>28.910364854084886</v>
      </c>
      <c r="Q672" s="44">
        <f t="shared" ca="1" si="209"/>
        <v>28.910364854084886</v>
      </c>
      <c r="R672" s="44">
        <f t="shared" ca="1" si="210"/>
        <v>2.8910364854084887</v>
      </c>
      <c r="S672" s="44">
        <f t="shared" ca="1" si="211"/>
        <v>2.8910364854084882</v>
      </c>
      <c r="T672" s="4">
        <f t="shared" ca="1" si="212"/>
        <v>7.954512727668013E-4</v>
      </c>
      <c r="U672" s="120">
        <f t="shared" ca="1" si="213"/>
        <v>1580.6349838037554</v>
      </c>
      <c r="V672" s="4">
        <f t="shared" ca="1" si="214"/>
        <v>0.43490219372612904</v>
      </c>
      <c r="W672" s="13">
        <f t="shared" ca="1" si="215"/>
        <v>24166.350000000002</v>
      </c>
      <c r="X672" s="4">
        <f t="shared" ca="1" si="216"/>
        <v>6.6492256194794646</v>
      </c>
      <c r="Y672" s="4">
        <f t="shared" si="217"/>
        <v>0</v>
      </c>
      <c r="Z672" s="13">
        <f t="shared" ca="1" si="218"/>
        <v>24166.350000000002</v>
      </c>
      <c r="AA672" s="4">
        <f t="shared" ca="1" si="219"/>
        <v>6.6492256194794646</v>
      </c>
    </row>
    <row r="673" spans="1:27">
      <c r="A673">
        <v>0</v>
      </c>
      <c r="B673">
        <v>3</v>
      </c>
      <c r="C673">
        <f t="shared" ca="1" si="198"/>
        <v>8</v>
      </c>
      <c r="D673">
        <f t="shared" ca="1" si="199"/>
        <v>7</v>
      </c>
      <c r="E673">
        <f t="shared" ca="1" si="200"/>
        <v>0</v>
      </c>
      <c r="F673" s="110">
        <f t="shared" ca="1" si="201"/>
        <v>2.1388499999999998E-2</v>
      </c>
      <c r="G673">
        <v>0</v>
      </c>
      <c r="H673">
        <v>0</v>
      </c>
      <c r="I673">
        <v>5</v>
      </c>
      <c r="J673" s="1">
        <f t="shared" ca="1" si="202"/>
        <v>2.0311749609375038E-3</v>
      </c>
      <c r="K673" s="1">
        <f t="shared" ca="1" si="203"/>
        <v>4.3443785652011795E-5</v>
      </c>
      <c r="L673" s="13">
        <f t="shared" ca="1" si="204"/>
        <v>100</v>
      </c>
      <c r="M673" s="7">
        <f t="shared" ca="1" si="205"/>
        <v>900</v>
      </c>
      <c r="N673" s="26">
        <f t="shared" ca="1" si="206"/>
        <v>4</v>
      </c>
      <c r="O673" s="44">
        <f t="shared" ca="1" si="207"/>
        <v>2.8910364854084887</v>
      </c>
      <c r="P673" s="44">
        <f t="shared" ca="1" si="208"/>
        <v>28.910364854084886</v>
      </c>
      <c r="Q673" s="44">
        <f t="shared" ca="1" si="209"/>
        <v>28.910364854084886</v>
      </c>
      <c r="R673" s="44">
        <f t="shared" ca="1" si="210"/>
        <v>2.8910364854084887</v>
      </c>
      <c r="S673" s="44">
        <f t="shared" ca="1" si="211"/>
        <v>2.8910364854084882</v>
      </c>
      <c r="T673" s="4">
        <f t="shared" ca="1" si="212"/>
        <v>1.255975693842319E-4</v>
      </c>
      <c r="U673" s="120">
        <f t="shared" ca="1" si="213"/>
        <v>1560.6349838037554</v>
      </c>
      <c r="V673" s="4">
        <f t="shared" ca="1" si="214"/>
        <v>6.7799891717401251E-2</v>
      </c>
      <c r="W673" s="13">
        <f t="shared" ca="1" si="215"/>
        <v>20138.625</v>
      </c>
      <c r="X673" s="4">
        <f t="shared" ca="1" si="216"/>
        <v>0.874898107826246</v>
      </c>
      <c r="Y673" s="4">
        <f t="shared" si="217"/>
        <v>0</v>
      </c>
      <c r="Z673" s="13">
        <f t="shared" ca="1" si="218"/>
        <v>20138.625</v>
      </c>
      <c r="AA673" s="4">
        <f t="shared" ca="1" si="219"/>
        <v>0.874898107826246</v>
      </c>
    </row>
    <row r="674" spans="1:27">
      <c r="A674">
        <v>0</v>
      </c>
      <c r="B674">
        <v>3</v>
      </c>
      <c r="C674">
        <f t="shared" ca="1" si="198"/>
        <v>8</v>
      </c>
      <c r="D674">
        <f t="shared" ca="1" si="199"/>
        <v>7</v>
      </c>
      <c r="E674">
        <f t="shared" ca="1" si="200"/>
        <v>0</v>
      </c>
      <c r="F674" s="110">
        <f t="shared" ca="1" si="201"/>
        <v>2.1388499999999998E-2</v>
      </c>
      <c r="G674">
        <v>0</v>
      </c>
      <c r="H674">
        <v>0</v>
      </c>
      <c r="I674">
        <v>4</v>
      </c>
      <c r="J674" s="1">
        <f t="shared" ca="1" si="202"/>
        <v>1.7817324218750047E-4</v>
      </c>
      <c r="K674" s="1">
        <f t="shared" ca="1" si="203"/>
        <v>3.8108583905273537E-6</v>
      </c>
      <c r="L674" s="13">
        <f t="shared" ca="1" si="204"/>
        <v>80</v>
      </c>
      <c r="M674" s="7">
        <f t="shared" ca="1" si="205"/>
        <v>920</v>
      </c>
      <c r="N674" s="26">
        <f t="shared" ca="1" si="206"/>
        <v>4</v>
      </c>
      <c r="O674" s="44">
        <f t="shared" ca="1" si="207"/>
        <v>2.8910364854084887</v>
      </c>
      <c r="P674" s="44">
        <f t="shared" ca="1" si="208"/>
        <v>28.910364854084886</v>
      </c>
      <c r="Q674" s="44">
        <f t="shared" ca="1" si="209"/>
        <v>28.910364854084886</v>
      </c>
      <c r="R674" s="44">
        <f t="shared" ca="1" si="210"/>
        <v>2.8910364854084887</v>
      </c>
      <c r="S674" s="44">
        <f t="shared" ca="1" si="211"/>
        <v>2.8910364854084882</v>
      </c>
      <c r="T674" s="4">
        <f t="shared" ca="1" si="212"/>
        <v>1.1017330647739648E-5</v>
      </c>
      <c r="U674" s="120">
        <f t="shared" ca="1" si="213"/>
        <v>1540.6349838037554</v>
      </c>
      <c r="V674" s="4">
        <f t="shared" ca="1" si="214"/>
        <v>5.8711417547685149E-3</v>
      </c>
      <c r="W674" s="13">
        <f t="shared" ca="1" si="215"/>
        <v>16110.900000000001</v>
      </c>
      <c r="X674" s="4">
        <f t="shared" ca="1" si="216"/>
        <v>6.1396358443947148E-2</v>
      </c>
      <c r="Y674" s="4">
        <f t="shared" si="217"/>
        <v>0</v>
      </c>
      <c r="Z674" s="13">
        <f t="shared" ca="1" si="218"/>
        <v>16110.900000000001</v>
      </c>
      <c r="AA674" s="4">
        <f t="shared" ca="1" si="219"/>
        <v>6.1396358443947148E-2</v>
      </c>
    </row>
    <row r="675" spans="1:27">
      <c r="A675">
        <v>0</v>
      </c>
      <c r="B675">
        <v>3</v>
      </c>
      <c r="C675">
        <f t="shared" ca="1" si="198"/>
        <v>8</v>
      </c>
      <c r="D675">
        <f t="shared" ca="1" si="199"/>
        <v>7</v>
      </c>
      <c r="E675">
        <f t="shared" ca="1" si="200"/>
        <v>0</v>
      </c>
      <c r="F675" s="110">
        <f t="shared" ca="1" si="201"/>
        <v>2.1388499999999998E-2</v>
      </c>
      <c r="G675">
        <v>0</v>
      </c>
      <c r="H675">
        <v>0</v>
      </c>
      <c r="I675">
        <v>3</v>
      </c>
      <c r="J675" s="1">
        <f t="shared" ca="1" si="202"/>
        <v>9.3775390625000315E-6</v>
      </c>
      <c r="K675" s="1">
        <f t="shared" ca="1" si="203"/>
        <v>2.005714942382819E-7</v>
      </c>
      <c r="L675" s="13">
        <f t="shared" ca="1" si="204"/>
        <v>60</v>
      </c>
      <c r="M675" s="7">
        <f t="shared" ca="1" si="205"/>
        <v>940</v>
      </c>
      <c r="N675" s="26">
        <f t="shared" ca="1" si="206"/>
        <v>4</v>
      </c>
      <c r="O675" s="44">
        <f t="shared" ca="1" si="207"/>
        <v>2.8910364854084887</v>
      </c>
      <c r="P675" s="44">
        <f t="shared" ca="1" si="208"/>
        <v>28.910364854084886</v>
      </c>
      <c r="Q675" s="44">
        <f t="shared" ca="1" si="209"/>
        <v>28.910364854084886</v>
      </c>
      <c r="R675" s="44">
        <f t="shared" ca="1" si="210"/>
        <v>2.8910364854084887</v>
      </c>
      <c r="S675" s="44">
        <f t="shared" ca="1" si="211"/>
        <v>2.8910364854084882</v>
      </c>
      <c r="T675" s="4">
        <f t="shared" ca="1" si="212"/>
        <v>5.7985950777577134E-7</v>
      </c>
      <c r="U675" s="120">
        <f t="shared" ca="1" si="213"/>
        <v>1520.6349838037554</v>
      </c>
      <c r="V675" s="4">
        <f t="shared" ca="1" si="214"/>
        <v>3.0499603089252484E-4</v>
      </c>
      <c r="W675" s="13">
        <f t="shared" ca="1" si="215"/>
        <v>12083.175000000001</v>
      </c>
      <c r="X675" s="4">
        <f t="shared" ca="1" si="216"/>
        <v>2.4235404648926522E-3</v>
      </c>
      <c r="Y675" s="4">
        <f t="shared" si="217"/>
        <v>0</v>
      </c>
      <c r="Z675" s="13">
        <f t="shared" ca="1" si="218"/>
        <v>12083.175000000001</v>
      </c>
      <c r="AA675" s="4">
        <f t="shared" ca="1" si="219"/>
        <v>2.4235404648926522E-3</v>
      </c>
    </row>
    <row r="676" spans="1:27">
      <c r="A676">
        <v>0</v>
      </c>
      <c r="B676">
        <v>3</v>
      </c>
      <c r="C676">
        <f t="shared" ca="1" si="198"/>
        <v>8</v>
      </c>
      <c r="D676">
        <f t="shared" ca="1" si="199"/>
        <v>7</v>
      </c>
      <c r="E676">
        <f t="shared" ca="1" si="200"/>
        <v>0</v>
      </c>
      <c r="F676" s="110">
        <f t="shared" ca="1" si="201"/>
        <v>2.1388499999999998E-2</v>
      </c>
      <c r="G676">
        <v>0</v>
      </c>
      <c r="H676">
        <v>0</v>
      </c>
      <c r="I676">
        <v>2</v>
      </c>
      <c r="J676" s="1">
        <f t="shared" ca="1" si="202"/>
        <v>2.961328125000013E-7</v>
      </c>
      <c r="K676" s="1">
        <f t="shared" ca="1" si="203"/>
        <v>6.3338366601562773E-9</v>
      </c>
      <c r="L676" s="13">
        <f t="shared" ca="1" si="204"/>
        <v>40</v>
      </c>
      <c r="M676" s="7">
        <f t="shared" ca="1" si="205"/>
        <v>960</v>
      </c>
      <c r="N676" s="26">
        <f t="shared" ca="1" si="206"/>
        <v>4</v>
      </c>
      <c r="O676" s="44">
        <f t="shared" ca="1" si="207"/>
        <v>2.8910364854084887</v>
      </c>
      <c r="P676" s="44">
        <f t="shared" ca="1" si="208"/>
        <v>28.910364854084886</v>
      </c>
      <c r="Q676" s="44">
        <f t="shared" ca="1" si="209"/>
        <v>28.910364854084886</v>
      </c>
      <c r="R676" s="44">
        <f t="shared" ca="1" si="210"/>
        <v>2.8910364854084887</v>
      </c>
      <c r="S676" s="44">
        <f t="shared" ca="1" si="211"/>
        <v>2.8910364854084882</v>
      </c>
      <c r="T676" s="4">
        <f t="shared" ca="1" si="212"/>
        <v>1.831135287712964E-8</v>
      </c>
      <c r="U676" s="120">
        <f t="shared" ca="1" si="213"/>
        <v>1500.6349838037554</v>
      </c>
      <c r="V676" s="4">
        <f t="shared" ca="1" si="214"/>
        <v>9.5047768739292471E-6</v>
      </c>
      <c r="W676" s="13">
        <f t="shared" ca="1" si="215"/>
        <v>8055.4500000000007</v>
      </c>
      <c r="X676" s="4">
        <f t="shared" ca="1" si="216"/>
        <v>5.1021904524055887E-5</v>
      </c>
      <c r="Y676" s="4">
        <f t="shared" si="217"/>
        <v>0</v>
      </c>
      <c r="Z676" s="13">
        <f t="shared" ca="1" si="218"/>
        <v>8055.4500000000007</v>
      </c>
      <c r="AA676" s="4">
        <f t="shared" ca="1" si="219"/>
        <v>5.1021904524055887E-5</v>
      </c>
    </row>
    <row r="677" spans="1:27">
      <c r="A677">
        <v>0</v>
      </c>
      <c r="B677">
        <v>3</v>
      </c>
      <c r="C677">
        <f t="shared" ca="1" si="198"/>
        <v>8</v>
      </c>
      <c r="D677">
        <f t="shared" ca="1" si="199"/>
        <v>7</v>
      </c>
      <c r="E677">
        <f t="shared" ca="1" si="200"/>
        <v>0</v>
      </c>
      <c r="F677" s="110">
        <f t="shared" ca="1" si="201"/>
        <v>2.1388499999999998E-2</v>
      </c>
      <c r="G677">
        <v>0</v>
      </c>
      <c r="H677">
        <v>0</v>
      </c>
      <c r="I677">
        <v>1</v>
      </c>
      <c r="J677" s="1">
        <f t="shared" ca="1" si="202"/>
        <v>5.1953125000000272E-9</v>
      </c>
      <c r="K677" s="1">
        <f t="shared" ca="1" si="203"/>
        <v>1.1111994140625058E-10</v>
      </c>
      <c r="L677" s="13">
        <f t="shared" ca="1" si="204"/>
        <v>20</v>
      </c>
      <c r="M677" s="7">
        <f t="shared" ca="1" si="205"/>
        <v>980</v>
      </c>
      <c r="N677" s="26">
        <f t="shared" ca="1" si="206"/>
        <v>4</v>
      </c>
      <c r="O677" s="44">
        <f t="shared" ca="1" si="207"/>
        <v>2.8910364854084887</v>
      </c>
      <c r="P677" s="44">
        <f t="shared" ca="1" si="208"/>
        <v>28.910364854084886</v>
      </c>
      <c r="Q677" s="44">
        <f t="shared" ca="1" si="209"/>
        <v>28.910364854084886</v>
      </c>
      <c r="R677" s="44">
        <f t="shared" ca="1" si="210"/>
        <v>2.8910364854084887</v>
      </c>
      <c r="S677" s="44">
        <f t="shared" ca="1" si="211"/>
        <v>2.8910364854084882</v>
      </c>
      <c r="T677" s="4">
        <f t="shared" ca="1" si="212"/>
        <v>3.2125180486192378E-10</v>
      </c>
      <c r="U677" s="120">
        <f t="shared" ca="1" si="213"/>
        <v>1480.6349838037554</v>
      </c>
      <c r="V677" s="4">
        <f t="shared" ca="1" si="214"/>
        <v>1.6452807264431808E-7</v>
      </c>
      <c r="W677" s="13">
        <f t="shared" ca="1" si="215"/>
        <v>4027.7250000000004</v>
      </c>
      <c r="X677" s="4">
        <f t="shared" ca="1" si="216"/>
        <v>4.4756056600049065E-7</v>
      </c>
      <c r="Y677" s="4">
        <f t="shared" si="217"/>
        <v>0</v>
      </c>
      <c r="Z677" s="13">
        <f t="shared" ca="1" si="218"/>
        <v>4027.7250000000004</v>
      </c>
      <c r="AA677" s="4">
        <f t="shared" ca="1" si="219"/>
        <v>4.4756056600049065E-7</v>
      </c>
    </row>
    <row r="678" spans="1:27">
      <c r="A678">
        <v>0</v>
      </c>
      <c r="B678">
        <v>3</v>
      </c>
      <c r="C678">
        <f t="shared" ca="1" si="198"/>
        <v>8</v>
      </c>
      <c r="D678">
        <f t="shared" ca="1" si="199"/>
        <v>7</v>
      </c>
      <c r="E678">
        <f t="shared" ca="1" si="200"/>
        <v>0</v>
      </c>
      <c r="F678" s="110">
        <f t="shared" ca="1" si="201"/>
        <v>2.1388499999999998E-2</v>
      </c>
      <c r="G678">
        <v>0</v>
      </c>
      <c r="H678">
        <v>0</v>
      </c>
      <c r="I678">
        <v>0</v>
      </c>
      <c r="J678" s="1">
        <f t="shared" ca="1" si="202"/>
        <v>3.9062500000000246E-11</v>
      </c>
      <c r="K678" s="1">
        <f t="shared" ca="1" si="203"/>
        <v>8.3548828125000517E-13</v>
      </c>
      <c r="L678" s="13">
        <f t="shared" ca="1" si="204"/>
        <v>0</v>
      </c>
      <c r="M678" s="7">
        <f t="shared" ca="1" si="205"/>
        <v>1000</v>
      </c>
      <c r="N678" s="26">
        <f t="shared" ca="1" si="206"/>
        <v>4</v>
      </c>
      <c r="O678" s="44">
        <f t="shared" ca="1" si="207"/>
        <v>2.8910364854084887</v>
      </c>
      <c r="P678" s="44">
        <f t="shared" ca="1" si="208"/>
        <v>28.910364854084886</v>
      </c>
      <c r="Q678" s="44">
        <f t="shared" ca="1" si="209"/>
        <v>28.910364854084886</v>
      </c>
      <c r="R678" s="44">
        <f t="shared" ca="1" si="210"/>
        <v>2.8910364854084887</v>
      </c>
      <c r="S678" s="44">
        <f t="shared" ca="1" si="211"/>
        <v>2.8910364854084882</v>
      </c>
      <c r="T678" s="4">
        <f t="shared" ca="1" si="212"/>
        <v>2.4154271042249937E-12</v>
      </c>
      <c r="U678" s="120">
        <f t="shared" ca="1" si="213"/>
        <v>1460.6349838037554</v>
      </c>
      <c r="V678" s="4">
        <f t="shared" ca="1" si="214"/>
        <v>1.2203434121518287E-9</v>
      </c>
      <c r="W678" s="13">
        <f t="shared" ca="1" si="215"/>
        <v>0</v>
      </c>
      <c r="X678" s="4">
        <f t="shared" ca="1" si="216"/>
        <v>0</v>
      </c>
      <c r="Y678" s="4">
        <f t="shared" si="217"/>
        <v>0</v>
      </c>
      <c r="Z678" s="13">
        <f t="shared" ca="1" si="218"/>
        <v>0</v>
      </c>
      <c r="AA678" s="4">
        <f t="shared" ca="1" si="219"/>
        <v>0</v>
      </c>
    </row>
    <row r="679" spans="1:27">
      <c r="A679">
        <v>1</v>
      </c>
      <c r="B679">
        <v>0</v>
      </c>
      <c r="C679">
        <f t="shared" ref="C679:C742" ca="1" si="220">MIN(8, 1+$B$543+$B$542+A679+B679)</f>
        <v>6</v>
      </c>
      <c r="D679">
        <f t="shared" ref="D679:D742" ca="1" si="221">C679-(1+$B$543)</f>
        <v>5</v>
      </c>
      <c r="E679">
        <f t="shared" ref="E679:E742" ca="1" si="222">MIN(A679, C679-(1+$B$543+$B$542))</f>
        <v>1</v>
      </c>
      <c r="F679" s="110">
        <f t="shared" ref="F679:F742" ca="1" si="223">IF(A679=3, Set2QA, IF(A679=2, (1-Set2QA)*Set2TA + (1-Set2QA)*(1-Set2TA)*(1-Set2DA)*Set2AM3*Set2AM33, IF(A679=1, (1-Set2QA)*(1-Set2TA)*Set2DA + (1-Set2QA)*(1-Set2TA)*(1-Set2DA)*Set2AM3*Set2AM32, (1-Set2QA)*(1-Set2TA)*(1-Set2DA)*(1-Set2AM3)))) * IF($B$542+$B$543&gt;0, IF(B679=3, Set2QA, IF(B679=2, (1-Set2QA)*Set2TA, IF(B679=1, (1-Set2QA)*(1-Set2TA)*Set2DA, (1-Set2QA)*(1-Set2TA)*(1-Set2DA)))), IF(B679=0, 1, 0))</f>
        <v>0.16943256749999999</v>
      </c>
      <c r="G679">
        <v>1</v>
      </c>
      <c r="H679">
        <v>1</v>
      </c>
      <c r="I679">
        <v>7</v>
      </c>
      <c r="J679" s="1">
        <f t="shared" ref="J679:J742" ca="1" si="224">POWER(95%,G679)*POWER(5%, 1-G679) * IF($B$543=0, IF(H679=0, 1, 0), POWER(Set2WSHitRate,H679)*POWER(1-Set2WSHitRate, 1-H679)) * IF(I679&lt;=D679, POWER(Set2WSHitRate, I679)*POWER(1-Set2WSHitRate, D679-I679)*COMBIN(D679,I679), 0)</f>
        <v>0</v>
      </c>
      <c r="K679" s="1">
        <f t="shared" ref="K679:K742" ca="1" si="225">F679*J679</f>
        <v>0</v>
      </c>
      <c r="L679" s="13">
        <f t="shared" ref="L679:L742" ca="1" si="226">MAX((G679+H679)*Set2WSTP + I679*$B$539, Set2SaveTP)</f>
        <v>648</v>
      </c>
      <c r="M679" s="7">
        <f t="shared" ref="M679:M742" ca="1" si="227">MAX(Set2MinTP-(L679+Set2Regain), 0)</f>
        <v>352</v>
      </c>
      <c r="N679" s="26">
        <f t="shared" ref="N679:N742" ca="1" si="228">CEILING(M679/Set2MeleeTP, 1)</f>
        <v>2</v>
      </c>
      <c r="O679" s="44">
        <f t="shared" ref="O679:O742" ca="1" si="229">VLOOKUP(N679, AvgRoundsSet2, 2)</f>
        <v>1.5942243152407929</v>
      </c>
      <c r="P679" s="44">
        <f t="shared" ref="P679:P742" ca="1" si="230">VLOOKUP(CEILING(MAX(M679-1, 0)/Set2MeleeTP, 1), AvgRoundsSet2, 2) + VLOOKUP(CEILING(MAX(M679-2, 0)/Set2MeleeTP, 1), AvgRoundsSet2, 2) + VLOOKUP(CEILING(MAX(M679-3, 0)/Set2MeleeTP, 1), AvgRoundsSet2, 2) + VLOOKUP(CEILING(MAX(M679-4, 0)/Set2MeleeTP, 1), AvgRoundsSet2, 2) + VLOOKUP(CEILING(MAX(M679-5, 0)/Set2MeleeTP, 1), AvgRoundsSet2, 2) + VLOOKUP(CEILING(MAX(M679-6, 0)/Set2MeleeTP, 1), AvgRoundsSet2, 2) + VLOOKUP(CEILING(MAX(M679-7, 0)/Set2MeleeTP, 1), AvgRoundsSet2, 2) + VLOOKUP(CEILING(MAX(M679-8, 0)/Set2MeleeTP, 1), AvgRoundsSet2, 2) + VLOOKUP(CEILING(MAX(M679-9, 0)/Set2MeleeTP, 1), AvgRoundsSet2, 2) + VLOOKUP(CEILING(MAX(M679-10, 0)/Set2MeleeTP, 1), AvgRoundsSet2, 2)</f>
        <v>15.942243152407926</v>
      </c>
      <c r="Q679" s="44">
        <f t="shared" ref="Q679:Q742" ca="1" si="231">VLOOKUP(CEILING(MAX(M679-11, 0)/Set2MeleeTP, 1), AvgRoundsSet2, 2) + VLOOKUP(CEILING(MAX(M679-12, 0)/Set2MeleeTP, 1), AvgRoundsSet2, 2) + VLOOKUP(CEILING(MAX(M679-13, 0)/Set2MeleeTP, 1), AvgRoundsSet2, 2) + VLOOKUP(CEILING(MAX(M679-14, 0)/Set2MeleeTP, 1), AvgRoundsSet2, 2) + VLOOKUP(CEILING(MAX(M679-15, 0)/Set2MeleeTP, 1), AvgRoundsSet2, 2) + VLOOKUP(CEILING(MAX(M679-16, 0)/Set2MeleeTP, 1), AvgRoundsSet2, 2) + VLOOKUP(CEILING(MAX(M679-17, 0)/Set2MeleeTP, 1), AvgRoundsSet2, 2) + VLOOKUP(CEILING(MAX(M679-18, 0)/Set2MeleeTP, 1), AvgRoundsSet2, 2) + VLOOKUP(CEILING(MAX(M679-19, 0)/Set2MeleeTP, 1), AvgRoundsSet2, 2) + VLOOKUP(CEILING(MAX(M679-20, 0)/Set2MeleeTP, 1), AvgRoundsSet2, 2)</f>
        <v>15.942243152407926</v>
      </c>
      <c r="R679" s="44">
        <f t="shared" ref="R679:R742" ca="1" si="232">(P679+Q679)/20</f>
        <v>1.5942243152407927</v>
      </c>
      <c r="S679" s="44">
        <f t="shared" ref="S679:S742" ca="1" si="233">R679*Set2ConserveTP + O679*(1-Set2ConserveTP)</f>
        <v>1.5942243152407927</v>
      </c>
      <c r="T679" s="4">
        <f t="shared" ref="T679:T742" ca="1" si="234">K679*S679</f>
        <v>0</v>
      </c>
      <c r="U679" s="120">
        <f t="shared" ref="U679:U742" ca="1" si="235">MIN(L679+(S679+Set2OverTP)*AvgHitsPerRound2*Set2MeleeTP + Set2Regain + 10.5*Set2ConserveTP, 3000)</f>
        <v>1550.3348669012169</v>
      </c>
      <c r="V679" s="4">
        <f t="shared" ref="V679:V742" ca="1" si="236">U679*K679</f>
        <v>0</v>
      </c>
      <c r="W679" s="13">
        <f t="shared" ref="W679:W742" ca="1" si="237">G679*$K$543*((1-$L$543)*$L$547 + $L$543*$M$547*$M$543)*Set2WSDmg + H679*$K$546*((1-$L$546)*$L$548 + $L$546*$M$548*$M$544) + I679*$K$544*((1-$L$544)*$L$547 + $L$544*$M$547*$M$544) + E679*$K$545*$L$545*$M$543</f>
        <v>32946.790500000003</v>
      </c>
      <c r="X679" s="4">
        <f t="shared" ref="X679:X742" ca="1" si="238">K679*W679</f>
        <v>0</v>
      </c>
      <c r="Y679" s="4">
        <f t="shared" ref="Y679:Y742" si="239">IF($B$545=1, (VLOOKUP(C679, IF($B$546=10%,Souleater10,Souleater12), 6, FALSE) * $B$547), 0)</f>
        <v>0</v>
      </c>
      <c r="Z679" s="13">
        <f t="shared" ca="1" si="218"/>
        <v>32946.790500000003</v>
      </c>
      <c r="AA679" s="4">
        <f t="shared" ca="1" si="219"/>
        <v>0</v>
      </c>
    </row>
    <row r="680" spans="1:27">
      <c r="A680">
        <v>1</v>
      </c>
      <c r="B680">
        <v>0</v>
      </c>
      <c r="C680">
        <f t="shared" ca="1" si="220"/>
        <v>6</v>
      </c>
      <c r="D680">
        <f t="shared" ca="1" si="221"/>
        <v>5</v>
      </c>
      <c r="E680">
        <f t="shared" ca="1" si="222"/>
        <v>1</v>
      </c>
      <c r="F680" s="110">
        <f t="shared" ca="1" si="223"/>
        <v>0.16943256749999999</v>
      </c>
      <c r="G680">
        <v>1</v>
      </c>
      <c r="H680">
        <v>1</v>
      </c>
      <c r="I680">
        <v>6</v>
      </c>
      <c r="J680" s="1">
        <f t="shared" ca="1" si="224"/>
        <v>0</v>
      </c>
      <c r="K680" s="1">
        <f t="shared" ca="1" si="225"/>
        <v>0</v>
      </c>
      <c r="L680" s="13">
        <f t="shared" ca="1" si="226"/>
        <v>628</v>
      </c>
      <c r="M680" s="7">
        <f t="shared" ca="1" si="227"/>
        <v>372</v>
      </c>
      <c r="N680" s="26">
        <f t="shared" ca="1" si="228"/>
        <v>2</v>
      </c>
      <c r="O680" s="44">
        <f t="shared" ca="1" si="229"/>
        <v>1.5942243152407929</v>
      </c>
      <c r="P680" s="44">
        <f t="shared" ca="1" si="230"/>
        <v>15.942243152407926</v>
      </c>
      <c r="Q680" s="44">
        <f t="shared" ca="1" si="231"/>
        <v>15.942243152407926</v>
      </c>
      <c r="R680" s="44">
        <f t="shared" ca="1" si="232"/>
        <v>1.5942243152407927</v>
      </c>
      <c r="S680" s="44">
        <f t="shared" ca="1" si="233"/>
        <v>1.5942243152407927</v>
      </c>
      <c r="T680" s="4">
        <f t="shared" ca="1" si="234"/>
        <v>0</v>
      </c>
      <c r="U680" s="120">
        <f t="shared" ca="1" si="235"/>
        <v>1530.3348669012169</v>
      </c>
      <c r="V680" s="4">
        <f t="shared" ca="1" si="236"/>
        <v>0</v>
      </c>
      <c r="W680" s="13">
        <f t="shared" ca="1" si="237"/>
        <v>28919.065500000004</v>
      </c>
      <c r="X680" s="4">
        <f t="shared" ca="1" si="238"/>
        <v>0</v>
      </c>
      <c r="Y680" s="4">
        <f t="shared" si="239"/>
        <v>0</v>
      </c>
      <c r="Z680" s="13">
        <f t="shared" ref="Z680:Z743" ca="1" si="240">Y680+W680</f>
        <v>28919.065500000004</v>
      </c>
      <c r="AA680" s="4">
        <f t="shared" ref="AA680:AA743" ca="1" si="241">Z680*K680</f>
        <v>0</v>
      </c>
    </row>
    <row r="681" spans="1:27">
      <c r="A681">
        <v>1</v>
      </c>
      <c r="B681">
        <v>0</v>
      </c>
      <c r="C681">
        <f t="shared" ca="1" si="220"/>
        <v>6</v>
      </c>
      <c r="D681">
        <f t="shared" ca="1" si="221"/>
        <v>5</v>
      </c>
      <c r="E681">
        <f t="shared" ca="1" si="222"/>
        <v>1</v>
      </c>
      <c r="F681" s="110">
        <f t="shared" ca="1" si="223"/>
        <v>0.16943256749999999</v>
      </c>
      <c r="G681">
        <v>1</v>
      </c>
      <c r="H681">
        <v>1</v>
      </c>
      <c r="I681">
        <v>5</v>
      </c>
      <c r="J681" s="1">
        <f t="shared" ca="1" si="224"/>
        <v>0</v>
      </c>
      <c r="K681" s="1">
        <f t="shared" ca="1" si="225"/>
        <v>0</v>
      </c>
      <c r="L681" s="13">
        <f t="shared" ca="1" si="226"/>
        <v>608</v>
      </c>
      <c r="M681" s="7">
        <f t="shared" ca="1" si="227"/>
        <v>392</v>
      </c>
      <c r="N681" s="26">
        <f t="shared" ca="1" si="228"/>
        <v>2</v>
      </c>
      <c r="O681" s="44">
        <f t="shared" ca="1" si="229"/>
        <v>1.5942243152407929</v>
      </c>
      <c r="P681" s="44">
        <f t="shared" ca="1" si="230"/>
        <v>15.942243152407926</v>
      </c>
      <c r="Q681" s="44">
        <f t="shared" ca="1" si="231"/>
        <v>15.942243152407926</v>
      </c>
      <c r="R681" s="44">
        <f t="shared" ca="1" si="232"/>
        <v>1.5942243152407927</v>
      </c>
      <c r="S681" s="44">
        <f t="shared" ca="1" si="233"/>
        <v>1.5942243152407927</v>
      </c>
      <c r="T681" s="4">
        <f t="shared" ca="1" si="234"/>
        <v>0</v>
      </c>
      <c r="U681" s="120">
        <f t="shared" ca="1" si="235"/>
        <v>1510.3348669012169</v>
      </c>
      <c r="V681" s="4">
        <f t="shared" ca="1" si="236"/>
        <v>0</v>
      </c>
      <c r="W681" s="13">
        <f t="shared" ca="1" si="237"/>
        <v>24891.340500000002</v>
      </c>
      <c r="X681" s="4">
        <f t="shared" ca="1" si="238"/>
        <v>0</v>
      </c>
      <c r="Y681" s="4">
        <f t="shared" si="239"/>
        <v>0</v>
      </c>
      <c r="Z681" s="13">
        <f t="shared" ca="1" si="240"/>
        <v>24891.340500000002</v>
      </c>
      <c r="AA681" s="4">
        <f t="shared" ca="1" si="241"/>
        <v>0</v>
      </c>
    </row>
    <row r="682" spans="1:27">
      <c r="A682">
        <v>1</v>
      </c>
      <c r="B682">
        <v>0</v>
      </c>
      <c r="C682">
        <f t="shared" ca="1" si="220"/>
        <v>6</v>
      </c>
      <c r="D682">
        <f t="shared" ca="1" si="221"/>
        <v>5</v>
      </c>
      <c r="E682">
        <f t="shared" ca="1" si="222"/>
        <v>1</v>
      </c>
      <c r="F682" s="110">
        <f t="shared" ca="1" si="223"/>
        <v>0.16943256749999999</v>
      </c>
      <c r="G682">
        <v>1</v>
      </c>
      <c r="H682">
        <v>1</v>
      </c>
      <c r="I682">
        <v>4</v>
      </c>
      <c r="J682" s="1">
        <f t="shared" ca="1" si="224"/>
        <v>0</v>
      </c>
      <c r="K682" s="1">
        <f t="shared" ca="1" si="225"/>
        <v>0</v>
      </c>
      <c r="L682" s="13">
        <f t="shared" ca="1" si="226"/>
        <v>588</v>
      </c>
      <c r="M682" s="7">
        <f t="shared" ca="1" si="227"/>
        <v>412</v>
      </c>
      <c r="N682" s="26">
        <f t="shared" ca="1" si="228"/>
        <v>2</v>
      </c>
      <c r="O682" s="44">
        <f t="shared" ca="1" si="229"/>
        <v>1.5942243152407929</v>
      </c>
      <c r="P682" s="44">
        <f t="shared" ca="1" si="230"/>
        <v>15.942243152407926</v>
      </c>
      <c r="Q682" s="44">
        <f t="shared" ca="1" si="231"/>
        <v>15.942243152407926</v>
      </c>
      <c r="R682" s="44">
        <f t="shared" ca="1" si="232"/>
        <v>1.5942243152407927</v>
      </c>
      <c r="S682" s="44">
        <f t="shared" ca="1" si="233"/>
        <v>1.5942243152407927</v>
      </c>
      <c r="T682" s="4">
        <f t="shared" ca="1" si="234"/>
        <v>0</v>
      </c>
      <c r="U682" s="120">
        <f t="shared" ca="1" si="235"/>
        <v>1490.3348669012169</v>
      </c>
      <c r="V682" s="4">
        <f t="shared" ca="1" si="236"/>
        <v>0</v>
      </c>
      <c r="W682" s="13">
        <f t="shared" ca="1" si="237"/>
        <v>20863.615500000004</v>
      </c>
      <c r="X682" s="4">
        <f t="shared" ca="1" si="238"/>
        <v>0</v>
      </c>
      <c r="Y682" s="4">
        <f t="shared" si="239"/>
        <v>0</v>
      </c>
      <c r="Z682" s="13">
        <f t="shared" ca="1" si="240"/>
        <v>20863.615500000004</v>
      </c>
      <c r="AA682" s="4">
        <f t="shared" ca="1" si="241"/>
        <v>0</v>
      </c>
    </row>
    <row r="683" spans="1:27">
      <c r="A683">
        <v>1</v>
      </c>
      <c r="B683">
        <v>0</v>
      </c>
      <c r="C683">
        <f t="shared" ca="1" si="220"/>
        <v>6</v>
      </c>
      <c r="D683">
        <f t="shared" ca="1" si="221"/>
        <v>5</v>
      </c>
      <c r="E683">
        <f t="shared" ca="1" si="222"/>
        <v>1</v>
      </c>
      <c r="F683" s="110">
        <f t="shared" ca="1" si="223"/>
        <v>0.16943256749999999</v>
      </c>
      <c r="G683">
        <v>1</v>
      </c>
      <c r="H683">
        <v>1</v>
      </c>
      <c r="I683">
        <v>3</v>
      </c>
      <c r="J683" s="1">
        <f t="shared" ca="1" si="224"/>
        <v>0</v>
      </c>
      <c r="K683" s="1">
        <f t="shared" ca="1" si="225"/>
        <v>0</v>
      </c>
      <c r="L683" s="13">
        <f t="shared" ca="1" si="226"/>
        <v>568</v>
      </c>
      <c r="M683" s="7">
        <f t="shared" ca="1" si="227"/>
        <v>432</v>
      </c>
      <c r="N683" s="26">
        <f t="shared" ca="1" si="228"/>
        <v>2</v>
      </c>
      <c r="O683" s="44">
        <f t="shared" ca="1" si="229"/>
        <v>1.5942243152407929</v>
      </c>
      <c r="P683" s="44">
        <f t="shared" ca="1" si="230"/>
        <v>15.942243152407926</v>
      </c>
      <c r="Q683" s="44">
        <f t="shared" ca="1" si="231"/>
        <v>15.942243152407926</v>
      </c>
      <c r="R683" s="44">
        <f t="shared" ca="1" si="232"/>
        <v>1.5942243152407927</v>
      </c>
      <c r="S683" s="44">
        <f t="shared" ca="1" si="233"/>
        <v>1.5942243152407927</v>
      </c>
      <c r="T683" s="4">
        <f t="shared" ca="1" si="234"/>
        <v>0</v>
      </c>
      <c r="U683" s="120">
        <f t="shared" ca="1" si="235"/>
        <v>1470.3348669012169</v>
      </c>
      <c r="V683" s="4">
        <f t="shared" ca="1" si="236"/>
        <v>0</v>
      </c>
      <c r="W683" s="13">
        <f t="shared" ca="1" si="237"/>
        <v>16835.890500000001</v>
      </c>
      <c r="X683" s="4">
        <f t="shared" ca="1" si="238"/>
        <v>0</v>
      </c>
      <c r="Y683" s="4">
        <f t="shared" si="239"/>
        <v>0</v>
      </c>
      <c r="Z683" s="13">
        <f t="shared" ca="1" si="240"/>
        <v>16835.890500000001</v>
      </c>
      <c r="AA683" s="4">
        <f t="shared" ca="1" si="241"/>
        <v>0</v>
      </c>
    </row>
    <row r="684" spans="1:27">
      <c r="A684">
        <v>1</v>
      </c>
      <c r="B684">
        <v>0</v>
      </c>
      <c r="C684">
        <f t="shared" ca="1" si="220"/>
        <v>6</v>
      </c>
      <c r="D684">
        <f t="shared" ca="1" si="221"/>
        <v>5</v>
      </c>
      <c r="E684">
        <f t="shared" ca="1" si="222"/>
        <v>1</v>
      </c>
      <c r="F684" s="110">
        <f t="shared" ca="1" si="223"/>
        <v>0.16943256749999999</v>
      </c>
      <c r="G684">
        <v>1</v>
      </c>
      <c r="H684">
        <v>1</v>
      </c>
      <c r="I684">
        <v>2</v>
      </c>
      <c r="J684" s="1">
        <f t="shared" ca="1" si="224"/>
        <v>0</v>
      </c>
      <c r="K684" s="1">
        <f t="shared" ca="1" si="225"/>
        <v>0</v>
      </c>
      <c r="L684" s="13">
        <f t="shared" ca="1" si="226"/>
        <v>548</v>
      </c>
      <c r="M684" s="7">
        <f t="shared" ca="1" si="227"/>
        <v>452</v>
      </c>
      <c r="N684" s="26">
        <f t="shared" ca="1" si="228"/>
        <v>2</v>
      </c>
      <c r="O684" s="44">
        <f t="shared" ca="1" si="229"/>
        <v>1.5942243152407929</v>
      </c>
      <c r="P684" s="44">
        <f t="shared" ca="1" si="230"/>
        <v>15.942243152407926</v>
      </c>
      <c r="Q684" s="44">
        <f t="shared" ca="1" si="231"/>
        <v>15.942243152407926</v>
      </c>
      <c r="R684" s="44">
        <f t="shared" ca="1" si="232"/>
        <v>1.5942243152407927</v>
      </c>
      <c r="S684" s="44">
        <f t="shared" ca="1" si="233"/>
        <v>1.5942243152407927</v>
      </c>
      <c r="T684" s="4">
        <f t="shared" ca="1" si="234"/>
        <v>0</v>
      </c>
      <c r="U684" s="120">
        <f t="shared" ca="1" si="235"/>
        <v>1450.3348669012169</v>
      </c>
      <c r="V684" s="4">
        <f t="shared" ca="1" si="236"/>
        <v>0</v>
      </c>
      <c r="W684" s="13">
        <f t="shared" ca="1" si="237"/>
        <v>12808.165500000003</v>
      </c>
      <c r="X684" s="4">
        <f t="shared" ca="1" si="238"/>
        <v>0</v>
      </c>
      <c r="Y684" s="4">
        <f t="shared" si="239"/>
        <v>0</v>
      </c>
      <c r="Z684" s="13">
        <f t="shared" ca="1" si="240"/>
        <v>12808.165500000003</v>
      </c>
      <c r="AA684" s="4">
        <f t="shared" ca="1" si="241"/>
        <v>0</v>
      </c>
    </row>
    <row r="685" spans="1:27">
      <c r="A685">
        <v>1</v>
      </c>
      <c r="B685">
        <v>0</v>
      </c>
      <c r="C685">
        <f t="shared" ca="1" si="220"/>
        <v>6</v>
      </c>
      <c r="D685">
        <f t="shared" ca="1" si="221"/>
        <v>5</v>
      </c>
      <c r="E685">
        <f t="shared" ca="1" si="222"/>
        <v>1</v>
      </c>
      <c r="F685" s="110">
        <f t="shared" ca="1" si="223"/>
        <v>0.16943256749999999</v>
      </c>
      <c r="G685">
        <v>1</v>
      </c>
      <c r="H685">
        <v>1</v>
      </c>
      <c r="I685">
        <v>1</v>
      </c>
      <c r="J685" s="1">
        <f t="shared" ca="1" si="224"/>
        <v>0</v>
      </c>
      <c r="K685" s="1">
        <f t="shared" ca="1" si="225"/>
        <v>0</v>
      </c>
      <c r="L685" s="13">
        <f t="shared" ca="1" si="226"/>
        <v>528</v>
      </c>
      <c r="M685" s="7">
        <f t="shared" ca="1" si="227"/>
        <v>472</v>
      </c>
      <c r="N685" s="26">
        <f t="shared" ca="1" si="228"/>
        <v>2</v>
      </c>
      <c r="O685" s="44">
        <f t="shared" ca="1" si="229"/>
        <v>1.5942243152407929</v>
      </c>
      <c r="P685" s="44">
        <f t="shared" ca="1" si="230"/>
        <v>15.942243152407926</v>
      </c>
      <c r="Q685" s="44">
        <f t="shared" ca="1" si="231"/>
        <v>15.942243152407926</v>
      </c>
      <c r="R685" s="44">
        <f t="shared" ca="1" si="232"/>
        <v>1.5942243152407927</v>
      </c>
      <c r="S685" s="44">
        <f t="shared" ca="1" si="233"/>
        <v>1.5942243152407927</v>
      </c>
      <c r="T685" s="4">
        <f t="shared" ca="1" si="234"/>
        <v>0</v>
      </c>
      <c r="U685" s="120">
        <f t="shared" ca="1" si="235"/>
        <v>1430.3348669012169</v>
      </c>
      <c r="V685" s="4">
        <f t="shared" ca="1" si="236"/>
        <v>0</v>
      </c>
      <c r="W685" s="13">
        <f t="shared" ca="1" si="237"/>
        <v>8780.4405000000006</v>
      </c>
      <c r="X685" s="4">
        <f t="shared" ca="1" si="238"/>
        <v>0</v>
      </c>
      <c r="Y685" s="4">
        <f t="shared" si="239"/>
        <v>0</v>
      </c>
      <c r="Z685" s="13">
        <f t="shared" ca="1" si="240"/>
        <v>8780.4405000000006</v>
      </c>
      <c r="AA685" s="4">
        <f t="shared" ca="1" si="241"/>
        <v>0</v>
      </c>
    </row>
    <row r="686" spans="1:27">
      <c r="A686">
        <v>1</v>
      </c>
      <c r="B686">
        <v>0</v>
      </c>
      <c r="C686">
        <f t="shared" ca="1" si="220"/>
        <v>6</v>
      </c>
      <c r="D686">
        <f t="shared" ca="1" si="221"/>
        <v>5</v>
      </c>
      <c r="E686">
        <f t="shared" ca="1" si="222"/>
        <v>1</v>
      </c>
      <c r="F686" s="110">
        <f t="shared" ca="1" si="223"/>
        <v>0.16943256749999999</v>
      </c>
      <c r="G686">
        <v>1</v>
      </c>
      <c r="H686">
        <v>1</v>
      </c>
      <c r="I686">
        <v>0</v>
      </c>
      <c r="J686" s="1">
        <f t="shared" ca="1" si="224"/>
        <v>0</v>
      </c>
      <c r="K686" s="1">
        <f t="shared" ca="1" si="225"/>
        <v>0</v>
      </c>
      <c r="L686" s="13">
        <f t="shared" ca="1" si="226"/>
        <v>508</v>
      </c>
      <c r="M686" s="7">
        <f t="shared" ca="1" si="227"/>
        <v>492</v>
      </c>
      <c r="N686" s="26">
        <f t="shared" ca="1" si="228"/>
        <v>2</v>
      </c>
      <c r="O686" s="44">
        <f t="shared" ca="1" si="229"/>
        <v>1.5942243152407929</v>
      </c>
      <c r="P686" s="44">
        <f t="shared" ca="1" si="230"/>
        <v>15.942243152407926</v>
      </c>
      <c r="Q686" s="44">
        <f t="shared" ca="1" si="231"/>
        <v>15.942243152407926</v>
      </c>
      <c r="R686" s="44">
        <f t="shared" ca="1" si="232"/>
        <v>1.5942243152407927</v>
      </c>
      <c r="S686" s="44">
        <f t="shared" ca="1" si="233"/>
        <v>1.5942243152407927</v>
      </c>
      <c r="T686" s="4">
        <f t="shared" ca="1" si="234"/>
        <v>0</v>
      </c>
      <c r="U686" s="120">
        <f t="shared" ca="1" si="235"/>
        <v>1410.3348669012169</v>
      </c>
      <c r="V686" s="4">
        <f t="shared" ca="1" si="236"/>
        <v>0</v>
      </c>
      <c r="W686" s="13">
        <f t="shared" ca="1" si="237"/>
        <v>4752.7155000000012</v>
      </c>
      <c r="X686" s="4">
        <f t="shared" ca="1" si="238"/>
        <v>0</v>
      </c>
      <c r="Y686" s="4">
        <f t="shared" si="239"/>
        <v>0</v>
      </c>
      <c r="Z686" s="13">
        <f t="shared" ca="1" si="240"/>
        <v>4752.7155000000012</v>
      </c>
      <c r="AA686" s="4">
        <f t="shared" ca="1" si="241"/>
        <v>0</v>
      </c>
    </row>
    <row r="687" spans="1:27">
      <c r="A687">
        <v>1</v>
      </c>
      <c r="B687">
        <v>0</v>
      </c>
      <c r="C687">
        <f t="shared" ca="1" si="220"/>
        <v>6</v>
      </c>
      <c r="D687">
        <f t="shared" ca="1" si="221"/>
        <v>5</v>
      </c>
      <c r="E687">
        <f t="shared" ca="1" si="222"/>
        <v>1</v>
      </c>
      <c r="F687" s="110">
        <f t="shared" ca="1" si="223"/>
        <v>0.16943256749999999</v>
      </c>
      <c r="G687">
        <v>1</v>
      </c>
      <c r="H687">
        <v>0</v>
      </c>
      <c r="I687">
        <v>7</v>
      </c>
      <c r="J687" s="1">
        <f t="shared" ca="1" si="224"/>
        <v>0</v>
      </c>
      <c r="K687" s="1">
        <f t="shared" ca="1" si="225"/>
        <v>0</v>
      </c>
      <c r="L687" s="13">
        <f t="shared" ca="1" si="226"/>
        <v>394</v>
      </c>
      <c r="M687" s="7">
        <f t="shared" ca="1" si="227"/>
        <v>606</v>
      </c>
      <c r="N687" s="26">
        <f t="shared" ca="1" si="228"/>
        <v>3</v>
      </c>
      <c r="O687" s="44">
        <f t="shared" ca="1" si="229"/>
        <v>2.2641455309069398</v>
      </c>
      <c r="P687" s="44">
        <f t="shared" ca="1" si="230"/>
        <v>22.641455309069404</v>
      </c>
      <c r="Q687" s="44">
        <f t="shared" ca="1" si="231"/>
        <v>22.641455309069404</v>
      </c>
      <c r="R687" s="44">
        <f t="shared" ca="1" si="232"/>
        <v>2.2641455309069403</v>
      </c>
      <c r="S687" s="44">
        <f t="shared" ca="1" si="233"/>
        <v>2.2641455309069398</v>
      </c>
      <c r="T687" s="4">
        <f t="shared" ca="1" si="234"/>
        <v>0</v>
      </c>
      <c r="U687" s="120">
        <f t="shared" ca="1" si="235"/>
        <v>1584.7475619899244</v>
      </c>
      <c r="V687" s="4">
        <f t="shared" ca="1" si="236"/>
        <v>0</v>
      </c>
      <c r="W687" s="13">
        <f t="shared" ca="1" si="237"/>
        <v>32946.790500000003</v>
      </c>
      <c r="X687" s="4">
        <f t="shared" ca="1" si="238"/>
        <v>0</v>
      </c>
      <c r="Y687" s="4">
        <f t="shared" si="239"/>
        <v>0</v>
      </c>
      <c r="Z687" s="13">
        <f t="shared" ca="1" si="240"/>
        <v>32946.790500000003</v>
      </c>
      <c r="AA687" s="4">
        <f t="shared" ca="1" si="241"/>
        <v>0</v>
      </c>
    </row>
    <row r="688" spans="1:27">
      <c r="A688">
        <v>1</v>
      </c>
      <c r="B688">
        <v>0</v>
      </c>
      <c r="C688">
        <f t="shared" ca="1" si="220"/>
        <v>6</v>
      </c>
      <c r="D688">
        <f t="shared" ca="1" si="221"/>
        <v>5</v>
      </c>
      <c r="E688">
        <f t="shared" ca="1" si="222"/>
        <v>1</v>
      </c>
      <c r="F688" s="110">
        <f t="shared" ca="1" si="223"/>
        <v>0.16943256749999999</v>
      </c>
      <c r="G688">
        <v>1</v>
      </c>
      <c r="H688">
        <v>0</v>
      </c>
      <c r="I688">
        <v>6</v>
      </c>
      <c r="J688" s="1">
        <f t="shared" ca="1" si="224"/>
        <v>0</v>
      </c>
      <c r="K688" s="1">
        <f t="shared" ca="1" si="225"/>
        <v>0</v>
      </c>
      <c r="L688" s="13">
        <f t="shared" ca="1" si="226"/>
        <v>374</v>
      </c>
      <c r="M688" s="7">
        <f t="shared" ca="1" si="227"/>
        <v>626</v>
      </c>
      <c r="N688" s="26">
        <f t="shared" ca="1" si="228"/>
        <v>3</v>
      </c>
      <c r="O688" s="44">
        <f t="shared" ca="1" si="229"/>
        <v>2.2641455309069398</v>
      </c>
      <c r="P688" s="44">
        <f t="shared" ca="1" si="230"/>
        <v>22.641455309069404</v>
      </c>
      <c r="Q688" s="44">
        <f t="shared" ca="1" si="231"/>
        <v>22.641455309069404</v>
      </c>
      <c r="R688" s="44">
        <f t="shared" ca="1" si="232"/>
        <v>2.2641455309069403</v>
      </c>
      <c r="S688" s="44">
        <f t="shared" ca="1" si="233"/>
        <v>2.2641455309069398</v>
      </c>
      <c r="T688" s="4">
        <f t="shared" ca="1" si="234"/>
        <v>0</v>
      </c>
      <c r="U688" s="120">
        <f t="shared" ca="1" si="235"/>
        <v>1564.7475619899244</v>
      </c>
      <c r="V688" s="4">
        <f t="shared" ca="1" si="236"/>
        <v>0</v>
      </c>
      <c r="W688" s="13">
        <f t="shared" ca="1" si="237"/>
        <v>28919.065500000004</v>
      </c>
      <c r="X688" s="4">
        <f t="shared" ca="1" si="238"/>
        <v>0</v>
      </c>
      <c r="Y688" s="4">
        <f t="shared" si="239"/>
        <v>0</v>
      </c>
      <c r="Z688" s="13">
        <f t="shared" ca="1" si="240"/>
        <v>28919.065500000004</v>
      </c>
      <c r="AA688" s="4">
        <f t="shared" ca="1" si="241"/>
        <v>0</v>
      </c>
    </row>
    <row r="689" spans="1:27">
      <c r="A689">
        <v>1</v>
      </c>
      <c r="B689">
        <v>0</v>
      </c>
      <c r="C689">
        <f t="shared" ca="1" si="220"/>
        <v>6</v>
      </c>
      <c r="D689">
        <f t="shared" ca="1" si="221"/>
        <v>5</v>
      </c>
      <c r="E689">
        <f t="shared" ca="1" si="222"/>
        <v>1</v>
      </c>
      <c r="F689" s="110">
        <f t="shared" ca="1" si="223"/>
        <v>0.16943256749999999</v>
      </c>
      <c r="G689">
        <v>1</v>
      </c>
      <c r="H689">
        <v>0</v>
      </c>
      <c r="I689">
        <v>5</v>
      </c>
      <c r="J689" s="1">
        <f t="shared" ca="1" si="224"/>
        <v>0.73509189062499991</v>
      </c>
      <c r="K689" s="1">
        <f t="shared" ca="1" si="225"/>
        <v>0.1245485063770229</v>
      </c>
      <c r="L689" s="13">
        <f t="shared" ca="1" si="226"/>
        <v>354</v>
      </c>
      <c r="M689" s="7">
        <f t="shared" ca="1" si="227"/>
        <v>646</v>
      </c>
      <c r="N689" s="26">
        <f t="shared" ca="1" si="228"/>
        <v>3</v>
      </c>
      <c r="O689" s="44">
        <f t="shared" ca="1" si="229"/>
        <v>2.2641455309069398</v>
      </c>
      <c r="P689" s="44">
        <f t="shared" ca="1" si="230"/>
        <v>22.641455309069404</v>
      </c>
      <c r="Q689" s="44">
        <f t="shared" ca="1" si="231"/>
        <v>22.641455309069404</v>
      </c>
      <c r="R689" s="44">
        <f t="shared" ca="1" si="232"/>
        <v>2.2641455309069403</v>
      </c>
      <c r="S689" s="44">
        <f t="shared" ca="1" si="233"/>
        <v>2.2641455309069398</v>
      </c>
      <c r="T689" s="4">
        <f t="shared" ca="1" si="234"/>
        <v>0.28199594409467088</v>
      </c>
      <c r="U689" s="120">
        <f t="shared" ca="1" si="235"/>
        <v>1544.7475619899244</v>
      </c>
      <c r="V689" s="4">
        <f t="shared" ca="1" si="236"/>
        <v>192.39600157539269</v>
      </c>
      <c r="W689" s="13">
        <f t="shared" ca="1" si="237"/>
        <v>24891.340500000002</v>
      </c>
      <c r="X689" s="4">
        <f t="shared" ca="1" si="238"/>
        <v>3100.1792809968988</v>
      </c>
      <c r="Y689" s="4">
        <f t="shared" si="239"/>
        <v>0</v>
      </c>
      <c r="Z689" s="13">
        <f t="shared" ca="1" si="240"/>
        <v>24891.340500000002</v>
      </c>
      <c r="AA689" s="4">
        <f t="shared" ca="1" si="241"/>
        <v>3100.1792809968988</v>
      </c>
    </row>
    <row r="690" spans="1:27">
      <c r="A690">
        <v>1</v>
      </c>
      <c r="B690">
        <v>0</v>
      </c>
      <c r="C690">
        <f t="shared" ca="1" si="220"/>
        <v>6</v>
      </c>
      <c r="D690">
        <f t="shared" ca="1" si="221"/>
        <v>5</v>
      </c>
      <c r="E690">
        <f t="shared" ca="1" si="222"/>
        <v>1</v>
      </c>
      <c r="F690" s="110">
        <f t="shared" ca="1" si="223"/>
        <v>0.16943256749999999</v>
      </c>
      <c r="G690">
        <v>1</v>
      </c>
      <c r="H690">
        <v>0</v>
      </c>
      <c r="I690">
        <v>4</v>
      </c>
      <c r="J690" s="1">
        <f t="shared" ca="1" si="224"/>
        <v>0.19344523437500014</v>
      </c>
      <c r="K690" s="1">
        <f t="shared" ca="1" si="225"/>
        <v>3.2775922730795527E-2</v>
      </c>
      <c r="L690" s="13">
        <f t="shared" ca="1" si="226"/>
        <v>334</v>
      </c>
      <c r="M690" s="7">
        <f t="shared" ca="1" si="227"/>
        <v>666</v>
      </c>
      <c r="N690" s="26">
        <f t="shared" ca="1" si="228"/>
        <v>3</v>
      </c>
      <c r="O690" s="44">
        <f t="shared" ca="1" si="229"/>
        <v>2.2641455309069398</v>
      </c>
      <c r="P690" s="44">
        <f t="shared" ca="1" si="230"/>
        <v>22.641455309069404</v>
      </c>
      <c r="Q690" s="44">
        <f t="shared" ca="1" si="231"/>
        <v>22.641455309069404</v>
      </c>
      <c r="R690" s="44">
        <f t="shared" ca="1" si="232"/>
        <v>2.2641455309069403</v>
      </c>
      <c r="S690" s="44">
        <f t="shared" ca="1" si="233"/>
        <v>2.2641455309069398</v>
      </c>
      <c r="T690" s="4">
        <f t="shared" ca="1" si="234"/>
        <v>7.4209458972281872E-2</v>
      </c>
      <c r="U690" s="120">
        <f t="shared" ca="1" si="235"/>
        <v>1524.7475619899244</v>
      </c>
      <c r="V690" s="4">
        <f t="shared" ca="1" si="236"/>
        <v>49.975008275750625</v>
      </c>
      <c r="W690" s="13">
        <f t="shared" ca="1" si="237"/>
        <v>20863.615500000004</v>
      </c>
      <c r="X690" s="4">
        <f t="shared" ca="1" si="238"/>
        <v>683.82424951302801</v>
      </c>
      <c r="Y690" s="4">
        <f t="shared" si="239"/>
        <v>0</v>
      </c>
      <c r="Z690" s="13">
        <f t="shared" ca="1" si="240"/>
        <v>20863.615500000004</v>
      </c>
      <c r="AA690" s="4">
        <f t="shared" ca="1" si="241"/>
        <v>683.82424951302801</v>
      </c>
    </row>
    <row r="691" spans="1:27">
      <c r="A691">
        <v>1</v>
      </c>
      <c r="B691">
        <v>0</v>
      </c>
      <c r="C691">
        <f t="shared" ca="1" si="220"/>
        <v>6</v>
      </c>
      <c r="D691">
        <f t="shared" ca="1" si="221"/>
        <v>5</v>
      </c>
      <c r="E691">
        <f t="shared" ca="1" si="222"/>
        <v>1</v>
      </c>
      <c r="F691" s="110">
        <f t="shared" ca="1" si="223"/>
        <v>0.16943256749999999</v>
      </c>
      <c r="G691">
        <v>1</v>
      </c>
      <c r="H691">
        <v>0</v>
      </c>
      <c r="I691">
        <v>3</v>
      </c>
      <c r="J691" s="1">
        <f t="shared" ca="1" si="224"/>
        <v>2.0362656250000031E-2</v>
      </c>
      <c r="K691" s="1">
        <f t="shared" ca="1" si="225"/>
        <v>3.4500971295574269E-3</v>
      </c>
      <c r="L691" s="13">
        <f t="shared" ca="1" si="226"/>
        <v>314</v>
      </c>
      <c r="M691" s="7">
        <f t="shared" ca="1" si="227"/>
        <v>686</v>
      </c>
      <c r="N691" s="26">
        <f t="shared" ca="1" si="228"/>
        <v>3</v>
      </c>
      <c r="O691" s="44">
        <f t="shared" ca="1" si="229"/>
        <v>2.2641455309069398</v>
      </c>
      <c r="P691" s="44">
        <f t="shared" ca="1" si="230"/>
        <v>22.641455309069404</v>
      </c>
      <c r="Q691" s="44">
        <f t="shared" ca="1" si="231"/>
        <v>22.641455309069404</v>
      </c>
      <c r="R691" s="44">
        <f t="shared" ca="1" si="232"/>
        <v>2.2641455309069403</v>
      </c>
      <c r="S691" s="44">
        <f t="shared" ca="1" si="233"/>
        <v>2.2641455309069398</v>
      </c>
      <c r="T691" s="4">
        <f t="shared" ca="1" si="234"/>
        <v>7.8115219970823092E-3</v>
      </c>
      <c r="U691" s="120">
        <f t="shared" ca="1" si="235"/>
        <v>1504.7475619899244</v>
      </c>
      <c r="V691" s="4">
        <f t="shared" ca="1" si="236"/>
        <v>5.1915252443299744</v>
      </c>
      <c r="W691" s="13">
        <f t="shared" ca="1" si="237"/>
        <v>16835.890500000001</v>
      </c>
      <c r="X691" s="4">
        <f t="shared" ca="1" si="238"/>
        <v>58.08545748759316</v>
      </c>
      <c r="Y691" s="4">
        <f t="shared" si="239"/>
        <v>0</v>
      </c>
      <c r="Z691" s="13">
        <f t="shared" ca="1" si="240"/>
        <v>16835.890500000001</v>
      </c>
      <c r="AA691" s="4">
        <f t="shared" ca="1" si="241"/>
        <v>58.08545748759316</v>
      </c>
    </row>
    <row r="692" spans="1:27">
      <c r="A692">
        <v>1</v>
      </c>
      <c r="B692">
        <v>0</v>
      </c>
      <c r="C692">
        <f t="shared" ca="1" si="220"/>
        <v>6</v>
      </c>
      <c r="D692">
        <f t="shared" ca="1" si="221"/>
        <v>5</v>
      </c>
      <c r="E692">
        <f t="shared" ca="1" si="222"/>
        <v>1</v>
      </c>
      <c r="F692" s="110">
        <f t="shared" ca="1" si="223"/>
        <v>0.16943256749999999</v>
      </c>
      <c r="G692">
        <v>1</v>
      </c>
      <c r="H692">
        <v>0</v>
      </c>
      <c r="I692">
        <v>2</v>
      </c>
      <c r="J692" s="1">
        <f t="shared" ca="1" si="224"/>
        <v>1.0717187500000028E-3</v>
      </c>
      <c r="K692" s="1">
        <f t="shared" ca="1" si="225"/>
        <v>1.8158405945039108E-4</v>
      </c>
      <c r="L692" s="13">
        <f t="shared" ca="1" si="226"/>
        <v>294</v>
      </c>
      <c r="M692" s="7">
        <f t="shared" ca="1" si="227"/>
        <v>706</v>
      </c>
      <c r="N692" s="26">
        <f t="shared" ca="1" si="228"/>
        <v>3</v>
      </c>
      <c r="O692" s="44">
        <f t="shared" ca="1" si="229"/>
        <v>2.2641455309069398</v>
      </c>
      <c r="P692" s="44">
        <f t="shared" ca="1" si="230"/>
        <v>22.641455309069404</v>
      </c>
      <c r="Q692" s="44">
        <f t="shared" ca="1" si="231"/>
        <v>22.641455309069404</v>
      </c>
      <c r="R692" s="44">
        <f t="shared" ca="1" si="232"/>
        <v>2.2641455309069403</v>
      </c>
      <c r="S692" s="44">
        <f t="shared" ca="1" si="233"/>
        <v>2.2641455309069398</v>
      </c>
      <c r="T692" s="4">
        <f t="shared" ca="1" si="234"/>
        <v>4.1113273668854305E-4</v>
      </c>
      <c r="U692" s="120">
        <f t="shared" ca="1" si="235"/>
        <v>1484.7475619899244</v>
      </c>
      <c r="V692" s="4">
        <f t="shared" ca="1" si="236"/>
        <v>0.26960648956520167</v>
      </c>
      <c r="W692" s="13">
        <f t="shared" ca="1" si="237"/>
        <v>12808.165500000003</v>
      </c>
      <c r="X692" s="4">
        <f t="shared" ca="1" si="238"/>
        <v>2.3257586856024486</v>
      </c>
      <c r="Y692" s="4">
        <f t="shared" si="239"/>
        <v>0</v>
      </c>
      <c r="Z692" s="13">
        <f t="shared" ca="1" si="240"/>
        <v>12808.165500000003</v>
      </c>
      <c r="AA692" s="4">
        <f t="shared" ca="1" si="241"/>
        <v>2.3257586856024486</v>
      </c>
    </row>
    <row r="693" spans="1:27">
      <c r="A693">
        <v>1</v>
      </c>
      <c r="B693">
        <v>0</v>
      </c>
      <c r="C693">
        <f t="shared" ca="1" si="220"/>
        <v>6</v>
      </c>
      <c r="D693">
        <f t="shared" ca="1" si="221"/>
        <v>5</v>
      </c>
      <c r="E693">
        <f t="shared" ca="1" si="222"/>
        <v>1</v>
      </c>
      <c r="F693" s="110">
        <f t="shared" ca="1" si="223"/>
        <v>0.16943256749999999</v>
      </c>
      <c r="G693">
        <v>1</v>
      </c>
      <c r="H693">
        <v>0</v>
      </c>
      <c r="I693">
        <v>1</v>
      </c>
      <c r="J693" s="1">
        <f t="shared" ca="1" si="224"/>
        <v>2.8203125000000098E-5</v>
      </c>
      <c r="K693" s="1">
        <f t="shared" ca="1" si="225"/>
        <v>4.778527880273454E-6</v>
      </c>
      <c r="L693" s="13">
        <f t="shared" ca="1" si="226"/>
        <v>274</v>
      </c>
      <c r="M693" s="7">
        <f t="shared" ca="1" si="227"/>
        <v>726</v>
      </c>
      <c r="N693" s="26">
        <f t="shared" ca="1" si="228"/>
        <v>3</v>
      </c>
      <c r="O693" s="44">
        <f t="shared" ca="1" si="229"/>
        <v>2.2641455309069398</v>
      </c>
      <c r="P693" s="44">
        <f t="shared" ca="1" si="230"/>
        <v>22.641455309069404</v>
      </c>
      <c r="Q693" s="44">
        <f t="shared" ca="1" si="231"/>
        <v>22.641455309069404</v>
      </c>
      <c r="R693" s="44">
        <f t="shared" ca="1" si="232"/>
        <v>2.2641455309069403</v>
      </c>
      <c r="S693" s="44">
        <f t="shared" ca="1" si="233"/>
        <v>2.2641455309069398</v>
      </c>
      <c r="T693" s="4">
        <f t="shared" ca="1" si="234"/>
        <v>1.0819282544435354E-5</v>
      </c>
      <c r="U693" s="120">
        <f t="shared" ca="1" si="235"/>
        <v>1464.7475619899244</v>
      </c>
      <c r="V693" s="4">
        <f t="shared" ca="1" si="236"/>
        <v>6.9993370625314232E-3</v>
      </c>
      <c r="W693" s="13">
        <f t="shared" ca="1" si="237"/>
        <v>8780.4405000000006</v>
      </c>
      <c r="X693" s="4">
        <f t="shared" ca="1" si="238"/>
        <v>4.1957579730332192E-2</v>
      </c>
      <c r="Y693" s="4">
        <f t="shared" si="239"/>
        <v>0</v>
      </c>
      <c r="Z693" s="13">
        <f t="shared" ca="1" si="240"/>
        <v>8780.4405000000006</v>
      </c>
      <c r="AA693" s="4">
        <f t="shared" ca="1" si="241"/>
        <v>4.1957579730332192E-2</v>
      </c>
    </row>
    <row r="694" spans="1:27">
      <c r="A694">
        <v>1</v>
      </c>
      <c r="B694">
        <v>0</v>
      </c>
      <c r="C694">
        <f t="shared" ca="1" si="220"/>
        <v>6</v>
      </c>
      <c r="D694">
        <f t="shared" ca="1" si="221"/>
        <v>5</v>
      </c>
      <c r="E694">
        <f t="shared" ca="1" si="222"/>
        <v>1</v>
      </c>
      <c r="F694" s="110">
        <f t="shared" ca="1" si="223"/>
        <v>0.16943256749999999</v>
      </c>
      <c r="G694">
        <v>1</v>
      </c>
      <c r="H694">
        <v>0</v>
      </c>
      <c r="I694">
        <v>0</v>
      </c>
      <c r="J694" s="1">
        <f t="shared" ca="1" si="224"/>
        <v>2.9687500000000134E-7</v>
      </c>
      <c r="K694" s="1">
        <f t="shared" ca="1" si="225"/>
        <v>5.0300293476562724E-8</v>
      </c>
      <c r="L694" s="13">
        <f t="shared" ca="1" si="226"/>
        <v>254</v>
      </c>
      <c r="M694" s="7">
        <f t="shared" ca="1" si="227"/>
        <v>746</v>
      </c>
      <c r="N694" s="26">
        <f t="shared" ca="1" si="228"/>
        <v>3</v>
      </c>
      <c r="O694" s="44">
        <f t="shared" ca="1" si="229"/>
        <v>2.2641455309069398</v>
      </c>
      <c r="P694" s="44">
        <f t="shared" ca="1" si="230"/>
        <v>22.641455309069404</v>
      </c>
      <c r="Q694" s="44">
        <f t="shared" ca="1" si="231"/>
        <v>22.641455309069404</v>
      </c>
      <c r="R694" s="44">
        <f t="shared" ca="1" si="232"/>
        <v>2.2641455309069403</v>
      </c>
      <c r="S694" s="44">
        <f t="shared" ca="1" si="233"/>
        <v>2.2641455309069398</v>
      </c>
      <c r="T694" s="4">
        <f t="shared" ca="1" si="234"/>
        <v>1.1388718467826699E-7</v>
      </c>
      <c r="U694" s="120">
        <f t="shared" ca="1" si="235"/>
        <v>1444.7475619899244</v>
      </c>
      <c r="V694" s="4">
        <f t="shared" ca="1" si="236"/>
        <v>7.2671226367641695E-5</v>
      </c>
      <c r="W694" s="13">
        <f t="shared" ca="1" si="237"/>
        <v>4752.7155000000012</v>
      </c>
      <c r="X694" s="4">
        <f t="shared" ca="1" si="238"/>
        <v>2.3906298446060861E-4</v>
      </c>
      <c r="Y694" s="4">
        <f t="shared" si="239"/>
        <v>0</v>
      </c>
      <c r="Z694" s="13">
        <f t="shared" ca="1" si="240"/>
        <v>4752.7155000000012</v>
      </c>
      <c r="AA694" s="4">
        <f t="shared" ca="1" si="241"/>
        <v>2.3906298446060861E-4</v>
      </c>
    </row>
    <row r="695" spans="1:27">
      <c r="A695">
        <v>1</v>
      </c>
      <c r="B695">
        <v>0</v>
      </c>
      <c r="C695">
        <f t="shared" ca="1" si="220"/>
        <v>6</v>
      </c>
      <c r="D695">
        <f t="shared" ca="1" si="221"/>
        <v>5</v>
      </c>
      <c r="E695">
        <f t="shared" ca="1" si="222"/>
        <v>1</v>
      </c>
      <c r="F695" s="110">
        <f t="shared" ca="1" si="223"/>
        <v>0.16943256749999999</v>
      </c>
      <c r="G695">
        <v>0</v>
      </c>
      <c r="H695">
        <v>1</v>
      </c>
      <c r="I695">
        <v>7</v>
      </c>
      <c r="J695" s="1">
        <f t="shared" ca="1" si="224"/>
        <v>0</v>
      </c>
      <c r="K695" s="1">
        <f t="shared" ca="1" si="225"/>
        <v>0</v>
      </c>
      <c r="L695" s="13">
        <f t="shared" ca="1" si="226"/>
        <v>394</v>
      </c>
      <c r="M695" s="7">
        <f t="shared" ca="1" si="227"/>
        <v>606</v>
      </c>
      <c r="N695" s="26">
        <f t="shared" ca="1" si="228"/>
        <v>3</v>
      </c>
      <c r="O695" s="44">
        <f t="shared" ca="1" si="229"/>
        <v>2.2641455309069398</v>
      </c>
      <c r="P695" s="44">
        <f t="shared" ca="1" si="230"/>
        <v>22.641455309069404</v>
      </c>
      <c r="Q695" s="44">
        <f t="shared" ca="1" si="231"/>
        <v>22.641455309069404</v>
      </c>
      <c r="R695" s="44">
        <f t="shared" ca="1" si="232"/>
        <v>2.2641455309069403</v>
      </c>
      <c r="S695" s="44">
        <f t="shared" ca="1" si="233"/>
        <v>2.2641455309069398</v>
      </c>
      <c r="T695" s="4">
        <f t="shared" ca="1" si="234"/>
        <v>0</v>
      </c>
      <c r="U695" s="120">
        <f t="shared" ca="1" si="235"/>
        <v>1584.7475619899244</v>
      </c>
      <c r="V695" s="4">
        <f t="shared" ca="1" si="236"/>
        <v>0</v>
      </c>
      <c r="W695" s="13">
        <f t="shared" ca="1" si="237"/>
        <v>28194.075000000001</v>
      </c>
      <c r="X695" s="4">
        <f t="shared" ca="1" si="238"/>
        <v>0</v>
      </c>
      <c r="Y695" s="4">
        <f t="shared" si="239"/>
        <v>0</v>
      </c>
      <c r="Z695" s="13">
        <f t="shared" ca="1" si="240"/>
        <v>28194.075000000001</v>
      </c>
      <c r="AA695" s="4">
        <f t="shared" ca="1" si="241"/>
        <v>0</v>
      </c>
    </row>
    <row r="696" spans="1:27">
      <c r="A696">
        <v>1</v>
      </c>
      <c r="B696">
        <v>0</v>
      </c>
      <c r="C696">
        <f t="shared" ca="1" si="220"/>
        <v>6</v>
      </c>
      <c r="D696">
        <f t="shared" ca="1" si="221"/>
        <v>5</v>
      </c>
      <c r="E696">
        <f t="shared" ca="1" si="222"/>
        <v>1</v>
      </c>
      <c r="F696" s="110">
        <f t="shared" ca="1" si="223"/>
        <v>0.16943256749999999</v>
      </c>
      <c r="G696">
        <v>0</v>
      </c>
      <c r="H696">
        <v>1</v>
      </c>
      <c r="I696">
        <v>6</v>
      </c>
      <c r="J696" s="1">
        <f t="shared" ca="1" si="224"/>
        <v>0</v>
      </c>
      <c r="K696" s="1">
        <f t="shared" ca="1" si="225"/>
        <v>0</v>
      </c>
      <c r="L696" s="13">
        <f t="shared" ca="1" si="226"/>
        <v>374</v>
      </c>
      <c r="M696" s="7">
        <f t="shared" ca="1" si="227"/>
        <v>626</v>
      </c>
      <c r="N696" s="26">
        <f t="shared" ca="1" si="228"/>
        <v>3</v>
      </c>
      <c r="O696" s="44">
        <f t="shared" ca="1" si="229"/>
        <v>2.2641455309069398</v>
      </c>
      <c r="P696" s="44">
        <f t="shared" ca="1" si="230"/>
        <v>22.641455309069404</v>
      </c>
      <c r="Q696" s="44">
        <f t="shared" ca="1" si="231"/>
        <v>22.641455309069404</v>
      </c>
      <c r="R696" s="44">
        <f t="shared" ca="1" si="232"/>
        <v>2.2641455309069403</v>
      </c>
      <c r="S696" s="44">
        <f t="shared" ca="1" si="233"/>
        <v>2.2641455309069398</v>
      </c>
      <c r="T696" s="4">
        <f t="shared" ca="1" si="234"/>
        <v>0</v>
      </c>
      <c r="U696" s="120">
        <f t="shared" ca="1" si="235"/>
        <v>1564.7475619899244</v>
      </c>
      <c r="V696" s="4">
        <f t="shared" ca="1" si="236"/>
        <v>0</v>
      </c>
      <c r="W696" s="13">
        <f t="shared" ca="1" si="237"/>
        <v>24166.350000000002</v>
      </c>
      <c r="X696" s="4">
        <f t="shared" ca="1" si="238"/>
        <v>0</v>
      </c>
      <c r="Y696" s="4">
        <f t="shared" si="239"/>
        <v>0</v>
      </c>
      <c r="Z696" s="13">
        <f t="shared" ca="1" si="240"/>
        <v>24166.350000000002</v>
      </c>
      <c r="AA696" s="4">
        <f t="shared" ca="1" si="241"/>
        <v>0</v>
      </c>
    </row>
    <row r="697" spans="1:27">
      <c r="A697">
        <v>1</v>
      </c>
      <c r="B697">
        <v>0</v>
      </c>
      <c r="C697">
        <f t="shared" ca="1" si="220"/>
        <v>6</v>
      </c>
      <c r="D697">
        <f t="shared" ca="1" si="221"/>
        <v>5</v>
      </c>
      <c r="E697">
        <f t="shared" ca="1" si="222"/>
        <v>1</v>
      </c>
      <c r="F697" s="110">
        <f t="shared" ca="1" si="223"/>
        <v>0.16943256749999999</v>
      </c>
      <c r="G697">
        <v>0</v>
      </c>
      <c r="H697">
        <v>1</v>
      </c>
      <c r="I697">
        <v>5</v>
      </c>
      <c r="J697" s="1">
        <f t="shared" ca="1" si="224"/>
        <v>0</v>
      </c>
      <c r="K697" s="1">
        <f t="shared" ca="1" si="225"/>
        <v>0</v>
      </c>
      <c r="L697" s="13">
        <f t="shared" ca="1" si="226"/>
        <v>354</v>
      </c>
      <c r="M697" s="7">
        <f t="shared" ca="1" si="227"/>
        <v>646</v>
      </c>
      <c r="N697" s="26">
        <f t="shared" ca="1" si="228"/>
        <v>3</v>
      </c>
      <c r="O697" s="44">
        <f t="shared" ca="1" si="229"/>
        <v>2.2641455309069398</v>
      </c>
      <c r="P697" s="44">
        <f t="shared" ca="1" si="230"/>
        <v>22.641455309069404</v>
      </c>
      <c r="Q697" s="44">
        <f t="shared" ca="1" si="231"/>
        <v>22.641455309069404</v>
      </c>
      <c r="R697" s="44">
        <f t="shared" ca="1" si="232"/>
        <v>2.2641455309069403</v>
      </c>
      <c r="S697" s="44">
        <f t="shared" ca="1" si="233"/>
        <v>2.2641455309069398</v>
      </c>
      <c r="T697" s="4">
        <f t="shared" ca="1" si="234"/>
        <v>0</v>
      </c>
      <c r="U697" s="120">
        <f t="shared" ca="1" si="235"/>
        <v>1544.7475619899244</v>
      </c>
      <c r="V697" s="4">
        <f t="shared" ca="1" si="236"/>
        <v>0</v>
      </c>
      <c r="W697" s="13">
        <f t="shared" ca="1" si="237"/>
        <v>20138.625</v>
      </c>
      <c r="X697" s="4">
        <f t="shared" ca="1" si="238"/>
        <v>0</v>
      </c>
      <c r="Y697" s="4">
        <f t="shared" si="239"/>
        <v>0</v>
      </c>
      <c r="Z697" s="13">
        <f t="shared" ca="1" si="240"/>
        <v>20138.625</v>
      </c>
      <c r="AA697" s="4">
        <f t="shared" ca="1" si="241"/>
        <v>0</v>
      </c>
    </row>
    <row r="698" spans="1:27">
      <c r="A698">
        <v>1</v>
      </c>
      <c r="B698">
        <v>0</v>
      </c>
      <c r="C698">
        <f t="shared" ca="1" si="220"/>
        <v>6</v>
      </c>
      <c r="D698">
        <f t="shared" ca="1" si="221"/>
        <v>5</v>
      </c>
      <c r="E698">
        <f t="shared" ca="1" si="222"/>
        <v>1</v>
      </c>
      <c r="F698" s="110">
        <f t="shared" ca="1" si="223"/>
        <v>0.16943256749999999</v>
      </c>
      <c r="G698">
        <v>0</v>
      </c>
      <c r="H698">
        <v>1</v>
      </c>
      <c r="I698">
        <v>4</v>
      </c>
      <c r="J698" s="1">
        <f t="shared" ca="1" si="224"/>
        <v>0</v>
      </c>
      <c r="K698" s="1">
        <f t="shared" ca="1" si="225"/>
        <v>0</v>
      </c>
      <c r="L698" s="13">
        <f t="shared" ca="1" si="226"/>
        <v>334</v>
      </c>
      <c r="M698" s="7">
        <f t="shared" ca="1" si="227"/>
        <v>666</v>
      </c>
      <c r="N698" s="26">
        <f t="shared" ca="1" si="228"/>
        <v>3</v>
      </c>
      <c r="O698" s="44">
        <f t="shared" ca="1" si="229"/>
        <v>2.2641455309069398</v>
      </c>
      <c r="P698" s="44">
        <f t="shared" ca="1" si="230"/>
        <v>22.641455309069404</v>
      </c>
      <c r="Q698" s="44">
        <f t="shared" ca="1" si="231"/>
        <v>22.641455309069404</v>
      </c>
      <c r="R698" s="44">
        <f t="shared" ca="1" si="232"/>
        <v>2.2641455309069403</v>
      </c>
      <c r="S698" s="44">
        <f t="shared" ca="1" si="233"/>
        <v>2.2641455309069398</v>
      </c>
      <c r="T698" s="4">
        <f t="shared" ca="1" si="234"/>
        <v>0</v>
      </c>
      <c r="U698" s="120">
        <f t="shared" ca="1" si="235"/>
        <v>1524.7475619899244</v>
      </c>
      <c r="V698" s="4">
        <f t="shared" ca="1" si="236"/>
        <v>0</v>
      </c>
      <c r="W698" s="13">
        <f t="shared" ca="1" si="237"/>
        <v>16110.900000000001</v>
      </c>
      <c r="X698" s="4">
        <f t="shared" ca="1" si="238"/>
        <v>0</v>
      </c>
      <c r="Y698" s="4">
        <f t="shared" si="239"/>
        <v>0</v>
      </c>
      <c r="Z698" s="13">
        <f t="shared" ca="1" si="240"/>
        <v>16110.900000000001</v>
      </c>
      <c r="AA698" s="4">
        <f t="shared" ca="1" si="241"/>
        <v>0</v>
      </c>
    </row>
    <row r="699" spans="1:27">
      <c r="A699">
        <v>1</v>
      </c>
      <c r="B699">
        <v>0</v>
      </c>
      <c r="C699">
        <f t="shared" ca="1" si="220"/>
        <v>6</v>
      </c>
      <c r="D699">
        <f t="shared" ca="1" si="221"/>
        <v>5</v>
      </c>
      <c r="E699">
        <f t="shared" ca="1" si="222"/>
        <v>1</v>
      </c>
      <c r="F699" s="110">
        <f t="shared" ca="1" si="223"/>
        <v>0.16943256749999999</v>
      </c>
      <c r="G699">
        <v>0</v>
      </c>
      <c r="H699">
        <v>1</v>
      </c>
      <c r="I699">
        <v>3</v>
      </c>
      <c r="J699" s="1">
        <f t="shared" ca="1" si="224"/>
        <v>0</v>
      </c>
      <c r="K699" s="1">
        <f t="shared" ca="1" si="225"/>
        <v>0</v>
      </c>
      <c r="L699" s="13">
        <f t="shared" ca="1" si="226"/>
        <v>314</v>
      </c>
      <c r="M699" s="7">
        <f t="shared" ca="1" si="227"/>
        <v>686</v>
      </c>
      <c r="N699" s="26">
        <f t="shared" ca="1" si="228"/>
        <v>3</v>
      </c>
      <c r="O699" s="44">
        <f t="shared" ca="1" si="229"/>
        <v>2.2641455309069398</v>
      </c>
      <c r="P699" s="44">
        <f t="shared" ca="1" si="230"/>
        <v>22.641455309069404</v>
      </c>
      <c r="Q699" s="44">
        <f t="shared" ca="1" si="231"/>
        <v>22.641455309069404</v>
      </c>
      <c r="R699" s="44">
        <f t="shared" ca="1" si="232"/>
        <v>2.2641455309069403</v>
      </c>
      <c r="S699" s="44">
        <f t="shared" ca="1" si="233"/>
        <v>2.2641455309069398</v>
      </c>
      <c r="T699" s="4">
        <f t="shared" ca="1" si="234"/>
        <v>0</v>
      </c>
      <c r="U699" s="120">
        <f t="shared" ca="1" si="235"/>
        <v>1504.7475619899244</v>
      </c>
      <c r="V699" s="4">
        <f t="shared" ca="1" si="236"/>
        <v>0</v>
      </c>
      <c r="W699" s="13">
        <f t="shared" ca="1" si="237"/>
        <v>12083.175000000001</v>
      </c>
      <c r="X699" s="4">
        <f t="shared" ca="1" si="238"/>
        <v>0</v>
      </c>
      <c r="Y699" s="4">
        <f t="shared" si="239"/>
        <v>0</v>
      </c>
      <c r="Z699" s="13">
        <f t="shared" ca="1" si="240"/>
        <v>12083.175000000001</v>
      </c>
      <c r="AA699" s="4">
        <f t="shared" ca="1" si="241"/>
        <v>0</v>
      </c>
    </row>
    <row r="700" spans="1:27">
      <c r="A700">
        <v>1</v>
      </c>
      <c r="B700">
        <v>0</v>
      </c>
      <c r="C700">
        <f t="shared" ca="1" si="220"/>
        <v>6</v>
      </c>
      <c r="D700">
        <f t="shared" ca="1" si="221"/>
        <v>5</v>
      </c>
      <c r="E700">
        <f t="shared" ca="1" si="222"/>
        <v>1</v>
      </c>
      <c r="F700" s="110">
        <f t="shared" ca="1" si="223"/>
        <v>0.16943256749999999</v>
      </c>
      <c r="G700">
        <v>0</v>
      </c>
      <c r="H700">
        <v>1</v>
      </c>
      <c r="I700">
        <v>2</v>
      </c>
      <c r="J700" s="1">
        <f t="shared" ca="1" si="224"/>
        <v>0</v>
      </c>
      <c r="K700" s="1">
        <f t="shared" ca="1" si="225"/>
        <v>0</v>
      </c>
      <c r="L700" s="13">
        <f t="shared" ca="1" si="226"/>
        <v>294</v>
      </c>
      <c r="M700" s="7">
        <f t="shared" ca="1" si="227"/>
        <v>706</v>
      </c>
      <c r="N700" s="26">
        <f t="shared" ca="1" si="228"/>
        <v>3</v>
      </c>
      <c r="O700" s="44">
        <f t="shared" ca="1" si="229"/>
        <v>2.2641455309069398</v>
      </c>
      <c r="P700" s="44">
        <f t="shared" ca="1" si="230"/>
        <v>22.641455309069404</v>
      </c>
      <c r="Q700" s="44">
        <f t="shared" ca="1" si="231"/>
        <v>22.641455309069404</v>
      </c>
      <c r="R700" s="44">
        <f t="shared" ca="1" si="232"/>
        <v>2.2641455309069403</v>
      </c>
      <c r="S700" s="44">
        <f t="shared" ca="1" si="233"/>
        <v>2.2641455309069398</v>
      </c>
      <c r="T700" s="4">
        <f t="shared" ca="1" si="234"/>
        <v>0</v>
      </c>
      <c r="U700" s="120">
        <f t="shared" ca="1" si="235"/>
        <v>1484.7475619899244</v>
      </c>
      <c r="V700" s="4">
        <f t="shared" ca="1" si="236"/>
        <v>0</v>
      </c>
      <c r="W700" s="13">
        <f t="shared" ca="1" si="237"/>
        <v>8055.4500000000007</v>
      </c>
      <c r="X700" s="4">
        <f t="shared" ca="1" si="238"/>
        <v>0</v>
      </c>
      <c r="Y700" s="4">
        <f t="shared" si="239"/>
        <v>0</v>
      </c>
      <c r="Z700" s="13">
        <f t="shared" ca="1" si="240"/>
        <v>8055.4500000000007</v>
      </c>
      <c r="AA700" s="4">
        <f t="shared" ca="1" si="241"/>
        <v>0</v>
      </c>
    </row>
    <row r="701" spans="1:27">
      <c r="A701">
        <v>1</v>
      </c>
      <c r="B701">
        <v>0</v>
      </c>
      <c r="C701">
        <f t="shared" ca="1" si="220"/>
        <v>6</v>
      </c>
      <c r="D701">
        <f t="shared" ca="1" si="221"/>
        <v>5</v>
      </c>
      <c r="E701">
        <f t="shared" ca="1" si="222"/>
        <v>1</v>
      </c>
      <c r="F701" s="110">
        <f t="shared" ca="1" si="223"/>
        <v>0.16943256749999999</v>
      </c>
      <c r="G701">
        <v>0</v>
      </c>
      <c r="H701">
        <v>1</v>
      </c>
      <c r="I701">
        <v>1</v>
      </c>
      <c r="J701" s="1">
        <f t="shared" ca="1" si="224"/>
        <v>0</v>
      </c>
      <c r="K701" s="1">
        <f t="shared" ca="1" si="225"/>
        <v>0</v>
      </c>
      <c r="L701" s="13">
        <f t="shared" ca="1" si="226"/>
        <v>274</v>
      </c>
      <c r="M701" s="7">
        <f t="shared" ca="1" si="227"/>
        <v>726</v>
      </c>
      <c r="N701" s="26">
        <f t="shared" ca="1" si="228"/>
        <v>3</v>
      </c>
      <c r="O701" s="44">
        <f t="shared" ca="1" si="229"/>
        <v>2.2641455309069398</v>
      </c>
      <c r="P701" s="44">
        <f t="shared" ca="1" si="230"/>
        <v>22.641455309069404</v>
      </c>
      <c r="Q701" s="44">
        <f t="shared" ca="1" si="231"/>
        <v>22.641455309069404</v>
      </c>
      <c r="R701" s="44">
        <f t="shared" ca="1" si="232"/>
        <v>2.2641455309069403</v>
      </c>
      <c r="S701" s="44">
        <f t="shared" ca="1" si="233"/>
        <v>2.2641455309069398</v>
      </c>
      <c r="T701" s="4">
        <f t="shared" ca="1" si="234"/>
        <v>0</v>
      </c>
      <c r="U701" s="120">
        <f t="shared" ca="1" si="235"/>
        <v>1464.7475619899244</v>
      </c>
      <c r="V701" s="4">
        <f t="shared" ca="1" si="236"/>
        <v>0</v>
      </c>
      <c r="W701" s="13">
        <f t="shared" ca="1" si="237"/>
        <v>4027.7250000000004</v>
      </c>
      <c r="X701" s="4">
        <f t="shared" ca="1" si="238"/>
        <v>0</v>
      </c>
      <c r="Y701" s="4">
        <f t="shared" si="239"/>
        <v>0</v>
      </c>
      <c r="Z701" s="13">
        <f t="shared" ca="1" si="240"/>
        <v>4027.7250000000004</v>
      </c>
      <c r="AA701" s="4">
        <f t="shared" ca="1" si="241"/>
        <v>0</v>
      </c>
    </row>
    <row r="702" spans="1:27">
      <c r="A702">
        <v>1</v>
      </c>
      <c r="B702">
        <v>0</v>
      </c>
      <c r="C702">
        <f t="shared" ca="1" si="220"/>
        <v>6</v>
      </c>
      <c r="D702">
        <f t="shared" ca="1" si="221"/>
        <v>5</v>
      </c>
      <c r="E702">
        <f t="shared" ca="1" si="222"/>
        <v>1</v>
      </c>
      <c r="F702" s="110">
        <f t="shared" ca="1" si="223"/>
        <v>0.16943256749999999</v>
      </c>
      <c r="G702">
        <v>0</v>
      </c>
      <c r="H702">
        <v>1</v>
      </c>
      <c r="I702">
        <v>0</v>
      </c>
      <c r="J702" s="1">
        <f t="shared" ca="1" si="224"/>
        <v>0</v>
      </c>
      <c r="K702" s="1">
        <f t="shared" ca="1" si="225"/>
        <v>0</v>
      </c>
      <c r="L702" s="13">
        <f t="shared" ca="1" si="226"/>
        <v>254</v>
      </c>
      <c r="M702" s="7">
        <f t="shared" ca="1" si="227"/>
        <v>746</v>
      </c>
      <c r="N702" s="26">
        <f t="shared" ca="1" si="228"/>
        <v>3</v>
      </c>
      <c r="O702" s="44">
        <f t="shared" ca="1" si="229"/>
        <v>2.2641455309069398</v>
      </c>
      <c r="P702" s="44">
        <f t="shared" ca="1" si="230"/>
        <v>22.641455309069404</v>
      </c>
      <c r="Q702" s="44">
        <f t="shared" ca="1" si="231"/>
        <v>22.641455309069404</v>
      </c>
      <c r="R702" s="44">
        <f t="shared" ca="1" si="232"/>
        <v>2.2641455309069403</v>
      </c>
      <c r="S702" s="44">
        <f t="shared" ca="1" si="233"/>
        <v>2.2641455309069398</v>
      </c>
      <c r="T702" s="4">
        <f t="shared" ca="1" si="234"/>
        <v>0</v>
      </c>
      <c r="U702" s="120">
        <f t="shared" ca="1" si="235"/>
        <v>1444.7475619899244</v>
      </c>
      <c r="V702" s="4">
        <f t="shared" ca="1" si="236"/>
        <v>0</v>
      </c>
      <c r="W702" s="13">
        <f t="shared" ca="1" si="237"/>
        <v>0</v>
      </c>
      <c r="X702" s="4">
        <f t="shared" ca="1" si="238"/>
        <v>0</v>
      </c>
      <c r="Y702" s="4">
        <f t="shared" si="239"/>
        <v>0</v>
      </c>
      <c r="Z702" s="13">
        <f t="shared" ca="1" si="240"/>
        <v>0</v>
      </c>
      <c r="AA702" s="4">
        <f t="shared" ca="1" si="241"/>
        <v>0</v>
      </c>
    </row>
    <row r="703" spans="1:27">
      <c r="A703">
        <v>1</v>
      </c>
      <c r="B703">
        <v>0</v>
      </c>
      <c r="C703">
        <f t="shared" ca="1" si="220"/>
        <v>6</v>
      </c>
      <c r="D703">
        <f t="shared" ca="1" si="221"/>
        <v>5</v>
      </c>
      <c r="E703">
        <f t="shared" ca="1" si="222"/>
        <v>1</v>
      </c>
      <c r="F703" s="110">
        <f t="shared" ca="1" si="223"/>
        <v>0.16943256749999999</v>
      </c>
      <c r="G703">
        <v>0</v>
      </c>
      <c r="H703">
        <v>0</v>
      </c>
      <c r="I703">
        <v>7</v>
      </c>
      <c r="J703" s="1">
        <f t="shared" ca="1" si="224"/>
        <v>0</v>
      </c>
      <c r="K703" s="1">
        <f t="shared" ca="1" si="225"/>
        <v>0</v>
      </c>
      <c r="L703" s="13">
        <f t="shared" ca="1" si="226"/>
        <v>140</v>
      </c>
      <c r="M703" s="7">
        <f t="shared" ca="1" si="227"/>
        <v>860</v>
      </c>
      <c r="N703" s="26">
        <f t="shared" ca="1" si="228"/>
        <v>4</v>
      </c>
      <c r="O703" s="44">
        <f t="shared" ca="1" si="229"/>
        <v>2.8910364854084887</v>
      </c>
      <c r="P703" s="44">
        <f t="shared" ca="1" si="230"/>
        <v>28.910364854084886</v>
      </c>
      <c r="Q703" s="44">
        <f t="shared" ca="1" si="231"/>
        <v>28.910364854084886</v>
      </c>
      <c r="R703" s="44">
        <f t="shared" ca="1" si="232"/>
        <v>2.8910364854084887</v>
      </c>
      <c r="S703" s="44">
        <f t="shared" ca="1" si="233"/>
        <v>2.8910364854084882</v>
      </c>
      <c r="T703" s="4">
        <f t="shared" ca="1" si="234"/>
        <v>0</v>
      </c>
      <c r="U703" s="120">
        <f t="shared" ca="1" si="235"/>
        <v>1600.6349838037554</v>
      </c>
      <c r="V703" s="4">
        <f t="shared" ca="1" si="236"/>
        <v>0</v>
      </c>
      <c r="W703" s="13">
        <f t="shared" ca="1" si="237"/>
        <v>28194.075000000001</v>
      </c>
      <c r="X703" s="4">
        <f t="shared" ca="1" si="238"/>
        <v>0</v>
      </c>
      <c r="Y703" s="4">
        <f t="shared" si="239"/>
        <v>0</v>
      </c>
      <c r="Z703" s="13">
        <f t="shared" ca="1" si="240"/>
        <v>28194.075000000001</v>
      </c>
      <c r="AA703" s="4">
        <f t="shared" ca="1" si="241"/>
        <v>0</v>
      </c>
    </row>
    <row r="704" spans="1:27">
      <c r="A704">
        <v>1</v>
      </c>
      <c r="B704">
        <v>0</v>
      </c>
      <c r="C704">
        <f t="shared" ca="1" si="220"/>
        <v>6</v>
      </c>
      <c r="D704">
        <f t="shared" ca="1" si="221"/>
        <v>5</v>
      </c>
      <c r="E704">
        <f t="shared" ca="1" si="222"/>
        <v>1</v>
      </c>
      <c r="F704" s="110">
        <f t="shared" ca="1" si="223"/>
        <v>0.16943256749999999</v>
      </c>
      <c r="G704">
        <v>0</v>
      </c>
      <c r="H704">
        <v>0</v>
      </c>
      <c r="I704">
        <v>6</v>
      </c>
      <c r="J704" s="1">
        <f t="shared" ca="1" si="224"/>
        <v>0</v>
      </c>
      <c r="K704" s="1">
        <f t="shared" ca="1" si="225"/>
        <v>0</v>
      </c>
      <c r="L704" s="13">
        <f t="shared" ca="1" si="226"/>
        <v>120</v>
      </c>
      <c r="M704" s="7">
        <f t="shared" ca="1" si="227"/>
        <v>880</v>
      </c>
      <c r="N704" s="26">
        <f t="shared" ca="1" si="228"/>
        <v>4</v>
      </c>
      <c r="O704" s="44">
        <f t="shared" ca="1" si="229"/>
        <v>2.8910364854084887</v>
      </c>
      <c r="P704" s="44">
        <f t="shared" ca="1" si="230"/>
        <v>28.910364854084886</v>
      </c>
      <c r="Q704" s="44">
        <f t="shared" ca="1" si="231"/>
        <v>28.910364854084886</v>
      </c>
      <c r="R704" s="44">
        <f t="shared" ca="1" si="232"/>
        <v>2.8910364854084887</v>
      </c>
      <c r="S704" s="44">
        <f t="shared" ca="1" si="233"/>
        <v>2.8910364854084882</v>
      </c>
      <c r="T704" s="4">
        <f t="shared" ca="1" si="234"/>
        <v>0</v>
      </c>
      <c r="U704" s="120">
        <f t="shared" ca="1" si="235"/>
        <v>1580.6349838037554</v>
      </c>
      <c r="V704" s="4">
        <f t="shared" ca="1" si="236"/>
        <v>0</v>
      </c>
      <c r="W704" s="13">
        <f t="shared" ca="1" si="237"/>
        <v>24166.350000000002</v>
      </c>
      <c r="X704" s="4">
        <f t="shared" ca="1" si="238"/>
        <v>0</v>
      </c>
      <c r="Y704" s="4">
        <f t="shared" si="239"/>
        <v>0</v>
      </c>
      <c r="Z704" s="13">
        <f t="shared" ca="1" si="240"/>
        <v>24166.350000000002</v>
      </c>
      <c r="AA704" s="4">
        <f t="shared" ca="1" si="241"/>
        <v>0</v>
      </c>
    </row>
    <row r="705" spans="1:27">
      <c r="A705">
        <v>1</v>
      </c>
      <c r="B705">
        <v>0</v>
      </c>
      <c r="C705">
        <f t="shared" ca="1" si="220"/>
        <v>6</v>
      </c>
      <c r="D705">
        <f t="shared" ca="1" si="221"/>
        <v>5</v>
      </c>
      <c r="E705">
        <f t="shared" ca="1" si="222"/>
        <v>1</v>
      </c>
      <c r="F705" s="110">
        <f t="shared" ca="1" si="223"/>
        <v>0.16943256749999999</v>
      </c>
      <c r="G705">
        <v>0</v>
      </c>
      <c r="H705">
        <v>0</v>
      </c>
      <c r="I705">
        <v>5</v>
      </c>
      <c r="J705" s="1">
        <f t="shared" ca="1" si="224"/>
        <v>3.8689046875000001E-2</v>
      </c>
      <c r="K705" s="1">
        <f t="shared" ca="1" si="225"/>
        <v>6.5551845461591018E-3</v>
      </c>
      <c r="L705" s="13">
        <f t="shared" ca="1" si="226"/>
        <v>100</v>
      </c>
      <c r="M705" s="7">
        <f t="shared" ca="1" si="227"/>
        <v>900</v>
      </c>
      <c r="N705" s="26">
        <f t="shared" ca="1" si="228"/>
        <v>4</v>
      </c>
      <c r="O705" s="44">
        <f t="shared" ca="1" si="229"/>
        <v>2.8910364854084887</v>
      </c>
      <c r="P705" s="44">
        <f t="shared" ca="1" si="230"/>
        <v>28.910364854084886</v>
      </c>
      <c r="Q705" s="44">
        <f t="shared" ca="1" si="231"/>
        <v>28.910364854084886</v>
      </c>
      <c r="R705" s="44">
        <f t="shared" ca="1" si="232"/>
        <v>2.8910364854084887</v>
      </c>
      <c r="S705" s="44">
        <f t="shared" ca="1" si="233"/>
        <v>2.8910364854084882</v>
      </c>
      <c r="T705" s="4">
        <f t="shared" ca="1" si="234"/>
        <v>1.8951277691531845E-2</v>
      </c>
      <c r="U705" s="120">
        <f t="shared" ca="1" si="235"/>
        <v>1560.6349838037554</v>
      </c>
      <c r="V705" s="4">
        <f t="shared" ca="1" si="236"/>
        <v>10.230250328025637</v>
      </c>
      <c r="W705" s="13">
        <f t="shared" ca="1" si="237"/>
        <v>20138.625</v>
      </c>
      <c r="X705" s="4">
        <f t="shared" ca="1" si="238"/>
        <v>132.01240338089335</v>
      </c>
      <c r="Y705" s="4">
        <f t="shared" si="239"/>
        <v>0</v>
      </c>
      <c r="Z705" s="13">
        <f t="shared" ca="1" si="240"/>
        <v>20138.625</v>
      </c>
      <c r="AA705" s="4">
        <f t="shared" ca="1" si="241"/>
        <v>132.01240338089335</v>
      </c>
    </row>
    <row r="706" spans="1:27">
      <c r="A706">
        <v>1</v>
      </c>
      <c r="B706">
        <v>0</v>
      </c>
      <c r="C706">
        <f t="shared" ca="1" si="220"/>
        <v>6</v>
      </c>
      <c r="D706">
        <f t="shared" ca="1" si="221"/>
        <v>5</v>
      </c>
      <c r="E706">
        <f t="shared" ca="1" si="222"/>
        <v>1</v>
      </c>
      <c r="F706" s="110">
        <f t="shared" ca="1" si="223"/>
        <v>0.16943256749999999</v>
      </c>
      <c r="G706">
        <v>0</v>
      </c>
      <c r="H706">
        <v>0</v>
      </c>
      <c r="I706">
        <v>4</v>
      </c>
      <c r="J706" s="1">
        <f t="shared" ca="1" si="224"/>
        <v>1.0181328125000009E-2</v>
      </c>
      <c r="K706" s="1">
        <f t="shared" ca="1" si="225"/>
        <v>1.7250485647787124E-3</v>
      </c>
      <c r="L706" s="13">
        <f t="shared" ca="1" si="226"/>
        <v>80</v>
      </c>
      <c r="M706" s="7">
        <f t="shared" ca="1" si="227"/>
        <v>920</v>
      </c>
      <c r="N706" s="26">
        <f t="shared" ca="1" si="228"/>
        <v>4</v>
      </c>
      <c r="O706" s="44">
        <f t="shared" ca="1" si="229"/>
        <v>2.8910364854084887</v>
      </c>
      <c r="P706" s="44">
        <f t="shared" ca="1" si="230"/>
        <v>28.910364854084886</v>
      </c>
      <c r="Q706" s="44">
        <f t="shared" ca="1" si="231"/>
        <v>28.910364854084886</v>
      </c>
      <c r="R706" s="44">
        <f t="shared" ca="1" si="232"/>
        <v>2.8910364854084887</v>
      </c>
      <c r="S706" s="44">
        <f t="shared" ca="1" si="233"/>
        <v>2.8910364854084882</v>
      </c>
      <c r="T706" s="4">
        <f t="shared" ca="1" si="234"/>
        <v>4.9871783398768056E-3</v>
      </c>
      <c r="U706" s="120">
        <f t="shared" ca="1" si="235"/>
        <v>1540.6349838037554</v>
      </c>
      <c r="V706" s="4">
        <f t="shared" ca="1" si="236"/>
        <v>2.657670167658543</v>
      </c>
      <c r="W706" s="13">
        <f t="shared" ca="1" si="237"/>
        <v>16110.900000000001</v>
      </c>
      <c r="X706" s="4">
        <f t="shared" ca="1" si="238"/>
        <v>27.792084922293359</v>
      </c>
      <c r="Y706" s="4">
        <f t="shared" si="239"/>
        <v>0</v>
      </c>
      <c r="Z706" s="13">
        <f t="shared" ca="1" si="240"/>
        <v>16110.900000000001</v>
      </c>
      <c r="AA706" s="4">
        <f t="shared" ca="1" si="241"/>
        <v>27.792084922293359</v>
      </c>
    </row>
    <row r="707" spans="1:27">
      <c r="A707">
        <v>1</v>
      </c>
      <c r="B707">
        <v>0</v>
      </c>
      <c r="C707">
        <f t="shared" ca="1" si="220"/>
        <v>6</v>
      </c>
      <c r="D707">
        <f t="shared" ca="1" si="221"/>
        <v>5</v>
      </c>
      <c r="E707">
        <f t="shared" ca="1" si="222"/>
        <v>1</v>
      </c>
      <c r="F707" s="110">
        <f t="shared" ca="1" si="223"/>
        <v>0.16943256749999999</v>
      </c>
      <c r="G707">
        <v>0</v>
      </c>
      <c r="H707">
        <v>0</v>
      </c>
      <c r="I707">
        <v>3</v>
      </c>
      <c r="J707" s="1">
        <f t="shared" ca="1" si="224"/>
        <v>1.0717187500000017E-3</v>
      </c>
      <c r="K707" s="1">
        <f t="shared" ca="1" si="225"/>
        <v>1.8158405945039091E-4</v>
      </c>
      <c r="L707" s="13">
        <f t="shared" ca="1" si="226"/>
        <v>60</v>
      </c>
      <c r="M707" s="7">
        <f t="shared" ca="1" si="227"/>
        <v>940</v>
      </c>
      <c r="N707" s="26">
        <f t="shared" ca="1" si="228"/>
        <v>4</v>
      </c>
      <c r="O707" s="44">
        <f t="shared" ca="1" si="229"/>
        <v>2.8910364854084887</v>
      </c>
      <c r="P707" s="44">
        <f t="shared" ca="1" si="230"/>
        <v>28.910364854084886</v>
      </c>
      <c r="Q707" s="44">
        <f t="shared" ca="1" si="231"/>
        <v>28.910364854084886</v>
      </c>
      <c r="R707" s="44">
        <f t="shared" ca="1" si="232"/>
        <v>2.8910364854084887</v>
      </c>
      <c r="S707" s="44">
        <f t="shared" ca="1" si="233"/>
        <v>2.8910364854084882</v>
      </c>
      <c r="T707" s="4">
        <f t="shared" ca="1" si="234"/>
        <v>5.2496614103966408E-4</v>
      </c>
      <c r="U707" s="120">
        <f t="shared" ca="1" si="235"/>
        <v>1520.6349838037554</v>
      </c>
      <c r="V707" s="4">
        <f t="shared" ca="1" si="236"/>
        <v>0.27612307330136537</v>
      </c>
      <c r="W707" s="13">
        <f t="shared" ca="1" si="237"/>
        <v>12083.175000000001</v>
      </c>
      <c r="X707" s="4">
        <f t="shared" ca="1" si="238"/>
        <v>2.1941119675494773</v>
      </c>
      <c r="Y707" s="4">
        <f t="shared" si="239"/>
        <v>0</v>
      </c>
      <c r="Z707" s="13">
        <f t="shared" ca="1" si="240"/>
        <v>12083.175000000001</v>
      </c>
      <c r="AA707" s="4">
        <f t="shared" ca="1" si="241"/>
        <v>2.1941119675494773</v>
      </c>
    </row>
    <row r="708" spans="1:27">
      <c r="A708">
        <v>1</v>
      </c>
      <c r="B708">
        <v>0</v>
      </c>
      <c r="C708">
        <f t="shared" ca="1" si="220"/>
        <v>6</v>
      </c>
      <c r="D708">
        <f t="shared" ca="1" si="221"/>
        <v>5</v>
      </c>
      <c r="E708">
        <f t="shared" ca="1" si="222"/>
        <v>1</v>
      </c>
      <c r="F708" s="110">
        <f t="shared" ca="1" si="223"/>
        <v>0.16943256749999999</v>
      </c>
      <c r="G708">
        <v>0</v>
      </c>
      <c r="H708">
        <v>0</v>
      </c>
      <c r="I708">
        <v>2</v>
      </c>
      <c r="J708" s="1">
        <f t="shared" ca="1" si="224"/>
        <v>5.6406250000000155E-5</v>
      </c>
      <c r="K708" s="1">
        <f t="shared" ca="1" si="225"/>
        <v>9.5570557605469012E-6</v>
      </c>
      <c r="L708" s="13">
        <f t="shared" ca="1" si="226"/>
        <v>40</v>
      </c>
      <c r="M708" s="7">
        <f t="shared" ca="1" si="227"/>
        <v>960</v>
      </c>
      <c r="N708" s="26">
        <f t="shared" ca="1" si="228"/>
        <v>4</v>
      </c>
      <c r="O708" s="44">
        <f t="shared" ca="1" si="229"/>
        <v>2.8910364854084887</v>
      </c>
      <c r="P708" s="44">
        <f t="shared" ca="1" si="230"/>
        <v>28.910364854084886</v>
      </c>
      <c r="Q708" s="44">
        <f t="shared" ca="1" si="231"/>
        <v>28.910364854084886</v>
      </c>
      <c r="R708" s="44">
        <f t="shared" ca="1" si="232"/>
        <v>2.8910364854084887</v>
      </c>
      <c r="S708" s="44">
        <f t="shared" ca="1" si="233"/>
        <v>2.8910364854084882</v>
      </c>
      <c r="T708" s="4">
        <f t="shared" ca="1" si="234"/>
        <v>2.7629796896824461E-5</v>
      </c>
      <c r="U708" s="120">
        <f t="shared" ca="1" si="235"/>
        <v>1500.6349838037554</v>
      </c>
      <c r="V708" s="4">
        <f t="shared" ca="1" si="236"/>
        <v>1.4341652216439887E-2</v>
      </c>
      <c r="W708" s="13">
        <f t="shared" ca="1" si="237"/>
        <v>8055.4500000000007</v>
      </c>
      <c r="X708" s="4">
        <f t="shared" ca="1" si="238"/>
        <v>7.6986384826297535E-2</v>
      </c>
      <c r="Y708" s="4">
        <f t="shared" si="239"/>
        <v>0</v>
      </c>
      <c r="Z708" s="13">
        <f t="shared" ca="1" si="240"/>
        <v>8055.4500000000007</v>
      </c>
      <c r="AA708" s="4">
        <f t="shared" ca="1" si="241"/>
        <v>7.6986384826297535E-2</v>
      </c>
    </row>
    <row r="709" spans="1:27">
      <c r="A709">
        <v>1</v>
      </c>
      <c r="B709">
        <v>0</v>
      </c>
      <c r="C709">
        <f t="shared" ca="1" si="220"/>
        <v>6</v>
      </c>
      <c r="D709">
        <f t="shared" ca="1" si="221"/>
        <v>5</v>
      </c>
      <c r="E709">
        <f t="shared" ca="1" si="222"/>
        <v>1</v>
      </c>
      <c r="F709" s="110">
        <f t="shared" ca="1" si="223"/>
        <v>0.16943256749999999</v>
      </c>
      <c r="G709">
        <v>0</v>
      </c>
      <c r="H709">
        <v>0</v>
      </c>
      <c r="I709">
        <v>1</v>
      </c>
      <c r="J709" s="1">
        <f t="shared" ca="1" si="224"/>
        <v>1.4843750000000054E-6</v>
      </c>
      <c r="K709" s="1">
        <f t="shared" ca="1" si="225"/>
        <v>2.5150146738281339E-7</v>
      </c>
      <c r="L709" s="13">
        <f t="shared" ca="1" si="226"/>
        <v>20</v>
      </c>
      <c r="M709" s="7">
        <f t="shared" ca="1" si="227"/>
        <v>980</v>
      </c>
      <c r="N709" s="26">
        <f t="shared" ca="1" si="228"/>
        <v>4</v>
      </c>
      <c r="O709" s="44">
        <f t="shared" ca="1" si="229"/>
        <v>2.8910364854084887</v>
      </c>
      <c r="P709" s="44">
        <f t="shared" ca="1" si="230"/>
        <v>28.910364854084886</v>
      </c>
      <c r="Q709" s="44">
        <f t="shared" ca="1" si="231"/>
        <v>28.910364854084886</v>
      </c>
      <c r="R709" s="44">
        <f t="shared" ca="1" si="232"/>
        <v>2.8910364854084887</v>
      </c>
      <c r="S709" s="44">
        <f t="shared" ca="1" si="233"/>
        <v>2.8910364854084882</v>
      </c>
      <c r="T709" s="4">
        <f t="shared" ca="1" si="234"/>
        <v>7.2709991833748631E-7</v>
      </c>
      <c r="U709" s="120">
        <f t="shared" ca="1" si="235"/>
        <v>1480.6349838037554</v>
      </c>
      <c r="V709" s="4">
        <f t="shared" ca="1" si="236"/>
        <v>3.7238187108497262E-4</v>
      </c>
      <c r="W709" s="13">
        <f t="shared" ca="1" si="237"/>
        <v>4027.7250000000004</v>
      </c>
      <c r="X709" s="4">
        <f t="shared" ca="1" si="238"/>
        <v>1.0129787477144421E-3</v>
      </c>
      <c r="Y709" s="4">
        <f t="shared" si="239"/>
        <v>0</v>
      </c>
      <c r="Z709" s="13">
        <f t="shared" ca="1" si="240"/>
        <v>4027.7250000000004</v>
      </c>
      <c r="AA709" s="4">
        <f t="shared" ca="1" si="241"/>
        <v>1.0129787477144421E-3</v>
      </c>
    </row>
    <row r="710" spans="1:27">
      <c r="A710">
        <v>1</v>
      </c>
      <c r="B710">
        <v>0</v>
      </c>
      <c r="C710">
        <f t="shared" ca="1" si="220"/>
        <v>6</v>
      </c>
      <c r="D710">
        <f t="shared" ca="1" si="221"/>
        <v>5</v>
      </c>
      <c r="E710">
        <f t="shared" ca="1" si="222"/>
        <v>1</v>
      </c>
      <c r="F710" s="110">
        <f t="shared" ca="1" si="223"/>
        <v>0.16943256749999999</v>
      </c>
      <c r="G710">
        <v>0</v>
      </c>
      <c r="H710">
        <v>0</v>
      </c>
      <c r="I710">
        <v>0</v>
      </c>
      <c r="J710" s="1">
        <f t="shared" ca="1" si="224"/>
        <v>1.5625000000000072E-8</v>
      </c>
      <c r="K710" s="1">
        <f t="shared" ca="1" si="225"/>
        <v>2.647383867187512E-9</v>
      </c>
      <c r="L710" s="13">
        <f t="shared" ca="1" si="226"/>
        <v>0</v>
      </c>
      <c r="M710" s="7">
        <f t="shared" ca="1" si="227"/>
        <v>1000</v>
      </c>
      <c r="N710" s="26">
        <f t="shared" ca="1" si="228"/>
        <v>4</v>
      </c>
      <c r="O710" s="44">
        <f t="shared" ca="1" si="229"/>
        <v>2.8910364854084887</v>
      </c>
      <c r="P710" s="44">
        <f t="shared" ca="1" si="230"/>
        <v>28.910364854084886</v>
      </c>
      <c r="Q710" s="44">
        <f t="shared" ca="1" si="231"/>
        <v>28.910364854084886</v>
      </c>
      <c r="R710" s="44">
        <f t="shared" ca="1" si="232"/>
        <v>2.8910364854084887</v>
      </c>
      <c r="S710" s="44">
        <f t="shared" ca="1" si="233"/>
        <v>2.8910364854084882</v>
      </c>
      <c r="T710" s="4">
        <f t="shared" ca="1" si="234"/>
        <v>7.6536833509209161E-9</v>
      </c>
      <c r="U710" s="120">
        <f t="shared" ca="1" si="235"/>
        <v>1460.6349838037554</v>
      </c>
      <c r="V710" s="4">
        <f t="shared" ca="1" si="236"/>
        <v>3.8668614919717547E-6</v>
      </c>
      <c r="W710" s="13">
        <f t="shared" ca="1" si="237"/>
        <v>0</v>
      </c>
      <c r="X710" s="4">
        <f t="shared" ca="1" si="238"/>
        <v>0</v>
      </c>
      <c r="Y710" s="4">
        <f t="shared" si="239"/>
        <v>0</v>
      </c>
      <c r="Z710" s="13">
        <f t="shared" ca="1" si="240"/>
        <v>0</v>
      </c>
      <c r="AA710" s="4">
        <f t="shared" ca="1" si="241"/>
        <v>0</v>
      </c>
    </row>
    <row r="711" spans="1:27">
      <c r="A711">
        <v>1</v>
      </c>
      <c r="B711">
        <v>1</v>
      </c>
      <c r="C711">
        <f t="shared" ca="1" si="220"/>
        <v>7</v>
      </c>
      <c r="D711">
        <f t="shared" ca="1" si="221"/>
        <v>6</v>
      </c>
      <c r="E711">
        <f t="shared" ca="1" si="222"/>
        <v>1</v>
      </c>
      <c r="F711" s="110">
        <f t="shared" ca="1" si="223"/>
        <v>5.6477522500000002E-2</v>
      </c>
      <c r="G711">
        <v>1</v>
      </c>
      <c r="H711">
        <v>1</v>
      </c>
      <c r="I711">
        <v>7</v>
      </c>
      <c r="J711" s="1">
        <f t="shared" ca="1" si="224"/>
        <v>0</v>
      </c>
      <c r="K711" s="1">
        <f t="shared" ca="1" si="225"/>
        <v>0</v>
      </c>
      <c r="L711" s="13">
        <f t="shared" ca="1" si="226"/>
        <v>648</v>
      </c>
      <c r="M711" s="7">
        <f t="shared" ca="1" si="227"/>
        <v>352</v>
      </c>
      <c r="N711" s="26">
        <f t="shared" ca="1" si="228"/>
        <v>2</v>
      </c>
      <c r="O711" s="44">
        <f t="shared" ca="1" si="229"/>
        <v>1.5942243152407929</v>
      </c>
      <c r="P711" s="44">
        <f t="shared" ca="1" si="230"/>
        <v>15.942243152407926</v>
      </c>
      <c r="Q711" s="44">
        <f t="shared" ca="1" si="231"/>
        <v>15.942243152407926</v>
      </c>
      <c r="R711" s="44">
        <f t="shared" ca="1" si="232"/>
        <v>1.5942243152407927</v>
      </c>
      <c r="S711" s="44">
        <f t="shared" ca="1" si="233"/>
        <v>1.5942243152407927</v>
      </c>
      <c r="T711" s="4">
        <f t="shared" ca="1" si="234"/>
        <v>0</v>
      </c>
      <c r="U711" s="120">
        <f t="shared" ca="1" si="235"/>
        <v>1550.3348669012169</v>
      </c>
      <c r="V711" s="4">
        <f t="shared" ca="1" si="236"/>
        <v>0</v>
      </c>
      <c r="W711" s="13">
        <f t="shared" ca="1" si="237"/>
        <v>32946.790500000003</v>
      </c>
      <c r="X711" s="4">
        <f t="shared" ca="1" si="238"/>
        <v>0</v>
      </c>
      <c r="Y711" s="4">
        <f t="shared" si="239"/>
        <v>0</v>
      </c>
      <c r="Z711" s="13">
        <f t="shared" ca="1" si="240"/>
        <v>32946.790500000003</v>
      </c>
      <c r="AA711" s="4">
        <f t="shared" ca="1" si="241"/>
        <v>0</v>
      </c>
    </row>
    <row r="712" spans="1:27">
      <c r="A712">
        <v>1</v>
      </c>
      <c r="B712">
        <v>1</v>
      </c>
      <c r="C712">
        <f t="shared" ca="1" si="220"/>
        <v>7</v>
      </c>
      <c r="D712">
        <f t="shared" ca="1" si="221"/>
        <v>6</v>
      </c>
      <c r="E712">
        <f t="shared" ca="1" si="222"/>
        <v>1</v>
      </c>
      <c r="F712" s="110">
        <f t="shared" ca="1" si="223"/>
        <v>5.6477522500000002E-2</v>
      </c>
      <c r="G712">
        <v>1</v>
      </c>
      <c r="H712">
        <v>1</v>
      </c>
      <c r="I712">
        <v>6</v>
      </c>
      <c r="J712" s="1">
        <f t="shared" ca="1" si="224"/>
        <v>0</v>
      </c>
      <c r="K712" s="1">
        <f t="shared" ca="1" si="225"/>
        <v>0</v>
      </c>
      <c r="L712" s="13">
        <f t="shared" ca="1" si="226"/>
        <v>628</v>
      </c>
      <c r="M712" s="7">
        <f t="shared" ca="1" si="227"/>
        <v>372</v>
      </c>
      <c r="N712" s="26">
        <f t="shared" ca="1" si="228"/>
        <v>2</v>
      </c>
      <c r="O712" s="44">
        <f t="shared" ca="1" si="229"/>
        <v>1.5942243152407929</v>
      </c>
      <c r="P712" s="44">
        <f t="shared" ca="1" si="230"/>
        <v>15.942243152407926</v>
      </c>
      <c r="Q712" s="44">
        <f t="shared" ca="1" si="231"/>
        <v>15.942243152407926</v>
      </c>
      <c r="R712" s="44">
        <f t="shared" ca="1" si="232"/>
        <v>1.5942243152407927</v>
      </c>
      <c r="S712" s="44">
        <f t="shared" ca="1" si="233"/>
        <v>1.5942243152407927</v>
      </c>
      <c r="T712" s="4">
        <f t="shared" ca="1" si="234"/>
        <v>0</v>
      </c>
      <c r="U712" s="120">
        <f t="shared" ca="1" si="235"/>
        <v>1530.3348669012169</v>
      </c>
      <c r="V712" s="4">
        <f t="shared" ca="1" si="236"/>
        <v>0</v>
      </c>
      <c r="W712" s="13">
        <f t="shared" ca="1" si="237"/>
        <v>28919.065500000004</v>
      </c>
      <c r="X712" s="4">
        <f t="shared" ca="1" si="238"/>
        <v>0</v>
      </c>
      <c r="Y712" s="4">
        <f t="shared" si="239"/>
        <v>0</v>
      </c>
      <c r="Z712" s="13">
        <f t="shared" ca="1" si="240"/>
        <v>28919.065500000004</v>
      </c>
      <c r="AA712" s="4">
        <f t="shared" ca="1" si="241"/>
        <v>0</v>
      </c>
    </row>
    <row r="713" spans="1:27">
      <c r="A713">
        <v>1</v>
      </c>
      <c r="B713">
        <v>1</v>
      </c>
      <c r="C713">
        <f t="shared" ca="1" si="220"/>
        <v>7</v>
      </c>
      <c r="D713">
        <f t="shared" ca="1" si="221"/>
        <v>6</v>
      </c>
      <c r="E713">
        <f t="shared" ca="1" si="222"/>
        <v>1</v>
      </c>
      <c r="F713" s="110">
        <f t="shared" ca="1" si="223"/>
        <v>5.6477522500000002E-2</v>
      </c>
      <c r="G713">
        <v>1</v>
      </c>
      <c r="H713">
        <v>1</v>
      </c>
      <c r="I713">
        <v>5</v>
      </c>
      <c r="J713" s="1">
        <f t="shared" ca="1" si="224"/>
        <v>0</v>
      </c>
      <c r="K713" s="1">
        <f t="shared" ca="1" si="225"/>
        <v>0</v>
      </c>
      <c r="L713" s="13">
        <f t="shared" ca="1" si="226"/>
        <v>608</v>
      </c>
      <c r="M713" s="7">
        <f t="shared" ca="1" si="227"/>
        <v>392</v>
      </c>
      <c r="N713" s="26">
        <f t="shared" ca="1" si="228"/>
        <v>2</v>
      </c>
      <c r="O713" s="44">
        <f t="shared" ca="1" si="229"/>
        <v>1.5942243152407929</v>
      </c>
      <c r="P713" s="44">
        <f t="shared" ca="1" si="230"/>
        <v>15.942243152407926</v>
      </c>
      <c r="Q713" s="44">
        <f t="shared" ca="1" si="231"/>
        <v>15.942243152407926</v>
      </c>
      <c r="R713" s="44">
        <f t="shared" ca="1" si="232"/>
        <v>1.5942243152407927</v>
      </c>
      <c r="S713" s="44">
        <f t="shared" ca="1" si="233"/>
        <v>1.5942243152407927</v>
      </c>
      <c r="T713" s="4">
        <f t="shared" ca="1" si="234"/>
        <v>0</v>
      </c>
      <c r="U713" s="120">
        <f t="shared" ca="1" si="235"/>
        <v>1510.3348669012169</v>
      </c>
      <c r="V713" s="4">
        <f t="shared" ca="1" si="236"/>
        <v>0</v>
      </c>
      <c r="W713" s="13">
        <f t="shared" ca="1" si="237"/>
        <v>24891.340500000002</v>
      </c>
      <c r="X713" s="4">
        <f t="shared" ca="1" si="238"/>
        <v>0</v>
      </c>
      <c r="Y713" s="4">
        <f t="shared" si="239"/>
        <v>0</v>
      </c>
      <c r="Z713" s="13">
        <f t="shared" ca="1" si="240"/>
        <v>24891.340500000002</v>
      </c>
      <c r="AA713" s="4">
        <f t="shared" ca="1" si="241"/>
        <v>0</v>
      </c>
    </row>
    <row r="714" spans="1:27">
      <c r="A714">
        <v>1</v>
      </c>
      <c r="B714">
        <v>1</v>
      </c>
      <c r="C714">
        <f t="shared" ca="1" si="220"/>
        <v>7</v>
      </c>
      <c r="D714">
        <f t="shared" ca="1" si="221"/>
        <v>6</v>
      </c>
      <c r="E714">
        <f t="shared" ca="1" si="222"/>
        <v>1</v>
      </c>
      <c r="F714" s="110">
        <f t="shared" ca="1" si="223"/>
        <v>5.6477522500000002E-2</v>
      </c>
      <c r="G714">
        <v>1</v>
      </c>
      <c r="H714">
        <v>1</v>
      </c>
      <c r="I714">
        <v>4</v>
      </c>
      <c r="J714" s="1">
        <f t="shared" ca="1" si="224"/>
        <v>0</v>
      </c>
      <c r="K714" s="1">
        <f t="shared" ca="1" si="225"/>
        <v>0</v>
      </c>
      <c r="L714" s="13">
        <f t="shared" ca="1" si="226"/>
        <v>588</v>
      </c>
      <c r="M714" s="7">
        <f t="shared" ca="1" si="227"/>
        <v>412</v>
      </c>
      <c r="N714" s="26">
        <f t="shared" ca="1" si="228"/>
        <v>2</v>
      </c>
      <c r="O714" s="44">
        <f t="shared" ca="1" si="229"/>
        <v>1.5942243152407929</v>
      </c>
      <c r="P714" s="44">
        <f t="shared" ca="1" si="230"/>
        <v>15.942243152407926</v>
      </c>
      <c r="Q714" s="44">
        <f t="shared" ca="1" si="231"/>
        <v>15.942243152407926</v>
      </c>
      <c r="R714" s="44">
        <f t="shared" ca="1" si="232"/>
        <v>1.5942243152407927</v>
      </c>
      <c r="S714" s="44">
        <f t="shared" ca="1" si="233"/>
        <v>1.5942243152407927</v>
      </c>
      <c r="T714" s="4">
        <f t="shared" ca="1" si="234"/>
        <v>0</v>
      </c>
      <c r="U714" s="120">
        <f t="shared" ca="1" si="235"/>
        <v>1490.3348669012169</v>
      </c>
      <c r="V714" s="4">
        <f t="shared" ca="1" si="236"/>
        <v>0</v>
      </c>
      <c r="W714" s="13">
        <f t="shared" ca="1" si="237"/>
        <v>20863.615500000004</v>
      </c>
      <c r="X714" s="4">
        <f t="shared" ca="1" si="238"/>
        <v>0</v>
      </c>
      <c r="Y714" s="4">
        <f t="shared" si="239"/>
        <v>0</v>
      </c>
      <c r="Z714" s="13">
        <f t="shared" ca="1" si="240"/>
        <v>20863.615500000004</v>
      </c>
      <c r="AA714" s="4">
        <f t="shared" ca="1" si="241"/>
        <v>0</v>
      </c>
    </row>
    <row r="715" spans="1:27">
      <c r="A715">
        <v>1</v>
      </c>
      <c r="B715">
        <v>1</v>
      </c>
      <c r="C715">
        <f t="shared" ca="1" si="220"/>
        <v>7</v>
      </c>
      <c r="D715">
        <f t="shared" ca="1" si="221"/>
        <v>6</v>
      </c>
      <c r="E715">
        <f t="shared" ca="1" si="222"/>
        <v>1</v>
      </c>
      <c r="F715" s="110">
        <f t="shared" ca="1" si="223"/>
        <v>5.6477522500000002E-2</v>
      </c>
      <c r="G715">
        <v>1</v>
      </c>
      <c r="H715">
        <v>1</v>
      </c>
      <c r="I715">
        <v>3</v>
      </c>
      <c r="J715" s="1">
        <f t="shared" ca="1" si="224"/>
        <v>0</v>
      </c>
      <c r="K715" s="1">
        <f t="shared" ca="1" si="225"/>
        <v>0</v>
      </c>
      <c r="L715" s="13">
        <f t="shared" ca="1" si="226"/>
        <v>568</v>
      </c>
      <c r="M715" s="7">
        <f t="shared" ca="1" si="227"/>
        <v>432</v>
      </c>
      <c r="N715" s="26">
        <f t="shared" ca="1" si="228"/>
        <v>2</v>
      </c>
      <c r="O715" s="44">
        <f t="shared" ca="1" si="229"/>
        <v>1.5942243152407929</v>
      </c>
      <c r="P715" s="44">
        <f t="shared" ca="1" si="230"/>
        <v>15.942243152407926</v>
      </c>
      <c r="Q715" s="44">
        <f t="shared" ca="1" si="231"/>
        <v>15.942243152407926</v>
      </c>
      <c r="R715" s="44">
        <f t="shared" ca="1" si="232"/>
        <v>1.5942243152407927</v>
      </c>
      <c r="S715" s="44">
        <f t="shared" ca="1" si="233"/>
        <v>1.5942243152407927</v>
      </c>
      <c r="T715" s="4">
        <f t="shared" ca="1" si="234"/>
        <v>0</v>
      </c>
      <c r="U715" s="120">
        <f t="shared" ca="1" si="235"/>
        <v>1470.3348669012169</v>
      </c>
      <c r="V715" s="4">
        <f t="shared" ca="1" si="236"/>
        <v>0</v>
      </c>
      <c r="W715" s="13">
        <f t="shared" ca="1" si="237"/>
        <v>16835.890500000001</v>
      </c>
      <c r="X715" s="4">
        <f t="shared" ca="1" si="238"/>
        <v>0</v>
      </c>
      <c r="Y715" s="4">
        <f t="shared" si="239"/>
        <v>0</v>
      </c>
      <c r="Z715" s="13">
        <f t="shared" ca="1" si="240"/>
        <v>16835.890500000001</v>
      </c>
      <c r="AA715" s="4">
        <f t="shared" ca="1" si="241"/>
        <v>0</v>
      </c>
    </row>
    <row r="716" spans="1:27">
      <c r="A716">
        <v>1</v>
      </c>
      <c r="B716">
        <v>1</v>
      </c>
      <c r="C716">
        <f t="shared" ca="1" si="220"/>
        <v>7</v>
      </c>
      <c r="D716">
        <f t="shared" ca="1" si="221"/>
        <v>6</v>
      </c>
      <c r="E716">
        <f t="shared" ca="1" si="222"/>
        <v>1</v>
      </c>
      <c r="F716" s="110">
        <f t="shared" ca="1" si="223"/>
        <v>5.6477522500000002E-2</v>
      </c>
      <c r="G716">
        <v>1</v>
      </c>
      <c r="H716">
        <v>1</v>
      </c>
      <c r="I716">
        <v>2</v>
      </c>
      <c r="J716" s="1">
        <f t="shared" ca="1" si="224"/>
        <v>0</v>
      </c>
      <c r="K716" s="1">
        <f t="shared" ca="1" si="225"/>
        <v>0</v>
      </c>
      <c r="L716" s="13">
        <f t="shared" ca="1" si="226"/>
        <v>548</v>
      </c>
      <c r="M716" s="7">
        <f t="shared" ca="1" si="227"/>
        <v>452</v>
      </c>
      <c r="N716" s="26">
        <f t="shared" ca="1" si="228"/>
        <v>2</v>
      </c>
      <c r="O716" s="44">
        <f t="shared" ca="1" si="229"/>
        <v>1.5942243152407929</v>
      </c>
      <c r="P716" s="44">
        <f t="shared" ca="1" si="230"/>
        <v>15.942243152407926</v>
      </c>
      <c r="Q716" s="44">
        <f t="shared" ca="1" si="231"/>
        <v>15.942243152407926</v>
      </c>
      <c r="R716" s="44">
        <f t="shared" ca="1" si="232"/>
        <v>1.5942243152407927</v>
      </c>
      <c r="S716" s="44">
        <f t="shared" ca="1" si="233"/>
        <v>1.5942243152407927</v>
      </c>
      <c r="T716" s="4">
        <f t="shared" ca="1" si="234"/>
        <v>0</v>
      </c>
      <c r="U716" s="120">
        <f t="shared" ca="1" si="235"/>
        <v>1450.3348669012169</v>
      </c>
      <c r="V716" s="4">
        <f t="shared" ca="1" si="236"/>
        <v>0</v>
      </c>
      <c r="W716" s="13">
        <f t="shared" ca="1" si="237"/>
        <v>12808.165500000003</v>
      </c>
      <c r="X716" s="4">
        <f t="shared" ca="1" si="238"/>
        <v>0</v>
      </c>
      <c r="Y716" s="4">
        <f t="shared" si="239"/>
        <v>0</v>
      </c>
      <c r="Z716" s="13">
        <f t="shared" ca="1" si="240"/>
        <v>12808.165500000003</v>
      </c>
      <c r="AA716" s="4">
        <f t="shared" ca="1" si="241"/>
        <v>0</v>
      </c>
    </row>
    <row r="717" spans="1:27">
      <c r="A717">
        <v>1</v>
      </c>
      <c r="B717">
        <v>1</v>
      </c>
      <c r="C717">
        <f t="shared" ca="1" si="220"/>
        <v>7</v>
      </c>
      <c r="D717">
        <f t="shared" ca="1" si="221"/>
        <v>6</v>
      </c>
      <c r="E717">
        <f t="shared" ca="1" si="222"/>
        <v>1</v>
      </c>
      <c r="F717" s="110">
        <f t="shared" ca="1" si="223"/>
        <v>5.6477522500000002E-2</v>
      </c>
      <c r="G717">
        <v>1</v>
      </c>
      <c r="H717">
        <v>1</v>
      </c>
      <c r="I717">
        <v>1</v>
      </c>
      <c r="J717" s="1">
        <f t="shared" ca="1" si="224"/>
        <v>0</v>
      </c>
      <c r="K717" s="1">
        <f t="shared" ca="1" si="225"/>
        <v>0</v>
      </c>
      <c r="L717" s="13">
        <f t="shared" ca="1" si="226"/>
        <v>528</v>
      </c>
      <c r="M717" s="7">
        <f t="shared" ca="1" si="227"/>
        <v>472</v>
      </c>
      <c r="N717" s="26">
        <f t="shared" ca="1" si="228"/>
        <v>2</v>
      </c>
      <c r="O717" s="44">
        <f t="shared" ca="1" si="229"/>
        <v>1.5942243152407929</v>
      </c>
      <c r="P717" s="44">
        <f t="shared" ca="1" si="230"/>
        <v>15.942243152407926</v>
      </c>
      <c r="Q717" s="44">
        <f t="shared" ca="1" si="231"/>
        <v>15.942243152407926</v>
      </c>
      <c r="R717" s="44">
        <f t="shared" ca="1" si="232"/>
        <v>1.5942243152407927</v>
      </c>
      <c r="S717" s="44">
        <f t="shared" ca="1" si="233"/>
        <v>1.5942243152407927</v>
      </c>
      <c r="T717" s="4">
        <f t="shared" ca="1" si="234"/>
        <v>0</v>
      </c>
      <c r="U717" s="120">
        <f t="shared" ca="1" si="235"/>
        <v>1430.3348669012169</v>
      </c>
      <c r="V717" s="4">
        <f t="shared" ca="1" si="236"/>
        <v>0</v>
      </c>
      <c r="W717" s="13">
        <f t="shared" ca="1" si="237"/>
        <v>8780.4405000000006</v>
      </c>
      <c r="X717" s="4">
        <f t="shared" ca="1" si="238"/>
        <v>0</v>
      </c>
      <c r="Y717" s="4">
        <f t="shared" si="239"/>
        <v>0</v>
      </c>
      <c r="Z717" s="13">
        <f t="shared" ca="1" si="240"/>
        <v>8780.4405000000006</v>
      </c>
      <c r="AA717" s="4">
        <f t="shared" ca="1" si="241"/>
        <v>0</v>
      </c>
    </row>
    <row r="718" spans="1:27">
      <c r="A718">
        <v>1</v>
      </c>
      <c r="B718">
        <v>1</v>
      </c>
      <c r="C718">
        <f t="shared" ca="1" si="220"/>
        <v>7</v>
      </c>
      <c r="D718">
        <f t="shared" ca="1" si="221"/>
        <v>6</v>
      </c>
      <c r="E718">
        <f t="shared" ca="1" si="222"/>
        <v>1</v>
      </c>
      <c r="F718" s="110">
        <f t="shared" ca="1" si="223"/>
        <v>5.6477522500000002E-2</v>
      </c>
      <c r="G718">
        <v>1</v>
      </c>
      <c r="H718">
        <v>1</v>
      </c>
      <c r="I718">
        <v>0</v>
      </c>
      <c r="J718" s="1">
        <f t="shared" ca="1" si="224"/>
        <v>0</v>
      </c>
      <c r="K718" s="1">
        <f t="shared" ca="1" si="225"/>
        <v>0</v>
      </c>
      <c r="L718" s="13">
        <f t="shared" ca="1" si="226"/>
        <v>508</v>
      </c>
      <c r="M718" s="7">
        <f t="shared" ca="1" si="227"/>
        <v>492</v>
      </c>
      <c r="N718" s="26">
        <f t="shared" ca="1" si="228"/>
        <v>2</v>
      </c>
      <c r="O718" s="44">
        <f t="shared" ca="1" si="229"/>
        <v>1.5942243152407929</v>
      </c>
      <c r="P718" s="44">
        <f t="shared" ca="1" si="230"/>
        <v>15.942243152407926</v>
      </c>
      <c r="Q718" s="44">
        <f t="shared" ca="1" si="231"/>
        <v>15.942243152407926</v>
      </c>
      <c r="R718" s="44">
        <f t="shared" ca="1" si="232"/>
        <v>1.5942243152407927</v>
      </c>
      <c r="S718" s="44">
        <f t="shared" ca="1" si="233"/>
        <v>1.5942243152407927</v>
      </c>
      <c r="T718" s="4">
        <f t="shared" ca="1" si="234"/>
        <v>0</v>
      </c>
      <c r="U718" s="120">
        <f t="shared" ca="1" si="235"/>
        <v>1410.3348669012169</v>
      </c>
      <c r="V718" s="4">
        <f t="shared" ca="1" si="236"/>
        <v>0</v>
      </c>
      <c r="W718" s="13">
        <f t="shared" ca="1" si="237"/>
        <v>4752.7155000000012</v>
      </c>
      <c r="X718" s="4">
        <f t="shared" ca="1" si="238"/>
        <v>0</v>
      </c>
      <c r="Y718" s="4">
        <f t="shared" si="239"/>
        <v>0</v>
      </c>
      <c r="Z718" s="13">
        <f t="shared" ca="1" si="240"/>
        <v>4752.7155000000012</v>
      </c>
      <c r="AA718" s="4">
        <f t="shared" ca="1" si="241"/>
        <v>0</v>
      </c>
    </row>
    <row r="719" spans="1:27">
      <c r="A719">
        <v>1</v>
      </c>
      <c r="B719">
        <v>1</v>
      </c>
      <c r="C719">
        <f t="shared" ca="1" si="220"/>
        <v>7</v>
      </c>
      <c r="D719">
        <f t="shared" ca="1" si="221"/>
        <v>6</v>
      </c>
      <c r="E719">
        <f t="shared" ca="1" si="222"/>
        <v>1</v>
      </c>
      <c r="F719" s="110">
        <f t="shared" ca="1" si="223"/>
        <v>5.6477522500000002E-2</v>
      </c>
      <c r="G719">
        <v>1</v>
      </c>
      <c r="H719">
        <v>0</v>
      </c>
      <c r="I719">
        <v>7</v>
      </c>
      <c r="J719" s="1">
        <f t="shared" ca="1" si="224"/>
        <v>0</v>
      </c>
      <c r="K719" s="1">
        <f t="shared" ca="1" si="225"/>
        <v>0</v>
      </c>
      <c r="L719" s="13">
        <f t="shared" ca="1" si="226"/>
        <v>394</v>
      </c>
      <c r="M719" s="7">
        <f t="shared" ca="1" si="227"/>
        <v>606</v>
      </c>
      <c r="N719" s="26">
        <f t="shared" ca="1" si="228"/>
        <v>3</v>
      </c>
      <c r="O719" s="44">
        <f t="shared" ca="1" si="229"/>
        <v>2.2641455309069398</v>
      </c>
      <c r="P719" s="44">
        <f t="shared" ca="1" si="230"/>
        <v>22.641455309069404</v>
      </c>
      <c r="Q719" s="44">
        <f t="shared" ca="1" si="231"/>
        <v>22.641455309069404</v>
      </c>
      <c r="R719" s="44">
        <f t="shared" ca="1" si="232"/>
        <v>2.2641455309069403</v>
      </c>
      <c r="S719" s="44">
        <f t="shared" ca="1" si="233"/>
        <v>2.2641455309069398</v>
      </c>
      <c r="T719" s="4">
        <f t="shared" ca="1" si="234"/>
        <v>0</v>
      </c>
      <c r="U719" s="120">
        <f t="shared" ca="1" si="235"/>
        <v>1584.7475619899244</v>
      </c>
      <c r="V719" s="4">
        <f t="shared" ca="1" si="236"/>
        <v>0</v>
      </c>
      <c r="W719" s="13">
        <f t="shared" ca="1" si="237"/>
        <v>32946.790500000003</v>
      </c>
      <c r="X719" s="4">
        <f t="shared" ca="1" si="238"/>
        <v>0</v>
      </c>
      <c r="Y719" s="4">
        <f t="shared" si="239"/>
        <v>0</v>
      </c>
      <c r="Z719" s="13">
        <f t="shared" ca="1" si="240"/>
        <v>32946.790500000003</v>
      </c>
      <c r="AA719" s="4">
        <f t="shared" ca="1" si="241"/>
        <v>0</v>
      </c>
    </row>
    <row r="720" spans="1:27">
      <c r="A720">
        <v>1</v>
      </c>
      <c r="B720">
        <v>1</v>
      </c>
      <c r="C720">
        <f t="shared" ca="1" si="220"/>
        <v>7</v>
      </c>
      <c r="D720">
        <f t="shared" ca="1" si="221"/>
        <v>6</v>
      </c>
      <c r="E720">
        <f t="shared" ca="1" si="222"/>
        <v>1</v>
      </c>
      <c r="F720" s="110">
        <f t="shared" ca="1" si="223"/>
        <v>5.6477522500000002E-2</v>
      </c>
      <c r="G720">
        <v>1</v>
      </c>
      <c r="H720">
        <v>0</v>
      </c>
      <c r="I720">
        <v>6</v>
      </c>
      <c r="J720" s="1">
        <f t="shared" ca="1" si="224"/>
        <v>0.69833729609374984</v>
      </c>
      <c r="K720" s="1">
        <f t="shared" ca="1" si="225"/>
        <v>3.944036035272392E-2</v>
      </c>
      <c r="L720" s="13">
        <f t="shared" ca="1" si="226"/>
        <v>374</v>
      </c>
      <c r="M720" s="7">
        <f t="shared" ca="1" si="227"/>
        <v>626</v>
      </c>
      <c r="N720" s="26">
        <f t="shared" ca="1" si="228"/>
        <v>3</v>
      </c>
      <c r="O720" s="44">
        <f t="shared" ca="1" si="229"/>
        <v>2.2641455309069398</v>
      </c>
      <c r="P720" s="44">
        <f t="shared" ca="1" si="230"/>
        <v>22.641455309069404</v>
      </c>
      <c r="Q720" s="44">
        <f t="shared" ca="1" si="231"/>
        <v>22.641455309069404</v>
      </c>
      <c r="R720" s="44">
        <f t="shared" ca="1" si="232"/>
        <v>2.2641455309069403</v>
      </c>
      <c r="S720" s="44">
        <f t="shared" ca="1" si="233"/>
        <v>2.2641455309069398</v>
      </c>
      <c r="T720" s="4">
        <f t="shared" ca="1" si="234"/>
        <v>8.9298715629979125E-2</v>
      </c>
      <c r="U720" s="120">
        <f t="shared" ca="1" si="235"/>
        <v>1564.7475619899244</v>
      </c>
      <c r="V720" s="4">
        <f t="shared" ca="1" si="236"/>
        <v>61.714207705928828</v>
      </c>
      <c r="W720" s="13">
        <f t="shared" ca="1" si="237"/>
        <v>28919.065500000004</v>
      </c>
      <c r="X720" s="4">
        <f t="shared" ca="1" si="238"/>
        <v>1140.5783643840264</v>
      </c>
      <c r="Y720" s="4">
        <f t="shared" si="239"/>
        <v>0</v>
      </c>
      <c r="Z720" s="13">
        <f t="shared" ca="1" si="240"/>
        <v>28919.065500000004</v>
      </c>
      <c r="AA720" s="4">
        <f t="shared" ca="1" si="241"/>
        <v>1140.5783643840264</v>
      </c>
    </row>
    <row r="721" spans="1:27">
      <c r="A721">
        <v>1</v>
      </c>
      <c r="B721">
        <v>1</v>
      </c>
      <c r="C721">
        <f t="shared" ca="1" si="220"/>
        <v>7</v>
      </c>
      <c r="D721">
        <f t="shared" ca="1" si="221"/>
        <v>6</v>
      </c>
      <c r="E721">
        <f t="shared" ca="1" si="222"/>
        <v>1</v>
      </c>
      <c r="F721" s="110">
        <f t="shared" ca="1" si="223"/>
        <v>5.6477522500000002E-2</v>
      </c>
      <c r="G721">
        <v>1</v>
      </c>
      <c r="H721">
        <v>0</v>
      </c>
      <c r="I721">
        <v>5</v>
      </c>
      <c r="J721" s="1">
        <f t="shared" ca="1" si="224"/>
        <v>0.22052756718750019</v>
      </c>
      <c r="K721" s="1">
        <f t="shared" ca="1" si="225"/>
        <v>1.2454850637702304E-2</v>
      </c>
      <c r="L721" s="13">
        <f t="shared" ca="1" si="226"/>
        <v>354</v>
      </c>
      <c r="M721" s="7">
        <f t="shared" ca="1" si="227"/>
        <v>646</v>
      </c>
      <c r="N721" s="26">
        <f t="shared" ca="1" si="228"/>
        <v>3</v>
      </c>
      <c r="O721" s="44">
        <f t="shared" ca="1" si="229"/>
        <v>2.2641455309069398</v>
      </c>
      <c r="P721" s="44">
        <f t="shared" ca="1" si="230"/>
        <v>22.641455309069404</v>
      </c>
      <c r="Q721" s="44">
        <f t="shared" ca="1" si="231"/>
        <v>22.641455309069404</v>
      </c>
      <c r="R721" s="44">
        <f t="shared" ca="1" si="232"/>
        <v>2.2641455309069403</v>
      </c>
      <c r="S721" s="44">
        <f t="shared" ca="1" si="233"/>
        <v>2.2641455309069398</v>
      </c>
      <c r="T721" s="4">
        <f t="shared" ca="1" si="234"/>
        <v>2.8199594409467121E-2</v>
      </c>
      <c r="U721" s="120">
        <f t="shared" ca="1" si="235"/>
        <v>1544.7475619899244</v>
      </c>
      <c r="V721" s="4">
        <f t="shared" ca="1" si="236"/>
        <v>19.239600157539289</v>
      </c>
      <c r="W721" s="13">
        <f t="shared" ca="1" si="237"/>
        <v>24891.340500000002</v>
      </c>
      <c r="X721" s="4">
        <f t="shared" ca="1" si="238"/>
        <v>310.01792809969021</v>
      </c>
      <c r="Y721" s="4">
        <f t="shared" si="239"/>
        <v>0</v>
      </c>
      <c r="Z721" s="13">
        <f t="shared" ca="1" si="240"/>
        <v>24891.340500000002</v>
      </c>
      <c r="AA721" s="4">
        <f t="shared" ca="1" si="241"/>
        <v>310.01792809969021</v>
      </c>
    </row>
    <row r="722" spans="1:27">
      <c r="A722">
        <v>1</v>
      </c>
      <c r="B722">
        <v>1</v>
      </c>
      <c r="C722">
        <f t="shared" ca="1" si="220"/>
        <v>7</v>
      </c>
      <c r="D722">
        <f t="shared" ca="1" si="221"/>
        <v>6</v>
      </c>
      <c r="E722">
        <f t="shared" ca="1" si="222"/>
        <v>1</v>
      </c>
      <c r="F722" s="110">
        <f t="shared" ca="1" si="223"/>
        <v>5.6477522500000002E-2</v>
      </c>
      <c r="G722">
        <v>1</v>
      </c>
      <c r="H722">
        <v>0</v>
      </c>
      <c r="I722">
        <v>4</v>
      </c>
      <c r="J722" s="1">
        <f t="shared" ca="1" si="224"/>
        <v>2.9016785156250047E-2</v>
      </c>
      <c r="K722" s="1">
        <f t="shared" ca="1" si="225"/>
        <v>1.6387961365397781E-3</v>
      </c>
      <c r="L722" s="13">
        <f t="shared" ca="1" si="226"/>
        <v>334</v>
      </c>
      <c r="M722" s="7">
        <f t="shared" ca="1" si="227"/>
        <v>666</v>
      </c>
      <c r="N722" s="26">
        <f t="shared" ca="1" si="228"/>
        <v>3</v>
      </c>
      <c r="O722" s="44">
        <f t="shared" ca="1" si="229"/>
        <v>2.2641455309069398</v>
      </c>
      <c r="P722" s="44">
        <f t="shared" ca="1" si="230"/>
        <v>22.641455309069404</v>
      </c>
      <c r="Q722" s="44">
        <f t="shared" ca="1" si="231"/>
        <v>22.641455309069404</v>
      </c>
      <c r="R722" s="44">
        <f t="shared" ca="1" si="232"/>
        <v>2.2641455309069403</v>
      </c>
      <c r="S722" s="44">
        <f t="shared" ca="1" si="233"/>
        <v>2.2641455309069398</v>
      </c>
      <c r="T722" s="4">
        <f t="shared" ca="1" si="234"/>
        <v>3.7104729486140977E-3</v>
      </c>
      <c r="U722" s="120">
        <f t="shared" ca="1" si="235"/>
        <v>1524.7475619899244</v>
      </c>
      <c r="V722" s="4">
        <f t="shared" ca="1" si="236"/>
        <v>2.4987504137875338</v>
      </c>
      <c r="W722" s="13">
        <f t="shared" ca="1" si="237"/>
        <v>20863.615500000004</v>
      </c>
      <c r="X722" s="4">
        <f t="shared" ca="1" si="238"/>
        <v>34.191212475651433</v>
      </c>
      <c r="Y722" s="4">
        <f t="shared" si="239"/>
        <v>0</v>
      </c>
      <c r="Z722" s="13">
        <f t="shared" ca="1" si="240"/>
        <v>20863.615500000004</v>
      </c>
      <c r="AA722" s="4">
        <f t="shared" ca="1" si="241"/>
        <v>34.191212475651433</v>
      </c>
    </row>
    <row r="723" spans="1:27">
      <c r="A723">
        <v>1</v>
      </c>
      <c r="B723">
        <v>1</v>
      </c>
      <c r="C723">
        <f t="shared" ca="1" si="220"/>
        <v>7</v>
      </c>
      <c r="D723">
        <f t="shared" ca="1" si="221"/>
        <v>6</v>
      </c>
      <c r="E723">
        <f t="shared" ca="1" si="222"/>
        <v>1</v>
      </c>
      <c r="F723" s="110">
        <f t="shared" ca="1" si="223"/>
        <v>5.6477522500000002E-2</v>
      </c>
      <c r="G723">
        <v>1</v>
      </c>
      <c r="H723">
        <v>0</v>
      </c>
      <c r="I723">
        <v>3</v>
      </c>
      <c r="J723" s="1">
        <f t="shared" ca="1" si="224"/>
        <v>2.0362656250000047E-3</v>
      </c>
      <c r="K723" s="1">
        <f t="shared" ca="1" si="225"/>
        <v>1.1500323765191433E-4</v>
      </c>
      <c r="L723" s="13">
        <f t="shared" ca="1" si="226"/>
        <v>314</v>
      </c>
      <c r="M723" s="7">
        <f t="shared" ca="1" si="227"/>
        <v>686</v>
      </c>
      <c r="N723" s="26">
        <f t="shared" ca="1" si="228"/>
        <v>3</v>
      </c>
      <c r="O723" s="44">
        <f t="shared" ca="1" si="229"/>
        <v>2.2641455309069398</v>
      </c>
      <c r="P723" s="44">
        <f t="shared" ca="1" si="230"/>
        <v>22.641455309069404</v>
      </c>
      <c r="Q723" s="44">
        <f t="shared" ca="1" si="231"/>
        <v>22.641455309069404</v>
      </c>
      <c r="R723" s="44">
        <f t="shared" ca="1" si="232"/>
        <v>2.2641455309069403</v>
      </c>
      <c r="S723" s="44">
        <f t="shared" ca="1" si="233"/>
        <v>2.2641455309069398</v>
      </c>
      <c r="T723" s="4">
        <f t="shared" ca="1" si="234"/>
        <v>2.6038406656941053E-4</v>
      </c>
      <c r="U723" s="120">
        <f t="shared" ca="1" si="235"/>
        <v>1504.7475619899244</v>
      </c>
      <c r="V723" s="4">
        <f t="shared" ca="1" si="236"/>
        <v>0.17305084147766597</v>
      </c>
      <c r="W723" s="13">
        <f t="shared" ca="1" si="237"/>
        <v>16835.890500000001</v>
      </c>
      <c r="X723" s="4">
        <f t="shared" ca="1" si="238"/>
        <v>1.9361819162531069</v>
      </c>
      <c r="Y723" s="4">
        <f t="shared" si="239"/>
        <v>0</v>
      </c>
      <c r="Z723" s="13">
        <f t="shared" ca="1" si="240"/>
        <v>16835.890500000001</v>
      </c>
      <c r="AA723" s="4">
        <f t="shared" ca="1" si="241"/>
        <v>1.9361819162531069</v>
      </c>
    </row>
    <row r="724" spans="1:27">
      <c r="A724">
        <v>1</v>
      </c>
      <c r="B724">
        <v>1</v>
      </c>
      <c r="C724">
        <f t="shared" ca="1" si="220"/>
        <v>7</v>
      </c>
      <c r="D724">
        <f t="shared" ca="1" si="221"/>
        <v>6</v>
      </c>
      <c r="E724">
        <f t="shared" ca="1" si="222"/>
        <v>1</v>
      </c>
      <c r="F724" s="110">
        <f t="shared" ca="1" si="223"/>
        <v>5.6477522500000002E-2</v>
      </c>
      <c r="G724">
        <v>1</v>
      </c>
      <c r="H724">
        <v>0</v>
      </c>
      <c r="I724">
        <v>2</v>
      </c>
      <c r="J724" s="1">
        <f t="shared" ca="1" si="224"/>
        <v>8.0378906250000291E-5</v>
      </c>
      <c r="K724" s="1">
        <f t="shared" ca="1" si="225"/>
        <v>4.5396014862597818E-6</v>
      </c>
      <c r="L724" s="13">
        <f t="shared" ca="1" si="226"/>
        <v>294</v>
      </c>
      <c r="M724" s="7">
        <f t="shared" ca="1" si="227"/>
        <v>706</v>
      </c>
      <c r="N724" s="26">
        <f t="shared" ca="1" si="228"/>
        <v>3</v>
      </c>
      <c r="O724" s="44">
        <f t="shared" ca="1" si="229"/>
        <v>2.2641455309069398</v>
      </c>
      <c r="P724" s="44">
        <f t="shared" ca="1" si="230"/>
        <v>22.641455309069404</v>
      </c>
      <c r="Q724" s="44">
        <f t="shared" ca="1" si="231"/>
        <v>22.641455309069404</v>
      </c>
      <c r="R724" s="44">
        <f t="shared" ca="1" si="232"/>
        <v>2.2641455309069403</v>
      </c>
      <c r="S724" s="44">
        <f t="shared" ca="1" si="233"/>
        <v>2.2641455309069398</v>
      </c>
      <c r="T724" s="4">
        <f t="shared" ca="1" si="234"/>
        <v>1.0278318417213587E-5</v>
      </c>
      <c r="U724" s="120">
        <f t="shared" ca="1" si="235"/>
        <v>1484.7475619899244</v>
      </c>
      <c r="V724" s="4">
        <f t="shared" ca="1" si="236"/>
        <v>6.7401622391300483E-3</v>
      </c>
      <c r="W724" s="13">
        <f t="shared" ca="1" si="237"/>
        <v>12808.165500000003</v>
      </c>
      <c r="X724" s="4">
        <f t="shared" ca="1" si="238"/>
        <v>5.8143967140061273E-2</v>
      </c>
      <c r="Y724" s="4">
        <f t="shared" si="239"/>
        <v>0</v>
      </c>
      <c r="Z724" s="13">
        <f t="shared" ca="1" si="240"/>
        <v>12808.165500000003</v>
      </c>
      <c r="AA724" s="4">
        <f t="shared" ca="1" si="241"/>
        <v>5.8143967140061273E-2</v>
      </c>
    </row>
    <row r="725" spans="1:27">
      <c r="A725">
        <v>1</v>
      </c>
      <c r="B725">
        <v>1</v>
      </c>
      <c r="C725">
        <f t="shared" ca="1" si="220"/>
        <v>7</v>
      </c>
      <c r="D725">
        <f t="shared" ca="1" si="221"/>
        <v>6</v>
      </c>
      <c r="E725">
        <f t="shared" ca="1" si="222"/>
        <v>1</v>
      </c>
      <c r="F725" s="110">
        <f t="shared" ca="1" si="223"/>
        <v>5.6477522500000002E-2</v>
      </c>
      <c r="G725">
        <v>1</v>
      </c>
      <c r="H725">
        <v>0</v>
      </c>
      <c r="I725">
        <v>1</v>
      </c>
      <c r="J725" s="1">
        <f t="shared" ca="1" si="224"/>
        <v>1.6921875000000077E-6</v>
      </c>
      <c r="K725" s="1">
        <f t="shared" ca="1" si="225"/>
        <v>9.5570557605469193E-8</v>
      </c>
      <c r="L725" s="13">
        <f t="shared" ca="1" si="226"/>
        <v>274</v>
      </c>
      <c r="M725" s="7">
        <f t="shared" ca="1" si="227"/>
        <v>726</v>
      </c>
      <c r="N725" s="26">
        <f t="shared" ca="1" si="228"/>
        <v>3</v>
      </c>
      <c r="O725" s="44">
        <f t="shared" ca="1" si="229"/>
        <v>2.2641455309069398</v>
      </c>
      <c r="P725" s="44">
        <f t="shared" ca="1" si="230"/>
        <v>22.641455309069404</v>
      </c>
      <c r="Q725" s="44">
        <f t="shared" ca="1" si="231"/>
        <v>22.641455309069404</v>
      </c>
      <c r="R725" s="44">
        <f t="shared" ca="1" si="232"/>
        <v>2.2641455309069403</v>
      </c>
      <c r="S725" s="44">
        <f t="shared" ca="1" si="233"/>
        <v>2.2641455309069398</v>
      </c>
      <c r="T725" s="4">
        <f t="shared" ca="1" si="234"/>
        <v>2.1638565088870733E-7</v>
      </c>
      <c r="U725" s="120">
        <f t="shared" ca="1" si="235"/>
        <v>1464.7475619899244</v>
      </c>
      <c r="V725" s="4">
        <f t="shared" ca="1" si="236"/>
        <v>1.3998674125062862E-4</v>
      </c>
      <c r="W725" s="13">
        <f t="shared" ca="1" si="237"/>
        <v>8780.4405000000006</v>
      </c>
      <c r="X725" s="4">
        <f t="shared" ca="1" si="238"/>
        <v>8.3915159460664474E-4</v>
      </c>
      <c r="Y725" s="4">
        <f t="shared" si="239"/>
        <v>0</v>
      </c>
      <c r="Z725" s="13">
        <f t="shared" ca="1" si="240"/>
        <v>8780.4405000000006</v>
      </c>
      <c r="AA725" s="4">
        <f t="shared" ca="1" si="241"/>
        <v>8.3915159460664474E-4</v>
      </c>
    </row>
    <row r="726" spans="1:27">
      <c r="A726">
        <v>1</v>
      </c>
      <c r="B726">
        <v>1</v>
      </c>
      <c r="C726">
        <f t="shared" ca="1" si="220"/>
        <v>7</v>
      </c>
      <c r="D726">
        <f t="shared" ca="1" si="221"/>
        <v>6</v>
      </c>
      <c r="E726">
        <f t="shared" ca="1" si="222"/>
        <v>1</v>
      </c>
      <c r="F726" s="110">
        <f t="shared" ca="1" si="223"/>
        <v>5.6477522500000002E-2</v>
      </c>
      <c r="G726">
        <v>1</v>
      </c>
      <c r="H726">
        <v>0</v>
      </c>
      <c r="I726">
        <v>0</v>
      </c>
      <c r="J726" s="1">
        <f t="shared" ca="1" si="224"/>
        <v>1.4843750000000078E-8</v>
      </c>
      <c r="K726" s="1">
        <f t="shared" ca="1" si="225"/>
        <v>8.3833822460937944E-10</v>
      </c>
      <c r="L726" s="13">
        <f t="shared" ca="1" si="226"/>
        <v>254</v>
      </c>
      <c r="M726" s="7">
        <f t="shared" ca="1" si="227"/>
        <v>746</v>
      </c>
      <c r="N726" s="26">
        <f t="shared" ca="1" si="228"/>
        <v>3</v>
      </c>
      <c r="O726" s="44">
        <f t="shared" ca="1" si="229"/>
        <v>2.2641455309069398</v>
      </c>
      <c r="P726" s="44">
        <f t="shared" ca="1" si="230"/>
        <v>22.641455309069404</v>
      </c>
      <c r="Q726" s="44">
        <f t="shared" ca="1" si="231"/>
        <v>22.641455309069404</v>
      </c>
      <c r="R726" s="44">
        <f t="shared" ca="1" si="232"/>
        <v>2.2641455309069403</v>
      </c>
      <c r="S726" s="44">
        <f t="shared" ca="1" si="233"/>
        <v>2.2641455309069398</v>
      </c>
      <c r="T726" s="4">
        <f t="shared" ca="1" si="234"/>
        <v>1.8981197446377847E-9</v>
      </c>
      <c r="U726" s="120">
        <f t="shared" ca="1" si="235"/>
        <v>1444.7475619899244</v>
      </c>
      <c r="V726" s="4">
        <f t="shared" ca="1" si="236"/>
        <v>1.2111871061273626E-6</v>
      </c>
      <c r="W726" s="13">
        <f t="shared" ca="1" si="237"/>
        <v>4752.7155000000012</v>
      </c>
      <c r="X726" s="4">
        <f t="shared" ca="1" si="238"/>
        <v>3.98438307434348E-6</v>
      </c>
      <c r="Y726" s="4">
        <f t="shared" si="239"/>
        <v>0</v>
      </c>
      <c r="Z726" s="13">
        <f t="shared" ca="1" si="240"/>
        <v>4752.7155000000012</v>
      </c>
      <c r="AA726" s="4">
        <f t="shared" ca="1" si="241"/>
        <v>3.98438307434348E-6</v>
      </c>
    </row>
    <row r="727" spans="1:27">
      <c r="A727">
        <v>1</v>
      </c>
      <c r="B727">
        <v>1</v>
      </c>
      <c r="C727">
        <f t="shared" ca="1" si="220"/>
        <v>7</v>
      </c>
      <c r="D727">
        <f t="shared" ca="1" si="221"/>
        <v>6</v>
      </c>
      <c r="E727">
        <f t="shared" ca="1" si="222"/>
        <v>1</v>
      </c>
      <c r="F727" s="110">
        <f t="shared" ca="1" si="223"/>
        <v>5.6477522500000002E-2</v>
      </c>
      <c r="G727">
        <v>0</v>
      </c>
      <c r="H727">
        <v>1</v>
      </c>
      <c r="I727">
        <v>7</v>
      </c>
      <c r="J727" s="1">
        <f t="shared" ca="1" si="224"/>
        <v>0</v>
      </c>
      <c r="K727" s="1">
        <f t="shared" ca="1" si="225"/>
        <v>0</v>
      </c>
      <c r="L727" s="13">
        <f t="shared" ca="1" si="226"/>
        <v>394</v>
      </c>
      <c r="M727" s="7">
        <f t="shared" ca="1" si="227"/>
        <v>606</v>
      </c>
      <c r="N727" s="26">
        <f t="shared" ca="1" si="228"/>
        <v>3</v>
      </c>
      <c r="O727" s="44">
        <f t="shared" ca="1" si="229"/>
        <v>2.2641455309069398</v>
      </c>
      <c r="P727" s="44">
        <f t="shared" ca="1" si="230"/>
        <v>22.641455309069404</v>
      </c>
      <c r="Q727" s="44">
        <f t="shared" ca="1" si="231"/>
        <v>22.641455309069404</v>
      </c>
      <c r="R727" s="44">
        <f t="shared" ca="1" si="232"/>
        <v>2.2641455309069403</v>
      </c>
      <c r="S727" s="44">
        <f t="shared" ca="1" si="233"/>
        <v>2.2641455309069398</v>
      </c>
      <c r="T727" s="4">
        <f t="shared" ca="1" si="234"/>
        <v>0</v>
      </c>
      <c r="U727" s="120">
        <f t="shared" ca="1" si="235"/>
        <v>1584.7475619899244</v>
      </c>
      <c r="V727" s="4">
        <f t="shared" ca="1" si="236"/>
        <v>0</v>
      </c>
      <c r="W727" s="13">
        <f t="shared" ca="1" si="237"/>
        <v>28194.075000000001</v>
      </c>
      <c r="X727" s="4">
        <f t="shared" ca="1" si="238"/>
        <v>0</v>
      </c>
      <c r="Y727" s="4">
        <f t="shared" si="239"/>
        <v>0</v>
      </c>
      <c r="Z727" s="13">
        <f t="shared" ca="1" si="240"/>
        <v>28194.075000000001</v>
      </c>
      <c r="AA727" s="4">
        <f t="shared" ca="1" si="241"/>
        <v>0</v>
      </c>
    </row>
    <row r="728" spans="1:27">
      <c r="A728">
        <v>1</v>
      </c>
      <c r="B728">
        <v>1</v>
      </c>
      <c r="C728">
        <f t="shared" ca="1" si="220"/>
        <v>7</v>
      </c>
      <c r="D728">
        <f t="shared" ca="1" si="221"/>
        <v>6</v>
      </c>
      <c r="E728">
        <f t="shared" ca="1" si="222"/>
        <v>1</v>
      </c>
      <c r="F728" s="110">
        <f t="shared" ca="1" si="223"/>
        <v>5.6477522500000002E-2</v>
      </c>
      <c r="G728">
        <v>0</v>
      </c>
      <c r="H728">
        <v>1</v>
      </c>
      <c r="I728">
        <v>6</v>
      </c>
      <c r="J728" s="1">
        <f t="shared" ca="1" si="224"/>
        <v>0</v>
      </c>
      <c r="K728" s="1">
        <f t="shared" ca="1" si="225"/>
        <v>0</v>
      </c>
      <c r="L728" s="13">
        <f t="shared" ca="1" si="226"/>
        <v>374</v>
      </c>
      <c r="M728" s="7">
        <f t="shared" ca="1" si="227"/>
        <v>626</v>
      </c>
      <c r="N728" s="26">
        <f t="shared" ca="1" si="228"/>
        <v>3</v>
      </c>
      <c r="O728" s="44">
        <f t="shared" ca="1" si="229"/>
        <v>2.2641455309069398</v>
      </c>
      <c r="P728" s="44">
        <f t="shared" ca="1" si="230"/>
        <v>22.641455309069404</v>
      </c>
      <c r="Q728" s="44">
        <f t="shared" ca="1" si="231"/>
        <v>22.641455309069404</v>
      </c>
      <c r="R728" s="44">
        <f t="shared" ca="1" si="232"/>
        <v>2.2641455309069403</v>
      </c>
      <c r="S728" s="44">
        <f t="shared" ca="1" si="233"/>
        <v>2.2641455309069398</v>
      </c>
      <c r="T728" s="4">
        <f t="shared" ca="1" si="234"/>
        <v>0</v>
      </c>
      <c r="U728" s="120">
        <f t="shared" ca="1" si="235"/>
        <v>1564.7475619899244</v>
      </c>
      <c r="V728" s="4">
        <f t="shared" ca="1" si="236"/>
        <v>0</v>
      </c>
      <c r="W728" s="13">
        <f t="shared" ca="1" si="237"/>
        <v>24166.350000000002</v>
      </c>
      <c r="X728" s="4">
        <f t="shared" ca="1" si="238"/>
        <v>0</v>
      </c>
      <c r="Y728" s="4">
        <f t="shared" si="239"/>
        <v>0</v>
      </c>
      <c r="Z728" s="13">
        <f t="shared" ca="1" si="240"/>
        <v>24166.350000000002</v>
      </c>
      <c r="AA728" s="4">
        <f t="shared" ca="1" si="241"/>
        <v>0</v>
      </c>
    </row>
    <row r="729" spans="1:27">
      <c r="A729">
        <v>1</v>
      </c>
      <c r="B729">
        <v>1</v>
      </c>
      <c r="C729">
        <f t="shared" ca="1" si="220"/>
        <v>7</v>
      </c>
      <c r="D729">
        <f t="shared" ca="1" si="221"/>
        <v>6</v>
      </c>
      <c r="E729">
        <f t="shared" ca="1" si="222"/>
        <v>1</v>
      </c>
      <c r="F729" s="110">
        <f t="shared" ca="1" si="223"/>
        <v>5.6477522500000002E-2</v>
      </c>
      <c r="G729">
        <v>0</v>
      </c>
      <c r="H729">
        <v>1</v>
      </c>
      <c r="I729">
        <v>5</v>
      </c>
      <c r="J729" s="1">
        <f t="shared" ca="1" si="224"/>
        <v>0</v>
      </c>
      <c r="K729" s="1">
        <f t="shared" ca="1" si="225"/>
        <v>0</v>
      </c>
      <c r="L729" s="13">
        <f t="shared" ca="1" si="226"/>
        <v>354</v>
      </c>
      <c r="M729" s="7">
        <f t="shared" ca="1" si="227"/>
        <v>646</v>
      </c>
      <c r="N729" s="26">
        <f t="shared" ca="1" si="228"/>
        <v>3</v>
      </c>
      <c r="O729" s="44">
        <f t="shared" ca="1" si="229"/>
        <v>2.2641455309069398</v>
      </c>
      <c r="P729" s="44">
        <f t="shared" ca="1" si="230"/>
        <v>22.641455309069404</v>
      </c>
      <c r="Q729" s="44">
        <f t="shared" ca="1" si="231"/>
        <v>22.641455309069404</v>
      </c>
      <c r="R729" s="44">
        <f t="shared" ca="1" si="232"/>
        <v>2.2641455309069403</v>
      </c>
      <c r="S729" s="44">
        <f t="shared" ca="1" si="233"/>
        <v>2.2641455309069398</v>
      </c>
      <c r="T729" s="4">
        <f t="shared" ca="1" si="234"/>
        <v>0</v>
      </c>
      <c r="U729" s="120">
        <f t="shared" ca="1" si="235"/>
        <v>1544.7475619899244</v>
      </c>
      <c r="V729" s="4">
        <f t="shared" ca="1" si="236"/>
        <v>0</v>
      </c>
      <c r="W729" s="13">
        <f t="shared" ca="1" si="237"/>
        <v>20138.625</v>
      </c>
      <c r="X729" s="4">
        <f t="shared" ca="1" si="238"/>
        <v>0</v>
      </c>
      <c r="Y729" s="4">
        <f t="shared" si="239"/>
        <v>0</v>
      </c>
      <c r="Z729" s="13">
        <f t="shared" ca="1" si="240"/>
        <v>20138.625</v>
      </c>
      <c r="AA729" s="4">
        <f t="shared" ca="1" si="241"/>
        <v>0</v>
      </c>
    </row>
    <row r="730" spans="1:27">
      <c r="A730">
        <v>1</v>
      </c>
      <c r="B730">
        <v>1</v>
      </c>
      <c r="C730">
        <f t="shared" ca="1" si="220"/>
        <v>7</v>
      </c>
      <c r="D730">
        <f t="shared" ca="1" si="221"/>
        <v>6</v>
      </c>
      <c r="E730">
        <f t="shared" ca="1" si="222"/>
        <v>1</v>
      </c>
      <c r="F730" s="110">
        <f t="shared" ca="1" si="223"/>
        <v>5.6477522500000002E-2</v>
      </c>
      <c r="G730">
        <v>0</v>
      </c>
      <c r="H730">
        <v>1</v>
      </c>
      <c r="I730">
        <v>4</v>
      </c>
      <c r="J730" s="1">
        <f t="shared" ca="1" si="224"/>
        <v>0</v>
      </c>
      <c r="K730" s="1">
        <f t="shared" ca="1" si="225"/>
        <v>0</v>
      </c>
      <c r="L730" s="13">
        <f t="shared" ca="1" si="226"/>
        <v>334</v>
      </c>
      <c r="M730" s="7">
        <f t="shared" ca="1" si="227"/>
        <v>666</v>
      </c>
      <c r="N730" s="26">
        <f t="shared" ca="1" si="228"/>
        <v>3</v>
      </c>
      <c r="O730" s="44">
        <f t="shared" ca="1" si="229"/>
        <v>2.2641455309069398</v>
      </c>
      <c r="P730" s="44">
        <f t="shared" ca="1" si="230"/>
        <v>22.641455309069404</v>
      </c>
      <c r="Q730" s="44">
        <f t="shared" ca="1" si="231"/>
        <v>22.641455309069404</v>
      </c>
      <c r="R730" s="44">
        <f t="shared" ca="1" si="232"/>
        <v>2.2641455309069403</v>
      </c>
      <c r="S730" s="44">
        <f t="shared" ca="1" si="233"/>
        <v>2.2641455309069398</v>
      </c>
      <c r="T730" s="4">
        <f t="shared" ca="1" si="234"/>
        <v>0</v>
      </c>
      <c r="U730" s="120">
        <f t="shared" ca="1" si="235"/>
        <v>1524.7475619899244</v>
      </c>
      <c r="V730" s="4">
        <f t="shared" ca="1" si="236"/>
        <v>0</v>
      </c>
      <c r="W730" s="13">
        <f t="shared" ca="1" si="237"/>
        <v>16110.900000000001</v>
      </c>
      <c r="X730" s="4">
        <f t="shared" ca="1" si="238"/>
        <v>0</v>
      </c>
      <c r="Y730" s="4">
        <f t="shared" si="239"/>
        <v>0</v>
      </c>
      <c r="Z730" s="13">
        <f t="shared" ca="1" si="240"/>
        <v>16110.900000000001</v>
      </c>
      <c r="AA730" s="4">
        <f t="shared" ca="1" si="241"/>
        <v>0</v>
      </c>
    </row>
    <row r="731" spans="1:27">
      <c r="A731">
        <v>1</v>
      </c>
      <c r="B731">
        <v>1</v>
      </c>
      <c r="C731">
        <f t="shared" ca="1" si="220"/>
        <v>7</v>
      </c>
      <c r="D731">
        <f t="shared" ca="1" si="221"/>
        <v>6</v>
      </c>
      <c r="E731">
        <f t="shared" ca="1" si="222"/>
        <v>1</v>
      </c>
      <c r="F731" s="110">
        <f t="shared" ca="1" si="223"/>
        <v>5.6477522500000002E-2</v>
      </c>
      <c r="G731">
        <v>0</v>
      </c>
      <c r="H731">
        <v>1</v>
      </c>
      <c r="I731">
        <v>3</v>
      </c>
      <c r="J731" s="1">
        <f t="shared" ca="1" si="224"/>
        <v>0</v>
      </c>
      <c r="K731" s="1">
        <f t="shared" ca="1" si="225"/>
        <v>0</v>
      </c>
      <c r="L731" s="13">
        <f t="shared" ca="1" si="226"/>
        <v>314</v>
      </c>
      <c r="M731" s="7">
        <f t="shared" ca="1" si="227"/>
        <v>686</v>
      </c>
      <c r="N731" s="26">
        <f t="shared" ca="1" si="228"/>
        <v>3</v>
      </c>
      <c r="O731" s="44">
        <f t="shared" ca="1" si="229"/>
        <v>2.2641455309069398</v>
      </c>
      <c r="P731" s="44">
        <f t="shared" ca="1" si="230"/>
        <v>22.641455309069404</v>
      </c>
      <c r="Q731" s="44">
        <f t="shared" ca="1" si="231"/>
        <v>22.641455309069404</v>
      </c>
      <c r="R731" s="44">
        <f t="shared" ca="1" si="232"/>
        <v>2.2641455309069403</v>
      </c>
      <c r="S731" s="44">
        <f t="shared" ca="1" si="233"/>
        <v>2.2641455309069398</v>
      </c>
      <c r="T731" s="4">
        <f t="shared" ca="1" si="234"/>
        <v>0</v>
      </c>
      <c r="U731" s="120">
        <f t="shared" ca="1" si="235"/>
        <v>1504.7475619899244</v>
      </c>
      <c r="V731" s="4">
        <f t="shared" ca="1" si="236"/>
        <v>0</v>
      </c>
      <c r="W731" s="13">
        <f t="shared" ca="1" si="237"/>
        <v>12083.175000000001</v>
      </c>
      <c r="X731" s="4">
        <f t="shared" ca="1" si="238"/>
        <v>0</v>
      </c>
      <c r="Y731" s="4">
        <f t="shared" si="239"/>
        <v>0</v>
      </c>
      <c r="Z731" s="13">
        <f t="shared" ca="1" si="240"/>
        <v>12083.175000000001</v>
      </c>
      <c r="AA731" s="4">
        <f t="shared" ca="1" si="241"/>
        <v>0</v>
      </c>
    </row>
    <row r="732" spans="1:27">
      <c r="A732">
        <v>1</v>
      </c>
      <c r="B732">
        <v>1</v>
      </c>
      <c r="C732">
        <f t="shared" ca="1" si="220"/>
        <v>7</v>
      </c>
      <c r="D732">
        <f t="shared" ca="1" si="221"/>
        <v>6</v>
      </c>
      <c r="E732">
        <f t="shared" ca="1" si="222"/>
        <v>1</v>
      </c>
      <c r="F732" s="110">
        <f t="shared" ca="1" si="223"/>
        <v>5.6477522500000002E-2</v>
      </c>
      <c r="G732">
        <v>0</v>
      </c>
      <c r="H732">
        <v>1</v>
      </c>
      <c r="I732">
        <v>2</v>
      </c>
      <c r="J732" s="1">
        <f t="shared" ca="1" si="224"/>
        <v>0</v>
      </c>
      <c r="K732" s="1">
        <f t="shared" ca="1" si="225"/>
        <v>0</v>
      </c>
      <c r="L732" s="13">
        <f t="shared" ca="1" si="226"/>
        <v>294</v>
      </c>
      <c r="M732" s="7">
        <f t="shared" ca="1" si="227"/>
        <v>706</v>
      </c>
      <c r="N732" s="26">
        <f t="shared" ca="1" si="228"/>
        <v>3</v>
      </c>
      <c r="O732" s="44">
        <f t="shared" ca="1" si="229"/>
        <v>2.2641455309069398</v>
      </c>
      <c r="P732" s="44">
        <f t="shared" ca="1" si="230"/>
        <v>22.641455309069404</v>
      </c>
      <c r="Q732" s="44">
        <f t="shared" ca="1" si="231"/>
        <v>22.641455309069404</v>
      </c>
      <c r="R732" s="44">
        <f t="shared" ca="1" si="232"/>
        <v>2.2641455309069403</v>
      </c>
      <c r="S732" s="44">
        <f t="shared" ca="1" si="233"/>
        <v>2.2641455309069398</v>
      </c>
      <c r="T732" s="4">
        <f t="shared" ca="1" si="234"/>
        <v>0</v>
      </c>
      <c r="U732" s="120">
        <f t="shared" ca="1" si="235"/>
        <v>1484.7475619899244</v>
      </c>
      <c r="V732" s="4">
        <f t="shared" ca="1" si="236"/>
        <v>0</v>
      </c>
      <c r="W732" s="13">
        <f t="shared" ca="1" si="237"/>
        <v>8055.4500000000007</v>
      </c>
      <c r="X732" s="4">
        <f t="shared" ca="1" si="238"/>
        <v>0</v>
      </c>
      <c r="Y732" s="4">
        <f t="shared" si="239"/>
        <v>0</v>
      </c>
      <c r="Z732" s="13">
        <f t="shared" ca="1" si="240"/>
        <v>8055.4500000000007</v>
      </c>
      <c r="AA732" s="4">
        <f t="shared" ca="1" si="241"/>
        <v>0</v>
      </c>
    </row>
    <row r="733" spans="1:27">
      <c r="A733">
        <v>1</v>
      </c>
      <c r="B733">
        <v>1</v>
      </c>
      <c r="C733">
        <f t="shared" ca="1" si="220"/>
        <v>7</v>
      </c>
      <c r="D733">
        <f t="shared" ca="1" si="221"/>
        <v>6</v>
      </c>
      <c r="E733">
        <f t="shared" ca="1" si="222"/>
        <v>1</v>
      </c>
      <c r="F733" s="110">
        <f t="shared" ca="1" si="223"/>
        <v>5.6477522500000002E-2</v>
      </c>
      <c r="G733">
        <v>0</v>
      </c>
      <c r="H733">
        <v>1</v>
      </c>
      <c r="I733">
        <v>1</v>
      </c>
      <c r="J733" s="1">
        <f t="shared" ca="1" si="224"/>
        <v>0</v>
      </c>
      <c r="K733" s="1">
        <f t="shared" ca="1" si="225"/>
        <v>0</v>
      </c>
      <c r="L733" s="13">
        <f t="shared" ca="1" si="226"/>
        <v>274</v>
      </c>
      <c r="M733" s="7">
        <f t="shared" ca="1" si="227"/>
        <v>726</v>
      </c>
      <c r="N733" s="26">
        <f t="shared" ca="1" si="228"/>
        <v>3</v>
      </c>
      <c r="O733" s="44">
        <f t="shared" ca="1" si="229"/>
        <v>2.2641455309069398</v>
      </c>
      <c r="P733" s="44">
        <f t="shared" ca="1" si="230"/>
        <v>22.641455309069404</v>
      </c>
      <c r="Q733" s="44">
        <f t="shared" ca="1" si="231"/>
        <v>22.641455309069404</v>
      </c>
      <c r="R733" s="44">
        <f t="shared" ca="1" si="232"/>
        <v>2.2641455309069403</v>
      </c>
      <c r="S733" s="44">
        <f t="shared" ca="1" si="233"/>
        <v>2.2641455309069398</v>
      </c>
      <c r="T733" s="4">
        <f t="shared" ca="1" si="234"/>
        <v>0</v>
      </c>
      <c r="U733" s="120">
        <f t="shared" ca="1" si="235"/>
        <v>1464.7475619899244</v>
      </c>
      <c r="V733" s="4">
        <f t="shared" ca="1" si="236"/>
        <v>0</v>
      </c>
      <c r="W733" s="13">
        <f t="shared" ca="1" si="237"/>
        <v>4027.7250000000004</v>
      </c>
      <c r="X733" s="4">
        <f t="shared" ca="1" si="238"/>
        <v>0</v>
      </c>
      <c r="Y733" s="4">
        <f t="shared" si="239"/>
        <v>0</v>
      </c>
      <c r="Z733" s="13">
        <f t="shared" ca="1" si="240"/>
        <v>4027.7250000000004</v>
      </c>
      <c r="AA733" s="4">
        <f t="shared" ca="1" si="241"/>
        <v>0</v>
      </c>
    </row>
    <row r="734" spans="1:27">
      <c r="A734">
        <v>1</v>
      </c>
      <c r="B734">
        <v>1</v>
      </c>
      <c r="C734">
        <f t="shared" ca="1" si="220"/>
        <v>7</v>
      </c>
      <c r="D734">
        <f t="shared" ca="1" si="221"/>
        <v>6</v>
      </c>
      <c r="E734">
        <f t="shared" ca="1" si="222"/>
        <v>1</v>
      </c>
      <c r="F734" s="110">
        <f t="shared" ca="1" si="223"/>
        <v>5.6477522500000002E-2</v>
      </c>
      <c r="G734">
        <v>0</v>
      </c>
      <c r="H734">
        <v>1</v>
      </c>
      <c r="I734">
        <v>0</v>
      </c>
      <c r="J734" s="1">
        <f t="shared" ca="1" si="224"/>
        <v>0</v>
      </c>
      <c r="K734" s="1">
        <f t="shared" ca="1" si="225"/>
        <v>0</v>
      </c>
      <c r="L734" s="13">
        <f t="shared" ca="1" si="226"/>
        <v>254</v>
      </c>
      <c r="M734" s="7">
        <f t="shared" ca="1" si="227"/>
        <v>746</v>
      </c>
      <c r="N734" s="26">
        <f t="shared" ca="1" si="228"/>
        <v>3</v>
      </c>
      <c r="O734" s="44">
        <f t="shared" ca="1" si="229"/>
        <v>2.2641455309069398</v>
      </c>
      <c r="P734" s="44">
        <f t="shared" ca="1" si="230"/>
        <v>22.641455309069404</v>
      </c>
      <c r="Q734" s="44">
        <f t="shared" ca="1" si="231"/>
        <v>22.641455309069404</v>
      </c>
      <c r="R734" s="44">
        <f t="shared" ca="1" si="232"/>
        <v>2.2641455309069403</v>
      </c>
      <c r="S734" s="44">
        <f t="shared" ca="1" si="233"/>
        <v>2.2641455309069398</v>
      </c>
      <c r="T734" s="4">
        <f t="shared" ca="1" si="234"/>
        <v>0</v>
      </c>
      <c r="U734" s="120">
        <f t="shared" ca="1" si="235"/>
        <v>1444.7475619899244</v>
      </c>
      <c r="V734" s="4">
        <f t="shared" ca="1" si="236"/>
        <v>0</v>
      </c>
      <c r="W734" s="13">
        <f t="shared" ca="1" si="237"/>
        <v>0</v>
      </c>
      <c r="X734" s="4">
        <f t="shared" ca="1" si="238"/>
        <v>0</v>
      </c>
      <c r="Y734" s="4">
        <f t="shared" si="239"/>
        <v>0</v>
      </c>
      <c r="Z734" s="13">
        <f t="shared" ca="1" si="240"/>
        <v>0</v>
      </c>
      <c r="AA734" s="4">
        <f t="shared" ca="1" si="241"/>
        <v>0</v>
      </c>
    </row>
    <row r="735" spans="1:27">
      <c r="A735">
        <v>1</v>
      </c>
      <c r="B735">
        <v>1</v>
      </c>
      <c r="C735">
        <f t="shared" ca="1" si="220"/>
        <v>7</v>
      </c>
      <c r="D735">
        <f t="shared" ca="1" si="221"/>
        <v>6</v>
      </c>
      <c r="E735">
        <f t="shared" ca="1" si="222"/>
        <v>1</v>
      </c>
      <c r="F735" s="110">
        <f t="shared" ca="1" si="223"/>
        <v>5.6477522500000002E-2</v>
      </c>
      <c r="G735">
        <v>0</v>
      </c>
      <c r="H735">
        <v>0</v>
      </c>
      <c r="I735">
        <v>7</v>
      </c>
      <c r="J735" s="1">
        <f t="shared" ca="1" si="224"/>
        <v>0</v>
      </c>
      <c r="K735" s="1">
        <f t="shared" ca="1" si="225"/>
        <v>0</v>
      </c>
      <c r="L735" s="13">
        <f t="shared" ca="1" si="226"/>
        <v>140</v>
      </c>
      <c r="M735" s="7">
        <f t="shared" ca="1" si="227"/>
        <v>860</v>
      </c>
      <c r="N735" s="26">
        <f t="shared" ca="1" si="228"/>
        <v>4</v>
      </c>
      <c r="O735" s="44">
        <f t="shared" ca="1" si="229"/>
        <v>2.8910364854084887</v>
      </c>
      <c r="P735" s="44">
        <f t="shared" ca="1" si="230"/>
        <v>28.910364854084886</v>
      </c>
      <c r="Q735" s="44">
        <f t="shared" ca="1" si="231"/>
        <v>28.910364854084886</v>
      </c>
      <c r="R735" s="44">
        <f t="shared" ca="1" si="232"/>
        <v>2.8910364854084887</v>
      </c>
      <c r="S735" s="44">
        <f t="shared" ca="1" si="233"/>
        <v>2.8910364854084882</v>
      </c>
      <c r="T735" s="4">
        <f t="shared" ca="1" si="234"/>
        <v>0</v>
      </c>
      <c r="U735" s="120">
        <f t="shared" ca="1" si="235"/>
        <v>1600.6349838037554</v>
      </c>
      <c r="V735" s="4">
        <f t="shared" ca="1" si="236"/>
        <v>0</v>
      </c>
      <c r="W735" s="13">
        <f t="shared" ca="1" si="237"/>
        <v>28194.075000000001</v>
      </c>
      <c r="X735" s="4">
        <f t="shared" ca="1" si="238"/>
        <v>0</v>
      </c>
      <c r="Y735" s="4">
        <f t="shared" si="239"/>
        <v>0</v>
      </c>
      <c r="Z735" s="13">
        <f t="shared" ca="1" si="240"/>
        <v>28194.075000000001</v>
      </c>
      <c r="AA735" s="4">
        <f t="shared" ca="1" si="241"/>
        <v>0</v>
      </c>
    </row>
    <row r="736" spans="1:27">
      <c r="A736">
        <v>1</v>
      </c>
      <c r="B736">
        <v>1</v>
      </c>
      <c r="C736">
        <f t="shared" ca="1" si="220"/>
        <v>7</v>
      </c>
      <c r="D736">
        <f t="shared" ca="1" si="221"/>
        <v>6</v>
      </c>
      <c r="E736">
        <f t="shared" ca="1" si="222"/>
        <v>1</v>
      </c>
      <c r="F736" s="110">
        <f t="shared" ca="1" si="223"/>
        <v>5.6477522500000002E-2</v>
      </c>
      <c r="G736">
        <v>0</v>
      </c>
      <c r="H736">
        <v>0</v>
      </c>
      <c r="I736">
        <v>6</v>
      </c>
      <c r="J736" s="1">
        <f t="shared" ca="1" si="224"/>
        <v>3.6754594531249997E-2</v>
      </c>
      <c r="K736" s="1">
        <f t="shared" ca="1" si="225"/>
        <v>2.0758084396170487E-3</v>
      </c>
      <c r="L736" s="13">
        <f t="shared" ca="1" si="226"/>
        <v>120</v>
      </c>
      <c r="M736" s="7">
        <f t="shared" ca="1" si="227"/>
        <v>880</v>
      </c>
      <c r="N736" s="26">
        <f t="shared" ca="1" si="228"/>
        <v>4</v>
      </c>
      <c r="O736" s="44">
        <f t="shared" ca="1" si="229"/>
        <v>2.8910364854084887</v>
      </c>
      <c r="P736" s="44">
        <f t="shared" ca="1" si="230"/>
        <v>28.910364854084886</v>
      </c>
      <c r="Q736" s="44">
        <f t="shared" ca="1" si="231"/>
        <v>28.910364854084886</v>
      </c>
      <c r="R736" s="44">
        <f t="shared" ca="1" si="232"/>
        <v>2.8910364854084887</v>
      </c>
      <c r="S736" s="44">
        <f t="shared" ca="1" si="233"/>
        <v>2.8910364854084882</v>
      </c>
      <c r="T736" s="4">
        <f t="shared" ca="1" si="234"/>
        <v>6.0012379356517501E-3</v>
      </c>
      <c r="U736" s="120">
        <f t="shared" ca="1" si="235"/>
        <v>1580.6349838037554</v>
      </c>
      <c r="V736" s="4">
        <f t="shared" ca="1" si="236"/>
        <v>3.2810954393337926</v>
      </c>
      <c r="W736" s="13">
        <f t="shared" ca="1" si="237"/>
        <v>24166.350000000002</v>
      </c>
      <c r="X736" s="4">
        <f t="shared" ca="1" si="238"/>
        <v>50.16471328473947</v>
      </c>
      <c r="Y736" s="4">
        <f t="shared" si="239"/>
        <v>0</v>
      </c>
      <c r="Z736" s="13">
        <f t="shared" ca="1" si="240"/>
        <v>24166.350000000002</v>
      </c>
      <c r="AA736" s="4">
        <f t="shared" ca="1" si="241"/>
        <v>50.16471328473947</v>
      </c>
    </row>
    <row r="737" spans="1:27">
      <c r="A737">
        <v>1</v>
      </c>
      <c r="B737">
        <v>1</v>
      </c>
      <c r="C737">
        <f t="shared" ca="1" si="220"/>
        <v>7</v>
      </c>
      <c r="D737">
        <f t="shared" ca="1" si="221"/>
        <v>6</v>
      </c>
      <c r="E737">
        <f t="shared" ca="1" si="222"/>
        <v>1</v>
      </c>
      <c r="F737" s="110">
        <f t="shared" ca="1" si="223"/>
        <v>5.6477522500000002E-2</v>
      </c>
      <c r="G737">
        <v>0</v>
      </c>
      <c r="H737">
        <v>0</v>
      </c>
      <c r="I737">
        <v>5</v>
      </c>
      <c r="J737" s="1">
        <f t="shared" ca="1" si="224"/>
        <v>1.1606714062500011E-2</v>
      </c>
      <c r="K737" s="1">
        <f t="shared" ca="1" si="225"/>
        <v>6.5551845461591079E-4</v>
      </c>
      <c r="L737" s="13">
        <f t="shared" ca="1" si="226"/>
        <v>100</v>
      </c>
      <c r="M737" s="7">
        <f t="shared" ca="1" si="227"/>
        <v>900</v>
      </c>
      <c r="N737" s="26">
        <f t="shared" ca="1" si="228"/>
        <v>4</v>
      </c>
      <c r="O737" s="44">
        <f t="shared" ca="1" si="229"/>
        <v>2.8910364854084887</v>
      </c>
      <c r="P737" s="44">
        <f t="shared" ca="1" si="230"/>
        <v>28.910364854084886</v>
      </c>
      <c r="Q737" s="44">
        <f t="shared" ca="1" si="231"/>
        <v>28.910364854084886</v>
      </c>
      <c r="R737" s="44">
        <f t="shared" ca="1" si="232"/>
        <v>2.8910364854084887</v>
      </c>
      <c r="S737" s="44">
        <f t="shared" ca="1" si="233"/>
        <v>2.8910364854084882</v>
      </c>
      <c r="T737" s="4">
        <f t="shared" ca="1" si="234"/>
        <v>1.8951277691531864E-3</v>
      </c>
      <c r="U737" s="120">
        <f t="shared" ca="1" si="235"/>
        <v>1560.6349838037554</v>
      </c>
      <c r="V737" s="4">
        <f t="shared" ca="1" si="236"/>
        <v>1.0230250328025647</v>
      </c>
      <c r="W737" s="13">
        <f t="shared" ca="1" si="237"/>
        <v>20138.625</v>
      </c>
      <c r="X737" s="4">
        <f t="shared" ca="1" si="238"/>
        <v>13.201240338089347</v>
      </c>
      <c r="Y737" s="4">
        <f t="shared" si="239"/>
        <v>0</v>
      </c>
      <c r="Z737" s="13">
        <f t="shared" ca="1" si="240"/>
        <v>20138.625</v>
      </c>
      <c r="AA737" s="4">
        <f t="shared" ca="1" si="241"/>
        <v>13.201240338089347</v>
      </c>
    </row>
    <row r="738" spans="1:27">
      <c r="A738">
        <v>1</v>
      </c>
      <c r="B738">
        <v>1</v>
      </c>
      <c r="C738">
        <f t="shared" ca="1" si="220"/>
        <v>7</v>
      </c>
      <c r="D738">
        <f t="shared" ca="1" si="221"/>
        <v>6</v>
      </c>
      <c r="E738">
        <f t="shared" ca="1" si="222"/>
        <v>1</v>
      </c>
      <c r="F738" s="110">
        <f t="shared" ca="1" si="223"/>
        <v>5.6477522500000002E-2</v>
      </c>
      <c r="G738">
        <v>0</v>
      </c>
      <c r="H738">
        <v>0</v>
      </c>
      <c r="I738">
        <v>4</v>
      </c>
      <c r="J738" s="1">
        <f t="shared" ca="1" si="224"/>
        <v>1.5271992187500026E-3</v>
      </c>
      <c r="K738" s="1">
        <f t="shared" ca="1" si="225"/>
        <v>8.62524282389357E-5</v>
      </c>
      <c r="L738" s="13">
        <f t="shared" ca="1" si="226"/>
        <v>80</v>
      </c>
      <c r="M738" s="7">
        <f t="shared" ca="1" si="227"/>
        <v>920</v>
      </c>
      <c r="N738" s="26">
        <f t="shared" ca="1" si="228"/>
        <v>4</v>
      </c>
      <c r="O738" s="44">
        <f t="shared" ca="1" si="229"/>
        <v>2.8910364854084887</v>
      </c>
      <c r="P738" s="44">
        <f t="shared" ca="1" si="230"/>
        <v>28.910364854084886</v>
      </c>
      <c r="Q738" s="44">
        <f t="shared" ca="1" si="231"/>
        <v>28.910364854084886</v>
      </c>
      <c r="R738" s="44">
        <f t="shared" ca="1" si="232"/>
        <v>2.8910364854084887</v>
      </c>
      <c r="S738" s="44">
        <f t="shared" ca="1" si="233"/>
        <v>2.8910364854084882</v>
      </c>
      <c r="T738" s="4">
        <f t="shared" ca="1" si="234"/>
        <v>2.4935891699384049E-4</v>
      </c>
      <c r="U738" s="120">
        <f t="shared" ca="1" si="235"/>
        <v>1540.6349838037554</v>
      </c>
      <c r="V738" s="4">
        <f t="shared" ca="1" si="236"/>
        <v>0.13288350838292728</v>
      </c>
      <c r="W738" s="13">
        <f t="shared" ca="1" si="237"/>
        <v>16110.900000000001</v>
      </c>
      <c r="X738" s="4">
        <f t="shared" ca="1" si="238"/>
        <v>1.3896042461146694</v>
      </c>
      <c r="Y738" s="4">
        <f t="shared" si="239"/>
        <v>0</v>
      </c>
      <c r="Z738" s="13">
        <f t="shared" ca="1" si="240"/>
        <v>16110.900000000001</v>
      </c>
      <c r="AA738" s="4">
        <f t="shared" ca="1" si="241"/>
        <v>1.3896042461146694</v>
      </c>
    </row>
    <row r="739" spans="1:27">
      <c r="A739">
        <v>1</v>
      </c>
      <c r="B739">
        <v>1</v>
      </c>
      <c r="C739">
        <f t="shared" ca="1" si="220"/>
        <v>7</v>
      </c>
      <c r="D739">
        <f t="shared" ca="1" si="221"/>
        <v>6</v>
      </c>
      <c r="E739">
        <f t="shared" ca="1" si="222"/>
        <v>1</v>
      </c>
      <c r="F739" s="110">
        <f t="shared" ca="1" si="223"/>
        <v>5.6477522500000002E-2</v>
      </c>
      <c r="G739">
        <v>0</v>
      </c>
      <c r="H739">
        <v>0</v>
      </c>
      <c r="I739">
        <v>3</v>
      </c>
      <c r="J739" s="1">
        <f t="shared" ca="1" si="224"/>
        <v>1.0717187500000027E-4</v>
      </c>
      <c r="K739" s="1">
        <f t="shared" ca="1" si="225"/>
        <v>6.0528019816797026E-6</v>
      </c>
      <c r="L739" s="13">
        <f t="shared" ca="1" si="226"/>
        <v>60</v>
      </c>
      <c r="M739" s="7">
        <f t="shared" ca="1" si="227"/>
        <v>940</v>
      </c>
      <c r="N739" s="26">
        <f t="shared" ca="1" si="228"/>
        <v>4</v>
      </c>
      <c r="O739" s="44">
        <f t="shared" ca="1" si="229"/>
        <v>2.8910364854084887</v>
      </c>
      <c r="P739" s="44">
        <f t="shared" ca="1" si="230"/>
        <v>28.910364854084886</v>
      </c>
      <c r="Q739" s="44">
        <f t="shared" ca="1" si="231"/>
        <v>28.910364854084886</v>
      </c>
      <c r="R739" s="44">
        <f t="shared" ca="1" si="232"/>
        <v>2.8910364854084887</v>
      </c>
      <c r="S739" s="44">
        <f t="shared" ca="1" si="233"/>
        <v>2.8910364854084882</v>
      </c>
      <c r="T739" s="4">
        <f t="shared" ca="1" si="234"/>
        <v>1.7498871367988819E-5</v>
      </c>
      <c r="U739" s="120">
        <f t="shared" ca="1" si="235"/>
        <v>1520.6349838037554</v>
      </c>
      <c r="V739" s="4">
        <f t="shared" ca="1" si="236"/>
        <v>9.2041024433788532E-3</v>
      </c>
      <c r="W739" s="13">
        <f t="shared" ca="1" si="237"/>
        <v>12083.175000000001</v>
      </c>
      <c r="X739" s="4">
        <f t="shared" ca="1" si="238"/>
        <v>7.3137065584982647E-2</v>
      </c>
      <c r="Y739" s="4">
        <f t="shared" si="239"/>
        <v>0</v>
      </c>
      <c r="Z739" s="13">
        <f t="shared" ca="1" si="240"/>
        <v>12083.175000000001</v>
      </c>
      <c r="AA739" s="4">
        <f t="shared" ca="1" si="241"/>
        <v>7.3137065584982647E-2</v>
      </c>
    </row>
    <row r="740" spans="1:27">
      <c r="A740">
        <v>1</v>
      </c>
      <c r="B740">
        <v>1</v>
      </c>
      <c r="C740">
        <f t="shared" ca="1" si="220"/>
        <v>7</v>
      </c>
      <c r="D740">
        <f t="shared" ca="1" si="221"/>
        <v>6</v>
      </c>
      <c r="E740">
        <f t="shared" ca="1" si="222"/>
        <v>1</v>
      </c>
      <c r="F740" s="110">
        <f t="shared" ca="1" si="223"/>
        <v>5.6477522500000002E-2</v>
      </c>
      <c r="G740">
        <v>0</v>
      </c>
      <c r="H740">
        <v>0</v>
      </c>
      <c r="I740">
        <v>2</v>
      </c>
      <c r="J740" s="1">
        <f t="shared" ca="1" si="224"/>
        <v>4.2304687500000152E-6</v>
      </c>
      <c r="K740" s="1">
        <f t="shared" ca="1" si="225"/>
        <v>2.3892639401367273E-7</v>
      </c>
      <c r="L740" s="13">
        <f t="shared" ca="1" si="226"/>
        <v>40</v>
      </c>
      <c r="M740" s="7">
        <f t="shared" ca="1" si="227"/>
        <v>960</v>
      </c>
      <c r="N740" s="26">
        <f t="shared" ca="1" si="228"/>
        <v>4</v>
      </c>
      <c r="O740" s="44">
        <f t="shared" ca="1" si="229"/>
        <v>2.8910364854084887</v>
      </c>
      <c r="P740" s="44">
        <f t="shared" ca="1" si="230"/>
        <v>28.910364854084886</v>
      </c>
      <c r="Q740" s="44">
        <f t="shared" ca="1" si="231"/>
        <v>28.910364854084886</v>
      </c>
      <c r="R740" s="44">
        <f t="shared" ca="1" si="232"/>
        <v>2.8910364854084887</v>
      </c>
      <c r="S740" s="44">
        <f t="shared" ca="1" si="233"/>
        <v>2.8910364854084882</v>
      </c>
      <c r="T740" s="4">
        <f t="shared" ca="1" si="234"/>
        <v>6.9074492242061212E-7</v>
      </c>
      <c r="U740" s="120">
        <f t="shared" ca="1" si="235"/>
        <v>1500.6349838037554</v>
      </c>
      <c r="V740" s="4">
        <f t="shared" ca="1" si="236"/>
        <v>3.5854130541099747E-4</v>
      </c>
      <c r="W740" s="13">
        <f t="shared" ca="1" si="237"/>
        <v>8055.4500000000007</v>
      </c>
      <c r="X740" s="4">
        <f t="shared" ca="1" si="238"/>
        <v>1.9246596206574402E-3</v>
      </c>
      <c r="Y740" s="4">
        <f t="shared" si="239"/>
        <v>0</v>
      </c>
      <c r="Z740" s="13">
        <f t="shared" ca="1" si="240"/>
        <v>8055.4500000000007</v>
      </c>
      <c r="AA740" s="4">
        <f t="shared" ca="1" si="241"/>
        <v>1.9246596206574402E-3</v>
      </c>
    </row>
    <row r="741" spans="1:27">
      <c r="A741">
        <v>1</v>
      </c>
      <c r="B741">
        <v>1</v>
      </c>
      <c r="C741">
        <f t="shared" ca="1" si="220"/>
        <v>7</v>
      </c>
      <c r="D741">
        <f t="shared" ca="1" si="221"/>
        <v>6</v>
      </c>
      <c r="E741">
        <f t="shared" ca="1" si="222"/>
        <v>1</v>
      </c>
      <c r="F741" s="110">
        <f t="shared" ca="1" si="223"/>
        <v>5.6477522500000002E-2</v>
      </c>
      <c r="G741">
        <v>0</v>
      </c>
      <c r="H741">
        <v>0</v>
      </c>
      <c r="I741">
        <v>1</v>
      </c>
      <c r="J741" s="1">
        <f t="shared" ca="1" si="224"/>
        <v>8.9062500000000418E-8</v>
      </c>
      <c r="K741" s="1">
        <f t="shared" ca="1" si="225"/>
        <v>5.0300293476562735E-9</v>
      </c>
      <c r="L741" s="13">
        <f t="shared" ca="1" si="226"/>
        <v>20</v>
      </c>
      <c r="M741" s="7">
        <f t="shared" ca="1" si="227"/>
        <v>980</v>
      </c>
      <c r="N741" s="26">
        <f t="shared" ca="1" si="228"/>
        <v>4</v>
      </c>
      <c r="O741" s="44">
        <f t="shared" ca="1" si="229"/>
        <v>2.8910364854084887</v>
      </c>
      <c r="P741" s="44">
        <f t="shared" ca="1" si="230"/>
        <v>28.910364854084886</v>
      </c>
      <c r="Q741" s="44">
        <f t="shared" ca="1" si="231"/>
        <v>28.910364854084886</v>
      </c>
      <c r="R741" s="44">
        <f t="shared" ca="1" si="232"/>
        <v>2.8910364854084887</v>
      </c>
      <c r="S741" s="44">
        <f t="shared" ca="1" si="233"/>
        <v>2.8910364854084882</v>
      </c>
      <c r="T741" s="4">
        <f t="shared" ca="1" si="234"/>
        <v>1.4541998366749743E-8</v>
      </c>
      <c r="U741" s="120">
        <f t="shared" ca="1" si="235"/>
        <v>1480.6349838037554</v>
      </c>
      <c r="V741" s="4">
        <f t="shared" ca="1" si="236"/>
        <v>7.4476374216994609E-6</v>
      </c>
      <c r="W741" s="13">
        <f t="shared" ca="1" si="237"/>
        <v>4027.7250000000004</v>
      </c>
      <c r="X741" s="4">
        <f t="shared" ca="1" si="238"/>
        <v>2.0259574954288867E-5</v>
      </c>
      <c r="Y741" s="4">
        <f t="shared" si="239"/>
        <v>0</v>
      </c>
      <c r="Z741" s="13">
        <f t="shared" ca="1" si="240"/>
        <v>4027.7250000000004</v>
      </c>
      <c r="AA741" s="4">
        <f t="shared" ca="1" si="241"/>
        <v>2.0259574954288867E-5</v>
      </c>
    </row>
    <row r="742" spans="1:27">
      <c r="A742">
        <v>1</v>
      </c>
      <c r="B742">
        <v>1</v>
      </c>
      <c r="C742">
        <f t="shared" ca="1" si="220"/>
        <v>7</v>
      </c>
      <c r="D742">
        <f t="shared" ca="1" si="221"/>
        <v>6</v>
      </c>
      <c r="E742">
        <f t="shared" ca="1" si="222"/>
        <v>1</v>
      </c>
      <c r="F742" s="110">
        <f t="shared" ca="1" si="223"/>
        <v>5.6477522500000002E-2</v>
      </c>
      <c r="G742">
        <v>0</v>
      </c>
      <c r="H742">
        <v>0</v>
      </c>
      <c r="I742">
        <v>0</v>
      </c>
      <c r="J742" s="1">
        <f t="shared" ca="1" si="224"/>
        <v>7.812500000000041E-10</v>
      </c>
      <c r="K742" s="1">
        <f t="shared" ca="1" si="225"/>
        <v>4.4123064453125232E-11</v>
      </c>
      <c r="L742" s="13">
        <f t="shared" ca="1" si="226"/>
        <v>0</v>
      </c>
      <c r="M742" s="7">
        <f t="shared" ca="1" si="227"/>
        <v>1000</v>
      </c>
      <c r="N742" s="26">
        <f t="shared" ca="1" si="228"/>
        <v>4</v>
      </c>
      <c r="O742" s="44">
        <f t="shared" ca="1" si="229"/>
        <v>2.8910364854084887</v>
      </c>
      <c r="P742" s="44">
        <f t="shared" ca="1" si="230"/>
        <v>28.910364854084886</v>
      </c>
      <c r="Q742" s="44">
        <f t="shared" ca="1" si="231"/>
        <v>28.910364854084886</v>
      </c>
      <c r="R742" s="44">
        <f t="shared" ca="1" si="232"/>
        <v>2.8910364854084887</v>
      </c>
      <c r="S742" s="44">
        <f t="shared" ca="1" si="233"/>
        <v>2.8910364854084882</v>
      </c>
      <c r="T742" s="4">
        <f t="shared" ca="1" si="234"/>
        <v>1.2756138918201537E-10</v>
      </c>
      <c r="U742" s="120">
        <f t="shared" ca="1" si="235"/>
        <v>1460.6349838037554</v>
      </c>
      <c r="V742" s="4">
        <f t="shared" ca="1" si="236"/>
        <v>6.444769153286263E-8</v>
      </c>
      <c r="W742" s="13">
        <f t="shared" ca="1" si="237"/>
        <v>0</v>
      </c>
      <c r="X742" s="4">
        <f t="shared" ca="1" si="238"/>
        <v>0</v>
      </c>
      <c r="Y742" s="4">
        <f t="shared" si="239"/>
        <v>0</v>
      </c>
      <c r="Z742" s="13">
        <f t="shared" ca="1" si="240"/>
        <v>0</v>
      </c>
      <c r="AA742" s="4">
        <f t="shared" ca="1" si="241"/>
        <v>0</v>
      </c>
    </row>
    <row r="743" spans="1:27">
      <c r="A743">
        <v>1</v>
      </c>
      <c r="B743">
        <v>2</v>
      </c>
      <c r="C743">
        <f t="shared" ref="C743:C806" ca="1" si="242">MIN(8, 1+$B$543+$B$542+A743+B743)</f>
        <v>8</v>
      </c>
      <c r="D743">
        <f t="shared" ref="D743:D806" ca="1" si="243">C743-(1+$B$543)</f>
        <v>7</v>
      </c>
      <c r="E743">
        <f t="shared" ref="E743:E806" ca="1" si="244">MIN(A743, C743-(1+$B$543+$B$542))</f>
        <v>1</v>
      </c>
      <c r="F743" s="110">
        <f t="shared" ref="F743:F806" ca="1" si="245">IF(A743=3, Set2QA, IF(A743=2, (1-Set2QA)*Set2TA + (1-Set2QA)*(1-Set2TA)*(1-Set2DA)*Set2AM3*Set2AM33, IF(A743=1, (1-Set2QA)*(1-Set2TA)*Set2DA + (1-Set2QA)*(1-Set2TA)*(1-Set2DA)*Set2AM3*Set2AM32, (1-Set2QA)*(1-Set2TA)*(1-Set2DA)*(1-Set2AM3)))) * IF($B$542+$B$543&gt;0, IF(B743=3, Set2QA, IF(B743=2, (1-Set2QA)*Set2TA, IF(B743=1, (1-Set2QA)*(1-Set2TA)*Set2DA, (1-Set2QA)*(1-Set2TA)*(1-Set2DA)))), IF(B743=0, 1, 0))</f>
        <v>4.6104100000000005E-3</v>
      </c>
      <c r="G743">
        <v>1</v>
      </c>
      <c r="H743">
        <v>1</v>
      </c>
      <c r="I743">
        <v>7</v>
      </c>
      <c r="J743" s="1">
        <f t="shared" ref="J743:J806" ca="1" si="246">POWER(95%,G743)*POWER(5%, 1-G743) * IF($B$543=0, IF(H743=0, 1, 0), POWER(Set2WSHitRate,H743)*POWER(1-Set2WSHitRate, 1-H743)) * IF(I743&lt;=D743, POWER(Set2WSHitRate, I743)*POWER(1-Set2WSHitRate, D743-I743)*COMBIN(D743,I743), 0)</f>
        <v>0</v>
      </c>
      <c r="K743" s="1">
        <f t="shared" ref="K743:K806" ca="1" si="247">F743*J743</f>
        <v>0</v>
      </c>
      <c r="L743" s="13">
        <f t="shared" ref="L743:L806" ca="1" si="248">MAX((G743+H743)*Set2WSTP + I743*$B$539, Set2SaveTP)</f>
        <v>648</v>
      </c>
      <c r="M743" s="7">
        <f t="shared" ref="M743:M806" ca="1" si="249">MAX(Set2MinTP-(L743+Set2Regain), 0)</f>
        <v>352</v>
      </c>
      <c r="N743" s="26">
        <f t="shared" ref="N743:N806" ca="1" si="250">CEILING(M743/Set2MeleeTP, 1)</f>
        <v>2</v>
      </c>
      <c r="O743" s="44">
        <f t="shared" ref="O743:O806" ca="1" si="251">VLOOKUP(N743, AvgRoundsSet2, 2)</f>
        <v>1.5942243152407929</v>
      </c>
      <c r="P743" s="44">
        <f t="shared" ref="P743:P806" ca="1" si="252">VLOOKUP(CEILING(MAX(M743-1, 0)/Set2MeleeTP, 1), AvgRoundsSet2, 2) + VLOOKUP(CEILING(MAX(M743-2, 0)/Set2MeleeTP, 1), AvgRoundsSet2, 2) + VLOOKUP(CEILING(MAX(M743-3, 0)/Set2MeleeTP, 1), AvgRoundsSet2, 2) + VLOOKUP(CEILING(MAX(M743-4, 0)/Set2MeleeTP, 1), AvgRoundsSet2, 2) + VLOOKUP(CEILING(MAX(M743-5, 0)/Set2MeleeTP, 1), AvgRoundsSet2, 2) + VLOOKUP(CEILING(MAX(M743-6, 0)/Set2MeleeTP, 1), AvgRoundsSet2, 2) + VLOOKUP(CEILING(MAX(M743-7, 0)/Set2MeleeTP, 1), AvgRoundsSet2, 2) + VLOOKUP(CEILING(MAX(M743-8, 0)/Set2MeleeTP, 1), AvgRoundsSet2, 2) + VLOOKUP(CEILING(MAX(M743-9, 0)/Set2MeleeTP, 1), AvgRoundsSet2, 2) + VLOOKUP(CEILING(MAX(M743-10, 0)/Set2MeleeTP, 1), AvgRoundsSet2, 2)</f>
        <v>15.942243152407926</v>
      </c>
      <c r="Q743" s="44">
        <f t="shared" ref="Q743:Q806" ca="1" si="253">VLOOKUP(CEILING(MAX(M743-11, 0)/Set2MeleeTP, 1), AvgRoundsSet2, 2) + VLOOKUP(CEILING(MAX(M743-12, 0)/Set2MeleeTP, 1), AvgRoundsSet2, 2) + VLOOKUP(CEILING(MAX(M743-13, 0)/Set2MeleeTP, 1), AvgRoundsSet2, 2) + VLOOKUP(CEILING(MAX(M743-14, 0)/Set2MeleeTP, 1), AvgRoundsSet2, 2) + VLOOKUP(CEILING(MAX(M743-15, 0)/Set2MeleeTP, 1), AvgRoundsSet2, 2) + VLOOKUP(CEILING(MAX(M743-16, 0)/Set2MeleeTP, 1), AvgRoundsSet2, 2) + VLOOKUP(CEILING(MAX(M743-17, 0)/Set2MeleeTP, 1), AvgRoundsSet2, 2) + VLOOKUP(CEILING(MAX(M743-18, 0)/Set2MeleeTP, 1), AvgRoundsSet2, 2) + VLOOKUP(CEILING(MAX(M743-19, 0)/Set2MeleeTP, 1), AvgRoundsSet2, 2) + VLOOKUP(CEILING(MAX(M743-20, 0)/Set2MeleeTP, 1), AvgRoundsSet2, 2)</f>
        <v>15.942243152407926</v>
      </c>
      <c r="R743" s="44">
        <f t="shared" ref="R743:R806" ca="1" si="254">(P743+Q743)/20</f>
        <v>1.5942243152407927</v>
      </c>
      <c r="S743" s="44">
        <f t="shared" ref="S743:S806" ca="1" si="255">R743*Set2ConserveTP + O743*(1-Set2ConserveTP)</f>
        <v>1.5942243152407927</v>
      </c>
      <c r="T743" s="4">
        <f t="shared" ref="T743:T806" ca="1" si="256">K743*S743</f>
        <v>0</v>
      </c>
      <c r="U743" s="120">
        <f t="shared" ref="U743:U806" ca="1" si="257">MIN(L743+(S743+Set2OverTP)*AvgHitsPerRound2*Set2MeleeTP + Set2Regain + 10.5*Set2ConserveTP, 3000)</f>
        <v>1550.3348669012169</v>
      </c>
      <c r="V743" s="4">
        <f t="shared" ref="V743:V806" ca="1" si="258">U743*K743</f>
        <v>0</v>
      </c>
      <c r="W743" s="13">
        <f t="shared" ref="W743:W806" ca="1" si="259">G743*$K$543*((1-$L$543)*$L$547 + $L$543*$M$547*$M$543)*Set2WSDmg + H743*$K$546*((1-$L$546)*$L$548 + $L$546*$M$548*$M$544) + I743*$K$544*((1-$L$544)*$L$547 + $L$544*$M$547*$M$544) + E743*$K$545*$L$545*$M$543</f>
        <v>32946.790500000003</v>
      </c>
      <c r="X743" s="4">
        <f t="shared" ref="X743:X806" ca="1" si="260">K743*W743</f>
        <v>0</v>
      </c>
      <c r="Y743" s="4">
        <f t="shared" ref="Y743:Y806" si="261">IF($B$545=1, (VLOOKUP(C743, IF($B$546=10%,Souleater10,Souleater12), 6, FALSE) * $B$547), 0)</f>
        <v>0</v>
      </c>
      <c r="Z743" s="13">
        <f t="shared" ca="1" si="240"/>
        <v>32946.790500000003</v>
      </c>
      <c r="AA743" s="4">
        <f t="shared" ca="1" si="241"/>
        <v>0</v>
      </c>
    </row>
    <row r="744" spans="1:27">
      <c r="A744">
        <v>1</v>
      </c>
      <c r="B744">
        <v>2</v>
      </c>
      <c r="C744">
        <f t="shared" ca="1" si="242"/>
        <v>8</v>
      </c>
      <c r="D744">
        <f t="shared" ca="1" si="243"/>
        <v>7</v>
      </c>
      <c r="E744">
        <f t="shared" ca="1" si="244"/>
        <v>1</v>
      </c>
      <c r="F744" s="110">
        <f t="shared" ca="1" si="245"/>
        <v>4.6104100000000005E-3</v>
      </c>
      <c r="G744">
        <v>1</v>
      </c>
      <c r="H744">
        <v>1</v>
      </c>
      <c r="I744">
        <v>6</v>
      </c>
      <c r="J744" s="1">
        <f t="shared" ca="1" si="246"/>
        <v>0</v>
      </c>
      <c r="K744" s="1">
        <f t="shared" ca="1" si="247"/>
        <v>0</v>
      </c>
      <c r="L744" s="13">
        <f t="shared" ca="1" si="248"/>
        <v>628</v>
      </c>
      <c r="M744" s="7">
        <f t="shared" ca="1" si="249"/>
        <v>372</v>
      </c>
      <c r="N744" s="26">
        <f t="shared" ca="1" si="250"/>
        <v>2</v>
      </c>
      <c r="O744" s="44">
        <f t="shared" ca="1" si="251"/>
        <v>1.5942243152407929</v>
      </c>
      <c r="P744" s="44">
        <f t="shared" ca="1" si="252"/>
        <v>15.942243152407926</v>
      </c>
      <c r="Q744" s="44">
        <f t="shared" ca="1" si="253"/>
        <v>15.942243152407926</v>
      </c>
      <c r="R744" s="44">
        <f t="shared" ca="1" si="254"/>
        <v>1.5942243152407927</v>
      </c>
      <c r="S744" s="44">
        <f t="shared" ca="1" si="255"/>
        <v>1.5942243152407927</v>
      </c>
      <c r="T744" s="4">
        <f t="shared" ca="1" si="256"/>
        <v>0</v>
      </c>
      <c r="U744" s="120">
        <f t="shared" ca="1" si="257"/>
        <v>1530.3348669012169</v>
      </c>
      <c r="V744" s="4">
        <f t="shared" ca="1" si="258"/>
        <v>0</v>
      </c>
      <c r="W744" s="13">
        <f t="shared" ca="1" si="259"/>
        <v>28919.065500000004</v>
      </c>
      <c r="X744" s="4">
        <f t="shared" ca="1" si="260"/>
        <v>0</v>
      </c>
      <c r="Y744" s="4">
        <f t="shared" si="261"/>
        <v>0</v>
      </c>
      <c r="Z744" s="13">
        <f t="shared" ref="Z744:Z807" ca="1" si="262">Y744+W744</f>
        <v>28919.065500000004</v>
      </c>
      <c r="AA744" s="4">
        <f t="shared" ref="AA744:AA807" ca="1" si="263">Z744*K744</f>
        <v>0</v>
      </c>
    </row>
    <row r="745" spans="1:27">
      <c r="A745">
        <v>1</v>
      </c>
      <c r="B745">
        <v>2</v>
      </c>
      <c r="C745">
        <f t="shared" ca="1" si="242"/>
        <v>8</v>
      </c>
      <c r="D745">
        <f t="shared" ca="1" si="243"/>
        <v>7</v>
      </c>
      <c r="E745">
        <f t="shared" ca="1" si="244"/>
        <v>1</v>
      </c>
      <c r="F745" s="110">
        <f t="shared" ca="1" si="245"/>
        <v>4.6104100000000005E-3</v>
      </c>
      <c r="G745">
        <v>1</v>
      </c>
      <c r="H745">
        <v>1</v>
      </c>
      <c r="I745">
        <v>5</v>
      </c>
      <c r="J745" s="1">
        <f t="shared" ca="1" si="246"/>
        <v>0</v>
      </c>
      <c r="K745" s="1">
        <f t="shared" ca="1" si="247"/>
        <v>0</v>
      </c>
      <c r="L745" s="13">
        <f t="shared" ca="1" si="248"/>
        <v>608</v>
      </c>
      <c r="M745" s="7">
        <f t="shared" ca="1" si="249"/>
        <v>392</v>
      </c>
      <c r="N745" s="26">
        <f t="shared" ca="1" si="250"/>
        <v>2</v>
      </c>
      <c r="O745" s="44">
        <f t="shared" ca="1" si="251"/>
        <v>1.5942243152407929</v>
      </c>
      <c r="P745" s="44">
        <f t="shared" ca="1" si="252"/>
        <v>15.942243152407926</v>
      </c>
      <c r="Q745" s="44">
        <f t="shared" ca="1" si="253"/>
        <v>15.942243152407926</v>
      </c>
      <c r="R745" s="44">
        <f t="shared" ca="1" si="254"/>
        <v>1.5942243152407927</v>
      </c>
      <c r="S745" s="44">
        <f t="shared" ca="1" si="255"/>
        <v>1.5942243152407927</v>
      </c>
      <c r="T745" s="4">
        <f t="shared" ca="1" si="256"/>
        <v>0</v>
      </c>
      <c r="U745" s="120">
        <f t="shared" ca="1" si="257"/>
        <v>1510.3348669012169</v>
      </c>
      <c r="V745" s="4">
        <f t="shared" ca="1" si="258"/>
        <v>0</v>
      </c>
      <c r="W745" s="13">
        <f t="shared" ca="1" si="259"/>
        <v>24891.340500000002</v>
      </c>
      <c r="X745" s="4">
        <f t="shared" ca="1" si="260"/>
        <v>0</v>
      </c>
      <c r="Y745" s="4">
        <f t="shared" si="261"/>
        <v>0</v>
      </c>
      <c r="Z745" s="13">
        <f t="shared" ca="1" si="262"/>
        <v>24891.340500000002</v>
      </c>
      <c r="AA745" s="4">
        <f t="shared" ca="1" si="263"/>
        <v>0</v>
      </c>
    </row>
    <row r="746" spans="1:27">
      <c r="A746">
        <v>1</v>
      </c>
      <c r="B746">
        <v>2</v>
      </c>
      <c r="C746">
        <f t="shared" ca="1" si="242"/>
        <v>8</v>
      </c>
      <c r="D746">
        <f t="shared" ca="1" si="243"/>
        <v>7</v>
      </c>
      <c r="E746">
        <f t="shared" ca="1" si="244"/>
        <v>1</v>
      </c>
      <c r="F746" s="110">
        <f t="shared" ca="1" si="245"/>
        <v>4.6104100000000005E-3</v>
      </c>
      <c r="G746">
        <v>1</v>
      </c>
      <c r="H746">
        <v>1</v>
      </c>
      <c r="I746">
        <v>4</v>
      </c>
      <c r="J746" s="1">
        <f t="shared" ca="1" si="246"/>
        <v>0</v>
      </c>
      <c r="K746" s="1">
        <f t="shared" ca="1" si="247"/>
        <v>0</v>
      </c>
      <c r="L746" s="13">
        <f t="shared" ca="1" si="248"/>
        <v>588</v>
      </c>
      <c r="M746" s="7">
        <f t="shared" ca="1" si="249"/>
        <v>412</v>
      </c>
      <c r="N746" s="26">
        <f t="shared" ca="1" si="250"/>
        <v>2</v>
      </c>
      <c r="O746" s="44">
        <f t="shared" ca="1" si="251"/>
        <v>1.5942243152407929</v>
      </c>
      <c r="P746" s="44">
        <f t="shared" ca="1" si="252"/>
        <v>15.942243152407926</v>
      </c>
      <c r="Q746" s="44">
        <f t="shared" ca="1" si="253"/>
        <v>15.942243152407926</v>
      </c>
      <c r="R746" s="44">
        <f t="shared" ca="1" si="254"/>
        <v>1.5942243152407927</v>
      </c>
      <c r="S746" s="44">
        <f t="shared" ca="1" si="255"/>
        <v>1.5942243152407927</v>
      </c>
      <c r="T746" s="4">
        <f t="shared" ca="1" si="256"/>
        <v>0</v>
      </c>
      <c r="U746" s="120">
        <f t="shared" ca="1" si="257"/>
        <v>1490.3348669012169</v>
      </c>
      <c r="V746" s="4">
        <f t="shared" ca="1" si="258"/>
        <v>0</v>
      </c>
      <c r="W746" s="13">
        <f t="shared" ca="1" si="259"/>
        <v>20863.615500000004</v>
      </c>
      <c r="X746" s="4">
        <f t="shared" ca="1" si="260"/>
        <v>0</v>
      </c>
      <c r="Y746" s="4">
        <f t="shared" si="261"/>
        <v>0</v>
      </c>
      <c r="Z746" s="13">
        <f t="shared" ca="1" si="262"/>
        <v>20863.615500000004</v>
      </c>
      <c r="AA746" s="4">
        <f t="shared" ca="1" si="263"/>
        <v>0</v>
      </c>
    </row>
    <row r="747" spans="1:27">
      <c r="A747">
        <v>1</v>
      </c>
      <c r="B747">
        <v>2</v>
      </c>
      <c r="C747">
        <f t="shared" ca="1" si="242"/>
        <v>8</v>
      </c>
      <c r="D747">
        <f t="shared" ca="1" si="243"/>
        <v>7</v>
      </c>
      <c r="E747">
        <f t="shared" ca="1" si="244"/>
        <v>1</v>
      </c>
      <c r="F747" s="110">
        <f t="shared" ca="1" si="245"/>
        <v>4.6104100000000005E-3</v>
      </c>
      <c r="G747">
        <v>1</v>
      </c>
      <c r="H747">
        <v>1</v>
      </c>
      <c r="I747">
        <v>3</v>
      </c>
      <c r="J747" s="1">
        <f t="shared" ca="1" si="246"/>
        <v>0</v>
      </c>
      <c r="K747" s="1">
        <f t="shared" ca="1" si="247"/>
        <v>0</v>
      </c>
      <c r="L747" s="13">
        <f t="shared" ca="1" si="248"/>
        <v>568</v>
      </c>
      <c r="M747" s="7">
        <f t="shared" ca="1" si="249"/>
        <v>432</v>
      </c>
      <c r="N747" s="26">
        <f t="shared" ca="1" si="250"/>
        <v>2</v>
      </c>
      <c r="O747" s="44">
        <f t="shared" ca="1" si="251"/>
        <v>1.5942243152407929</v>
      </c>
      <c r="P747" s="44">
        <f t="shared" ca="1" si="252"/>
        <v>15.942243152407926</v>
      </c>
      <c r="Q747" s="44">
        <f t="shared" ca="1" si="253"/>
        <v>15.942243152407926</v>
      </c>
      <c r="R747" s="44">
        <f t="shared" ca="1" si="254"/>
        <v>1.5942243152407927</v>
      </c>
      <c r="S747" s="44">
        <f t="shared" ca="1" si="255"/>
        <v>1.5942243152407927</v>
      </c>
      <c r="T747" s="4">
        <f t="shared" ca="1" si="256"/>
        <v>0</v>
      </c>
      <c r="U747" s="120">
        <f t="shared" ca="1" si="257"/>
        <v>1470.3348669012169</v>
      </c>
      <c r="V747" s="4">
        <f t="shared" ca="1" si="258"/>
        <v>0</v>
      </c>
      <c r="W747" s="13">
        <f t="shared" ca="1" si="259"/>
        <v>16835.890500000001</v>
      </c>
      <c r="X747" s="4">
        <f t="shared" ca="1" si="260"/>
        <v>0</v>
      </c>
      <c r="Y747" s="4">
        <f t="shared" si="261"/>
        <v>0</v>
      </c>
      <c r="Z747" s="13">
        <f t="shared" ca="1" si="262"/>
        <v>16835.890500000001</v>
      </c>
      <c r="AA747" s="4">
        <f t="shared" ca="1" si="263"/>
        <v>0</v>
      </c>
    </row>
    <row r="748" spans="1:27">
      <c r="A748">
        <v>1</v>
      </c>
      <c r="B748">
        <v>2</v>
      </c>
      <c r="C748">
        <f t="shared" ca="1" si="242"/>
        <v>8</v>
      </c>
      <c r="D748">
        <f t="shared" ca="1" si="243"/>
        <v>7</v>
      </c>
      <c r="E748">
        <f t="shared" ca="1" si="244"/>
        <v>1</v>
      </c>
      <c r="F748" s="110">
        <f t="shared" ca="1" si="245"/>
        <v>4.6104100000000005E-3</v>
      </c>
      <c r="G748">
        <v>1</v>
      </c>
      <c r="H748">
        <v>1</v>
      </c>
      <c r="I748">
        <v>2</v>
      </c>
      <c r="J748" s="1">
        <f t="shared" ca="1" si="246"/>
        <v>0</v>
      </c>
      <c r="K748" s="1">
        <f t="shared" ca="1" si="247"/>
        <v>0</v>
      </c>
      <c r="L748" s="13">
        <f t="shared" ca="1" si="248"/>
        <v>548</v>
      </c>
      <c r="M748" s="7">
        <f t="shared" ca="1" si="249"/>
        <v>452</v>
      </c>
      <c r="N748" s="26">
        <f t="shared" ca="1" si="250"/>
        <v>2</v>
      </c>
      <c r="O748" s="44">
        <f t="shared" ca="1" si="251"/>
        <v>1.5942243152407929</v>
      </c>
      <c r="P748" s="44">
        <f t="shared" ca="1" si="252"/>
        <v>15.942243152407926</v>
      </c>
      <c r="Q748" s="44">
        <f t="shared" ca="1" si="253"/>
        <v>15.942243152407926</v>
      </c>
      <c r="R748" s="44">
        <f t="shared" ca="1" si="254"/>
        <v>1.5942243152407927</v>
      </c>
      <c r="S748" s="44">
        <f t="shared" ca="1" si="255"/>
        <v>1.5942243152407927</v>
      </c>
      <c r="T748" s="4">
        <f t="shared" ca="1" si="256"/>
        <v>0</v>
      </c>
      <c r="U748" s="120">
        <f t="shared" ca="1" si="257"/>
        <v>1450.3348669012169</v>
      </c>
      <c r="V748" s="4">
        <f t="shared" ca="1" si="258"/>
        <v>0</v>
      </c>
      <c r="W748" s="13">
        <f t="shared" ca="1" si="259"/>
        <v>12808.165500000003</v>
      </c>
      <c r="X748" s="4">
        <f t="shared" ca="1" si="260"/>
        <v>0</v>
      </c>
      <c r="Y748" s="4">
        <f t="shared" si="261"/>
        <v>0</v>
      </c>
      <c r="Z748" s="13">
        <f t="shared" ca="1" si="262"/>
        <v>12808.165500000003</v>
      </c>
      <c r="AA748" s="4">
        <f t="shared" ca="1" si="263"/>
        <v>0</v>
      </c>
    </row>
    <row r="749" spans="1:27">
      <c r="A749">
        <v>1</v>
      </c>
      <c r="B749">
        <v>2</v>
      </c>
      <c r="C749">
        <f t="shared" ca="1" si="242"/>
        <v>8</v>
      </c>
      <c r="D749">
        <f t="shared" ca="1" si="243"/>
        <v>7</v>
      </c>
      <c r="E749">
        <f t="shared" ca="1" si="244"/>
        <v>1</v>
      </c>
      <c r="F749" s="110">
        <f t="shared" ca="1" si="245"/>
        <v>4.6104100000000005E-3</v>
      </c>
      <c r="G749">
        <v>1</v>
      </c>
      <c r="H749">
        <v>1</v>
      </c>
      <c r="I749">
        <v>1</v>
      </c>
      <c r="J749" s="1">
        <f t="shared" ca="1" si="246"/>
        <v>0</v>
      </c>
      <c r="K749" s="1">
        <f t="shared" ca="1" si="247"/>
        <v>0</v>
      </c>
      <c r="L749" s="13">
        <f t="shared" ca="1" si="248"/>
        <v>528</v>
      </c>
      <c r="M749" s="7">
        <f t="shared" ca="1" si="249"/>
        <v>472</v>
      </c>
      <c r="N749" s="26">
        <f t="shared" ca="1" si="250"/>
        <v>2</v>
      </c>
      <c r="O749" s="44">
        <f t="shared" ca="1" si="251"/>
        <v>1.5942243152407929</v>
      </c>
      <c r="P749" s="44">
        <f t="shared" ca="1" si="252"/>
        <v>15.942243152407926</v>
      </c>
      <c r="Q749" s="44">
        <f t="shared" ca="1" si="253"/>
        <v>15.942243152407926</v>
      </c>
      <c r="R749" s="44">
        <f t="shared" ca="1" si="254"/>
        <v>1.5942243152407927</v>
      </c>
      <c r="S749" s="44">
        <f t="shared" ca="1" si="255"/>
        <v>1.5942243152407927</v>
      </c>
      <c r="T749" s="4">
        <f t="shared" ca="1" si="256"/>
        <v>0</v>
      </c>
      <c r="U749" s="120">
        <f t="shared" ca="1" si="257"/>
        <v>1430.3348669012169</v>
      </c>
      <c r="V749" s="4">
        <f t="shared" ca="1" si="258"/>
        <v>0</v>
      </c>
      <c r="W749" s="13">
        <f t="shared" ca="1" si="259"/>
        <v>8780.4405000000006</v>
      </c>
      <c r="X749" s="4">
        <f t="shared" ca="1" si="260"/>
        <v>0</v>
      </c>
      <c r="Y749" s="4">
        <f t="shared" si="261"/>
        <v>0</v>
      </c>
      <c r="Z749" s="13">
        <f t="shared" ca="1" si="262"/>
        <v>8780.4405000000006</v>
      </c>
      <c r="AA749" s="4">
        <f t="shared" ca="1" si="263"/>
        <v>0</v>
      </c>
    </row>
    <row r="750" spans="1:27">
      <c r="A750">
        <v>1</v>
      </c>
      <c r="B750">
        <v>2</v>
      </c>
      <c r="C750">
        <f t="shared" ca="1" si="242"/>
        <v>8</v>
      </c>
      <c r="D750">
        <f t="shared" ca="1" si="243"/>
        <v>7</v>
      </c>
      <c r="E750">
        <f t="shared" ca="1" si="244"/>
        <v>1</v>
      </c>
      <c r="F750" s="110">
        <f t="shared" ca="1" si="245"/>
        <v>4.6104100000000005E-3</v>
      </c>
      <c r="G750">
        <v>1</v>
      </c>
      <c r="H750">
        <v>1</v>
      </c>
      <c r="I750">
        <v>0</v>
      </c>
      <c r="J750" s="1">
        <f t="shared" ca="1" si="246"/>
        <v>0</v>
      </c>
      <c r="K750" s="1">
        <f t="shared" ca="1" si="247"/>
        <v>0</v>
      </c>
      <c r="L750" s="13">
        <f t="shared" ca="1" si="248"/>
        <v>508</v>
      </c>
      <c r="M750" s="7">
        <f t="shared" ca="1" si="249"/>
        <v>492</v>
      </c>
      <c r="N750" s="26">
        <f t="shared" ca="1" si="250"/>
        <v>2</v>
      </c>
      <c r="O750" s="44">
        <f t="shared" ca="1" si="251"/>
        <v>1.5942243152407929</v>
      </c>
      <c r="P750" s="44">
        <f t="shared" ca="1" si="252"/>
        <v>15.942243152407926</v>
      </c>
      <c r="Q750" s="44">
        <f t="shared" ca="1" si="253"/>
        <v>15.942243152407926</v>
      </c>
      <c r="R750" s="44">
        <f t="shared" ca="1" si="254"/>
        <v>1.5942243152407927</v>
      </c>
      <c r="S750" s="44">
        <f t="shared" ca="1" si="255"/>
        <v>1.5942243152407927</v>
      </c>
      <c r="T750" s="4">
        <f t="shared" ca="1" si="256"/>
        <v>0</v>
      </c>
      <c r="U750" s="120">
        <f t="shared" ca="1" si="257"/>
        <v>1410.3348669012169</v>
      </c>
      <c r="V750" s="4">
        <f t="shared" ca="1" si="258"/>
        <v>0</v>
      </c>
      <c r="W750" s="13">
        <f t="shared" ca="1" si="259"/>
        <v>4752.7155000000012</v>
      </c>
      <c r="X750" s="4">
        <f t="shared" ca="1" si="260"/>
        <v>0</v>
      </c>
      <c r="Y750" s="4">
        <f t="shared" si="261"/>
        <v>0</v>
      </c>
      <c r="Z750" s="13">
        <f t="shared" ca="1" si="262"/>
        <v>4752.7155000000012</v>
      </c>
      <c r="AA750" s="4">
        <f t="shared" ca="1" si="263"/>
        <v>0</v>
      </c>
    </row>
    <row r="751" spans="1:27">
      <c r="A751">
        <v>1</v>
      </c>
      <c r="B751">
        <v>2</v>
      </c>
      <c r="C751">
        <f t="shared" ca="1" si="242"/>
        <v>8</v>
      </c>
      <c r="D751">
        <f t="shared" ca="1" si="243"/>
        <v>7</v>
      </c>
      <c r="E751">
        <f t="shared" ca="1" si="244"/>
        <v>1</v>
      </c>
      <c r="F751" s="110">
        <f t="shared" ca="1" si="245"/>
        <v>4.6104100000000005E-3</v>
      </c>
      <c r="G751">
        <v>1</v>
      </c>
      <c r="H751">
        <v>0</v>
      </c>
      <c r="I751">
        <v>7</v>
      </c>
      <c r="J751" s="1">
        <f t="shared" ca="1" si="246"/>
        <v>0.66342043128906247</v>
      </c>
      <c r="K751" s="1">
        <f t="shared" ca="1" si="247"/>
        <v>3.058640190619407E-3</v>
      </c>
      <c r="L751" s="13">
        <f t="shared" ca="1" si="248"/>
        <v>394</v>
      </c>
      <c r="M751" s="7">
        <f t="shared" ca="1" si="249"/>
        <v>606</v>
      </c>
      <c r="N751" s="26">
        <f t="shared" ca="1" si="250"/>
        <v>3</v>
      </c>
      <c r="O751" s="44">
        <f t="shared" ca="1" si="251"/>
        <v>2.2641455309069398</v>
      </c>
      <c r="P751" s="44">
        <f t="shared" ca="1" si="252"/>
        <v>22.641455309069404</v>
      </c>
      <c r="Q751" s="44">
        <f t="shared" ca="1" si="253"/>
        <v>22.641455309069404</v>
      </c>
      <c r="R751" s="44">
        <f t="shared" ca="1" si="254"/>
        <v>2.2641455309069403</v>
      </c>
      <c r="S751" s="44">
        <f t="shared" ca="1" si="255"/>
        <v>2.2641455309069398</v>
      </c>
      <c r="T751" s="4">
        <f t="shared" ca="1" si="256"/>
        <v>6.9252065182432813E-3</v>
      </c>
      <c r="U751" s="120">
        <f t="shared" ca="1" si="257"/>
        <v>1584.7475619899244</v>
      </c>
      <c r="V751" s="4">
        <f t="shared" ca="1" si="258"/>
        <v>4.8471725850885026</v>
      </c>
      <c r="W751" s="13">
        <f t="shared" ca="1" si="259"/>
        <v>32946.790500000003</v>
      </c>
      <c r="X751" s="4">
        <f t="shared" ca="1" si="260"/>
        <v>100.77237757521767</v>
      </c>
      <c r="Y751" s="4">
        <f t="shared" si="261"/>
        <v>0</v>
      </c>
      <c r="Z751" s="13">
        <f t="shared" ca="1" si="262"/>
        <v>32946.790500000003</v>
      </c>
      <c r="AA751" s="4">
        <f t="shared" ca="1" si="263"/>
        <v>100.77237757521767</v>
      </c>
    </row>
    <row r="752" spans="1:27">
      <c r="A752">
        <v>1</v>
      </c>
      <c r="B752">
        <v>2</v>
      </c>
      <c r="C752">
        <f t="shared" ca="1" si="242"/>
        <v>8</v>
      </c>
      <c r="D752">
        <f t="shared" ca="1" si="243"/>
        <v>7</v>
      </c>
      <c r="E752">
        <f t="shared" ca="1" si="244"/>
        <v>1</v>
      </c>
      <c r="F752" s="110">
        <f t="shared" ca="1" si="245"/>
        <v>4.6104100000000005E-3</v>
      </c>
      <c r="G752">
        <v>1</v>
      </c>
      <c r="H752">
        <v>0</v>
      </c>
      <c r="I752">
        <v>6</v>
      </c>
      <c r="J752" s="1">
        <f t="shared" ca="1" si="246"/>
        <v>0.24441805363281272</v>
      </c>
      <c r="K752" s="1">
        <f t="shared" ca="1" si="247"/>
        <v>1.1268674386492562E-3</v>
      </c>
      <c r="L752" s="13">
        <f t="shared" ca="1" si="248"/>
        <v>374</v>
      </c>
      <c r="M752" s="7">
        <f t="shared" ca="1" si="249"/>
        <v>626</v>
      </c>
      <c r="N752" s="26">
        <f t="shared" ca="1" si="250"/>
        <v>3</v>
      </c>
      <c r="O752" s="44">
        <f t="shared" ca="1" si="251"/>
        <v>2.2641455309069398</v>
      </c>
      <c r="P752" s="44">
        <f t="shared" ca="1" si="252"/>
        <v>22.641455309069404</v>
      </c>
      <c r="Q752" s="44">
        <f t="shared" ca="1" si="253"/>
        <v>22.641455309069404</v>
      </c>
      <c r="R752" s="44">
        <f t="shared" ca="1" si="254"/>
        <v>2.2641455309069403</v>
      </c>
      <c r="S752" s="44">
        <f t="shared" ca="1" si="255"/>
        <v>2.2641455309069398</v>
      </c>
      <c r="T752" s="4">
        <f t="shared" ca="1" si="256"/>
        <v>2.5513918751422634E-3</v>
      </c>
      <c r="U752" s="120">
        <f t="shared" ca="1" si="257"/>
        <v>1564.7475619899244</v>
      </c>
      <c r="V752" s="4">
        <f t="shared" ca="1" si="258"/>
        <v>1.7632630773122544</v>
      </c>
      <c r="W752" s="13">
        <f t="shared" ca="1" si="259"/>
        <v>28919.065500000004</v>
      </c>
      <c r="X752" s="4">
        <f t="shared" ca="1" si="260"/>
        <v>32.587953268115072</v>
      </c>
      <c r="Y752" s="4">
        <f t="shared" si="261"/>
        <v>0</v>
      </c>
      <c r="Z752" s="13">
        <f t="shared" ca="1" si="262"/>
        <v>28919.065500000004</v>
      </c>
      <c r="AA752" s="4">
        <f t="shared" ca="1" si="263"/>
        <v>32.587953268115072</v>
      </c>
    </row>
    <row r="753" spans="1:27">
      <c r="A753">
        <v>1</v>
      </c>
      <c r="B753">
        <v>2</v>
      </c>
      <c r="C753">
        <f t="shared" ca="1" si="242"/>
        <v>8</v>
      </c>
      <c r="D753">
        <f t="shared" ca="1" si="243"/>
        <v>7</v>
      </c>
      <c r="E753">
        <f t="shared" ca="1" si="244"/>
        <v>1</v>
      </c>
      <c r="F753" s="110">
        <f t="shared" ca="1" si="245"/>
        <v>4.6104100000000005E-3</v>
      </c>
      <c r="G753">
        <v>1</v>
      </c>
      <c r="H753">
        <v>0</v>
      </c>
      <c r="I753">
        <v>5</v>
      </c>
      <c r="J753" s="1">
        <f t="shared" ca="1" si="246"/>
        <v>3.8592324257812567E-2</v>
      </c>
      <c r="K753" s="1">
        <f t="shared" ca="1" si="247"/>
        <v>1.7792643768146165E-4</v>
      </c>
      <c r="L753" s="13">
        <f t="shared" ca="1" si="248"/>
        <v>354</v>
      </c>
      <c r="M753" s="7">
        <f t="shared" ca="1" si="249"/>
        <v>646</v>
      </c>
      <c r="N753" s="26">
        <f t="shared" ca="1" si="250"/>
        <v>3</v>
      </c>
      <c r="O753" s="44">
        <f t="shared" ca="1" si="251"/>
        <v>2.2641455309069398</v>
      </c>
      <c r="P753" s="44">
        <f t="shared" ca="1" si="252"/>
        <v>22.641455309069404</v>
      </c>
      <c r="Q753" s="44">
        <f t="shared" ca="1" si="253"/>
        <v>22.641455309069404</v>
      </c>
      <c r="R753" s="44">
        <f t="shared" ca="1" si="254"/>
        <v>2.2641455309069403</v>
      </c>
      <c r="S753" s="44">
        <f t="shared" ca="1" si="255"/>
        <v>2.2641455309069398</v>
      </c>
      <c r="T753" s="4">
        <f t="shared" ca="1" si="256"/>
        <v>4.0285134870667353E-4</v>
      </c>
      <c r="U753" s="120">
        <f t="shared" ca="1" si="257"/>
        <v>1544.7475619899244</v>
      </c>
      <c r="V753" s="4">
        <f t="shared" ca="1" si="258"/>
        <v>0.27485143082199009</v>
      </c>
      <c r="W753" s="13">
        <f t="shared" ca="1" si="259"/>
        <v>24891.340500000002</v>
      </c>
      <c r="X753" s="4">
        <f t="shared" ca="1" si="260"/>
        <v>4.428827544281293</v>
      </c>
      <c r="Y753" s="4">
        <f t="shared" si="261"/>
        <v>0</v>
      </c>
      <c r="Z753" s="13">
        <f t="shared" ca="1" si="262"/>
        <v>24891.340500000002</v>
      </c>
      <c r="AA753" s="4">
        <f t="shared" ca="1" si="263"/>
        <v>4.428827544281293</v>
      </c>
    </row>
    <row r="754" spans="1:27">
      <c r="A754">
        <v>1</v>
      </c>
      <c r="B754">
        <v>2</v>
      </c>
      <c r="C754">
        <f t="shared" ca="1" si="242"/>
        <v>8</v>
      </c>
      <c r="D754">
        <f t="shared" ca="1" si="243"/>
        <v>7</v>
      </c>
      <c r="E754">
        <f t="shared" ca="1" si="244"/>
        <v>1</v>
      </c>
      <c r="F754" s="110">
        <f t="shared" ca="1" si="245"/>
        <v>4.6104100000000005E-3</v>
      </c>
      <c r="G754">
        <v>1</v>
      </c>
      <c r="H754">
        <v>0</v>
      </c>
      <c r="I754">
        <v>4</v>
      </c>
      <c r="J754" s="1">
        <f t="shared" ca="1" si="246"/>
        <v>3.3852916015625085E-3</v>
      </c>
      <c r="K754" s="1">
        <f t="shared" ca="1" si="247"/>
        <v>1.5607582252759805E-5</v>
      </c>
      <c r="L754" s="13">
        <f t="shared" ca="1" si="248"/>
        <v>334</v>
      </c>
      <c r="M754" s="7">
        <f t="shared" ca="1" si="249"/>
        <v>666</v>
      </c>
      <c r="N754" s="26">
        <f t="shared" ca="1" si="250"/>
        <v>3</v>
      </c>
      <c r="O754" s="44">
        <f t="shared" ca="1" si="251"/>
        <v>2.2641455309069398</v>
      </c>
      <c r="P754" s="44">
        <f t="shared" ca="1" si="252"/>
        <v>22.641455309069404</v>
      </c>
      <c r="Q754" s="44">
        <f t="shared" ca="1" si="253"/>
        <v>22.641455309069404</v>
      </c>
      <c r="R754" s="44">
        <f t="shared" ca="1" si="254"/>
        <v>2.2641455309069403</v>
      </c>
      <c r="S754" s="44">
        <f t="shared" ca="1" si="255"/>
        <v>2.2641455309069398</v>
      </c>
      <c r="T754" s="4">
        <f t="shared" ca="1" si="256"/>
        <v>3.5337837605848583E-5</v>
      </c>
      <c r="U754" s="120">
        <f t="shared" ca="1" si="257"/>
        <v>1524.7475619899244</v>
      </c>
      <c r="V754" s="4">
        <f t="shared" ca="1" si="258"/>
        <v>2.3797622988452727E-2</v>
      </c>
      <c r="W754" s="13">
        <f t="shared" ca="1" si="259"/>
        <v>20863.615500000004</v>
      </c>
      <c r="X754" s="4">
        <f t="shared" ca="1" si="260"/>
        <v>0.32563059500620445</v>
      </c>
      <c r="Y754" s="4">
        <f t="shared" si="261"/>
        <v>0</v>
      </c>
      <c r="Z754" s="13">
        <f t="shared" ca="1" si="262"/>
        <v>20863.615500000004</v>
      </c>
      <c r="AA754" s="4">
        <f t="shared" ca="1" si="263"/>
        <v>0.32563059500620445</v>
      </c>
    </row>
    <row r="755" spans="1:27">
      <c r="A755">
        <v>1</v>
      </c>
      <c r="B755">
        <v>2</v>
      </c>
      <c r="C755">
        <f t="shared" ca="1" si="242"/>
        <v>8</v>
      </c>
      <c r="D755">
        <f t="shared" ca="1" si="243"/>
        <v>7</v>
      </c>
      <c r="E755">
        <f t="shared" ca="1" si="244"/>
        <v>1</v>
      </c>
      <c r="F755" s="110">
        <f t="shared" ca="1" si="245"/>
        <v>4.6104100000000005E-3</v>
      </c>
      <c r="G755">
        <v>1</v>
      </c>
      <c r="H755">
        <v>0</v>
      </c>
      <c r="I755">
        <v>3</v>
      </c>
      <c r="J755" s="1">
        <f t="shared" ca="1" si="246"/>
        <v>1.7817324218750058E-4</v>
      </c>
      <c r="K755" s="1">
        <f t="shared" ca="1" si="247"/>
        <v>8.2145169751367466E-7</v>
      </c>
      <c r="L755" s="13">
        <f t="shared" ca="1" si="248"/>
        <v>314</v>
      </c>
      <c r="M755" s="7">
        <f t="shared" ca="1" si="249"/>
        <v>686</v>
      </c>
      <c r="N755" s="26">
        <f t="shared" ca="1" si="250"/>
        <v>3</v>
      </c>
      <c r="O755" s="44">
        <f t="shared" ca="1" si="251"/>
        <v>2.2641455309069398</v>
      </c>
      <c r="P755" s="44">
        <f t="shared" ca="1" si="252"/>
        <v>22.641455309069404</v>
      </c>
      <c r="Q755" s="44">
        <f t="shared" ca="1" si="253"/>
        <v>22.641455309069404</v>
      </c>
      <c r="R755" s="44">
        <f t="shared" ca="1" si="254"/>
        <v>2.2641455309069403</v>
      </c>
      <c r="S755" s="44">
        <f t="shared" ca="1" si="255"/>
        <v>2.2641455309069398</v>
      </c>
      <c r="T755" s="4">
        <f t="shared" ca="1" si="256"/>
        <v>1.8598861897815058E-6</v>
      </c>
      <c r="U755" s="120">
        <f t="shared" ca="1" si="257"/>
        <v>1504.7475619899244</v>
      </c>
      <c r="V755" s="4">
        <f t="shared" ca="1" si="258"/>
        <v>1.2360774391261867E-3</v>
      </c>
      <c r="W755" s="13">
        <f t="shared" ca="1" si="259"/>
        <v>16835.890500000001</v>
      </c>
      <c r="X755" s="4">
        <f t="shared" ca="1" si="260"/>
        <v>1.382987083037935E-2</v>
      </c>
      <c r="Y755" s="4">
        <f t="shared" si="261"/>
        <v>0</v>
      </c>
      <c r="Z755" s="13">
        <f t="shared" ca="1" si="262"/>
        <v>16835.890500000001</v>
      </c>
      <c r="AA755" s="4">
        <f t="shared" ca="1" si="263"/>
        <v>1.382987083037935E-2</v>
      </c>
    </row>
    <row r="756" spans="1:27">
      <c r="A756">
        <v>1</v>
      </c>
      <c r="B756">
        <v>2</v>
      </c>
      <c r="C756">
        <f t="shared" ca="1" si="242"/>
        <v>8</v>
      </c>
      <c r="D756">
        <f t="shared" ca="1" si="243"/>
        <v>7</v>
      </c>
      <c r="E756">
        <f t="shared" ca="1" si="244"/>
        <v>1</v>
      </c>
      <c r="F756" s="110">
        <f t="shared" ca="1" si="245"/>
        <v>4.6104100000000005E-3</v>
      </c>
      <c r="G756">
        <v>1</v>
      </c>
      <c r="H756">
        <v>0</v>
      </c>
      <c r="I756">
        <v>2</v>
      </c>
      <c r="J756" s="1">
        <f t="shared" ca="1" si="246"/>
        <v>5.6265234375000243E-6</v>
      </c>
      <c r="K756" s="1">
        <f t="shared" ca="1" si="247"/>
        <v>2.5940579921484492E-8</v>
      </c>
      <c r="L756" s="13">
        <f t="shared" ca="1" si="248"/>
        <v>294</v>
      </c>
      <c r="M756" s="7">
        <f t="shared" ca="1" si="249"/>
        <v>706</v>
      </c>
      <c r="N756" s="26">
        <f t="shared" ca="1" si="250"/>
        <v>3</v>
      </c>
      <c r="O756" s="44">
        <f t="shared" ca="1" si="251"/>
        <v>2.2641455309069398</v>
      </c>
      <c r="P756" s="44">
        <f t="shared" ca="1" si="252"/>
        <v>22.641455309069404</v>
      </c>
      <c r="Q756" s="44">
        <f t="shared" ca="1" si="253"/>
        <v>22.641455309069404</v>
      </c>
      <c r="R756" s="44">
        <f t="shared" ca="1" si="254"/>
        <v>2.2641455309069403</v>
      </c>
      <c r="S756" s="44">
        <f t="shared" ca="1" si="255"/>
        <v>2.2641455309069398</v>
      </c>
      <c r="T756" s="4">
        <f t="shared" ca="1" si="256"/>
        <v>5.8733248098363409E-8</v>
      </c>
      <c r="U756" s="120">
        <f t="shared" ca="1" si="257"/>
        <v>1484.7475619899244</v>
      </c>
      <c r="V756" s="4">
        <f t="shared" ca="1" si="258"/>
        <v>3.8515212795028885E-5</v>
      </c>
      <c r="W756" s="13">
        <f t="shared" ca="1" si="259"/>
        <v>12808.165500000003</v>
      </c>
      <c r="X756" s="4">
        <f t="shared" ca="1" si="260"/>
        <v>3.3225124080035046E-4</v>
      </c>
      <c r="Y756" s="4">
        <f t="shared" si="261"/>
        <v>0</v>
      </c>
      <c r="Z756" s="13">
        <f t="shared" ca="1" si="262"/>
        <v>12808.165500000003</v>
      </c>
      <c r="AA756" s="4">
        <f t="shared" ca="1" si="263"/>
        <v>3.3225124080035046E-4</v>
      </c>
    </row>
    <row r="757" spans="1:27">
      <c r="A757">
        <v>1</v>
      </c>
      <c r="B757">
        <v>2</v>
      </c>
      <c r="C757">
        <f t="shared" ca="1" si="242"/>
        <v>8</v>
      </c>
      <c r="D757">
        <f t="shared" ca="1" si="243"/>
        <v>7</v>
      </c>
      <c r="E757">
        <f t="shared" ca="1" si="244"/>
        <v>1</v>
      </c>
      <c r="F757" s="110">
        <f t="shared" ca="1" si="245"/>
        <v>4.6104100000000005E-3</v>
      </c>
      <c r="G757">
        <v>1</v>
      </c>
      <c r="H757">
        <v>0</v>
      </c>
      <c r="I757">
        <v>1</v>
      </c>
      <c r="J757" s="1">
        <f t="shared" ca="1" si="246"/>
        <v>9.8710937500000504E-8</v>
      </c>
      <c r="K757" s="1">
        <f t="shared" ca="1" si="247"/>
        <v>4.5509789335937736E-10</v>
      </c>
      <c r="L757" s="13">
        <f t="shared" ca="1" si="248"/>
        <v>274</v>
      </c>
      <c r="M757" s="7">
        <f t="shared" ca="1" si="249"/>
        <v>726</v>
      </c>
      <c r="N757" s="26">
        <f t="shared" ca="1" si="250"/>
        <v>3</v>
      </c>
      <c r="O757" s="44">
        <f t="shared" ca="1" si="251"/>
        <v>2.2641455309069398</v>
      </c>
      <c r="P757" s="44">
        <f t="shared" ca="1" si="252"/>
        <v>22.641455309069404</v>
      </c>
      <c r="Q757" s="44">
        <f t="shared" ca="1" si="253"/>
        <v>22.641455309069404</v>
      </c>
      <c r="R757" s="44">
        <f t="shared" ca="1" si="254"/>
        <v>2.2641455309069403</v>
      </c>
      <c r="S757" s="44">
        <f t="shared" ca="1" si="255"/>
        <v>2.2641455309069398</v>
      </c>
      <c r="T757" s="4">
        <f t="shared" ca="1" si="256"/>
        <v>1.0304078613747973E-9</v>
      </c>
      <c r="U757" s="120">
        <f t="shared" ca="1" si="257"/>
        <v>1464.7475619899244</v>
      </c>
      <c r="V757" s="4">
        <f t="shared" ca="1" si="258"/>
        <v>6.6660352976489859E-7</v>
      </c>
      <c r="W757" s="13">
        <f t="shared" ca="1" si="259"/>
        <v>8780.4405000000006</v>
      </c>
      <c r="X757" s="4">
        <f t="shared" ca="1" si="260"/>
        <v>3.9959599743173581E-6</v>
      </c>
      <c r="Y757" s="4">
        <f t="shared" si="261"/>
        <v>0</v>
      </c>
      <c r="Z757" s="13">
        <f t="shared" ca="1" si="262"/>
        <v>8780.4405000000006</v>
      </c>
      <c r="AA757" s="4">
        <f t="shared" ca="1" si="263"/>
        <v>3.9959599743173581E-6</v>
      </c>
    </row>
    <row r="758" spans="1:27">
      <c r="A758">
        <v>1</v>
      </c>
      <c r="B758">
        <v>2</v>
      </c>
      <c r="C758">
        <f t="shared" ca="1" si="242"/>
        <v>8</v>
      </c>
      <c r="D758">
        <f t="shared" ca="1" si="243"/>
        <v>7</v>
      </c>
      <c r="E758">
        <f t="shared" ca="1" si="244"/>
        <v>1</v>
      </c>
      <c r="F758" s="110">
        <f t="shared" ca="1" si="245"/>
        <v>4.6104100000000005E-3</v>
      </c>
      <c r="G758">
        <v>1</v>
      </c>
      <c r="H758">
        <v>0</v>
      </c>
      <c r="I758">
        <v>0</v>
      </c>
      <c r="J758" s="1">
        <f t="shared" ca="1" si="246"/>
        <v>7.4218750000000458E-10</v>
      </c>
      <c r="K758" s="1">
        <f t="shared" ca="1" si="247"/>
        <v>3.4217886718750217E-12</v>
      </c>
      <c r="L758" s="13">
        <f t="shared" ca="1" si="248"/>
        <v>254</v>
      </c>
      <c r="M758" s="7">
        <f t="shared" ca="1" si="249"/>
        <v>746</v>
      </c>
      <c r="N758" s="26">
        <f t="shared" ca="1" si="250"/>
        <v>3</v>
      </c>
      <c r="O758" s="44">
        <f t="shared" ca="1" si="251"/>
        <v>2.2641455309069398</v>
      </c>
      <c r="P758" s="44">
        <f t="shared" ca="1" si="252"/>
        <v>22.641455309069404</v>
      </c>
      <c r="Q758" s="44">
        <f t="shared" ca="1" si="253"/>
        <v>22.641455309069404</v>
      </c>
      <c r="R758" s="44">
        <f t="shared" ca="1" si="254"/>
        <v>2.2641455309069403</v>
      </c>
      <c r="S758" s="44">
        <f t="shared" ca="1" si="255"/>
        <v>2.2641455309069398</v>
      </c>
      <c r="T758" s="4">
        <f t="shared" ca="1" si="256"/>
        <v>7.7474275291338234E-12</v>
      </c>
      <c r="U758" s="120">
        <f t="shared" ca="1" si="257"/>
        <v>1444.7475619899244</v>
      </c>
      <c r="V758" s="4">
        <f t="shared" ca="1" si="258"/>
        <v>4.9436208413361791E-9</v>
      </c>
      <c r="W758" s="13">
        <f t="shared" ca="1" si="259"/>
        <v>4752.7155000000012</v>
      </c>
      <c r="X758" s="4">
        <f t="shared" ca="1" si="260"/>
        <v>1.6262788058544833E-8</v>
      </c>
      <c r="Y758" s="4">
        <f t="shared" si="261"/>
        <v>0</v>
      </c>
      <c r="Z758" s="13">
        <f t="shared" ca="1" si="262"/>
        <v>4752.7155000000012</v>
      </c>
      <c r="AA758" s="4">
        <f t="shared" ca="1" si="263"/>
        <v>1.6262788058544833E-8</v>
      </c>
    </row>
    <row r="759" spans="1:27">
      <c r="A759">
        <v>1</v>
      </c>
      <c r="B759">
        <v>2</v>
      </c>
      <c r="C759">
        <f t="shared" ca="1" si="242"/>
        <v>8</v>
      </c>
      <c r="D759">
        <f t="shared" ca="1" si="243"/>
        <v>7</v>
      </c>
      <c r="E759">
        <f t="shared" ca="1" si="244"/>
        <v>1</v>
      </c>
      <c r="F759" s="110">
        <f t="shared" ca="1" si="245"/>
        <v>4.6104100000000005E-3</v>
      </c>
      <c r="G759">
        <v>0</v>
      </c>
      <c r="H759">
        <v>1</v>
      </c>
      <c r="I759">
        <v>7</v>
      </c>
      <c r="J759" s="1">
        <f t="shared" ca="1" si="246"/>
        <v>0</v>
      </c>
      <c r="K759" s="1">
        <f t="shared" ca="1" si="247"/>
        <v>0</v>
      </c>
      <c r="L759" s="13">
        <f t="shared" ca="1" si="248"/>
        <v>394</v>
      </c>
      <c r="M759" s="7">
        <f t="shared" ca="1" si="249"/>
        <v>606</v>
      </c>
      <c r="N759" s="26">
        <f t="shared" ca="1" si="250"/>
        <v>3</v>
      </c>
      <c r="O759" s="44">
        <f t="shared" ca="1" si="251"/>
        <v>2.2641455309069398</v>
      </c>
      <c r="P759" s="44">
        <f t="shared" ca="1" si="252"/>
        <v>22.641455309069404</v>
      </c>
      <c r="Q759" s="44">
        <f t="shared" ca="1" si="253"/>
        <v>22.641455309069404</v>
      </c>
      <c r="R759" s="44">
        <f t="shared" ca="1" si="254"/>
        <v>2.2641455309069403</v>
      </c>
      <c r="S759" s="44">
        <f t="shared" ca="1" si="255"/>
        <v>2.2641455309069398</v>
      </c>
      <c r="T759" s="4">
        <f t="shared" ca="1" si="256"/>
        <v>0</v>
      </c>
      <c r="U759" s="120">
        <f t="shared" ca="1" si="257"/>
        <v>1584.7475619899244</v>
      </c>
      <c r="V759" s="4">
        <f t="shared" ca="1" si="258"/>
        <v>0</v>
      </c>
      <c r="W759" s="13">
        <f t="shared" ca="1" si="259"/>
        <v>28194.075000000001</v>
      </c>
      <c r="X759" s="4">
        <f t="shared" ca="1" si="260"/>
        <v>0</v>
      </c>
      <c r="Y759" s="4">
        <f t="shared" si="261"/>
        <v>0</v>
      </c>
      <c r="Z759" s="13">
        <f t="shared" ca="1" si="262"/>
        <v>28194.075000000001</v>
      </c>
      <c r="AA759" s="4">
        <f t="shared" ca="1" si="263"/>
        <v>0</v>
      </c>
    </row>
    <row r="760" spans="1:27">
      <c r="A760">
        <v>1</v>
      </c>
      <c r="B760">
        <v>2</v>
      </c>
      <c r="C760">
        <f t="shared" ca="1" si="242"/>
        <v>8</v>
      </c>
      <c r="D760">
        <f t="shared" ca="1" si="243"/>
        <v>7</v>
      </c>
      <c r="E760">
        <f t="shared" ca="1" si="244"/>
        <v>1</v>
      </c>
      <c r="F760" s="110">
        <f t="shared" ca="1" si="245"/>
        <v>4.6104100000000005E-3</v>
      </c>
      <c r="G760">
        <v>0</v>
      </c>
      <c r="H760">
        <v>1</v>
      </c>
      <c r="I760">
        <v>6</v>
      </c>
      <c r="J760" s="1">
        <f t="shared" ca="1" si="246"/>
        <v>0</v>
      </c>
      <c r="K760" s="1">
        <f t="shared" ca="1" si="247"/>
        <v>0</v>
      </c>
      <c r="L760" s="13">
        <f t="shared" ca="1" si="248"/>
        <v>374</v>
      </c>
      <c r="M760" s="7">
        <f t="shared" ca="1" si="249"/>
        <v>626</v>
      </c>
      <c r="N760" s="26">
        <f t="shared" ca="1" si="250"/>
        <v>3</v>
      </c>
      <c r="O760" s="44">
        <f t="shared" ca="1" si="251"/>
        <v>2.2641455309069398</v>
      </c>
      <c r="P760" s="44">
        <f t="shared" ca="1" si="252"/>
        <v>22.641455309069404</v>
      </c>
      <c r="Q760" s="44">
        <f t="shared" ca="1" si="253"/>
        <v>22.641455309069404</v>
      </c>
      <c r="R760" s="44">
        <f t="shared" ca="1" si="254"/>
        <v>2.2641455309069403</v>
      </c>
      <c r="S760" s="44">
        <f t="shared" ca="1" si="255"/>
        <v>2.2641455309069398</v>
      </c>
      <c r="T760" s="4">
        <f t="shared" ca="1" si="256"/>
        <v>0</v>
      </c>
      <c r="U760" s="120">
        <f t="shared" ca="1" si="257"/>
        <v>1564.7475619899244</v>
      </c>
      <c r="V760" s="4">
        <f t="shared" ca="1" si="258"/>
        <v>0</v>
      </c>
      <c r="W760" s="13">
        <f t="shared" ca="1" si="259"/>
        <v>24166.350000000002</v>
      </c>
      <c r="X760" s="4">
        <f t="shared" ca="1" si="260"/>
        <v>0</v>
      </c>
      <c r="Y760" s="4">
        <f t="shared" si="261"/>
        <v>0</v>
      </c>
      <c r="Z760" s="13">
        <f t="shared" ca="1" si="262"/>
        <v>24166.350000000002</v>
      </c>
      <c r="AA760" s="4">
        <f t="shared" ca="1" si="263"/>
        <v>0</v>
      </c>
    </row>
    <row r="761" spans="1:27">
      <c r="A761">
        <v>1</v>
      </c>
      <c r="B761">
        <v>2</v>
      </c>
      <c r="C761">
        <f t="shared" ca="1" si="242"/>
        <v>8</v>
      </c>
      <c r="D761">
        <f t="shared" ca="1" si="243"/>
        <v>7</v>
      </c>
      <c r="E761">
        <f t="shared" ca="1" si="244"/>
        <v>1</v>
      </c>
      <c r="F761" s="110">
        <f t="shared" ca="1" si="245"/>
        <v>4.6104100000000005E-3</v>
      </c>
      <c r="G761">
        <v>0</v>
      </c>
      <c r="H761">
        <v>1</v>
      </c>
      <c r="I761">
        <v>5</v>
      </c>
      <c r="J761" s="1">
        <f t="shared" ca="1" si="246"/>
        <v>0</v>
      </c>
      <c r="K761" s="1">
        <f t="shared" ca="1" si="247"/>
        <v>0</v>
      </c>
      <c r="L761" s="13">
        <f t="shared" ca="1" si="248"/>
        <v>354</v>
      </c>
      <c r="M761" s="7">
        <f t="shared" ca="1" si="249"/>
        <v>646</v>
      </c>
      <c r="N761" s="26">
        <f t="shared" ca="1" si="250"/>
        <v>3</v>
      </c>
      <c r="O761" s="44">
        <f t="shared" ca="1" si="251"/>
        <v>2.2641455309069398</v>
      </c>
      <c r="P761" s="44">
        <f t="shared" ca="1" si="252"/>
        <v>22.641455309069404</v>
      </c>
      <c r="Q761" s="44">
        <f t="shared" ca="1" si="253"/>
        <v>22.641455309069404</v>
      </c>
      <c r="R761" s="44">
        <f t="shared" ca="1" si="254"/>
        <v>2.2641455309069403</v>
      </c>
      <c r="S761" s="44">
        <f t="shared" ca="1" si="255"/>
        <v>2.2641455309069398</v>
      </c>
      <c r="T761" s="4">
        <f t="shared" ca="1" si="256"/>
        <v>0</v>
      </c>
      <c r="U761" s="120">
        <f t="shared" ca="1" si="257"/>
        <v>1544.7475619899244</v>
      </c>
      <c r="V761" s="4">
        <f t="shared" ca="1" si="258"/>
        <v>0</v>
      </c>
      <c r="W761" s="13">
        <f t="shared" ca="1" si="259"/>
        <v>20138.625</v>
      </c>
      <c r="X761" s="4">
        <f t="shared" ca="1" si="260"/>
        <v>0</v>
      </c>
      <c r="Y761" s="4">
        <f t="shared" si="261"/>
        <v>0</v>
      </c>
      <c r="Z761" s="13">
        <f t="shared" ca="1" si="262"/>
        <v>20138.625</v>
      </c>
      <c r="AA761" s="4">
        <f t="shared" ca="1" si="263"/>
        <v>0</v>
      </c>
    </row>
    <row r="762" spans="1:27">
      <c r="A762">
        <v>1</v>
      </c>
      <c r="B762">
        <v>2</v>
      </c>
      <c r="C762">
        <f t="shared" ca="1" si="242"/>
        <v>8</v>
      </c>
      <c r="D762">
        <f t="shared" ca="1" si="243"/>
        <v>7</v>
      </c>
      <c r="E762">
        <f t="shared" ca="1" si="244"/>
        <v>1</v>
      </c>
      <c r="F762" s="110">
        <f t="shared" ca="1" si="245"/>
        <v>4.6104100000000005E-3</v>
      </c>
      <c r="G762">
        <v>0</v>
      </c>
      <c r="H762">
        <v>1</v>
      </c>
      <c r="I762">
        <v>4</v>
      </c>
      <c r="J762" s="1">
        <f t="shared" ca="1" si="246"/>
        <v>0</v>
      </c>
      <c r="K762" s="1">
        <f t="shared" ca="1" si="247"/>
        <v>0</v>
      </c>
      <c r="L762" s="13">
        <f t="shared" ca="1" si="248"/>
        <v>334</v>
      </c>
      <c r="M762" s="7">
        <f t="shared" ca="1" si="249"/>
        <v>666</v>
      </c>
      <c r="N762" s="26">
        <f t="shared" ca="1" si="250"/>
        <v>3</v>
      </c>
      <c r="O762" s="44">
        <f t="shared" ca="1" si="251"/>
        <v>2.2641455309069398</v>
      </c>
      <c r="P762" s="44">
        <f t="shared" ca="1" si="252"/>
        <v>22.641455309069404</v>
      </c>
      <c r="Q762" s="44">
        <f t="shared" ca="1" si="253"/>
        <v>22.641455309069404</v>
      </c>
      <c r="R762" s="44">
        <f t="shared" ca="1" si="254"/>
        <v>2.2641455309069403</v>
      </c>
      <c r="S762" s="44">
        <f t="shared" ca="1" si="255"/>
        <v>2.2641455309069398</v>
      </c>
      <c r="T762" s="4">
        <f t="shared" ca="1" si="256"/>
        <v>0</v>
      </c>
      <c r="U762" s="120">
        <f t="shared" ca="1" si="257"/>
        <v>1524.7475619899244</v>
      </c>
      <c r="V762" s="4">
        <f t="shared" ca="1" si="258"/>
        <v>0</v>
      </c>
      <c r="W762" s="13">
        <f t="shared" ca="1" si="259"/>
        <v>16110.900000000001</v>
      </c>
      <c r="X762" s="4">
        <f t="shared" ca="1" si="260"/>
        <v>0</v>
      </c>
      <c r="Y762" s="4">
        <f t="shared" si="261"/>
        <v>0</v>
      </c>
      <c r="Z762" s="13">
        <f t="shared" ca="1" si="262"/>
        <v>16110.900000000001</v>
      </c>
      <c r="AA762" s="4">
        <f t="shared" ca="1" si="263"/>
        <v>0</v>
      </c>
    </row>
    <row r="763" spans="1:27">
      <c r="A763">
        <v>1</v>
      </c>
      <c r="B763">
        <v>2</v>
      </c>
      <c r="C763">
        <f t="shared" ca="1" si="242"/>
        <v>8</v>
      </c>
      <c r="D763">
        <f t="shared" ca="1" si="243"/>
        <v>7</v>
      </c>
      <c r="E763">
        <f t="shared" ca="1" si="244"/>
        <v>1</v>
      </c>
      <c r="F763" s="110">
        <f t="shared" ca="1" si="245"/>
        <v>4.6104100000000005E-3</v>
      </c>
      <c r="G763">
        <v>0</v>
      </c>
      <c r="H763">
        <v>1</v>
      </c>
      <c r="I763">
        <v>3</v>
      </c>
      <c r="J763" s="1">
        <f t="shared" ca="1" si="246"/>
        <v>0</v>
      </c>
      <c r="K763" s="1">
        <f t="shared" ca="1" si="247"/>
        <v>0</v>
      </c>
      <c r="L763" s="13">
        <f t="shared" ca="1" si="248"/>
        <v>314</v>
      </c>
      <c r="M763" s="7">
        <f t="shared" ca="1" si="249"/>
        <v>686</v>
      </c>
      <c r="N763" s="26">
        <f t="shared" ca="1" si="250"/>
        <v>3</v>
      </c>
      <c r="O763" s="44">
        <f t="shared" ca="1" si="251"/>
        <v>2.2641455309069398</v>
      </c>
      <c r="P763" s="44">
        <f t="shared" ca="1" si="252"/>
        <v>22.641455309069404</v>
      </c>
      <c r="Q763" s="44">
        <f t="shared" ca="1" si="253"/>
        <v>22.641455309069404</v>
      </c>
      <c r="R763" s="44">
        <f t="shared" ca="1" si="254"/>
        <v>2.2641455309069403</v>
      </c>
      <c r="S763" s="44">
        <f t="shared" ca="1" si="255"/>
        <v>2.2641455309069398</v>
      </c>
      <c r="T763" s="4">
        <f t="shared" ca="1" si="256"/>
        <v>0</v>
      </c>
      <c r="U763" s="120">
        <f t="shared" ca="1" si="257"/>
        <v>1504.7475619899244</v>
      </c>
      <c r="V763" s="4">
        <f t="shared" ca="1" si="258"/>
        <v>0</v>
      </c>
      <c r="W763" s="13">
        <f t="shared" ca="1" si="259"/>
        <v>12083.175000000001</v>
      </c>
      <c r="X763" s="4">
        <f t="shared" ca="1" si="260"/>
        <v>0</v>
      </c>
      <c r="Y763" s="4">
        <f t="shared" si="261"/>
        <v>0</v>
      </c>
      <c r="Z763" s="13">
        <f t="shared" ca="1" si="262"/>
        <v>12083.175000000001</v>
      </c>
      <c r="AA763" s="4">
        <f t="shared" ca="1" si="263"/>
        <v>0</v>
      </c>
    </row>
    <row r="764" spans="1:27">
      <c r="A764">
        <v>1</v>
      </c>
      <c r="B764">
        <v>2</v>
      </c>
      <c r="C764">
        <f t="shared" ca="1" si="242"/>
        <v>8</v>
      </c>
      <c r="D764">
        <f t="shared" ca="1" si="243"/>
        <v>7</v>
      </c>
      <c r="E764">
        <f t="shared" ca="1" si="244"/>
        <v>1</v>
      </c>
      <c r="F764" s="110">
        <f t="shared" ca="1" si="245"/>
        <v>4.6104100000000005E-3</v>
      </c>
      <c r="G764">
        <v>0</v>
      </c>
      <c r="H764">
        <v>1</v>
      </c>
      <c r="I764">
        <v>2</v>
      </c>
      <c r="J764" s="1">
        <f t="shared" ca="1" si="246"/>
        <v>0</v>
      </c>
      <c r="K764" s="1">
        <f t="shared" ca="1" si="247"/>
        <v>0</v>
      </c>
      <c r="L764" s="13">
        <f t="shared" ca="1" si="248"/>
        <v>294</v>
      </c>
      <c r="M764" s="7">
        <f t="shared" ca="1" si="249"/>
        <v>706</v>
      </c>
      <c r="N764" s="26">
        <f t="shared" ca="1" si="250"/>
        <v>3</v>
      </c>
      <c r="O764" s="44">
        <f t="shared" ca="1" si="251"/>
        <v>2.2641455309069398</v>
      </c>
      <c r="P764" s="44">
        <f t="shared" ca="1" si="252"/>
        <v>22.641455309069404</v>
      </c>
      <c r="Q764" s="44">
        <f t="shared" ca="1" si="253"/>
        <v>22.641455309069404</v>
      </c>
      <c r="R764" s="44">
        <f t="shared" ca="1" si="254"/>
        <v>2.2641455309069403</v>
      </c>
      <c r="S764" s="44">
        <f t="shared" ca="1" si="255"/>
        <v>2.2641455309069398</v>
      </c>
      <c r="T764" s="4">
        <f t="shared" ca="1" si="256"/>
        <v>0</v>
      </c>
      <c r="U764" s="120">
        <f t="shared" ca="1" si="257"/>
        <v>1484.7475619899244</v>
      </c>
      <c r="V764" s="4">
        <f t="shared" ca="1" si="258"/>
        <v>0</v>
      </c>
      <c r="W764" s="13">
        <f t="shared" ca="1" si="259"/>
        <v>8055.4500000000007</v>
      </c>
      <c r="X764" s="4">
        <f t="shared" ca="1" si="260"/>
        <v>0</v>
      </c>
      <c r="Y764" s="4">
        <f t="shared" si="261"/>
        <v>0</v>
      </c>
      <c r="Z764" s="13">
        <f t="shared" ca="1" si="262"/>
        <v>8055.4500000000007</v>
      </c>
      <c r="AA764" s="4">
        <f t="shared" ca="1" si="263"/>
        <v>0</v>
      </c>
    </row>
    <row r="765" spans="1:27">
      <c r="A765">
        <v>1</v>
      </c>
      <c r="B765">
        <v>2</v>
      </c>
      <c r="C765">
        <f t="shared" ca="1" si="242"/>
        <v>8</v>
      </c>
      <c r="D765">
        <f t="shared" ca="1" si="243"/>
        <v>7</v>
      </c>
      <c r="E765">
        <f t="shared" ca="1" si="244"/>
        <v>1</v>
      </c>
      <c r="F765" s="110">
        <f t="shared" ca="1" si="245"/>
        <v>4.6104100000000005E-3</v>
      </c>
      <c r="G765">
        <v>0</v>
      </c>
      <c r="H765">
        <v>1</v>
      </c>
      <c r="I765">
        <v>1</v>
      </c>
      <c r="J765" s="1">
        <f t="shared" ca="1" si="246"/>
        <v>0</v>
      </c>
      <c r="K765" s="1">
        <f t="shared" ca="1" si="247"/>
        <v>0</v>
      </c>
      <c r="L765" s="13">
        <f t="shared" ca="1" si="248"/>
        <v>274</v>
      </c>
      <c r="M765" s="7">
        <f t="shared" ca="1" si="249"/>
        <v>726</v>
      </c>
      <c r="N765" s="26">
        <f t="shared" ca="1" si="250"/>
        <v>3</v>
      </c>
      <c r="O765" s="44">
        <f t="shared" ca="1" si="251"/>
        <v>2.2641455309069398</v>
      </c>
      <c r="P765" s="44">
        <f t="shared" ca="1" si="252"/>
        <v>22.641455309069404</v>
      </c>
      <c r="Q765" s="44">
        <f t="shared" ca="1" si="253"/>
        <v>22.641455309069404</v>
      </c>
      <c r="R765" s="44">
        <f t="shared" ca="1" si="254"/>
        <v>2.2641455309069403</v>
      </c>
      <c r="S765" s="44">
        <f t="shared" ca="1" si="255"/>
        <v>2.2641455309069398</v>
      </c>
      <c r="T765" s="4">
        <f t="shared" ca="1" si="256"/>
        <v>0</v>
      </c>
      <c r="U765" s="120">
        <f t="shared" ca="1" si="257"/>
        <v>1464.7475619899244</v>
      </c>
      <c r="V765" s="4">
        <f t="shared" ca="1" si="258"/>
        <v>0</v>
      </c>
      <c r="W765" s="13">
        <f t="shared" ca="1" si="259"/>
        <v>4027.7250000000004</v>
      </c>
      <c r="X765" s="4">
        <f t="shared" ca="1" si="260"/>
        <v>0</v>
      </c>
      <c r="Y765" s="4">
        <f t="shared" si="261"/>
        <v>0</v>
      </c>
      <c r="Z765" s="13">
        <f t="shared" ca="1" si="262"/>
        <v>4027.7250000000004</v>
      </c>
      <c r="AA765" s="4">
        <f t="shared" ca="1" si="263"/>
        <v>0</v>
      </c>
    </row>
    <row r="766" spans="1:27">
      <c r="A766">
        <v>1</v>
      </c>
      <c r="B766">
        <v>2</v>
      </c>
      <c r="C766">
        <f t="shared" ca="1" si="242"/>
        <v>8</v>
      </c>
      <c r="D766">
        <f t="shared" ca="1" si="243"/>
        <v>7</v>
      </c>
      <c r="E766">
        <f t="shared" ca="1" si="244"/>
        <v>1</v>
      </c>
      <c r="F766" s="110">
        <f t="shared" ca="1" si="245"/>
        <v>4.6104100000000005E-3</v>
      </c>
      <c r="G766">
        <v>0</v>
      </c>
      <c r="H766">
        <v>1</v>
      </c>
      <c r="I766">
        <v>0</v>
      </c>
      <c r="J766" s="1">
        <f t="shared" ca="1" si="246"/>
        <v>0</v>
      </c>
      <c r="K766" s="1">
        <f t="shared" ca="1" si="247"/>
        <v>0</v>
      </c>
      <c r="L766" s="13">
        <f t="shared" ca="1" si="248"/>
        <v>254</v>
      </c>
      <c r="M766" s="7">
        <f t="shared" ca="1" si="249"/>
        <v>746</v>
      </c>
      <c r="N766" s="26">
        <f t="shared" ca="1" si="250"/>
        <v>3</v>
      </c>
      <c r="O766" s="44">
        <f t="shared" ca="1" si="251"/>
        <v>2.2641455309069398</v>
      </c>
      <c r="P766" s="44">
        <f t="shared" ca="1" si="252"/>
        <v>22.641455309069404</v>
      </c>
      <c r="Q766" s="44">
        <f t="shared" ca="1" si="253"/>
        <v>22.641455309069404</v>
      </c>
      <c r="R766" s="44">
        <f t="shared" ca="1" si="254"/>
        <v>2.2641455309069403</v>
      </c>
      <c r="S766" s="44">
        <f t="shared" ca="1" si="255"/>
        <v>2.2641455309069398</v>
      </c>
      <c r="T766" s="4">
        <f t="shared" ca="1" si="256"/>
        <v>0</v>
      </c>
      <c r="U766" s="120">
        <f t="shared" ca="1" si="257"/>
        <v>1444.7475619899244</v>
      </c>
      <c r="V766" s="4">
        <f t="shared" ca="1" si="258"/>
        <v>0</v>
      </c>
      <c r="W766" s="13">
        <f t="shared" ca="1" si="259"/>
        <v>0</v>
      </c>
      <c r="X766" s="4">
        <f t="shared" ca="1" si="260"/>
        <v>0</v>
      </c>
      <c r="Y766" s="4">
        <f t="shared" si="261"/>
        <v>0</v>
      </c>
      <c r="Z766" s="13">
        <f t="shared" ca="1" si="262"/>
        <v>0</v>
      </c>
      <c r="AA766" s="4">
        <f t="shared" ca="1" si="263"/>
        <v>0</v>
      </c>
    </row>
    <row r="767" spans="1:27">
      <c r="A767">
        <v>1</v>
      </c>
      <c r="B767">
        <v>2</v>
      </c>
      <c r="C767">
        <f t="shared" ca="1" si="242"/>
        <v>8</v>
      </c>
      <c r="D767">
        <f t="shared" ca="1" si="243"/>
        <v>7</v>
      </c>
      <c r="E767">
        <f t="shared" ca="1" si="244"/>
        <v>1</v>
      </c>
      <c r="F767" s="110">
        <f t="shared" ca="1" si="245"/>
        <v>4.6104100000000005E-3</v>
      </c>
      <c r="G767">
        <v>0</v>
      </c>
      <c r="H767">
        <v>0</v>
      </c>
      <c r="I767">
        <v>7</v>
      </c>
      <c r="J767" s="1">
        <f t="shared" ca="1" si="246"/>
        <v>3.4916864804687496E-2</v>
      </c>
      <c r="K767" s="1">
        <f t="shared" ca="1" si="247"/>
        <v>1.609810626641793E-4</v>
      </c>
      <c r="L767" s="13">
        <f t="shared" ca="1" si="248"/>
        <v>140</v>
      </c>
      <c r="M767" s="7">
        <f t="shared" ca="1" si="249"/>
        <v>860</v>
      </c>
      <c r="N767" s="26">
        <f t="shared" ca="1" si="250"/>
        <v>4</v>
      </c>
      <c r="O767" s="44">
        <f t="shared" ca="1" si="251"/>
        <v>2.8910364854084887</v>
      </c>
      <c r="P767" s="44">
        <f t="shared" ca="1" si="252"/>
        <v>28.910364854084886</v>
      </c>
      <c r="Q767" s="44">
        <f t="shared" ca="1" si="253"/>
        <v>28.910364854084886</v>
      </c>
      <c r="R767" s="44">
        <f t="shared" ca="1" si="254"/>
        <v>2.8910364854084887</v>
      </c>
      <c r="S767" s="44">
        <f t="shared" ca="1" si="255"/>
        <v>2.8910364854084882</v>
      </c>
      <c r="T767" s="4">
        <f t="shared" ca="1" si="256"/>
        <v>4.6540212562197253E-4</v>
      </c>
      <c r="U767" s="120">
        <f t="shared" ca="1" si="257"/>
        <v>1600.6349838037554</v>
      </c>
      <c r="V767" s="4">
        <f t="shared" ca="1" si="258"/>
        <v>0.25767192063018995</v>
      </c>
      <c r="W767" s="13">
        <f t="shared" ca="1" si="259"/>
        <v>28194.075000000001</v>
      </c>
      <c r="X767" s="4">
        <f t="shared" ca="1" si="260"/>
        <v>4.5387121543335711</v>
      </c>
      <c r="Y767" s="4">
        <f t="shared" si="261"/>
        <v>0</v>
      </c>
      <c r="Z767" s="13">
        <f t="shared" ca="1" si="262"/>
        <v>28194.075000000001</v>
      </c>
      <c r="AA767" s="4">
        <f t="shared" ca="1" si="263"/>
        <v>4.5387121543335711</v>
      </c>
    </row>
    <row r="768" spans="1:27">
      <c r="A768">
        <v>1</v>
      </c>
      <c r="B768">
        <v>2</v>
      </c>
      <c r="C768">
        <f t="shared" ca="1" si="242"/>
        <v>8</v>
      </c>
      <c r="D768">
        <f t="shared" ca="1" si="243"/>
        <v>7</v>
      </c>
      <c r="E768">
        <f t="shared" ca="1" si="244"/>
        <v>1</v>
      </c>
      <c r="F768" s="110">
        <f t="shared" ca="1" si="245"/>
        <v>4.6104100000000005E-3</v>
      </c>
      <c r="G768">
        <v>0</v>
      </c>
      <c r="H768">
        <v>0</v>
      </c>
      <c r="I768">
        <v>6</v>
      </c>
      <c r="J768" s="1">
        <f t="shared" ca="1" si="246"/>
        <v>1.2864108085937513E-2</v>
      </c>
      <c r="K768" s="1">
        <f t="shared" ca="1" si="247"/>
        <v>5.930881256048718E-5</v>
      </c>
      <c r="L768" s="13">
        <f t="shared" ca="1" si="248"/>
        <v>120</v>
      </c>
      <c r="M768" s="7">
        <f t="shared" ca="1" si="249"/>
        <v>880</v>
      </c>
      <c r="N768" s="26">
        <f t="shared" ca="1" si="250"/>
        <v>4</v>
      </c>
      <c r="O768" s="44">
        <f t="shared" ca="1" si="251"/>
        <v>2.8910364854084887</v>
      </c>
      <c r="P768" s="44">
        <f t="shared" ca="1" si="252"/>
        <v>28.910364854084886</v>
      </c>
      <c r="Q768" s="44">
        <f t="shared" ca="1" si="253"/>
        <v>28.910364854084886</v>
      </c>
      <c r="R768" s="44">
        <f t="shared" ca="1" si="254"/>
        <v>2.8910364854084887</v>
      </c>
      <c r="S768" s="44">
        <f t="shared" ca="1" si="255"/>
        <v>2.8910364854084882</v>
      </c>
      <c r="T768" s="4">
        <f t="shared" ca="1" si="256"/>
        <v>1.7146394101862165E-4</v>
      </c>
      <c r="U768" s="120">
        <f t="shared" ca="1" si="257"/>
        <v>1580.6349838037554</v>
      </c>
      <c r="V768" s="4">
        <f t="shared" ca="1" si="258"/>
        <v>9.3745583980965622E-2</v>
      </c>
      <c r="W768" s="13">
        <f t="shared" ca="1" si="259"/>
        <v>24166.350000000002</v>
      </c>
      <c r="X768" s="4">
        <f t="shared" ca="1" si="260"/>
        <v>1.4332775224211294</v>
      </c>
      <c r="Y768" s="4">
        <f t="shared" si="261"/>
        <v>0</v>
      </c>
      <c r="Z768" s="13">
        <f t="shared" ca="1" si="262"/>
        <v>24166.350000000002</v>
      </c>
      <c r="AA768" s="4">
        <f t="shared" ca="1" si="263"/>
        <v>1.4332775224211294</v>
      </c>
    </row>
    <row r="769" spans="1:27">
      <c r="A769">
        <v>1</v>
      </c>
      <c r="B769">
        <v>2</v>
      </c>
      <c r="C769">
        <f t="shared" ca="1" si="242"/>
        <v>8</v>
      </c>
      <c r="D769">
        <f t="shared" ca="1" si="243"/>
        <v>7</v>
      </c>
      <c r="E769">
        <f t="shared" ca="1" si="244"/>
        <v>1</v>
      </c>
      <c r="F769" s="110">
        <f t="shared" ca="1" si="245"/>
        <v>4.6104100000000005E-3</v>
      </c>
      <c r="G769">
        <v>0</v>
      </c>
      <c r="H769">
        <v>0</v>
      </c>
      <c r="I769">
        <v>5</v>
      </c>
      <c r="J769" s="1">
        <f t="shared" ca="1" si="246"/>
        <v>2.0311749609375038E-3</v>
      </c>
      <c r="K769" s="1">
        <f t="shared" ca="1" si="247"/>
        <v>9.3645493516558778E-6</v>
      </c>
      <c r="L769" s="13">
        <f t="shared" ca="1" si="248"/>
        <v>100</v>
      </c>
      <c r="M769" s="7">
        <f t="shared" ca="1" si="249"/>
        <v>900</v>
      </c>
      <c r="N769" s="26">
        <f t="shared" ca="1" si="250"/>
        <v>4</v>
      </c>
      <c r="O769" s="44">
        <f t="shared" ca="1" si="251"/>
        <v>2.8910364854084887</v>
      </c>
      <c r="P769" s="44">
        <f t="shared" ca="1" si="252"/>
        <v>28.910364854084886</v>
      </c>
      <c r="Q769" s="44">
        <f t="shared" ca="1" si="253"/>
        <v>28.910364854084886</v>
      </c>
      <c r="R769" s="44">
        <f t="shared" ca="1" si="254"/>
        <v>2.8910364854084887</v>
      </c>
      <c r="S769" s="44">
        <f t="shared" ca="1" si="255"/>
        <v>2.8910364854084882</v>
      </c>
      <c r="T769" s="4">
        <f t="shared" ca="1" si="256"/>
        <v>2.7073253845045546E-5</v>
      </c>
      <c r="U769" s="120">
        <f t="shared" ca="1" si="257"/>
        <v>1560.6349838037554</v>
      </c>
      <c r="V769" s="4">
        <f t="shared" ca="1" si="258"/>
        <v>1.4614643325750938E-2</v>
      </c>
      <c r="W769" s="13">
        <f t="shared" ca="1" si="259"/>
        <v>20138.625</v>
      </c>
      <c r="X769" s="4">
        <f t="shared" ca="1" si="260"/>
        <v>0.18858914768699087</v>
      </c>
      <c r="Y769" s="4">
        <f t="shared" si="261"/>
        <v>0</v>
      </c>
      <c r="Z769" s="13">
        <f t="shared" ca="1" si="262"/>
        <v>20138.625</v>
      </c>
      <c r="AA769" s="4">
        <f t="shared" ca="1" si="263"/>
        <v>0.18858914768699087</v>
      </c>
    </row>
    <row r="770" spans="1:27">
      <c r="A770">
        <v>1</v>
      </c>
      <c r="B770">
        <v>2</v>
      </c>
      <c r="C770">
        <f t="shared" ca="1" si="242"/>
        <v>8</v>
      </c>
      <c r="D770">
        <f t="shared" ca="1" si="243"/>
        <v>7</v>
      </c>
      <c r="E770">
        <f t="shared" ca="1" si="244"/>
        <v>1</v>
      </c>
      <c r="F770" s="110">
        <f t="shared" ca="1" si="245"/>
        <v>4.6104100000000005E-3</v>
      </c>
      <c r="G770">
        <v>0</v>
      </c>
      <c r="H770">
        <v>0</v>
      </c>
      <c r="I770">
        <v>4</v>
      </c>
      <c r="J770" s="1">
        <f t="shared" ca="1" si="246"/>
        <v>1.7817324218750047E-4</v>
      </c>
      <c r="K770" s="1">
        <f t="shared" ca="1" si="247"/>
        <v>8.2145169751367413E-7</v>
      </c>
      <c r="L770" s="13">
        <f t="shared" ca="1" si="248"/>
        <v>80</v>
      </c>
      <c r="M770" s="7">
        <f t="shared" ca="1" si="249"/>
        <v>920</v>
      </c>
      <c r="N770" s="26">
        <f t="shared" ca="1" si="250"/>
        <v>4</v>
      </c>
      <c r="O770" s="44">
        <f t="shared" ca="1" si="251"/>
        <v>2.8910364854084887</v>
      </c>
      <c r="P770" s="44">
        <f t="shared" ca="1" si="252"/>
        <v>28.910364854084886</v>
      </c>
      <c r="Q770" s="44">
        <f t="shared" ca="1" si="253"/>
        <v>28.910364854084886</v>
      </c>
      <c r="R770" s="44">
        <f t="shared" ca="1" si="254"/>
        <v>2.8910364854084887</v>
      </c>
      <c r="S770" s="44">
        <f t="shared" ca="1" si="255"/>
        <v>2.8910364854084882</v>
      </c>
      <c r="T770" s="4">
        <f t="shared" ca="1" si="256"/>
        <v>2.3748468285127689E-6</v>
      </c>
      <c r="U770" s="120">
        <f t="shared" ca="1" si="257"/>
        <v>1540.6349838037554</v>
      </c>
      <c r="V770" s="4">
        <f t="shared" ca="1" si="258"/>
        <v>1.2655572226945467E-3</v>
      </c>
      <c r="W770" s="13">
        <f t="shared" ca="1" si="259"/>
        <v>16110.900000000001</v>
      </c>
      <c r="X770" s="4">
        <f t="shared" ca="1" si="260"/>
        <v>1.3234326153473053E-2</v>
      </c>
      <c r="Y770" s="4">
        <f t="shared" si="261"/>
        <v>0</v>
      </c>
      <c r="Z770" s="13">
        <f t="shared" ca="1" si="262"/>
        <v>16110.900000000001</v>
      </c>
      <c r="AA770" s="4">
        <f t="shared" ca="1" si="263"/>
        <v>1.3234326153473053E-2</v>
      </c>
    </row>
    <row r="771" spans="1:27">
      <c r="A771">
        <v>1</v>
      </c>
      <c r="B771">
        <v>2</v>
      </c>
      <c r="C771">
        <f t="shared" ca="1" si="242"/>
        <v>8</v>
      </c>
      <c r="D771">
        <f t="shared" ca="1" si="243"/>
        <v>7</v>
      </c>
      <c r="E771">
        <f t="shared" ca="1" si="244"/>
        <v>1</v>
      </c>
      <c r="F771" s="110">
        <f t="shared" ca="1" si="245"/>
        <v>4.6104100000000005E-3</v>
      </c>
      <c r="G771">
        <v>0</v>
      </c>
      <c r="H771">
        <v>0</v>
      </c>
      <c r="I771">
        <v>3</v>
      </c>
      <c r="J771" s="1">
        <f t="shared" ca="1" si="246"/>
        <v>9.3775390625000315E-6</v>
      </c>
      <c r="K771" s="1">
        <f t="shared" ca="1" si="247"/>
        <v>4.3234299869140773E-8</v>
      </c>
      <c r="L771" s="13">
        <f t="shared" ca="1" si="248"/>
        <v>60</v>
      </c>
      <c r="M771" s="7">
        <f t="shared" ca="1" si="249"/>
        <v>940</v>
      </c>
      <c r="N771" s="26">
        <f t="shared" ca="1" si="250"/>
        <v>4</v>
      </c>
      <c r="O771" s="44">
        <f t="shared" ca="1" si="251"/>
        <v>2.8910364854084887</v>
      </c>
      <c r="P771" s="44">
        <f t="shared" ca="1" si="252"/>
        <v>28.910364854084886</v>
      </c>
      <c r="Q771" s="44">
        <f t="shared" ca="1" si="253"/>
        <v>28.910364854084886</v>
      </c>
      <c r="R771" s="44">
        <f t="shared" ca="1" si="254"/>
        <v>2.8910364854084887</v>
      </c>
      <c r="S771" s="44">
        <f t="shared" ca="1" si="255"/>
        <v>2.8910364854084882</v>
      </c>
      <c r="T771" s="4">
        <f t="shared" ca="1" si="256"/>
        <v>1.249919383427774E-7</v>
      </c>
      <c r="U771" s="120">
        <f t="shared" ca="1" si="257"/>
        <v>1520.6349838037554</v>
      </c>
      <c r="V771" s="4">
        <f t="shared" ca="1" si="258"/>
        <v>6.5743588881277587E-5</v>
      </c>
      <c r="W771" s="13">
        <f t="shared" ca="1" si="259"/>
        <v>12083.175000000001</v>
      </c>
      <c r="X771" s="4">
        <f t="shared" ca="1" si="260"/>
        <v>5.2240761132130512E-4</v>
      </c>
      <c r="Y771" s="4">
        <f t="shared" si="261"/>
        <v>0</v>
      </c>
      <c r="Z771" s="13">
        <f t="shared" ca="1" si="262"/>
        <v>12083.175000000001</v>
      </c>
      <c r="AA771" s="4">
        <f t="shared" ca="1" si="263"/>
        <v>5.2240761132130512E-4</v>
      </c>
    </row>
    <row r="772" spans="1:27">
      <c r="A772">
        <v>1</v>
      </c>
      <c r="B772">
        <v>2</v>
      </c>
      <c r="C772">
        <f t="shared" ca="1" si="242"/>
        <v>8</v>
      </c>
      <c r="D772">
        <f t="shared" ca="1" si="243"/>
        <v>7</v>
      </c>
      <c r="E772">
        <f t="shared" ca="1" si="244"/>
        <v>1</v>
      </c>
      <c r="F772" s="110">
        <f t="shared" ca="1" si="245"/>
        <v>4.6104100000000005E-3</v>
      </c>
      <c r="G772">
        <v>0</v>
      </c>
      <c r="H772">
        <v>0</v>
      </c>
      <c r="I772">
        <v>2</v>
      </c>
      <c r="J772" s="1">
        <f t="shared" ca="1" si="246"/>
        <v>2.961328125000013E-7</v>
      </c>
      <c r="K772" s="1">
        <f t="shared" ca="1" si="247"/>
        <v>1.3652936800781311E-9</v>
      </c>
      <c r="L772" s="13">
        <f t="shared" ca="1" si="248"/>
        <v>40</v>
      </c>
      <c r="M772" s="7">
        <f t="shared" ca="1" si="249"/>
        <v>960</v>
      </c>
      <c r="N772" s="26">
        <f t="shared" ca="1" si="250"/>
        <v>4</v>
      </c>
      <c r="O772" s="44">
        <f t="shared" ca="1" si="251"/>
        <v>2.8910364854084887</v>
      </c>
      <c r="P772" s="44">
        <f t="shared" ca="1" si="252"/>
        <v>28.910364854084886</v>
      </c>
      <c r="Q772" s="44">
        <f t="shared" ca="1" si="253"/>
        <v>28.910364854084886</v>
      </c>
      <c r="R772" s="44">
        <f t="shared" ca="1" si="254"/>
        <v>2.8910364854084887</v>
      </c>
      <c r="S772" s="44">
        <f t="shared" ca="1" si="255"/>
        <v>2.8910364854084882</v>
      </c>
      <c r="T772" s="4">
        <f t="shared" ca="1" si="256"/>
        <v>3.9471138424035012E-9</v>
      </c>
      <c r="U772" s="120">
        <f t="shared" ca="1" si="257"/>
        <v>1500.6349838037554</v>
      </c>
      <c r="V772" s="4">
        <f t="shared" ca="1" si="258"/>
        <v>2.0488074594914157E-6</v>
      </c>
      <c r="W772" s="13">
        <f t="shared" ca="1" si="259"/>
        <v>8055.4500000000007</v>
      </c>
      <c r="X772" s="4">
        <f t="shared" ca="1" si="260"/>
        <v>1.0998054975185383E-5</v>
      </c>
      <c r="Y772" s="4">
        <f t="shared" si="261"/>
        <v>0</v>
      </c>
      <c r="Z772" s="13">
        <f t="shared" ca="1" si="262"/>
        <v>8055.4500000000007</v>
      </c>
      <c r="AA772" s="4">
        <f t="shared" ca="1" si="263"/>
        <v>1.0998054975185383E-5</v>
      </c>
    </row>
    <row r="773" spans="1:27">
      <c r="A773">
        <v>1</v>
      </c>
      <c r="B773">
        <v>2</v>
      </c>
      <c r="C773">
        <f t="shared" ca="1" si="242"/>
        <v>8</v>
      </c>
      <c r="D773">
        <f t="shared" ca="1" si="243"/>
        <v>7</v>
      </c>
      <c r="E773">
        <f t="shared" ca="1" si="244"/>
        <v>1</v>
      </c>
      <c r="F773" s="110">
        <f t="shared" ca="1" si="245"/>
        <v>4.6104100000000005E-3</v>
      </c>
      <c r="G773">
        <v>0</v>
      </c>
      <c r="H773">
        <v>0</v>
      </c>
      <c r="I773">
        <v>1</v>
      </c>
      <c r="J773" s="1">
        <f t="shared" ca="1" si="246"/>
        <v>5.1953125000000272E-9</v>
      </c>
      <c r="K773" s="1">
        <f t="shared" ca="1" si="247"/>
        <v>2.3952520703125127E-11</v>
      </c>
      <c r="L773" s="13">
        <f t="shared" ca="1" si="248"/>
        <v>20</v>
      </c>
      <c r="M773" s="7">
        <f t="shared" ca="1" si="249"/>
        <v>980</v>
      </c>
      <c r="N773" s="26">
        <f t="shared" ca="1" si="250"/>
        <v>4</v>
      </c>
      <c r="O773" s="44">
        <f t="shared" ca="1" si="251"/>
        <v>2.8910364854084887</v>
      </c>
      <c r="P773" s="44">
        <f t="shared" ca="1" si="252"/>
        <v>28.910364854084886</v>
      </c>
      <c r="Q773" s="44">
        <f t="shared" ca="1" si="253"/>
        <v>28.910364854084886</v>
      </c>
      <c r="R773" s="44">
        <f t="shared" ca="1" si="254"/>
        <v>2.8910364854084887</v>
      </c>
      <c r="S773" s="44">
        <f t="shared" ca="1" si="255"/>
        <v>2.8910364854084882</v>
      </c>
      <c r="T773" s="4">
        <f t="shared" ca="1" si="256"/>
        <v>6.9247611270236924E-11</v>
      </c>
      <c r="U773" s="120">
        <f t="shared" ca="1" si="257"/>
        <v>1480.6349838037554</v>
      </c>
      <c r="V773" s="4">
        <f t="shared" ca="1" si="258"/>
        <v>3.5464940103330788E-8</v>
      </c>
      <c r="W773" s="13">
        <f t="shared" ca="1" si="259"/>
        <v>4027.7250000000004</v>
      </c>
      <c r="X773" s="4">
        <f t="shared" ca="1" si="260"/>
        <v>9.6474166448994656E-8</v>
      </c>
      <c r="Y773" s="4">
        <f t="shared" si="261"/>
        <v>0</v>
      </c>
      <c r="Z773" s="13">
        <f t="shared" ca="1" si="262"/>
        <v>4027.7250000000004</v>
      </c>
      <c r="AA773" s="4">
        <f t="shared" ca="1" si="263"/>
        <v>9.6474166448994656E-8</v>
      </c>
    </row>
    <row r="774" spans="1:27">
      <c r="A774">
        <v>1</v>
      </c>
      <c r="B774">
        <v>2</v>
      </c>
      <c r="C774">
        <f t="shared" ca="1" si="242"/>
        <v>8</v>
      </c>
      <c r="D774">
        <f t="shared" ca="1" si="243"/>
        <v>7</v>
      </c>
      <c r="E774">
        <f t="shared" ca="1" si="244"/>
        <v>1</v>
      </c>
      <c r="F774" s="110">
        <f t="shared" ca="1" si="245"/>
        <v>4.6104100000000005E-3</v>
      </c>
      <c r="G774">
        <v>0</v>
      </c>
      <c r="H774">
        <v>0</v>
      </c>
      <c r="I774">
        <v>0</v>
      </c>
      <c r="J774" s="1">
        <f t="shared" ca="1" si="246"/>
        <v>3.9062500000000246E-11</v>
      </c>
      <c r="K774" s="1">
        <f t="shared" ca="1" si="247"/>
        <v>1.8009414062500115E-13</v>
      </c>
      <c r="L774" s="13">
        <f t="shared" ca="1" si="248"/>
        <v>0</v>
      </c>
      <c r="M774" s="7">
        <f t="shared" ca="1" si="249"/>
        <v>1000</v>
      </c>
      <c r="N774" s="26">
        <f t="shared" ca="1" si="250"/>
        <v>4</v>
      </c>
      <c r="O774" s="44">
        <f t="shared" ca="1" si="251"/>
        <v>2.8910364854084887</v>
      </c>
      <c r="P774" s="44">
        <f t="shared" ca="1" si="252"/>
        <v>28.910364854084886</v>
      </c>
      <c r="Q774" s="44">
        <f t="shared" ca="1" si="253"/>
        <v>28.910364854084886</v>
      </c>
      <c r="R774" s="44">
        <f t="shared" ca="1" si="254"/>
        <v>2.8910364854084887</v>
      </c>
      <c r="S774" s="44">
        <f t="shared" ca="1" si="255"/>
        <v>2.8910364854084882</v>
      </c>
      <c r="T774" s="4">
        <f t="shared" ca="1" si="256"/>
        <v>5.2065873135516533E-13</v>
      </c>
      <c r="U774" s="120">
        <f t="shared" ca="1" si="257"/>
        <v>1460.6349838037554</v>
      </c>
      <c r="V774" s="4">
        <f t="shared" ca="1" si="258"/>
        <v>2.6305180217494982E-10</v>
      </c>
      <c r="W774" s="13">
        <f t="shared" ca="1" si="259"/>
        <v>0</v>
      </c>
      <c r="X774" s="4">
        <f t="shared" ca="1" si="260"/>
        <v>0</v>
      </c>
      <c r="Y774" s="4">
        <f t="shared" si="261"/>
        <v>0</v>
      </c>
      <c r="Z774" s="13">
        <f t="shared" ca="1" si="262"/>
        <v>0</v>
      </c>
      <c r="AA774" s="4">
        <f t="shared" ca="1" si="263"/>
        <v>0</v>
      </c>
    </row>
    <row r="775" spans="1:27">
      <c r="A775">
        <v>1</v>
      </c>
      <c r="B775">
        <v>3</v>
      </c>
      <c r="C775">
        <f t="shared" ca="1" si="242"/>
        <v>8</v>
      </c>
      <c r="D775">
        <f t="shared" ca="1" si="243"/>
        <v>7</v>
      </c>
      <c r="E775">
        <f t="shared" ca="1" si="244"/>
        <v>1</v>
      </c>
      <c r="F775" s="110">
        <f t="shared" ca="1" si="245"/>
        <v>7.1294999999999996E-3</v>
      </c>
      <c r="G775">
        <v>1</v>
      </c>
      <c r="H775">
        <v>1</v>
      </c>
      <c r="I775">
        <v>7</v>
      </c>
      <c r="J775" s="1">
        <f t="shared" ca="1" si="246"/>
        <v>0</v>
      </c>
      <c r="K775" s="1">
        <f t="shared" ca="1" si="247"/>
        <v>0</v>
      </c>
      <c r="L775" s="13">
        <f t="shared" ca="1" si="248"/>
        <v>648</v>
      </c>
      <c r="M775" s="7">
        <f t="shared" ca="1" si="249"/>
        <v>352</v>
      </c>
      <c r="N775" s="26">
        <f t="shared" ca="1" si="250"/>
        <v>2</v>
      </c>
      <c r="O775" s="44">
        <f t="shared" ca="1" si="251"/>
        <v>1.5942243152407929</v>
      </c>
      <c r="P775" s="44">
        <f t="shared" ca="1" si="252"/>
        <v>15.942243152407926</v>
      </c>
      <c r="Q775" s="44">
        <f t="shared" ca="1" si="253"/>
        <v>15.942243152407926</v>
      </c>
      <c r="R775" s="44">
        <f t="shared" ca="1" si="254"/>
        <v>1.5942243152407927</v>
      </c>
      <c r="S775" s="44">
        <f t="shared" ca="1" si="255"/>
        <v>1.5942243152407927</v>
      </c>
      <c r="T775" s="4">
        <f t="shared" ca="1" si="256"/>
        <v>0</v>
      </c>
      <c r="U775" s="120">
        <f t="shared" ca="1" si="257"/>
        <v>1550.3348669012169</v>
      </c>
      <c r="V775" s="4">
        <f t="shared" ca="1" si="258"/>
        <v>0</v>
      </c>
      <c r="W775" s="13">
        <f t="shared" ca="1" si="259"/>
        <v>32946.790500000003</v>
      </c>
      <c r="X775" s="4">
        <f t="shared" ca="1" si="260"/>
        <v>0</v>
      </c>
      <c r="Y775" s="4">
        <f t="shared" si="261"/>
        <v>0</v>
      </c>
      <c r="Z775" s="13">
        <f t="shared" ca="1" si="262"/>
        <v>32946.790500000003</v>
      </c>
      <c r="AA775" s="4">
        <f t="shared" ca="1" si="263"/>
        <v>0</v>
      </c>
    </row>
    <row r="776" spans="1:27">
      <c r="A776">
        <v>1</v>
      </c>
      <c r="B776">
        <v>3</v>
      </c>
      <c r="C776">
        <f t="shared" ca="1" si="242"/>
        <v>8</v>
      </c>
      <c r="D776">
        <f t="shared" ca="1" si="243"/>
        <v>7</v>
      </c>
      <c r="E776">
        <f t="shared" ca="1" si="244"/>
        <v>1</v>
      </c>
      <c r="F776" s="110">
        <f t="shared" ca="1" si="245"/>
        <v>7.1294999999999996E-3</v>
      </c>
      <c r="G776">
        <v>1</v>
      </c>
      <c r="H776">
        <v>1</v>
      </c>
      <c r="I776">
        <v>6</v>
      </c>
      <c r="J776" s="1">
        <f t="shared" ca="1" si="246"/>
        <v>0</v>
      </c>
      <c r="K776" s="1">
        <f t="shared" ca="1" si="247"/>
        <v>0</v>
      </c>
      <c r="L776" s="13">
        <f t="shared" ca="1" si="248"/>
        <v>628</v>
      </c>
      <c r="M776" s="7">
        <f t="shared" ca="1" si="249"/>
        <v>372</v>
      </c>
      <c r="N776" s="26">
        <f t="shared" ca="1" si="250"/>
        <v>2</v>
      </c>
      <c r="O776" s="44">
        <f t="shared" ca="1" si="251"/>
        <v>1.5942243152407929</v>
      </c>
      <c r="P776" s="44">
        <f t="shared" ca="1" si="252"/>
        <v>15.942243152407926</v>
      </c>
      <c r="Q776" s="44">
        <f t="shared" ca="1" si="253"/>
        <v>15.942243152407926</v>
      </c>
      <c r="R776" s="44">
        <f t="shared" ca="1" si="254"/>
        <v>1.5942243152407927</v>
      </c>
      <c r="S776" s="44">
        <f t="shared" ca="1" si="255"/>
        <v>1.5942243152407927</v>
      </c>
      <c r="T776" s="4">
        <f t="shared" ca="1" si="256"/>
        <v>0</v>
      </c>
      <c r="U776" s="120">
        <f t="shared" ca="1" si="257"/>
        <v>1530.3348669012169</v>
      </c>
      <c r="V776" s="4">
        <f t="shared" ca="1" si="258"/>
        <v>0</v>
      </c>
      <c r="W776" s="13">
        <f t="shared" ca="1" si="259"/>
        <v>28919.065500000004</v>
      </c>
      <c r="X776" s="4">
        <f t="shared" ca="1" si="260"/>
        <v>0</v>
      </c>
      <c r="Y776" s="4">
        <f t="shared" si="261"/>
        <v>0</v>
      </c>
      <c r="Z776" s="13">
        <f t="shared" ca="1" si="262"/>
        <v>28919.065500000004</v>
      </c>
      <c r="AA776" s="4">
        <f t="shared" ca="1" si="263"/>
        <v>0</v>
      </c>
    </row>
    <row r="777" spans="1:27">
      <c r="A777">
        <v>1</v>
      </c>
      <c r="B777">
        <v>3</v>
      </c>
      <c r="C777">
        <f t="shared" ca="1" si="242"/>
        <v>8</v>
      </c>
      <c r="D777">
        <f t="shared" ca="1" si="243"/>
        <v>7</v>
      </c>
      <c r="E777">
        <f t="shared" ca="1" si="244"/>
        <v>1</v>
      </c>
      <c r="F777" s="110">
        <f t="shared" ca="1" si="245"/>
        <v>7.1294999999999996E-3</v>
      </c>
      <c r="G777">
        <v>1</v>
      </c>
      <c r="H777">
        <v>1</v>
      </c>
      <c r="I777">
        <v>5</v>
      </c>
      <c r="J777" s="1">
        <f t="shared" ca="1" si="246"/>
        <v>0</v>
      </c>
      <c r="K777" s="1">
        <f t="shared" ca="1" si="247"/>
        <v>0</v>
      </c>
      <c r="L777" s="13">
        <f t="shared" ca="1" si="248"/>
        <v>608</v>
      </c>
      <c r="M777" s="7">
        <f t="shared" ca="1" si="249"/>
        <v>392</v>
      </c>
      <c r="N777" s="26">
        <f t="shared" ca="1" si="250"/>
        <v>2</v>
      </c>
      <c r="O777" s="44">
        <f t="shared" ca="1" si="251"/>
        <v>1.5942243152407929</v>
      </c>
      <c r="P777" s="44">
        <f t="shared" ca="1" si="252"/>
        <v>15.942243152407926</v>
      </c>
      <c r="Q777" s="44">
        <f t="shared" ca="1" si="253"/>
        <v>15.942243152407926</v>
      </c>
      <c r="R777" s="44">
        <f t="shared" ca="1" si="254"/>
        <v>1.5942243152407927</v>
      </c>
      <c r="S777" s="44">
        <f t="shared" ca="1" si="255"/>
        <v>1.5942243152407927</v>
      </c>
      <c r="T777" s="4">
        <f t="shared" ca="1" si="256"/>
        <v>0</v>
      </c>
      <c r="U777" s="120">
        <f t="shared" ca="1" si="257"/>
        <v>1510.3348669012169</v>
      </c>
      <c r="V777" s="4">
        <f t="shared" ca="1" si="258"/>
        <v>0</v>
      </c>
      <c r="W777" s="13">
        <f t="shared" ca="1" si="259"/>
        <v>24891.340500000002</v>
      </c>
      <c r="X777" s="4">
        <f t="shared" ca="1" si="260"/>
        <v>0</v>
      </c>
      <c r="Y777" s="4">
        <f t="shared" si="261"/>
        <v>0</v>
      </c>
      <c r="Z777" s="13">
        <f t="shared" ca="1" si="262"/>
        <v>24891.340500000002</v>
      </c>
      <c r="AA777" s="4">
        <f t="shared" ca="1" si="263"/>
        <v>0</v>
      </c>
    </row>
    <row r="778" spans="1:27">
      <c r="A778">
        <v>1</v>
      </c>
      <c r="B778">
        <v>3</v>
      </c>
      <c r="C778">
        <f t="shared" ca="1" si="242"/>
        <v>8</v>
      </c>
      <c r="D778">
        <f t="shared" ca="1" si="243"/>
        <v>7</v>
      </c>
      <c r="E778">
        <f t="shared" ca="1" si="244"/>
        <v>1</v>
      </c>
      <c r="F778" s="110">
        <f t="shared" ca="1" si="245"/>
        <v>7.1294999999999996E-3</v>
      </c>
      <c r="G778">
        <v>1</v>
      </c>
      <c r="H778">
        <v>1</v>
      </c>
      <c r="I778">
        <v>4</v>
      </c>
      <c r="J778" s="1">
        <f t="shared" ca="1" si="246"/>
        <v>0</v>
      </c>
      <c r="K778" s="1">
        <f t="shared" ca="1" si="247"/>
        <v>0</v>
      </c>
      <c r="L778" s="13">
        <f t="shared" ca="1" si="248"/>
        <v>588</v>
      </c>
      <c r="M778" s="7">
        <f t="shared" ca="1" si="249"/>
        <v>412</v>
      </c>
      <c r="N778" s="26">
        <f t="shared" ca="1" si="250"/>
        <v>2</v>
      </c>
      <c r="O778" s="44">
        <f t="shared" ca="1" si="251"/>
        <v>1.5942243152407929</v>
      </c>
      <c r="P778" s="44">
        <f t="shared" ca="1" si="252"/>
        <v>15.942243152407926</v>
      </c>
      <c r="Q778" s="44">
        <f t="shared" ca="1" si="253"/>
        <v>15.942243152407926</v>
      </c>
      <c r="R778" s="44">
        <f t="shared" ca="1" si="254"/>
        <v>1.5942243152407927</v>
      </c>
      <c r="S778" s="44">
        <f t="shared" ca="1" si="255"/>
        <v>1.5942243152407927</v>
      </c>
      <c r="T778" s="4">
        <f t="shared" ca="1" si="256"/>
        <v>0</v>
      </c>
      <c r="U778" s="120">
        <f t="shared" ca="1" si="257"/>
        <v>1490.3348669012169</v>
      </c>
      <c r="V778" s="4">
        <f t="shared" ca="1" si="258"/>
        <v>0</v>
      </c>
      <c r="W778" s="13">
        <f t="shared" ca="1" si="259"/>
        <v>20863.615500000004</v>
      </c>
      <c r="X778" s="4">
        <f t="shared" ca="1" si="260"/>
        <v>0</v>
      </c>
      <c r="Y778" s="4">
        <f t="shared" si="261"/>
        <v>0</v>
      </c>
      <c r="Z778" s="13">
        <f t="shared" ca="1" si="262"/>
        <v>20863.615500000004</v>
      </c>
      <c r="AA778" s="4">
        <f t="shared" ca="1" si="263"/>
        <v>0</v>
      </c>
    </row>
    <row r="779" spans="1:27">
      <c r="A779">
        <v>1</v>
      </c>
      <c r="B779">
        <v>3</v>
      </c>
      <c r="C779">
        <f t="shared" ca="1" si="242"/>
        <v>8</v>
      </c>
      <c r="D779">
        <f t="shared" ca="1" si="243"/>
        <v>7</v>
      </c>
      <c r="E779">
        <f t="shared" ca="1" si="244"/>
        <v>1</v>
      </c>
      <c r="F779" s="110">
        <f t="shared" ca="1" si="245"/>
        <v>7.1294999999999996E-3</v>
      </c>
      <c r="G779">
        <v>1</v>
      </c>
      <c r="H779">
        <v>1</v>
      </c>
      <c r="I779">
        <v>3</v>
      </c>
      <c r="J779" s="1">
        <f t="shared" ca="1" si="246"/>
        <v>0</v>
      </c>
      <c r="K779" s="1">
        <f t="shared" ca="1" si="247"/>
        <v>0</v>
      </c>
      <c r="L779" s="13">
        <f t="shared" ca="1" si="248"/>
        <v>568</v>
      </c>
      <c r="M779" s="7">
        <f t="shared" ca="1" si="249"/>
        <v>432</v>
      </c>
      <c r="N779" s="26">
        <f t="shared" ca="1" si="250"/>
        <v>2</v>
      </c>
      <c r="O779" s="44">
        <f t="shared" ca="1" si="251"/>
        <v>1.5942243152407929</v>
      </c>
      <c r="P779" s="44">
        <f t="shared" ca="1" si="252"/>
        <v>15.942243152407926</v>
      </c>
      <c r="Q779" s="44">
        <f t="shared" ca="1" si="253"/>
        <v>15.942243152407926</v>
      </c>
      <c r="R779" s="44">
        <f t="shared" ca="1" si="254"/>
        <v>1.5942243152407927</v>
      </c>
      <c r="S779" s="44">
        <f t="shared" ca="1" si="255"/>
        <v>1.5942243152407927</v>
      </c>
      <c r="T779" s="4">
        <f t="shared" ca="1" si="256"/>
        <v>0</v>
      </c>
      <c r="U779" s="120">
        <f t="shared" ca="1" si="257"/>
        <v>1470.3348669012169</v>
      </c>
      <c r="V779" s="4">
        <f t="shared" ca="1" si="258"/>
        <v>0</v>
      </c>
      <c r="W779" s="13">
        <f t="shared" ca="1" si="259"/>
        <v>16835.890500000001</v>
      </c>
      <c r="X779" s="4">
        <f t="shared" ca="1" si="260"/>
        <v>0</v>
      </c>
      <c r="Y779" s="4">
        <f t="shared" si="261"/>
        <v>0</v>
      </c>
      <c r="Z779" s="13">
        <f t="shared" ca="1" si="262"/>
        <v>16835.890500000001</v>
      </c>
      <c r="AA779" s="4">
        <f t="shared" ca="1" si="263"/>
        <v>0</v>
      </c>
    </row>
    <row r="780" spans="1:27">
      <c r="A780">
        <v>1</v>
      </c>
      <c r="B780">
        <v>3</v>
      </c>
      <c r="C780">
        <f t="shared" ca="1" si="242"/>
        <v>8</v>
      </c>
      <c r="D780">
        <f t="shared" ca="1" si="243"/>
        <v>7</v>
      </c>
      <c r="E780">
        <f t="shared" ca="1" si="244"/>
        <v>1</v>
      </c>
      <c r="F780" s="110">
        <f t="shared" ca="1" si="245"/>
        <v>7.1294999999999996E-3</v>
      </c>
      <c r="G780">
        <v>1</v>
      </c>
      <c r="H780">
        <v>1</v>
      </c>
      <c r="I780">
        <v>2</v>
      </c>
      <c r="J780" s="1">
        <f t="shared" ca="1" si="246"/>
        <v>0</v>
      </c>
      <c r="K780" s="1">
        <f t="shared" ca="1" si="247"/>
        <v>0</v>
      </c>
      <c r="L780" s="13">
        <f t="shared" ca="1" si="248"/>
        <v>548</v>
      </c>
      <c r="M780" s="7">
        <f t="shared" ca="1" si="249"/>
        <v>452</v>
      </c>
      <c r="N780" s="26">
        <f t="shared" ca="1" si="250"/>
        <v>2</v>
      </c>
      <c r="O780" s="44">
        <f t="shared" ca="1" si="251"/>
        <v>1.5942243152407929</v>
      </c>
      <c r="P780" s="44">
        <f t="shared" ca="1" si="252"/>
        <v>15.942243152407926</v>
      </c>
      <c r="Q780" s="44">
        <f t="shared" ca="1" si="253"/>
        <v>15.942243152407926</v>
      </c>
      <c r="R780" s="44">
        <f t="shared" ca="1" si="254"/>
        <v>1.5942243152407927</v>
      </c>
      <c r="S780" s="44">
        <f t="shared" ca="1" si="255"/>
        <v>1.5942243152407927</v>
      </c>
      <c r="T780" s="4">
        <f t="shared" ca="1" si="256"/>
        <v>0</v>
      </c>
      <c r="U780" s="120">
        <f t="shared" ca="1" si="257"/>
        <v>1450.3348669012169</v>
      </c>
      <c r="V780" s="4">
        <f t="shared" ca="1" si="258"/>
        <v>0</v>
      </c>
      <c r="W780" s="13">
        <f t="shared" ca="1" si="259"/>
        <v>12808.165500000003</v>
      </c>
      <c r="X780" s="4">
        <f t="shared" ca="1" si="260"/>
        <v>0</v>
      </c>
      <c r="Y780" s="4">
        <f t="shared" si="261"/>
        <v>0</v>
      </c>
      <c r="Z780" s="13">
        <f t="shared" ca="1" si="262"/>
        <v>12808.165500000003</v>
      </c>
      <c r="AA780" s="4">
        <f t="shared" ca="1" si="263"/>
        <v>0</v>
      </c>
    </row>
    <row r="781" spans="1:27">
      <c r="A781">
        <v>1</v>
      </c>
      <c r="B781">
        <v>3</v>
      </c>
      <c r="C781">
        <f t="shared" ca="1" si="242"/>
        <v>8</v>
      </c>
      <c r="D781">
        <f t="shared" ca="1" si="243"/>
        <v>7</v>
      </c>
      <c r="E781">
        <f t="shared" ca="1" si="244"/>
        <v>1</v>
      </c>
      <c r="F781" s="110">
        <f t="shared" ca="1" si="245"/>
        <v>7.1294999999999996E-3</v>
      </c>
      <c r="G781">
        <v>1</v>
      </c>
      <c r="H781">
        <v>1</v>
      </c>
      <c r="I781">
        <v>1</v>
      </c>
      <c r="J781" s="1">
        <f t="shared" ca="1" si="246"/>
        <v>0</v>
      </c>
      <c r="K781" s="1">
        <f t="shared" ca="1" si="247"/>
        <v>0</v>
      </c>
      <c r="L781" s="13">
        <f t="shared" ca="1" si="248"/>
        <v>528</v>
      </c>
      <c r="M781" s="7">
        <f t="shared" ca="1" si="249"/>
        <v>472</v>
      </c>
      <c r="N781" s="26">
        <f t="shared" ca="1" si="250"/>
        <v>2</v>
      </c>
      <c r="O781" s="44">
        <f t="shared" ca="1" si="251"/>
        <v>1.5942243152407929</v>
      </c>
      <c r="P781" s="44">
        <f t="shared" ca="1" si="252"/>
        <v>15.942243152407926</v>
      </c>
      <c r="Q781" s="44">
        <f t="shared" ca="1" si="253"/>
        <v>15.942243152407926</v>
      </c>
      <c r="R781" s="44">
        <f t="shared" ca="1" si="254"/>
        <v>1.5942243152407927</v>
      </c>
      <c r="S781" s="44">
        <f t="shared" ca="1" si="255"/>
        <v>1.5942243152407927</v>
      </c>
      <c r="T781" s="4">
        <f t="shared" ca="1" si="256"/>
        <v>0</v>
      </c>
      <c r="U781" s="120">
        <f t="shared" ca="1" si="257"/>
        <v>1430.3348669012169</v>
      </c>
      <c r="V781" s="4">
        <f t="shared" ca="1" si="258"/>
        <v>0</v>
      </c>
      <c r="W781" s="13">
        <f t="shared" ca="1" si="259"/>
        <v>8780.4405000000006</v>
      </c>
      <c r="X781" s="4">
        <f t="shared" ca="1" si="260"/>
        <v>0</v>
      </c>
      <c r="Y781" s="4">
        <f t="shared" si="261"/>
        <v>0</v>
      </c>
      <c r="Z781" s="13">
        <f t="shared" ca="1" si="262"/>
        <v>8780.4405000000006</v>
      </c>
      <c r="AA781" s="4">
        <f t="shared" ca="1" si="263"/>
        <v>0</v>
      </c>
    </row>
    <row r="782" spans="1:27">
      <c r="A782">
        <v>1</v>
      </c>
      <c r="B782">
        <v>3</v>
      </c>
      <c r="C782">
        <f t="shared" ca="1" si="242"/>
        <v>8</v>
      </c>
      <c r="D782">
        <f t="shared" ca="1" si="243"/>
        <v>7</v>
      </c>
      <c r="E782">
        <f t="shared" ca="1" si="244"/>
        <v>1</v>
      </c>
      <c r="F782" s="110">
        <f t="shared" ca="1" si="245"/>
        <v>7.1294999999999996E-3</v>
      </c>
      <c r="G782">
        <v>1</v>
      </c>
      <c r="H782">
        <v>1</v>
      </c>
      <c r="I782">
        <v>0</v>
      </c>
      <c r="J782" s="1">
        <f t="shared" ca="1" si="246"/>
        <v>0</v>
      </c>
      <c r="K782" s="1">
        <f t="shared" ca="1" si="247"/>
        <v>0</v>
      </c>
      <c r="L782" s="13">
        <f t="shared" ca="1" si="248"/>
        <v>508</v>
      </c>
      <c r="M782" s="7">
        <f t="shared" ca="1" si="249"/>
        <v>492</v>
      </c>
      <c r="N782" s="26">
        <f t="shared" ca="1" si="250"/>
        <v>2</v>
      </c>
      <c r="O782" s="44">
        <f t="shared" ca="1" si="251"/>
        <v>1.5942243152407929</v>
      </c>
      <c r="P782" s="44">
        <f t="shared" ca="1" si="252"/>
        <v>15.942243152407926</v>
      </c>
      <c r="Q782" s="44">
        <f t="shared" ca="1" si="253"/>
        <v>15.942243152407926</v>
      </c>
      <c r="R782" s="44">
        <f t="shared" ca="1" si="254"/>
        <v>1.5942243152407927</v>
      </c>
      <c r="S782" s="44">
        <f t="shared" ca="1" si="255"/>
        <v>1.5942243152407927</v>
      </c>
      <c r="T782" s="4">
        <f t="shared" ca="1" si="256"/>
        <v>0</v>
      </c>
      <c r="U782" s="120">
        <f t="shared" ca="1" si="257"/>
        <v>1410.3348669012169</v>
      </c>
      <c r="V782" s="4">
        <f t="shared" ca="1" si="258"/>
        <v>0</v>
      </c>
      <c r="W782" s="13">
        <f t="shared" ca="1" si="259"/>
        <v>4752.7155000000012</v>
      </c>
      <c r="X782" s="4">
        <f t="shared" ca="1" si="260"/>
        <v>0</v>
      </c>
      <c r="Y782" s="4">
        <f t="shared" si="261"/>
        <v>0</v>
      </c>
      <c r="Z782" s="13">
        <f t="shared" ca="1" si="262"/>
        <v>4752.7155000000012</v>
      </c>
      <c r="AA782" s="4">
        <f t="shared" ca="1" si="263"/>
        <v>0</v>
      </c>
    </row>
    <row r="783" spans="1:27">
      <c r="A783">
        <v>1</v>
      </c>
      <c r="B783">
        <v>3</v>
      </c>
      <c r="C783">
        <f t="shared" ca="1" si="242"/>
        <v>8</v>
      </c>
      <c r="D783">
        <f t="shared" ca="1" si="243"/>
        <v>7</v>
      </c>
      <c r="E783">
        <f t="shared" ca="1" si="244"/>
        <v>1</v>
      </c>
      <c r="F783" s="110">
        <f t="shared" ca="1" si="245"/>
        <v>7.1294999999999996E-3</v>
      </c>
      <c r="G783">
        <v>1</v>
      </c>
      <c r="H783">
        <v>0</v>
      </c>
      <c r="I783">
        <v>7</v>
      </c>
      <c r="J783" s="1">
        <f t="shared" ca="1" si="246"/>
        <v>0.66342043128906247</v>
      </c>
      <c r="K783" s="1">
        <f t="shared" ca="1" si="247"/>
        <v>4.7298559648753704E-3</v>
      </c>
      <c r="L783" s="13">
        <f t="shared" ca="1" si="248"/>
        <v>394</v>
      </c>
      <c r="M783" s="7">
        <f t="shared" ca="1" si="249"/>
        <v>606</v>
      </c>
      <c r="N783" s="26">
        <f t="shared" ca="1" si="250"/>
        <v>3</v>
      </c>
      <c r="O783" s="44">
        <f t="shared" ca="1" si="251"/>
        <v>2.2641455309069398</v>
      </c>
      <c r="P783" s="44">
        <f t="shared" ca="1" si="252"/>
        <v>22.641455309069404</v>
      </c>
      <c r="Q783" s="44">
        <f t="shared" ca="1" si="253"/>
        <v>22.641455309069404</v>
      </c>
      <c r="R783" s="44">
        <f t="shared" ca="1" si="254"/>
        <v>2.2641455309069403</v>
      </c>
      <c r="S783" s="44">
        <f t="shared" ca="1" si="255"/>
        <v>2.2641455309069398</v>
      </c>
      <c r="T783" s="4">
        <f t="shared" ca="1" si="256"/>
        <v>1.0709082244706101E-2</v>
      </c>
      <c r="U783" s="120">
        <f t="shared" ca="1" si="257"/>
        <v>1584.7475619899244</v>
      </c>
      <c r="V783" s="4">
        <f t="shared" ca="1" si="258"/>
        <v>7.4956277088997449</v>
      </c>
      <c r="W783" s="13">
        <f t="shared" ca="1" si="259"/>
        <v>32946.790500000003</v>
      </c>
      <c r="X783" s="4">
        <f t="shared" ca="1" si="260"/>
        <v>155.8335735699242</v>
      </c>
      <c r="Y783" s="4">
        <f t="shared" si="261"/>
        <v>0</v>
      </c>
      <c r="Z783" s="13">
        <f t="shared" ca="1" si="262"/>
        <v>32946.790500000003</v>
      </c>
      <c r="AA783" s="4">
        <f t="shared" ca="1" si="263"/>
        <v>155.8335735699242</v>
      </c>
    </row>
    <row r="784" spans="1:27">
      <c r="A784">
        <v>1</v>
      </c>
      <c r="B784">
        <v>3</v>
      </c>
      <c r="C784">
        <f t="shared" ca="1" si="242"/>
        <v>8</v>
      </c>
      <c r="D784">
        <f t="shared" ca="1" si="243"/>
        <v>7</v>
      </c>
      <c r="E784">
        <f t="shared" ca="1" si="244"/>
        <v>1</v>
      </c>
      <c r="F784" s="110">
        <f t="shared" ca="1" si="245"/>
        <v>7.1294999999999996E-3</v>
      </c>
      <c r="G784">
        <v>1</v>
      </c>
      <c r="H784">
        <v>0</v>
      </c>
      <c r="I784">
        <v>6</v>
      </c>
      <c r="J784" s="1">
        <f t="shared" ca="1" si="246"/>
        <v>0.24441805363281272</v>
      </c>
      <c r="K784" s="1">
        <f t="shared" ca="1" si="247"/>
        <v>1.7425785133751382E-3</v>
      </c>
      <c r="L784" s="13">
        <f t="shared" ca="1" si="248"/>
        <v>374</v>
      </c>
      <c r="M784" s="7">
        <f t="shared" ca="1" si="249"/>
        <v>626</v>
      </c>
      <c r="N784" s="26">
        <f t="shared" ca="1" si="250"/>
        <v>3</v>
      </c>
      <c r="O784" s="44">
        <f t="shared" ca="1" si="251"/>
        <v>2.2641455309069398</v>
      </c>
      <c r="P784" s="44">
        <f t="shared" ca="1" si="252"/>
        <v>22.641455309069404</v>
      </c>
      <c r="Q784" s="44">
        <f t="shared" ca="1" si="253"/>
        <v>22.641455309069404</v>
      </c>
      <c r="R784" s="44">
        <f t="shared" ca="1" si="254"/>
        <v>2.2641455309069403</v>
      </c>
      <c r="S784" s="44">
        <f t="shared" ca="1" si="255"/>
        <v>2.2641455309069398</v>
      </c>
      <c r="T784" s="4">
        <f t="shared" ca="1" si="256"/>
        <v>3.9454513533127783E-3</v>
      </c>
      <c r="U784" s="120">
        <f t="shared" ca="1" si="257"/>
        <v>1564.7475619899244</v>
      </c>
      <c r="V784" s="4">
        <f t="shared" ca="1" si="258"/>
        <v>2.7266954803797745</v>
      </c>
      <c r="W784" s="13">
        <f t="shared" ca="1" si="259"/>
        <v>28919.065500000004</v>
      </c>
      <c r="X784" s="4">
        <f t="shared" ca="1" si="260"/>
        <v>50.393742167188257</v>
      </c>
      <c r="Y784" s="4">
        <f t="shared" si="261"/>
        <v>0</v>
      </c>
      <c r="Z784" s="13">
        <f t="shared" ca="1" si="262"/>
        <v>28919.065500000004</v>
      </c>
      <c r="AA784" s="4">
        <f t="shared" ca="1" si="263"/>
        <v>50.393742167188257</v>
      </c>
    </row>
    <row r="785" spans="1:27">
      <c r="A785">
        <v>1</v>
      </c>
      <c r="B785">
        <v>3</v>
      </c>
      <c r="C785">
        <f t="shared" ca="1" si="242"/>
        <v>8</v>
      </c>
      <c r="D785">
        <f t="shared" ca="1" si="243"/>
        <v>7</v>
      </c>
      <c r="E785">
        <f t="shared" ca="1" si="244"/>
        <v>1</v>
      </c>
      <c r="F785" s="110">
        <f t="shared" ca="1" si="245"/>
        <v>7.1294999999999996E-3</v>
      </c>
      <c r="G785">
        <v>1</v>
      </c>
      <c r="H785">
        <v>0</v>
      </c>
      <c r="I785">
        <v>5</v>
      </c>
      <c r="J785" s="1">
        <f t="shared" ca="1" si="246"/>
        <v>3.8592324257812567E-2</v>
      </c>
      <c r="K785" s="1">
        <f t="shared" ca="1" si="247"/>
        <v>2.7514397579607468E-4</v>
      </c>
      <c r="L785" s="13">
        <f t="shared" ca="1" si="248"/>
        <v>354</v>
      </c>
      <c r="M785" s="7">
        <f t="shared" ca="1" si="249"/>
        <v>646</v>
      </c>
      <c r="N785" s="26">
        <f t="shared" ca="1" si="250"/>
        <v>3</v>
      </c>
      <c r="O785" s="44">
        <f t="shared" ca="1" si="251"/>
        <v>2.2641455309069398</v>
      </c>
      <c r="P785" s="44">
        <f t="shared" ca="1" si="252"/>
        <v>22.641455309069404</v>
      </c>
      <c r="Q785" s="44">
        <f t="shared" ca="1" si="253"/>
        <v>22.641455309069404</v>
      </c>
      <c r="R785" s="44">
        <f t="shared" ca="1" si="254"/>
        <v>2.2641455309069403</v>
      </c>
      <c r="S785" s="44">
        <f t="shared" ca="1" si="255"/>
        <v>2.2641455309069398</v>
      </c>
      <c r="T785" s="4">
        <f t="shared" ca="1" si="256"/>
        <v>6.2296600315464969E-4</v>
      </c>
      <c r="U785" s="120">
        <f t="shared" ca="1" si="257"/>
        <v>1544.7475619899244</v>
      </c>
      <c r="V785" s="4">
        <f t="shared" ca="1" si="258"/>
        <v>0.42502798580720114</v>
      </c>
      <c r="W785" s="13">
        <f t="shared" ca="1" si="259"/>
        <v>24891.340500000002</v>
      </c>
      <c r="X785" s="4">
        <f t="shared" ca="1" si="260"/>
        <v>6.8487023880638542</v>
      </c>
      <c r="Y785" s="4">
        <f t="shared" si="261"/>
        <v>0</v>
      </c>
      <c r="Z785" s="13">
        <f t="shared" ca="1" si="262"/>
        <v>24891.340500000002</v>
      </c>
      <c r="AA785" s="4">
        <f t="shared" ca="1" si="263"/>
        <v>6.8487023880638542</v>
      </c>
    </row>
    <row r="786" spans="1:27">
      <c r="A786">
        <v>1</v>
      </c>
      <c r="B786">
        <v>3</v>
      </c>
      <c r="C786">
        <f t="shared" ca="1" si="242"/>
        <v>8</v>
      </c>
      <c r="D786">
        <f t="shared" ca="1" si="243"/>
        <v>7</v>
      </c>
      <c r="E786">
        <f t="shared" ca="1" si="244"/>
        <v>1</v>
      </c>
      <c r="F786" s="110">
        <f t="shared" ca="1" si="245"/>
        <v>7.1294999999999996E-3</v>
      </c>
      <c r="G786">
        <v>1</v>
      </c>
      <c r="H786">
        <v>0</v>
      </c>
      <c r="I786">
        <v>4</v>
      </c>
      <c r="J786" s="1">
        <f t="shared" ca="1" si="246"/>
        <v>3.3852916015625085E-3</v>
      </c>
      <c r="K786" s="1">
        <f t="shared" ca="1" si="247"/>
        <v>2.4135436473339901E-5</v>
      </c>
      <c r="L786" s="13">
        <f t="shared" ca="1" si="248"/>
        <v>334</v>
      </c>
      <c r="M786" s="7">
        <f t="shared" ca="1" si="249"/>
        <v>666</v>
      </c>
      <c r="N786" s="26">
        <f t="shared" ca="1" si="250"/>
        <v>3</v>
      </c>
      <c r="O786" s="44">
        <f t="shared" ca="1" si="251"/>
        <v>2.2641455309069398</v>
      </c>
      <c r="P786" s="44">
        <f t="shared" ca="1" si="252"/>
        <v>22.641455309069404</v>
      </c>
      <c r="Q786" s="44">
        <f t="shared" ca="1" si="253"/>
        <v>22.641455309069404</v>
      </c>
      <c r="R786" s="44">
        <f t="shared" ca="1" si="254"/>
        <v>2.2641455309069403</v>
      </c>
      <c r="S786" s="44">
        <f t="shared" ca="1" si="255"/>
        <v>2.2641455309069398</v>
      </c>
      <c r="T786" s="4">
        <f t="shared" ca="1" si="256"/>
        <v>5.4646140627600891E-5</v>
      </c>
      <c r="U786" s="120">
        <f t="shared" ca="1" si="257"/>
        <v>1524.7475619899244</v>
      </c>
      <c r="V786" s="4">
        <f t="shared" ca="1" si="258"/>
        <v>3.6800447920287714E-2</v>
      </c>
      <c r="W786" s="13">
        <f t="shared" ca="1" si="259"/>
        <v>20863.615500000004</v>
      </c>
      <c r="X786" s="4">
        <f t="shared" ca="1" si="260"/>
        <v>0.50355246650443974</v>
      </c>
      <c r="Y786" s="4">
        <f t="shared" si="261"/>
        <v>0</v>
      </c>
      <c r="Z786" s="13">
        <f t="shared" ca="1" si="262"/>
        <v>20863.615500000004</v>
      </c>
      <c r="AA786" s="4">
        <f t="shared" ca="1" si="263"/>
        <v>0.50355246650443974</v>
      </c>
    </row>
    <row r="787" spans="1:27">
      <c r="A787">
        <v>1</v>
      </c>
      <c r="B787">
        <v>3</v>
      </c>
      <c r="C787">
        <f t="shared" ca="1" si="242"/>
        <v>8</v>
      </c>
      <c r="D787">
        <f t="shared" ca="1" si="243"/>
        <v>7</v>
      </c>
      <c r="E787">
        <f t="shared" ca="1" si="244"/>
        <v>1</v>
      </c>
      <c r="F787" s="110">
        <f t="shared" ca="1" si="245"/>
        <v>7.1294999999999996E-3</v>
      </c>
      <c r="G787">
        <v>1</v>
      </c>
      <c r="H787">
        <v>0</v>
      </c>
      <c r="I787">
        <v>3</v>
      </c>
      <c r="J787" s="1">
        <f t="shared" ca="1" si="246"/>
        <v>1.7817324218750058E-4</v>
      </c>
      <c r="K787" s="1">
        <f t="shared" ca="1" si="247"/>
        <v>1.2702861301757854E-6</v>
      </c>
      <c r="L787" s="13">
        <f t="shared" ca="1" si="248"/>
        <v>314</v>
      </c>
      <c r="M787" s="7">
        <f t="shared" ca="1" si="249"/>
        <v>686</v>
      </c>
      <c r="N787" s="26">
        <f t="shared" ca="1" si="250"/>
        <v>3</v>
      </c>
      <c r="O787" s="44">
        <f t="shared" ca="1" si="251"/>
        <v>2.2641455309069398</v>
      </c>
      <c r="P787" s="44">
        <f t="shared" ca="1" si="252"/>
        <v>22.641455309069404</v>
      </c>
      <c r="Q787" s="44">
        <f t="shared" ca="1" si="253"/>
        <v>22.641455309069404</v>
      </c>
      <c r="R787" s="44">
        <f t="shared" ca="1" si="254"/>
        <v>2.2641455309069403</v>
      </c>
      <c r="S787" s="44">
        <f t="shared" ca="1" si="255"/>
        <v>2.2641455309069398</v>
      </c>
      <c r="T787" s="4">
        <f t="shared" ca="1" si="256"/>
        <v>2.8761126646105757E-6</v>
      </c>
      <c r="U787" s="120">
        <f t="shared" ca="1" si="257"/>
        <v>1504.7475619899244</v>
      </c>
      <c r="V787" s="4">
        <f t="shared" ca="1" si="258"/>
        <v>1.9114599574116288E-3</v>
      </c>
      <c r="W787" s="13">
        <f t="shared" ca="1" si="259"/>
        <v>16835.890500000001</v>
      </c>
      <c r="X787" s="4">
        <f t="shared" ca="1" si="260"/>
        <v>2.1386398191308269E-2</v>
      </c>
      <c r="Y787" s="4">
        <f t="shared" si="261"/>
        <v>0</v>
      </c>
      <c r="Z787" s="13">
        <f t="shared" ca="1" si="262"/>
        <v>16835.890500000001</v>
      </c>
      <c r="AA787" s="4">
        <f t="shared" ca="1" si="263"/>
        <v>2.1386398191308269E-2</v>
      </c>
    </row>
    <row r="788" spans="1:27">
      <c r="A788">
        <v>1</v>
      </c>
      <c r="B788">
        <v>3</v>
      </c>
      <c r="C788">
        <f t="shared" ca="1" si="242"/>
        <v>8</v>
      </c>
      <c r="D788">
        <f t="shared" ca="1" si="243"/>
        <v>7</v>
      </c>
      <c r="E788">
        <f t="shared" ca="1" si="244"/>
        <v>1</v>
      </c>
      <c r="F788" s="110">
        <f t="shared" ca="1" si="245"/>
        <v>7.1294999999999996E-3</v>
      </c>
      <c r="G788">
        <v>1</v>
      </c>
      <c r="H788">
        <v>0</v>
      </c>
      <c r="I788">
        <v>2</v>
      </c>
      <c r="J788" s="1">
        <f t="shared" ca="1" si="246"/>
        <v>5.6265234375000243E-6</v>
      </c>
      <c r="K788" s="1">
        <f t="shared" ca="1" si="247"/>
        <v>4.0114298847656423E-8</v>
      </c>
      <c r="L788" s="13">
        <f t="shared" ca="1" si="248"/>
        <v>294</v>
      </c>
      <c r="M788" s="7">
        <f t="shared" ca="1" si="249"/>
        <v>706</v>
      </c>
      <c r="N788" s="26">
        <f t="shared" ca="1" si="250"/>
        <v>3</v>
      </c>
      <c r="O788" s="44">
        <f t="shared" ca="1" si="251"/>
        <v>2.2641455309069398</v>
      </c>
      <c r="P788" s="44">
        <f t="shared" ca="1" si="252"/>
        <v>22.641455309069404</v>
      </c>
      <c r="Q788" s="44">
        <f t="shared" ca="1" si="253"/>
        <v>22.641455309069404</v>
      </c>
      <c r="R788" s="44">
        <f t="shared" ca="1" si="254"/>
        <v>2.2641455309069403</v>
      </c>
      <c r="S788" s="44">
        <f t="shared" ca="1" si="255"/>
        <v>2.2641455309069398</v>
      </c>
      <c r="T788" s="4">
        <f t="shared" ca="1" si="256"/>
        <v>9.082461046138669E-8</v>
      </c>
      <c r="U788" s="120">
        <f t="shared" ca="1" si="257"/>
        <v>1484.7475619899244</v>
      </c>
      <c r="V788" s="4">
        <f t="shared" ca="1" si="258"/>
        <v>5.955960741499311E-5</v>
      </c>
      <c r="W788" s="13">
        <f t="shared" ca="1" si="259"/>
        <v>12808.165500000003</v>
      </c>
      <c r="X788" s="4">
        <f t="shared" ca="1" si="260"/>
        <v>5.1379057855724288E-4</v>
      </c>
      <c r="Y788" s="4">
        <f t="shared" si="261"/>
        <v>0</v>
      </c>
      <c r="Z788" s="13">
        <f t="shared" ca="1" si="262"/>
        <v>12808.165500000003</v>
      </c>
      <c r="AA788" s="4">
        <f t="shared" ca="1" si="263"/>
        <v>5.1379057855724288E-4</v>
      </c>
    </row>
    <row r="789" spans="1:27">
      <c r="A789">
        <v>1</v>
      </c>
      <c r="B789">
        <v>3</v>
      </c>
      <c r="C789">
        <f t="shared" ca="1" si="242"/>
        <v>8</v>
      </c>
      <c r="D789">
        <f t="shared" ca="1" si="243"/>
        <v>7</v>
      </c>
      <c r="E789">
        <f t="shared" ca="1" si="244"/>
        <v>1</v>
      </c>
      <c r="F789" s="110">
        <f t="shared" ca="1" si="245"/>
        <v>7.1294999999999996E-3</v>
      </c>
      <c r="G789">
        <v>1</v>
      </c>
      <c r="H789">
        <v>0</v>
      </c>
      <c r="I789">
        <v>1</v>
      </c>
      <c r="J789" s="1">
        <f t="shared" ca="1" si="246"/>
        <v>9.8710937500000504E-8</v>
      </c>
      <c r="K789" s="1">
        <f t="shared" ca="1" si="247"/>
        <v>7.0375962890625357E-10</v>
      </c>
      <c r="L789" s="13">
        <f t="shared" ca="1" si="248"/>
        <v>274</v>
      </c>
      <c r="M789" s="7">
        <f t="shared" ca="1" si="249"/>
        <v>726</v>
      </c>
      <c r="N789" s="26">
        <f t="shared" ca="1" si="250"/>
        <v>3</v>
      </c>
      <c r="O789" s="44">
        <f t="shared" ca="1" si="251"/>
        <v>2.2641455309069398</v>
      </c>
      <c r="P789" s="44">
        <f t="shared" ca="1" si="252"/>
        <v>22.641455309069404</v>
      </c>
      <c r="Q789" s="44">
        <f t="shared" ca="1" si="253"/>
        <v>22.641455309069404</v>
      </c>
      <c r="R789" s="44">
        <f t="shared" ca="1" si="254"/>
        <v>2.2641455309069403</v>
      </c>
      <c r="S789" s="44">
        <f t="shared" ca="1" si="255"/>
        <v>2.2641455309069398</v>
      </c>
      <c r="T789" s="4">
        <f t="shared" ca="1" si="256"/>
        <v>1.5934142186208204E-9</v>
      </c>
      <c r="U789" s="120">
        <f t="shared" ca="1" si="257"/>
        <v>1464.7475619899244</v>
      </c>
      <c r="V789" s="4">
        <f t="shared" ca="1" si="258"/>
        <v>1.0308302006673688E-6</v>
      </c>
      <c r="W789" s="13">
        <f t="shared" ca="1" si="259"/>
        <v>8780.4405000000006</v>
      </c>
      <c r="X789" s="4">
        <f t="shared" ca="1" si="260"/>
        <v>6.1793195479134396E-6</v>
      </c>
      <c r="Y789" s="4">
        <f t="shared" si="261"/>
        <v>0</v>
      </c>
      <c r="Z789" s="13">
        <f t="shared" ca="1" si="262"/>
        <v>8780.4405000000006</v>
      </c>
      <c r="AA789" s="4">
        <f t="shared" ca="1" si="263"/>
        <v>6.1793195479134396E-6</v>
      </c>
    </row>
    <row r="790" spans="1:27">
      <c r="A790">
        <v>1</v>
      </c>
      <c r="B790">
        <v>3</v>
      </c>
      <c r="C790">
        <f t="shared" ca="1" si="242"/>
        <v>8</v>
      </c>
      <c r="D790">
        <f t="shared" ca="1" si="243"/>
        <v>7</v>
      </c>
      <c r="E790">
        <f t="shared" ca="1" si="244"/>
        <v>1</v>
      </c>
      <c r="F790" s="110">
        <f t="shared" ca="1" si="245"/>
        <v>7.1294999999999996E-3</v>
      </c>
      <c r="G790">
        <v>1</v>
      </c>
      <c r="H790">
        <v>0</v>
      </c>
      <c r="I790">
        <v>0</v>
      </c>
      <c r="J790" s="1">
        <f t="shared" ca="1" si="246"/>
        <v>7.4218750000000458E-10</v>
      </c>
      <c r="K790" s="1">
        <f t="shared" ca="1" si="247"/>
        <v>5.2914257812500323E-12</v>
      </c>
      <c r="L790" s="13">
        <f t="shared" ca="1" si="248"/>
        <v>254</v>
      </c>
      <c r="M790" s="7">
        <f t="shared" ca="1" si="249"/>
        <v>746</v>
      </c>
      <c r="N790" s="26">
        <f t="shared" ca="1" si="250"/>
        <v>3</v>
      </c>
      <c r="O790" s="44">
        <f t="shared" ca="1" si="251"/>
        <v>2.2641455309069398</v>
      </c>
      <c r="P790" s="44">
        <f t="shared" ca="1" si="252"/>
        <v>22.641455309069404</v>
      </c>
      <c r="Q790" s="44">
        <f t="shared" ca="1" si="253"/>
        <v>22.641455309069404</v>
      </c>
      <c r="R790" s="44">
        <f t="shared" ca="1" si="254"/>
        <v>2.2641455309069403</v>
      </c>
      <c r="S790" s="44">
        <f t="shared" ca="1" si="255"/>
        <v>2.2641455309069398</v>
      </c>
      <c r="T790" s="4">
        <f t="shared" ca="1" si="256"/>
        <v>1.1980558034743023E-11</v>
      </c>
      <c r="U790" s="120">
        <f t="shared" ca="1" si="257"/>
        <v>1444.7475619899244</v>
      </c>
      <c r="V790" s="4">
        <f t="shared" ca="1" si="258"/>
        <v>7.6447744969116145E-9</v>
      </c>
      <c r="W790" s="13">
        <f t="shared" ca="1" si="259"/>
        <v>4752.7155000000012</v>
      </c>
      <c r="X790" s="4">
        <f t="shared" ca="1" si="260"/>
        <v>2.5148641327646645E-8</v>
      </c>
      <c r="Y790" s="4">
        <f t="shared" si="261"/>
        <v>0</v>
      </c>
      <c r="Z790" s="13">
        <f t="shared" ca="1" si="262"/>
        <v>4752.7155000000012</v>
      </c>
      <c r="AA790" s="4">
        <f t="shared" ca="1" si="263"/>
        <v>2.5148641327646645E-8</v>
      </c>
    </row>
    <row r="791" spans="1:27">
      <c r="A791">
        <v>1</v>
      </c>
      <c r="B791">
        <v>3</v>
      </c>
      <c r="C791">
        <f t="shared" ca="1" si="242"/>
        <v>8</v>
      </c>
      <c r="D791">
        <f t="shared" ca="1" si="243"/>
        <v>7</v>
      </c>
      <c r="E791">
        <f t="shared" ca="1" si="244"/>
        <v>1</v>
      </c>
      <c r="F791" s="110">
        <f t="shared" ca="1" si="245"/>
        <v>7.1294999999999996E-3</v>
      </c>
      <c r="G791">
        <v>0</v>
      </c>
      <c r="H791">
        <v>1</v>
      </c>
      <c r="I791">
        <v>7</v>
      </c>
      <c r="J791" s="1">
        <f t="shared" ca="1" si="246"/>
        <v>0</v>
      </c>
      <c r="K791" s="1">
        <f t="shared" ca="1" si="247"/>
        <v>0</v>
      </c>
      <c r="L791" s="13">
        <f t="shared" ca="1" si="248"/>
        <v>394</v>
      </c>
      <c r="M791" s="7">
        <f t="shared" ca="1" si="249"/>
        <v>606</v>
      </c>
      <c r="N791" s="26">
        <f t="shared" ca="1" si="250"/>
        <v>3</v>
      </c>
      <c r="O791" s="44">
        <f t="shared" ca="1" si="251"/>
        <v>2.2641455309069398</v>
      </c>
      <c r="P791" s="44">
        <f t="shared" ca="1" si="252"/>
        <v>22.641455309069404</v>
      </c>
      <c r="Q791" s="44">
        <f t="shared" ca="1" si="253"/>
        <v>22.641455309069404</v>
      </c>
      <c r="R791" s="44">
        <f t="shared" ca="1" si="254"/>
        <v>2.2641455309069403</v>
      </c>
      <c r="S791" s="44">
        <f t="shared" ca="1" si="255"/>
        <v>2.2641455309069398</v>
      </c>
      <c r="T791" s="4">
        <f t="shared" ca="1" si="256"/>
        <v>0</v>
      </c>
      <c r="U791" s="120">
        <f t="shared" ca="1" si="257"/>
        <v>1584.7475619899244</v>
      </c>
      <c r="V791" s="4">
        <f t="shared" ca="1" si="258"/>
        <v>0</v>
      </c>
      <c r="W791" s="13">
        <f t="shared" ca="1" si="259"/>
        <v>28194.075000000001</v>
      </c>
      <c r="X791" s="4">
        <f t="shared" ca="1" si="260"/>
        <v>0</v>
      </c>
      <c r="Y791" s="4">
        <f t="shared" si="261"/>
        <v>0</v>
      </c>
      <c r="Z791" s="13">
        <f t="shared" ca="1" si="262"/>
        <v>28194.075000000001</v>
      </c>
      <c r="AA791" s="4">
        <f t="shared" ca="1" si="263"/>
        <v>0</v>
      </c>
    </row>
    <row r="792" spans="1:27">
      <c r="A792">
        <v>1</v>
      </c>
      <c r="B792">
        <v>3</v>
      </c>
      <c r="C792">
        <f t="shared" ca="1" si="242"/>
        <v>8</v>
      </c>
      <c r="D792">
        <f t="shared" ca="1" si="243"/>
        <v>7</v>
      </c>
      <c r="E792">
        <f t="shared" ca="1" si="244"/>
        <v>1</v>
      </c>
      <c r="F792" s="110">
        <f t="shared" ca="1" si="245"/>
        <v>7.1294999999999996E-3</v>
      </c>
      <c r="G792">
        <v>0</v>
      </c>
      <c r="H792">
        <v>1</v>
      </c>
      <c r="I792">
        <v>6</v>
      </c>
      <c r="J792" s="1">
        <f t="shared" ca="1" si="246"/>
        <v>0</v>
      </c>
      <c r="K792" s="1">
        <f t="shared" ca="1" si="247"/>
        <v>0</v>
      </c>
      <c r="L792" s="13">
        <f t="shared" ca="1" si="248"/>
        <v>374</v>
      </c>
      <c r="M792" s="7">
        <f t="shared" ca="1" si="249"/>
        <v>626</v>
      </c>
      <c r="N792" s="26">
        <f t="shared" ca="1" si="250"/>
        <v>3</v>
      </c>
      <c r="O792" s="44">
        <f t="shared" ca="1" si="251"/>
        <v>2.2641455309069398</v>
      </c>
      <c r="P792" s="44">
        <f t="shared" ca="1" si="252"/>
        <v>22.641455309069404</v>
      </c>
      <c r="Q792" s="44">
        <f t="shared" ca="1" si="253"/>
        <v>22.641455309069404</v>
      </c>
      <c r="R792" s="44">
        <f t="shared" ca="1" si="254"/>
        <v>2.2641455309069403</v>
      </c>
      <c r="S792" s="44">
        <f t="shared" ca="1" si="255"/>
        <v>2.2641455309069398</v>
      </c>
      <c r="T792" s="4">
        <f t="shared" ca="1" si="256"/>
        <v>0</v>
      </c>
      <c r="U792" s="120">
        <f t="shared" ca="1" si="257"/>
        <v>1564.7475619899244</v>
      </c>
      <c r="V792" s="4">
        <f t="shared" ca="1" si="258"/>
        <v>0</v>
      </c>
      <c r="W792" s="13">
        <f t="shared" ca="1" si="259"/>
        <v>24166.350000000002</v>
      </c>
      <c r="X792" s="4">
        <f t="shared" ca="1" si="260"/>
        <v>0</v>
      </c>
      <c r="Y792" s="4">
        <f t="shared" si="261"/>
        <v>0</v>
      </c>
      <c r="Z792" s="13">
        <f t="shared" ca="1" si="262"/>
        <v>24166.350000000002</v>
      </c>
      <c r="AA792" s="4">
        <f t="shared" ca="1" si="263"/>
        <v>0</v>
      </c>
    </row>
    <row r="793" spans="1:27">
      <c r="A793">
        <v>1</v>
      </c>
      <c r="B793">
        <v>3</v>
      </c>
      <c r="C793">
        <f t="shared" ca="1" si="242"/>
        <v>8</v>
      </c>
      <c r="D793">
        <f t="shared" ca="1" si="243"/>
        <v>7</v>
      </c>
      <c r="E793">
        <f t="shared" ca="1" si="244"/>
        <v>1</v>
      </c>
      <c r="F793" s="110">
        <f t="shared" ca="1" si="245"/>
        <v>7.1294999999999996E-3</v>
      </c>
      <c r="G793">
        <v>0</v>
      </c>
      <c r="H793">
        <v>1</v>
      </c>
      <c r="I793">
        <v>5</v>
      </c>
      <c r="J793" s="1">
        <f t="shared" ca="1" si="246"/>
        <v>0</v>
      </c>
      <c r="K793" s="1">
        <f t="shared" ca="1" si="247"/>
        <v>0</v>
      </c>
      <c r="L793" s="13">
        <f t="shared" ca="1" si="248"/>
        <v>354</v>
      </c>
      <c r="M793" s="7">
        <f t="shared" ca="1" si="249"/>
        <v>646</v>
      </c>
      <c r="N793" s="26">
        <f t="shared" ca="1" si="250"/>
        <v>3</v>
      </c>
      <c r="O793" s="44">
        <f t="shared" ca="1" si="251"/>
        <v>2.2641455309069398</v>
      </c>
      <c r="P793" s="44">
        <f t="shared" ca="1" si="252"/>
        <v>22.641455309069404</v>
      </c>
      <c r="Q793" s="44">
        <f t="shared" ca="1" si="253"/>
        <v>22.641455309069404</v>
      </c>
      <c r="R793" s="44">
        <f t="shared" ca="1" si="254"/>
        <v>2.2641455309069403</v>
      </c>
      <c r="S793" s="44">
        <f t="shared" ca="1" si="255"/>
        <v>2.2641455309069398</v>
      </c>
      <c r="T793" s="4">
        <f t="shared" ca="1" si="256"/>
        <v>0</v>
      </c>
      <c r="U793" s="120">
        <f t="shared" ca="1" si="257"/>
        <v>1544.7475619899244</v>
      </c>
      <c r="V793" s="4">
        <f t="shared" ca="1" si="258"/>
        <v>0</v>
      </c>
      <c r="W793" s="13">
        <f t="shared" ca="1" si="259"/>
        <v>20138.625</v>
      </c>
      <c r="X793" s="4">
        <f t="shared" ca="1" si="260"/>
        <v>0</v>
      </c>
      <c r="Y793" s="4">
        <f t="shared" si="261"/>
        <v>0</v>
      </c>
      <c r="Z793" s="13">
        <f t="shared" ca="1" si="262"/>
        <v>20138.625</v>
      </c>
      <c r="AA793" s="4">
        <f t="shared" ca="1" si="263"/>
        <v>0</v>
      </c>
    </row>
    <row r="794" spans="1:27">
      <c r="A794">
        <v>1</v>
      </c>
      <c r="B794">
        <v>3</v>
      </c>
      <c r="C794">
        <f t="shared" ca="1" si="242"/>
        <v>8</v>
      </c>
      <c r="D794">
        <f t="shared" ca="1" si="243"/>
        <v>7</v>
      </c>
      <c r="E794">
        <f t="shared" ca="1" si="244"/>
        <v>1</v>
      </c>
      <c r="F794" s="110">
        <f t="shared" ca="1" si="245"/>
        <v>7.1294999999999996E-3</v>
      </c>
      <c r="G794">
        <v>0</v>
      </c>
      <c r="H794">
        <v>1</v>
      </c>
      <c r="I794">
        <v>4</v>
      </c>
      <c r="J794" s="1">
        <f t="shared" ca="1" si="246"/>
        <v>0</v>
      </c>
      <c r="K794" s="1">
        <f t="shared" ca="1" si="247"/>
        <v>0</v>
      </c>
      <c r="L794" s="13">
        <f t="shared" ca="1" si="248"/>
        <v>334</v>
      </c>
      <c r="M794" s="7">
        <f t="shared" ca="1" si="249"/>
        <v>666</v>
      </c>
      <c r="N794" s="26">
        <f t="shared" ca="1" si="250"/>
        <v>3</v>
      </c>
      <c r="O794" s="44">
        <f t="shared" ca="1" si="251"/>
        <v>2.2641455309069398</v>
      </c>
      <c r="P794" s="44">
        <f t="shared" ca="1" si="252"/>
        <v>22.641455309069404</v>
      </c>
      <c r="Q794" s="44">
        <f t="shared" ca="1" si="253"/>
        <v>22.641455309069404</v>
      </c>
      <c r="R794" s="44">
        <f t="shared" ca="1" si="254"/>
        <v>2.2641455309069403</v>
      </c>
      <c r="S794" s="44">
        <f t="shared" ca="1" si="255"/>
        <v>2.2641455309069398</v>
      </c>
      <c r="T794" s="4">
        <f t="shared" ca="1" si="256"/>
        <v>0</v>
      </c>
      <c r="U794" s="120">
        <f t="shared" ca="1" si="257"/>
        <v>1524.7475619899244</v>
      </c>
      <c r="V794" s="4">
        <f t="shared" ca="1" si="258"/>
        <v>0</v>
      </c>
      <c r="W794" s="13">
        <f t="shared" ca="1" si="259"/>
        <v>16110.900000000001</v>
      </c>
      <c r="X794" s="4">
        <f t="shared" ca="1" si="260"/>
        <v>0</v>
      </c>
      <c r="Y794" s="4">
        <f t="shared" si="261"/>
        <v>0</v>
      </c>
      <c r="Z794" s="13">
        <f t="shared" ca="1" si="262"/>
        <v>16110.900000000001</v>
      </c>
      <c r="AA794" s="4">
        <f t="shared" ca="1" si="263"/>
        <v>0</v>
      </c>
    </row>
    <row r="795" spans="1:27">
      <c r="A795">
        <v>1</v>
      </c>
      <c r="B795">
        <v>3</v>
      </c>
      <c r="C795">
        <f t="shared" ca="1" si="242"/>
        <v>8</v>
      </c>
      <c r="D795">
        <f t="shared" ca="1" si="243"/>
        <v>7</v>
      </c>
      <c r="E795">
        <f t="shared" ca="1" si="244"/>
        <v>1</v>
      </c>
      <c r="F795" s="110">
        <f t="shared" ca="1" si="245"/>
        <v>7.1294999999999996E-3</v>
      </c>
      <c r="G795">
        <v>0</v>
      </c>
      <c r="H795">
        <v>1</v>
      </c>
      <c r="I795">
        <v>3</v>
      </c>
      <c r="J795" s="1">
        <f t="shared" ca="1" si="246"/>
        <v>0</v>
      </c>
      <c r="K795" s="1">
        <f t="shared" ca="1" si="247"/>
        <v>0</v>
      </c>
      <c r="L795" s="13">
        <f t="shared" ca="1" si="248"/>
        <v>314</v>
      </c>
      <c r="M795" s="7">
        <f t="shared" ca="1" si="249"/>
        <v>686</v>
      </c>
      <c r="N795" s="26">
        <f t="shared" ca="1" si="250"/>
        <v>3</v>
      </c>
      <c r="O795" s="44">
        <f t="shared" ca="1" si="251"/>
        <v>2.2641455309069398</v>
      </c>
      <c r="P795" s="44">
        <f t="shared" ca="1" si="252"/>
        <v>22.641455309069404</v>
      </c>
      <c r="Q795" s="44">
        <f t="shared" ca="1" si="253"/>
        <v>22.641455309069404</v>
      </c>
      <c r="R795" s="44">
        <f t="shared" ca="1" si="254"/>
        <v>2.2641455309069403</v>
      </c>
      <c r="S795" s="44">
        <f t="shared" ca="1" si="255"/>
        <v>2.2641455309069398</v>
      </c>
      <c r="T795" s="4">
        <f t="shared" ca="1" si="256"/>
        <v>0</v>
      </c>
      <c r="U795" s="120">
        <f t="shared" ca="1" si="257"/>
        <v>1504.7475619899244</v>
      </c>
      <c r="V795" s="4">
        <f t="shared" ca="1" si="258"/>
        <v>0</v>
      </c>
      <c r="W795" s="13">
        <f t="shared" ca="1" si="259"/>
        <v>12083.175000000001</v>
      </c>
      <c r="X795" s="4">
        <f t="shared" ca="1" si="260"/>
        <v>0</v>
      </c>
      <c r="Y795" s="4">
        <f t="shared" si="261"/>
        <v>0</v>
      </c>
      <c r="Z795" s="13">
        <f t="shared" ca="1" si="262"/>
        <v>12083.175000000001</v>
      </c>
      <c r="AA795" s="4">
        <f t="shared" ca="1" si="263"/>
        <v>0</v>
      </c>
    </row>
    <row r="796" spans="1:27">
      <c r="A796">
        <v>1</v>
      </c>
      <c r="B796">
        <v>3</v>
      </c>
      <c r="C796">
        <f t="shared" ca="1" si="242"/>
        <v>8</v>
      </c>
      <c r="D796">
        <f t="shared" ca="1" si="243"/>
        <v>7</v>
      </c>
      <c r="E796">
        <f t="shared" ca="1" si="244"/>
        <v>1</v>
      </c>
      <c r="F796" s="110">
        <f t="shared" ca="1" si="245"/>
        <v>7.1294999999999996E-3</v>
      </c>
      <c r="G796">
        <v>0</v>
      </c>
      <c r="H796">
        <v>1</v>
      </c>
      <c r="I796">
        <v>2</v>
      </c>
      <c r="J796" s="1">
        <f t="shared" ca="1" si="246"/>
        <v>0</v>
      </c>
      <c r="K796" s="1">
        <f t="shared" ca="1" si="247"/>
        <v>0</v>
      </c>
      <c r="L796" s="13">
        <f t="shared" ca="1" si="248"/>
        <v>294</v>
      </c>
      <c r="M796" s="7">
        <f t="shared" ca="1" si="249"/>
        <v>706</v>
      </c>
      <c r="N796" s="26">
        <f t="shared" ca="1" si="250"/>
        <v>3</v>
      </c>
      <c r="O796" s="44">
        <f t="shared" ca="1" si="251"/>
        <v>2.2641455309069398</v>
      </c>
      <c r="P796" s="44">
        <f t="shared" ca="1" si="252"/>
        <v>22.641455309069404</v>
      </c>
      <c r="Q796" s="44">
        <f t="shared" ca="1" si="253"/>
        <v>22.641455309069404</v>
      </c>
      <c r="R796" s="44">
        <f t="shared" ca="1" si="254"/>
        <v>2.2641455309069403</v>
      </c>
      <c r="S796" s="44">
        <f t="shared" ca="1" si="255"/>
        <v>2.2641455309069398</v>
      </c>
      <c r="T796" s="4">
        <f t="shared" ca="1" si="256"/>
        <v>0</v>
      </c>
      <c r="U796" s="120">
        <f t="shared" ca="1" si="257"/>
        <v>1484.7475619899244</v>
      </c>
      <c r="V796" s="4">
        <f t="shared" ca="1" si="258"/>
        <v>0</v>
      </c>
      <c r="W796" s="13">
        <f t="shared" ca="1" si="259"/>
        <v>8055.4500000000007</v>
      </c>
      <c r="X796" s="4">
        <f t="shared" ca="1" si="260"/>
        <v>0</v>
      </c>
      <c r="Y796" s="4">
        <f t="shared" si="261"/>
        <v>0</v>
      </c>
      <c r="Z796" s="13">
        <f t="shared" ca="1" si="262"/>
        <v>8055.4500000000007</v>
      </c>
      <c r="AA796" s="4">
        <f t="shared" ca="1" si="263"/>
        <v>0</v>
      </c>
    </row>
    <row r="797" spans="1:27">
      <c r="A797">
        <v>1</v>
      </c>
      <c r="B797">
        <v>3</v>
      </c>
      <c r="C797">
        <f t="shared" ca="1" si="242"/>
        <v>8</v>
      </c>
      <c r="D797">
        <f t="shared" ca="1" si="243"/>
        <v>7</v>
      </c>
      <c r="E797">
        <f t="shared" ca="1" si="244"/>
        <v>1</v>
      </c>
      <c r="F797" s="110">
        <f t="shared" ca="1" si="245"/>
        <v>7.1294999999999996E-3</v>
      </c>
      <c r="G797">
        <v>0</v>
      </c>
      <c r="H797">
        <v>1</v>
      </c>
      <c r="I797">
        <v>1</v>
      </c>
      <c r="J797" s="1">
        <f t="shared" ca="1" si="246"/>
        <v>0</v>
      </c>
      <c r="K797" s="1">
        <f t="shared" ca="1" si="247"/>
        <v>0</v>
      </c>
      <c r="L797" s="13">
        <f t="shared" ca="1" si="248"/>
        <v>274</v>
      </c>
      <c r="M797" s="7">
        <f t="shared" ca="1" si="249"/>
        <v>726</v>
      </c>
      <c r="N797" s="26">
        <f t="shared" ca="1" si="250"/>
        <v>3</v>
      </c>
      <c r="O797" s="44">
        <f t="shared" ca="1" si="251"/>
        <v>2.2641455309069398</v>
      </c>
      <c r="P797" s="44">
        <f t="shared" ca="1" si="252"/>
        <v>22.641455309069404</v>
      </c>
      <c r="Q797" s="44">
        <f t="shared" ca="1" si="253"/>
        <v>22.641455309069404</v>
      </c>
      <c r="R797" s="44">
        <f t="shared" ca="1" si="254"/>
        <v>2.2641455309069403</v>
      </c>
      <c r="S797" s="44">
        <f t="shared" ca="1" si="255"/>
        <v>2.2641455309069398</v>
      </c>
      <c r="T797" s="4">
        <f t="shared" ca="1" si="256"/>
        <v>0</v>
      </c>
      <c r="U797" s="120">
        <f t="shared" ca="1" si="257"/>
        <v>1464.7475619899244</v>
      </c>
      <c r="V797" s="4">
        <f t="shared" ca="1" si="258"/>
        <v>0</v>
      </c>
      <c r="W797" s="13">
        <f t="shared" ca="1" si="259"/>
        <v>4027.7250000000004</v>
      </c>
      <c r="X797" s="4">
        <f t="shared" ca="1" si="260"/>
        <v>0</v>
      </c>
      <c r="Y797" s="4">
        <f t="shared" si="261"/>
        <v>0</v>
      </c>
      <c r="Z797" s="13">
        <f t="shared" ca="1" si="262"/>
        <v>4027.7250000000004</v>
      </c>
      <c r="AA797" s="4">
        <f t="shared" ca="1" si="263"/>
        <v>0</v>
      </c>
    </row>
    <row r="798" spans="1:27">
      <c r="A798">
        <v>1</v>
      </c>
      <c r="B798">
        <v>3</v>
      </c>
      <c r="C798">
        <f t="shared" ca="1" si="242"/>
        <v>8</v>
      </c>
      <c r="D798">
        <f t="shared" ca="1" si="243"/>
        <v>7</v>
      </c>
      <c r="E798">
        <f t="shared" ca="1" si="244"/>
        <v>1</v>
      </c>
      <c r="F798" s="110">
        <f t="shared" ca="1" si="245"/>
        <v>7.1294999999999996E-3</v>
      </c>
      <c r="G798">
        <v>0</v>
      </c>
      <c r="H798">
        <v>1</v>
      </c>
      <c r="I798">
        <v>0</v>
      </c>
      <c r="J798" s="1">
        <f t="shared" ca="1" si="246"/>
        <v>0</v>
      </c>
      <c r="K798" s="1">
        <f t="shared" ca="1" si="247"/>
        <v>0</v>
      </c>
      <c r="L798" s="13">
        <f t="shared" ca="1" si="248"/>
        <v>254</v>
      </c>
      <c r="M798" s="7">
        <f t="shared" ca="1" si="249"/>
        <v>746</v>
      </c>
      <c r="N798" s="26">
        <f t="shared" ca="1" si="250"/>
        <v>3</v>
      </c>
      <c r="O798" s="44">
        <f t="shared" ca="1" si="251"/>
        <v>2.2641455309069398</v>
      </c>
      <c r="P798" s="44">
        <f t="shared" ca="1" si="252"/>
        <v>22.641455309069404</v>
      </c>
      <c r="Q798" s="44">
        <f t="shared" ca="1" si="253"/>
        <v>22.641455309069404</v>
      </c>
      <c r="R798" s="44">
        <f t="shared" ca="1" si="254"/>
        <v>2.2641455309069403</v>
      </c>
      <c r="S798" s="44">
        <f t="shared" ca="1" si="255"/>
        <v>2.2641455309069398</v>
      </c>
      <c r="T798" s="4">
        <f t="shared" ca="1" si="256"/>
        <v>0</v>
      </c>
      <c r="U798" s="120">
        <f t="shared" ca="1" si="257"/>
        <v>1444.7475619899244</v>
      </c>
      <c r="V798" s="4">
        <f t="shared" ca="1" si="258"/>
        <v>0</v>
      </c>
      <c r="W798" s="13">
        <f t="shared" ca="1" si="259"/>
        <v>0</v>
      </c>
      <c r="X798" s="4">
        <f t="shared" ca="1" si="260"/>
        <v>0</v>
      </c>
      <c r="Y798" s="4">
        <f t="shared" si="261"/>
        <v>0</v>
      </c>
      <c r="Z798" s="13">
        <f t="shared" ca="1" si="262"/>
        <v>0</v>
      </c>
      <c r="AA798" s="4">
        <f t="shared" ca="1" si="263"/>
        <v>0</v>
      </c>
    </row>
    <row r="799" spans="1:27">
      <c r="A799">
        <v>1</v>
      </c>
      <c r="B799">
        <v>3</v>
      </c>
      <c r="C799">
        <f t="shared" ca="1" si="242"/>
        <v>8</v>
      </c>
      <c r="D799">
        <f t="shared" ca="1" si="243"/>
        <v>7</v>
      </c>
      <c r="E799">
        <f t="shared" ca="1" si="244"/>
        <v>1</v>
      </c>
      <c r="F799" s="110">
        <f t="shared" ca="1" si="245"/>
        <v>7.1294999999999996E-3</v>
      </c>
      <c r="G799">
        <v>0</v>
      </c>
      <c r="H799">
        <v>0</v>
      </c>
      <c r="I799">
        <v>7</v>
      </c>
      <c r="J799" s="1">
        <f t="shared" ca="1" si="246"/>
        <v>3.4916864804687496E-2</v>
      </c>
      <c r="K799" s="1">
        <f t="shared" ca="1" si="247"/>
        <v>2.4893978762501951E-4</v>
      </c>
      <c r="L799" s="13">
        <f t="shared" ca="1" si="248"/>
        <v>140</v>
      </c>
      <c r="M799" s="7">
        <f t="shared" ca="1" si="249"/>
        <v>860</v>
      </c>
      <c r="N799" s="26">
        <f t="shared" ca="1" si="250"/>
        <v>4</v>
      </c>
      <c r="O799" s="44">
        <f t="shared" ca="1" si="251"/>
        <v>2.8910364854084887</v>
      </c>
      <c r="P799" s="44">
        <f t="shared" ca="1" si="252"/>
        <v>28.910364854084886</v>
      </c>
      <c r="Q799" s="44">
        <f t="shared" ca="1" si="253"/>
        <v>28.910364854084886</v>
      </c>
      <c r="R799" s="44">
        <f t="shared" ca="1" si="254"/>
        <v>2.8910364854084887</v>
      </c>
      <c r="S799" s="44">
        <f t="shared" ca="1" si="255"/>
        <v>2.8910364854084882</v>
      </c>
      <c r="T799" s="4">
        <f t="shared" ca="1" si="256"/>
        <v>7.1969400869377183E-4</v>
      </c>
      <c r="U799" s="120">
        <f t="shared" ca="1" si="257"/>
        <v>1600.6349838037554</v>
      </c>
      <c r="V799" s="4">
        <f t="shared" ca="1" si="258"/>
        <v>0.39846173293328341</v>
      </c>
      <c r="W799" s="13">
        <f t="shared" ca="1" si="259"/>
        <v>28194.075000000001</v>
      </c>
      <c r="X799" s="4">
        <f t="shared" ca="1" si="260"/>
        <v>7.0186270427838719</v>
      </c>
      <c r="Y799" s="4">
        <f t="shared" si="261"/>
        <v>0</v>
      </c>
      <c r="Z799" s="13">
        <f t="shared" ca="1" si="262"/>
        <v>28194.075000000001</v>
      </c>
      <c r="AA799" s="4">
        <f t="shared" ca="1" si="263"/>
        <v>7.0186270427838719</v>
      </c>
    </row>
    <row r="800" spans="1:27">
      <c r="A800">
        <v>1</v>
      </c>
      <c r="B800">
        <v>3</v>
      </c>
      <c r="C800">
        <f t="shared" ca="1" si="242"/>
        <v>8</v>
      </c>
      <c r="D800">
        <f t="shared" ca="1" si="243"/>
        <v>7</v>
      </c>
      <c r="E800">
        <f t="shared" ca="1" si="244"/>
        <v>1</v>
      </c>
      <c r="F800" s="110">
        <f t="shared" ca="1" si="245"/>
        <v>7.1294999999999996E-3</v>
      </c>
      <c r="G800">
        <v>0</v>
      </c>
      <c r="H800">
        <v>0</v>
      </c>
      <c r="I800">
        <v>6</v>
      </c>
      <c r="J800" s="1">
        <f t="shared" ca="1" si="246"/>
        <v>1.2864108085937513E-2</v>
      </c>
      <c r="K800" s="1">
        <f t="shared" ca="1" si="247"/>
        <v>9.1714658598691489E-5</v>
      </c>
      <c r="L800" s="13">
        <f t="shared" ca="1" si="248"/>
        <v>120</v>
      </c>
      <c r="M800" s="7">
        <f t="shared" ca="1" si="249"/>
        <v>880</v>
      </c>
      <c r="N800" s="26">
        <f t="shared" ca="1" si="250"/>
        <v>4</v>
      </c>
      <c r="O800" s="44">
        <f t="shared" ca="1" si="251"/>
        <v>2.8910364854084887</v>
      </c>
      <c r="P800" s="44">
        <f t="shared" ca="1" si="252"/>
        <v>28.910364854084886</v>
      </c>
      <c r="Q800" s="44">
        <f t="shared" ca="1" si="253"/>
        <v>28.910364854084886</v>
      </c>
      <c r="R800" s="44">
        <f t="shared" ca="1" si="254"/>
        <v>2.8910364854084887</v>
      </c>
      <c r="S800" s="44">
        <f t="shared" ca="1" si="255"/>
        <v>2.8910364854084882</v>
      </c>
      <c r="T800" s="4">
        <f t="shared" ca="1" si="256"/>
        <v>2.6515042425560045E-4</v>
      </c>
      <c r="U800" s="120">
        <f t="shared" ca="1" si="257"/>
        <v>1580.6349838037554</v>
      </c>
      <c r="V800" s="4">
        <f t="shared" ca="1" si="258"/>
        <v>0.14496739790870969</v>
      </c>
      <c r="W800" s="13">
        <f t="shared" ca="1" si="259"/>
        <v>24166.350000000002</v>
      </c>
      <c r="X800" s="4">
        <f t="shared" ca="1" si="260"/>
        <v>2.2164085398264883</v>
      </c>
      <c r="Y800" s="4">
        <f t="shared" si="261"/>
        <v>0</v>
      </c>
      <c r="Z800" s="13">
        <f t="shared" ca="1" si="262"/>
        <v>24166.350000000002</v>
      </c>
      <c r="AA800" s="4">
        <f t="shared" ca="1" si="263"/>
        <v>2.2164085398264883</v>
      </c>
    </row>
    <row r="801" spans="1:27">
      <c r="A801">
        <v>1</v>
      </c>
      <c r="B801">
        <v>3</v>
      </c>
      <c r="C801">
        <f t="shared" ca="1" si="242"/>
        <v>8</v>
      </c>
      <c r="D801">
        <f t="shared" ca="1" si="243"/>
        <v>7</v>
      </c>
      <c r="E801">
        <f t="shared" ca="1" si="244"/>
        <v>1</v>
      </c>
      <c r="F801" s="110">
        <f t="shared" ca="1" si="245"/>
        <v>7.1294999999999996E-3</v>
      </c>
      <c r="G801">
        <v>0</v>
      </c>
      <c r="H801">
        <v>0</v>
      </c>
      <c r="I801">
        <v>5</v>
      </c>
      <c r="J801" s="1">
        <f t="shared" ca="1" si="246"/>
        <v>2.0311749609375038E-3</v>
      </c>
      <c r="K801" s="1">
        <f t="shared" ca="1" si="247"/>
        <v>1.4481261884003933E-5</v>
      </c>
      <c r="L801" s="13">
        <f t="shared" ca="1" si="248"/>
        <v>100</v>
      </c>
      <c r="M801" s="7">
        <f t="shared" ca="1" si="249"/>
        <v>900</v>
      </c>
      <c r="N801" s="26">
        <f t="shared" ca="1" si="250"/>
        <v>4</v>
      </c>
      <c r="O801" s="44">
        <f t="shared" ca="1" si="251"/>
        <v>2.8910364854084887</v>
      </c>
      <c r="P801" s="44">
        <f t="shared" ca="1" si="252"/>
        <v>28.910364854084886</v>
      </c>
      <c r="Q801" s="44">
        <f t="shared" ca="1" si="253"/>
        <v>28.910364854084886</v>
      </c>
      <c r="R801" s="44">
        <f t="shared" ca="1" si="254"/>
        <v>2.8910364854084887</v>
      </c>
      <c r="S801" s="44">
        <f t="shared" ca="1" si="255"/>
        <v>2.8910364854084882</v>
      </c>
      <c r="T801" s="4">
        <f t="shared" ca="1" si="256"/>
        <v>4.1865856461410635E-5</v>
      </c>
      <c r="U801" s="120">
        <f t="shared" ca="1" si="257"/>
        <v>1560.6349838037554</v>
      </c>
      <c r="V801" s="4">
        <f t="shared" ca="1" si="258"/>
        <v>2.2599963905800418E-2</v>
      </c>
      <c r="W801" s="13">
        <f t="shared" ca="1" si="259"/>
        <v>20138.625</v>
      </c>
      <c r="X801" s="4">
        <f t="shared" ca="1" si="260"/>
        <v>0.29163270260874868</v>
      </c>
      <c r="Y801" s="4">
        <f t="shared" si="261"/>
        <v>0</v>
      </c>
      <c r="Z801" s="13">
        <f t="shared" ca="1" si="262"/>
        <v>20138.625</v>
      </c>
      <c r="AA801" s="4">
        <f t="shared" ca="1" si="263"/>
        <v>0.29163270260874868</v>
      </c>
    </row>
    <row r="802" spans="1:27">
      <c r="A802">
        <v>1</v>
      </c>
      <c r="B802">
        <v>3</v>
      </c>
      <c r="C802">
        <f t="shared" ca="1" si="242"/>
        <v>8</v>
      </c>
      <c r="D802">
        <f t="shared" ca="1" si="243"/>
        <v>7</v>
      </c>
      <c r="E802">
        <f t="shared" ca="1" si="244"/>
        <v>1</v>
      </c>
      <c r="F802" s="110">
        <f t="shared" ca="1" si="245"/>
        <v>7.1294999999999996E-3</v>
      </c>
      <c r="G802">
        <v>0</v>
      </c>
      <c r="H802">
        <v>0</v>
      </c>
      <c r="I802">
        <v>4</v>
      </c>
      <c r="J802" s="1">
        <f t="shared" ca="1" si="246"/>
        <v>1.7817324218750047E-4</v>
      </c>
      <c r="K802" s="1">
        <f t="shared" ca="1" si="247"/>
        <v>1.2702861301757846E-6</v>
      </c>
      <c r="L802" s="13">
        <f t="shared" ca="1" si="248"/>
        <v>80</v>
      </c>
      <c r="M802" s="7">
        <f t="shared" ca="1" si="249"/>
        <v>920</v>
      </c>
      <c r="N802" s="26">
        <f t="shared" ca="1" si="250"/>
        <v>4</v>
      </c>
      <c r="O802" s="44">
        <f t="shared" ca="1" si="251"/>
        <v>2.8910364854084887</v>
      </c>
      <c r="P802" s="44">
        <f t="shared" ca="1" si="252"/>
        <v>28.910364854084886</v>
      </c>
      <c r="Q802" s="44">
        <f t="shared" ca="1" si="253"/>
        <v>28.910364854084886</v>
      </c>
      <c r="R802" s="44">
        <f t="shared" ca="1" si="254"/>
        <v>2.8910364854084887</v>
      </c>
      <c r="S802" s="44">
        <f t="shared" ca="1" si="255"/>
        <v>2.8910364854084882</v>
      </c>
      <c r="T802" s="4">
        <f t="shared" ca="1" si="256"/>
        <v>3.6724435492465494E-6</v>
      </c>
      <c r="U802" s="120">
        <f t="shared" ca="1" si="257"/>
        <v>1540.6349838037554</v>
      </c>
      <c r="V802" s="4">
        <f t="shared" ca="1" si="258"/>
        <v>1.9570472515895048E-3</v>
      </c>
      <c r="W802" s="13">
        <f t="shared" ca="1" si="259"/>
        <v>16110.900000000001</v>
      </c>
      <c r="X802" s="4">
        <f t="shared" ca="1" si="260"/>
        <v>2.0465452814649048E-2</v>
      </c>
      <c r="Y802" s="4">
        <f t="shared" si="261"/>
        <v>0</v>
      </c>
      <c r="Z802" s="13">
        <f t="shared" ca="1" si="262"/>
        <v>16110.900000000001</v>
      </c>
      <c r="AA802" s="4">
        <f t="shared" ca="1" si="263"/>
        <v>2.0465452814649048E-2</v>
      </c>
    </row>
    <row r="803" spans="1:27">
      <c r="A803">
        <v>1</v>
      </c>
      <c r="B803">
        <v>3</v>
      </c>
      <c r="C803">
        <f t="shared" ca="1" si="242"/>
        <v>8</v>
      </c>
      <c r="D803">
        <f t="shared" ca="1" si="243"/>
        <v>7</v>
      </c>
      <c r="E803">
        <f t="shared" ca="1" si="244"/>
        <v>1</v>
      </c>
      <c r="F803" s="110">
        <f t="shared" ca="1" si="245"/>
        <v>7.1294999999999996E-3</v>
      </c>
      <c r="G803">
        <v>0</v>
      </c>
      <c r="H803">
        <v>0</v>
      </c>
      <c r="I803">
        <v>3</v>
      </c>
      <c r="J803" s="1">
        <f t="shared" ca="1" si="246"/>
        <v>9.3775390625000315E-6</v>
      </c>
      <c r="K803" s="1">
        <f t="shared" ca="1" si="247"/>
        <v>6.6857164746093977E-8</v>
      </c>
      <c r="L803" s="13">
        <f t="shared" ca="1" si="248"/>
        <v>60</v>
      </c>
      <c r="M803" s="7">
        <f t="shared" ca="1" si="249"/>
        <v>940</v>
      </c>
      <c r="N803" s="26">
        <f t="shared" ca="1" si="250"/>
        <v>4</v>
      </c>
      <c r="O803" s="44">
        <f t="shared" ca="1" si="251"/>
        <v>2.8910364854084887</v>
      </c>
      <c r="P803" s="44">
        <f t="shared" ca="1" si="252"/>
        <v>28.910364854084886</v>
      </c>
      <c r="Q803" s="44">
        <f t="shared" ca="1" si="253"/>
        <v>28.910364854084886</v>
      </c>
      <c r="R803" s="44">
        <f t="shared" ca="1" si="254"/>
        <v>2.8910364854084887</v>
      </c>
      <c r="S803" s="44">
        <f t="shared" ca="1" si="255"/>
        <v>2.8910364854084882</v>
      </c>
      <c r="T803" s="4">
        <f t="shared" ca="1" si="256"/>
        <v>1.9328650259192382E-7</v>
      </c>
      <c r="U803" s="120">
        <f t="shared" ca="1" si="257"/>
        <v>1520.6349838037554</v>
      </c>
      <c r="V803" s="4">
        <f t="shared" ca="1" si="258"/>
        <v>1.0166534363084162E-4</v>
      </c>
      <c r="W803" s="13">
        <f t="shared" ca="1" si="259"/>
        <v>12083.175000000001</v>
      </c>
      <c r="X803" s="4">
        <f t="shared" ca="1" si="260"/>
        <v>8.0784682163088418E-4</v>
      </c>
      <c r="Y803" s="4">
        <f t="shared" si="261"/>
        <v>0</v>
      </c>
      <c r="Z803" s="13">
        <f t="shared" ca="1" si="262"/>
        <v>12083.175000000001</v>
      </c>
      <c r="AA803" s="4">
        <f t="shared" ca="1" si="263"/>
        <v>8.0784682163088418E-4</v>
      </c>
    </row>
    <row r="804" spans="1:27">
      <c r="A804">
        <v>1</v>
      </c>
      <c r="B804">
        <v>3</v>
      </c>
      <c r="C804">
        <f t="shared" ca="1" si="242"/>
        <v>8</v>
      </c>
      <c r="D804">
        <f t="shared" ca="1" si="243"/>
        <v>7</v>
      </c>
      <c r="E804">
        <f t="shared" ca="1" si="244"/>
        <v>1</v>
      </c>
      <c r="F804" s="110">
        <f t="shared" ca="1" si="245"/>
        <v>7.1294999999999996E-3</v>
      </c>
      <c r="G804">
        <v>0</v>
      </c>
      <c r="H804">
        <v>0</v>
      </c>
      <c r="I804">
        <v>2</v>
      </c>
      <c r="J804" s="1">
        <f t="shared" ca="1" si="246"/>
        <v>2.961328125000013E-7</v>
      </c>
      <c r="K804" s="1">
        <f t="shared" ca="1" si="247"/>
        <v>2.111278886718759E-9</v>
      </c>
      <c r="L804" s="13">
        <f t="shared" ca="1" si="248"/>
        <v>40</v>
      </c>
      <c r="M804" s="7">
        <f t="shared" ca="1" si="249"/>
        <v>960</v>
      </c>
      <c r="N804" s="26">
        <f t="shared" ca="1" si="250"/>
        <v>4</v>
      </c>
      <c r="O804" s="44">
        <f t="shared" ca="1" si="251"/>
        <v>2.8910364854084887</v>
      </c>
      <c r="P804" s="44">
        <f t="shared" ca="1" si="252"/>
        <v>28.910364854084886</v>
      </c>
      <c r="Q804" s="44">
        <f t="shared" ca="1" si="253"/>
        <v>28.910364854084886</v>
      </c>
      <c r="R804" s="44">
        <f t="shared" ca="1" si="254"/>
        <v>2.8910364854084887</v>
      </c>
      <c r="S804" s="44">
        <f t="shared" ca="1" si="255"/>
        <v>2.8910364854084882</v>
      </c>
      <c r="T804" s="4">
        <f t="shared" ca="1" si="256"/>
        <v>6.1037842923765466E-9</v>
      </c>
      <c r="U804" s="120">
        <f t="shared" ca="1" si="257"/>
        <v>1500.6349838037554</v>
      </c>
      <c r="V804" s="4">
        <f t="shared" ca="1" si="258"/>
        <v>3.1682589579764154E-6</v>
      </c>
      <c r="W804" s="13">
        <f t="shared" ca="1" si="259"/>
        <v>8055.4500000000007</v>
      </c>
      <c r="X804" s="4">
        <f t="shared" ca="1" si="260"/>
        <v>1.7007301508018627E-5</v>
      </c>
      <c r="Y804" s="4">
        <f t="shared" si="261"/>
        <v>0</v>
      </c>
      <c r="Z804" s="13">
        <f t="shared" ca="1" si="262"/>
        <v>8055.4500000000007</v>
      </c>
      <c r="AA804" s="4">
        <f t="shared" ca="1" si="263"/>
        <v>1.7007301508018627E-5</v>
      </c>
    </row>
    <row r="805" spans="1:27">
      <c r="A805">
        <v>1</v>
      </c>
      <c r="B805">
        <v>3</v>
      </c>
      <c r="C805">
        <f t="shared" ca="1" si="242"/>
        <v>8</v>
      </c>
      <c r="D805">
        <f t="shared" ca="1" si="243"/>
        <v>7</v>
      </c>
      <c r="E805">
        <f t="shared" ca="1" si="244"/>
        <v>1</v>
      </c>
      <c r="F805" s="110">
        <f t="shared" ca="1" si="245"/>
        <v>7.1294999999999996E-3</v>
      </c>
      <c r="G805">
        <v>0</v>
      </c>
      <c r="H805">
        <v>0</v>
      </c>
      <c r="I805">
        <v>1</v>
      </c>
      <c r="J805" s="1">
        <f t="shared" ca="1" si="246"/>
        <v>5.1953125000000272E-9</v>
      </c>
      <c r="K805" s="1">
        <f t="shared" ca="1" si="247"/>
        <v>3.703998046875019E-11</v>
      </c>
      <c r="L805" s="13">
        <f t="shared" ca="1" si="248"/>
        <v>20</v>
      </c>
      <c r="M805" s="7">
        <f t="shared" ca="1" si="249"/>
        <v>980</v>
      </c>
      <c r="N805" s="26">
        <f t="shared" ca="1" si="250"/>
        <v>4</v>
      </c>
      <c r="O805" s="44">
        <f t="shared" ca="1" si="251"/>
        <v>2.8910364854084887</v>
      </c>
      <c r="P805" s="44">
        <f t="shared" ca="1" si="252"/>
        <v>28.910364854084886</v>
      </c>
      <c r="Q805" s="44">
        <f t="shared" ca="1" si="253"/>
        <v>28.910364854084886</v>
      </c>
      <c r="R805" s="44">
        <f t="shared" ca="1" si="254"/>
        <v>2.8910364854084887</v>
      </c>
      <c r="S805" s="44">
        <f t="shared" ca="1" si="255"/>
        <v>2.8910364854084882</v>
      </c>
      <c r="T805" s="4">
        <f t="shared" ca="1" si="256"/>
        <v>1.0708393495397459E-10</v>
      </c>
      <c r="U805" s="120">
        <f t="shared" ca="1" si="257"/>
        <v>1480.6349838037554</v>
      </c>
      <c r="V805" s="4">
        <f t="shared" ca="1" si="258"/>
        <v>5.4842690881439357E-8</v>
      </c>
      <c r="W805" s="13">
        <f t="shared" ca="1" si="259"/>
        <v>4027.7250000000004</v>
      </c>
      <c r="X805" s="4">
        <f t="shared" ca="1" si="260"/>
        <v>1.4918685533349688E-7</v>
      </c>
      <c r="Y805" s="4">
        <f t="shared" si="261"/>
        <v>0</v>
      </c>
      <c r="Z805" s="13">
        <f t="shared" ca="1" si="262"/>
        <v>4027.7250000000004</v>
      </c>
      <c r="AA805" s="4">
        <f t="shared" ca="1" si="263"/>
        <v>1.4918685533349688E-7</v>
      </c>
    </row>
    <row r="806" spans="1:27">
      <c r="A806">
        <v>1</v>
      </c>
      <c r="B806">
        <v>3</v>
      </c>
      <c r="C806">
        <f t="shared" ca="1" si="242"/>
        <v>8</v>
      </c>
      <c r="D806">
        <f t="shared" ca="1" si="243"/>
        <v>7</v>
      </c>
      <c r="E806">
        <f t="shared" ca="1" si="244"/>
        <v>1</v>
      </c>
      <c r="F806" s="110">
        <f t="shared" ca="1" si="245"/>
        <v>7.1294999999999996E-3</v>
      </c>
      <c r="G806">
        <v>0</v>
      </c>
      <c r="H806">
        <v>0</v>
      </c>
      <c r="I806">
        <v>0</v>
      </c>
      <c r="J806" s="1">
        <f t="shared" ca="1" si="246"/>
        <v>3.9062500000000246E-11</v>
      </c>
      <c r="K806" s="1">
        <f t="shared" ca="1" si="247"/>
        <v>2.7849609375000176E-13</v>
      </c>
      <c r="L806" s="13">
        <f t="shared" ca="1" si="248"/>
        <v>0</v>
      </c>
      <c r="M806" s="7">
        <f t="shared" ca="1" si="249"/>
        <v>1000</v>
      </c>
      <c r="N806" s="26">
        <f t="shared" ca="1" si="250"/>
        <v>4</v>
      </c>
      <c r="O806" s="44">
        <f t="shared" ca="1" si="251"/>
        <v>2.8910364854084887</v>
      </c>
      <c r="P806" s="44">
        <f t="shared" ca="1" si="252"/>
        <v>28.910364854084886</v>
      </c>
      <c r="Q806" s="44">
        <f t="shared" ca="1" si="253"/>
        <v>28.910364854084886</v>
      </c>
      <c r="R806" s="44">
        <f t="shared" ca="1" si="254"/>
        <v>2.8910364854084887</v>
      </c>
      <c r="S806" s="44">
        <f t="shared" ca="1" si="255"/>
        <v>2.8910364854084882</v>
      </c>
      <c r="T806" s="4">
        <f t="shared" ca="1" si="256"/>
        <v>8.051423680749979E-13</v>
      </c>
      <c r="U806" s="120">
        <f t="shared" ca="1" si="257"/>
        <v>1460.6349838037554</v>
      </c>
      <c r="V806" s="4">
        <f t="shared" ca="1" si="258"/>
        <v>4.0678113738394296E-10</v>
      </c>
      <c r="W806" s="13">
        <f t="shared" ca="1" si="259"/>
        <v>0</v>
      </c>
      <c r="X806" s="4">
        <f t="shared" ca="1" si="260"/>
        <v>0</v>
      </c>
      <c r="Y806" s="4">
        <f t="shared" si="261"/>
        <v>0</v>
      </c>
      <c r="Z806" s="13">
        <f t="shared" ca="1" si="262"/>
        <v>0</v>
      </c>
      <c r="AA806" s="4">
        <f t="shared" ca="1" si="263"/>
        <v>0</v>
      </c>
    </row>
    <row r="807" spans="1:27">
      <c r="A807">
        <v>2</v>
      </c>
      <c r="B807">
        <v>0</v>
      </c>
      <c r="C807">
        <f t="shared" ref="C807:C870" ca="1" si="264">MIN(8, 1+$B$543+$B$542+A807+B807)</f>
        <v>7</v>
      </c>
      <c r="D807">
        <f t="shared" ref="D807:D870" ca="1" si="265">C807-(1+$B$543)</f>
        <v>6</v>
      </c>
      <c r="E807">
        <f t="shared" ref="E807:E870" ca="1" si="266">MIN(A807, C807-(1+$B$543+$B$542))</f>
        <v>2</v>
      </c>
      <c r="F807" s="110">
        <f t="shared" ref="F807:F870" ca="1" si="267">IF(A807=3, Set2QA, IF(A807=2, (1-Set2QA)*Set2TA + (1-Set2QA)*(1-Set2TA)*(1-Set2DA)*Set2AM3*Set2AM33, IF(A807=1, (1-Set2QA)*(1-Set2TA)*Set2DA + (1-Set2QA)*(1-Set2TA)*(1-Set2DA)*Set2AM3*Set2AM32, (1-Set2QA)*(1-Set2TA)*(1-Set2DA)*(1-Set2AM3)))) * IF($B$542+$B$543&gt;0, IF(B807=3, Set2QA, IF(B807=2, (1-Set2QA)*Set2TA, IF(B807=1, (1-Set2QA)*(1-Set2TA)*Set2DA, (1-Set2QA)*(1-Set2TA)*(1-Set2DA)))), IF(B807=0, 1, 0))</f>
        <v>1.383123E-2</v>
      </c>
      <c r="G807">
        <v>1</v>
      </c>
      <c r="H807">
        <v>1</v>
      </c>
      <c r="I807">
        <v>7</v>
      </c>
      <c r="J807" s="1">
        <f t="shared" ref="J807:J870" ca="1" si="268">POWER(95%,G807)*POWER(5%, 1-G807) * IF($B$543=0, IF(H807=0, 1, 0), POWER(Set2WSHitRate,H807)*POWER(1-Set2WSHitRate, 1-H807)) * IF(I807&lt;=D807, POWER(Set2WSHitRate, I807)*POWER(1-Set2WSHitRate, D807-I807)*COMBIN(D807,I807), 0)</f>
        <v>0</v>
      </c>
      <c r="K807" s="1">
        <f t="shared" ref="K807:K870" ca="1" si="269">F807*J807</f>
        <v>0</v>
      </c>
      <c r="L807" s="13">
        <f t="shared" ref="L807:L870" ca="1" si="270">MAX((G807+H807)*Set2WSTP + I807*$B$539, Set2SaveTP)</f>
        <v>648</v>
      </c>
      <c r="M807" s="7">
        <f t="shared" ref="M807:M870" ca="1" si="271">MAX(Set2MinTP-(L807+Set2Regain), 0)</f>
        <v>352</v>
      </c>
      <c r="N807" s="26">
        <f t="shared" ref="N807:N870" ca="1" si="272">CEILING(M807/Set2MeleeTP, 1)</f>
        <v>2</v>
      </c>
      <c r="O807" s="44">
        <f t="shared" ref="O807:O870" ca="1" si="273">VLOOKUP(N807, AvgRoundsSet2, 2)</f>
        <v>1.5942243152407929</v>
      </c>
      <c r="P807" s="44">
        <f t="shared" ref="P807:P870" ca="1" si="274">VLOOKUP(CEILING(MAX(M807-1, 0)/Set2MeleeTP, 1), AvgRoundsSet2, 2) + VLOOKUP(CEILING(MAX(M807-2, 0)/Set2MeleeTP, 1), AvgRoundsSet2, 2) + VLOOKUP(CEILING(MAX(M807-3, 0)/Set2MeleeTP, 1), AvgRoundsSet2, 2) + VLOOKUP(CEILING(MAX(M807-4, 0)/Set2MeleeTP, 1), AvgRoundsSet2, 2) + VLOOKUP(CEILING(MAX(M807-5, 0)/Set2MeleeTP, 1), AvgRoundsSet2, 2) + VLOOKUP(CEILING(MAX(M807-6, 0)/Set2MeleeTP, 1), AvgRoundsSet2, 2) + VLOOKUP(CEILING(MAX(M807-7, 0)/Set2MeleeTP, 1), AvgRoundsSet2, 2) + VLOOKUP(CEILING(MAX(M807-8, 0)/Set2MeleeTP, 1), AvgRoundsSet2, 2) + VLOOKUP(CEILING(MAX(M807-9, 0)/Set2MeleeTP, 1), AvgRoundsSet2, 2) + VLOOKUP(CEILING(MAX(M807-10, 0)/Set2MeleeTP, 1), AvgRoundsSet2, 2)</f>
        <v>15.942243152407926</v>
      </c>
      <c r="Q807" s="44">
        <f t="shared" ref="Q807:Q870" ca="1" si="275">VLOOKUP(CEILING(MAX(M807-11, 0)/Set2MeleeTP, 1), AvgRoundsSet2, 2) + VLOOKUP(CEILING(MAX(M807-12, 0)/Set2MeleeTP, 1), AvgRoundsSet2, 2) + VLOOKUP(CEILING(MAX(M807-13, 0)/Set2MeleeTP, 1), AvgRoundsSet2, 2) + VLOOKUP(CEILING(MAX(M807-14, 0)/Set2MeleeTP, 1), AvgRoundsSet2, 2) + VLOOKUP(CEILING(MAX(M807-15, 0)/Set2MeleeTP, 1), AvgRoundsSet2, 2) + VLOOKUP(CEILING(MAX(M807-16, 0)/Set2MeleeTP, 1), AvgRoundsSet2, 2) + VLOOKUP(CEILING(MAX(M807-17, 0)/Set2MeleeTP, 1), AvgRoundsSet2, 2) + VLOOKUP(CEILING(MAX(M807-18, 0)/Set2MeleeTP, 1), AvgRoundsSet2, 2) + VLOOKUP(CEILING(MAX(M807-19, 0)/Set2MeleeTP, 1), AvgRoundsSet2, 2) + VLOOKUP(CEILING(MAX(M807-20, 0)/Set2MeleeTP, 1), AvgRoundsSet2, 2)</f>
        <v>15.942243152407926</v>
      </c>
      <c r="R807" s="44">
        <f t="shared" ref="R807:R870" ca="1" si="276">(P807+Q807)/20</f>
        <v>1.5942243152407927</v>
      </c>
      <c r="S807" s="44">
        <f t="shared" ref="S807:S870" ca="1" si="277">R807*Set2ConserveTP + O807*(1-Set2ConserveTP)</f>
        <v>1.5942243152407927</v>
      </c>
      <c r="T807" s="4">
        <f t="shared" ref="T807:T870" ca="1" si="278">K807*S807</f>
        <v>0</v>
      </c>
      <c r="U807" s="120">
        <f t="shared" ref="U807:U870" ca="1" si="279">MIN(L807+(S807+Set2OverTP)*AvgHitsPerRound2*Set2MeleeTP + Set2Regain + 10.5*Set2ConserveTP, 3000)</f>
        <v>1550.3348669012169</v>
      </c>
      <c r="V807" s="4">
        <f t="shared" ref="V807:V870" ca="1" si="280">U807*K807</f>
        <v>0</v>
      </c>
      <c r="W807" s="13">
        <f t="shared" ref="W807:W870" ca="1" si="281">G807*$K$543*((1-$L$543)*$L$547 + $L$543*$M$547*$M$543)*Set2WSDmg + H807*$K$546*((1-$L$546)*$L$548 + $L$546*$M$548*$M$544) + I807*$K$544*((1-$L$544)*$L$547 + $L$544*$M$547*$M$544) + E807*$K$545*$L$545*$M$543</f>
        <v>32946.790500000003</v>
      </c>
      <c r="X807" s="4">
        <f t="shared" ref="X807:X870" ca="1" si="282">K807*W807</f>
        <v>0</v>
      </c>
      <c r="Y807" s="4">
        <f t="shared" ref="Y807:Y870" si="283">IF($B$545=1, (VLOOKUP(C807, IF($B$546=10%,Souleater10,Souleater12), 6, FALSE) * $B$547), 0)</f>
        <v>0</v>
      </c>
      <c r="Z807" s="13">
        <f t="shared" ca="1" si="262"/>
        <v>32946.790500000003</v>
      </c>
      <c r="AA807" s="4">
        <f t="shared" ca="1" si="263"/>
        <v>0</v>
      </c>
    </row>
    <row r="808" spans="1:27">
      <c r="A808">
        <v>2</v>
      </c>
      <c r="B808">
        <v>0</v>
      </c>
      <c r="C808">
        <f t="shared" ca="1" si="264"/>
        <v>7</v>
      </c>
      <c r="D808">
        <f t="shared" ca="1" si="265"/>
        <v>6</v>
      </c>
      <c r="E808">
        <f t="shared" ca="1" si="266"/>
        <v>2</v>
      </c>
      <c r="F808" s="110">
        <f t="shared" ca="1" si="267"/>
        <v>1.383123E-2</v>
      </c>
      <c r="G808">
        <v>1</v>
      </c>
      <c r="H808">
        <v>1</v>
      </c>
      <c r="I808">
        <v>6</v>
      </c>
      <c r="J808" s="1">
        <f t="shared" ca="1" si="268"/>
        <v>0</v>
      </c>
      <c r="K808" s="1">
        <f t="shared" ca="1" si="269"/>
        <v>0</v>
      </c>
      <c r="L808" s="13">
        <f t="shared" ca="1" si="270"/>
        <v>628</v>
      </c>
      <c r="M808" s="7">
        <f t="shared" ca="1" si="271"/>
        <v>372</v>
      </c>
      <c r="N808" s="26">
        <f t="shared" ca="1" si="272"/>
        <v>2</v>
      </c>
      <c r="O808" s="44">
        <f t="shared" ca="1" si="273"/>
        <v>1.5942243152407929</v>
      </c>
      <c r="P808" s="44">
        <f t="shared" ca="1" si="274"/>
        <v>15.942243152407926</v>
      </c>
      <c r="Q808" s="44">
        <f t="shared" ca="1" si="275"/>
        <v>15.942243152407926</v>
      </c>
      <c r="R808" s="44">
        <f t="shared" ca="1" si="276"/>
        <v>1.5942243152407927</v>
      </c>
      <c r="S808" s="44">
        <f t="shared" ca="1" si="277"/>
        <v>1.5942243152407927</v>
      </c>
      <c r="T808" s="4">
        <f t="shared" ca="1" si="278"/>
        <v>0</v>
      </c>
      <c r="U808" s="120">
        <f t="shared" ca="1" si="279"/>
        <v>1530.3348669012169</v>
      </c>
      <c r="V808" s="4">
        <f t="shared" ca="1" si="280"/>
        <v>0</v>
      </c>
      <c r="W808" s="13">
        <f t="shared" ca="1" si="281"/>
        <v>28919.065500000004</v>
      </c>
      <c r="X808" s="4">
        <f t="shared" ca="1" si="282"/>
        <v>0</v>
      </c>
      <c r="Y808" s="4">
        <f t="shared" si="283"/>
        <v>0</v>
      </c>
      <c r="Z808" s="13">
        <f t="shared" ref="Z808:Z871" ca="1" si="284">Y808+W808</f>
        <v>28919.065500000004</v>
      </c>
      <c r="AA808" s="4">
        <f t="shared" ref="AA808:AA871" ca="1" si="285">Z808*K808</f>
        <v>0</v>
      </c>
    </row>
    <row r="809" spans="1:27">
      <c r="A809">
        <v>2</v>
      </c>
      <c r="B809">
        <v>0</v>
      </c>
      <c r="C809">
        <f t="shared" ca="1" si="264"/>
        <v>7</v>
      </c>
      <c r="D809">
        <f t="shared" ca="1" si="265"/>
        <v>6</v>
      </c>
      <c r="E809">
        <f t="shared" ca="1" si="266"/>
        <v>2</v>
      </c>
      <c r="F809" s="110">
        <f t="shared" ca="1" si="267"/>
        <v>1.383123E-2</v>
      </c>
      <c r="G809">
        <v>1</v>
      </c>
      <c r="H809">
        <v>1</v>
      </c>
      <c r="I809">
        <v>5</v>
      </c>
      <c r="J809" s="1">
        <f t="shared" ca="1" si="268"/>
        <v>0</v>
      </c>
      <c r="K809" s="1">
        <f t="shared" ca="1" si="269"/>
        <v>0</v>
      </c>
      <c r="L809" s="13">
        <f t="shared" ca="1" si="270"/>
        <v>608</v>
      </c>
      <c r="M809" s="7">
        <f t="shared" ca="1" si="271"/>
        <v>392</v>
      </c>
      <c r="N809" s="26">
        <f t="shared" ca="1" si="272"/>
        <v>2</v>
      </c>
      <c r="O809" s="44">
        <f t="shared" ca="1" si="273"/>
        <v>1.5942243152407929</v>
      </c>
      <c r="P809" s="44">
        <f t="shared" ca="1" si="274"/>
        <v>15.942243152407926</v>
      </c>
      <c r="Q809" s="44">
        <f t="shared" ca="1" si="275"/>
        <v>15.942243152407926</v>
      </c>
      <c r="R809" s="44">
        <f t="shared" ca="1" si="276"/>
        <v>1.5942243152407927</v>
      </c>
      <c r="S809" s="44">
        <f t="shared" ca="1" si="277"/>
        <v>1.5942243152407927</v>
      </c>
      <c r="T809" s="4">
        <f t="shared" ca="1" si="278"/>
        <v>0</v>
      </c>
      <c r="U809" s="120">
        <f t="shared" ca="1" si="279"/>
        <v>1510.3348669012169</v>
      </c>
      <c r="V809" s="4">
        <f t="shared" ca="1" si="280"/>
        <v>0</v>
      </c>
      <c r="W809" s="13">
        <f t="shared" ca="1" si="281"/>
        <v>24891.340500000002</v>
      </c>
      <c r="X809" s="4">
        <f t="shared" ca="1" si="282"/>
        <v>0</v>
      </c>
      <c r="Y809" s="4">
        <f t="shared" si="283"/>
        <v>0</v>
      </c>
      <c r="Z809" s="13">
        <f t="shared" ca="1" si="284"/>
        <v>24891.340500000002</v>
      </c>
      <c r="AA809" s="4">
        <f t="shared" ca="1" si="285"/>
        <v>0</v>
      </c>
    </row>
    <row r="810" spans="1:27">
      <c r="A810">
        <v>2</v>
      </c>
      <c r="B810">
        <v>0</v>
      </c>
      <c r="C810">
        <f t="shared" ca="1" si="264"/>
        <v>7</v>
      </c>
      <c r="D810">
        <f t="shared" ca="1" si="265"/>
        <v>6</v>
      </c>
      <c r="E810">
        <f t="shared" ca="1" si="266"/>
        <v>2</v>
      </c>
      <c r="F810" s="110">
        <f t="shared" ca="1" si="267"/>
        <v>1.383123E-2</v>
      </c>
      <c r="G810">
        <v>1</v>
      </c>
      <c r="H810">
        <v>1</v>
      </c>
      <c r="I810">
        <v>4</v>
      </c>
      <c r="J810" s="1">
        <f t="shared" ca="1" si="268"/>
        <v>0</v>
      </c>
      <c r="K810" s="1">
        <f t="shared" ca="1" si="269"/>
        <v>0</v>
      </c>
      <c r="L810" s="13">
        <f t="shared" ca="1" si="270"/>
        <v>588</v>
      </c>
      <c r="M810" s="7">
        <f t="shared" ca="1" si="271"/>
        <v>412</v>
      </c>
      <c r="N810" s="26">
        <f t="shared" ca="1" si="272"/>
        <v>2</v>
      </c>
      <c r="O810" s="44">
        <f t="shared" ca="1" si="273"/>
        <v>1.5942243152407929</v>
      </c>
      <c r="P810" s="44">
        <f t="shared" ca="1" si="274"/>
        <v>15.942243152407926</v>
      </c>
      <c r="Q810" s="44">
        <f t="shared" ca="1" si="275"/>
        <v>15.942243152407926</v>
      </c>
      <c r="R810" s="44">
        <f t="shared" ca="1" si="276"/>
        <v>1.5942243152407927</v>
      </c>
      <c r="S810" s="44">
        <f t="shared" ca="1" si="277"/>
        <v>1.5942243152407927</v>
      </c>
      <c r="T810" s="4">
        <f t="shared" ca="1" si="278"/>
        <v>0</v>
      </c>
      <c r="U810" s="120">
        <f t="shared" ca="1" si="279"/>
        <v>1490.3348669012169</v>
      </c>
      <c r="V810" s="4">
        <f t="shared" ca="1" si="280"/>
        <v>0</v>
      </c>
      <c r="W810" s="13">
        <f t="shared" ca="1" si="281"/>
        <v>20863.615500000004</v>
      </c>
      <c r="X810" s="4">
        <f t="shared" ca="1" si="282"/>
        <v>0</v>
      </c>
      <c r="Y810" s="4">
        <f t="shared" si="283"/>
        <v>0</v>
      </c>
      <c r="Z810" s="13">
        <f t="shared" ca="1" si="284"/>
        <v>20863.615500000004</v>
      </c>
      <c r="AA810" s="4">
        <f t="shared" ca="1" si="285"/>
        <v>0</v>
      </c>
    </row>
    <row r="811" spans="1:27">
      <c r="A811">
        <v>2</v>
      </c>
      <c r="B811">
        <v>0</v>
      </c>
      <c r="C811">
        <f t="shared" ca="1" si="264"/>
        <v>7</v>
      </c>
      <c r="D811">
        <f t="shared" ca="1" si="265"/>
        <v>6</v>
      </c>
      <c r="E811">
        <f t="shared" ca="1" si="266"/>
        <v>2</v>
      </c>
      <c r="F811" s="110">
        <f t="shared" ca="1" si="267"/>
        <v>1.383123E-2</v>
      </c>
      <c r="G811">
        <v>1</v>
      </c>
      <c r="H811">
        <v>1</v>
      </c>
      <c r="I811">
        <v>3</v>
      </c>
      <c r="J811" s="1">
        <f t="shared" ca="1" si="268"/>
        <v>0</v>
      </c>
      <c r="K811" s="1">
        <f t="shared" ca="1" si="269"/>
        <v>0</v>
      </c>
      <c r="L811" s="13">
        <f t="shared" ca="1" si="270"/>
        <v>568</v>
      </c>
      <c r="M811" s="7">
        <f t="shared" ca="1" si="271"/>
        <v>432</v>
      </c>
      <c r="N811" s="26">
        <f t="shared" ca="1" si="272"/>
        <v>2</v>
      </c>
      <c r="O811" s="44">
        <f t="shared" ca="1" si="273"/>
        <v>1.5942243152407929</v>
      </c>
      <c r="P811" s="44">
        <f t="shared" ca="1" si="274"/>
        <v>15.942243152407926</v>
      </c>
      <c r="Q811" s="44">
        <f t="shared" ca="1" si="275"/>
        <v>15.942243152407926</v>
      </c>
      <c r="R811" s="44">
        <f t="shared" ca="1" si="276"/>
        <v>1.5942243152407927</v>
      </c>
      <c r="S811" s="44">
        <f t="shared" ca="1" si="277"/>
        <v>1.5942243152407927</v>
      </c>
      <c r="T811" s="4">
        <f t="shared" ca="1" si="278"/>
        <v>0</v>
      </c>
      <c r="U811" s="120">
        <f t="shared" ca="1" si="279"/>
        <v>1470.3348669012169</v>
      </c>
      <c r="V811" s="4">
        <f t="shared" ca="1" si="280"/>
        <v>0</v>
      </c>
      <c r="W811" s="13">
        <f t="shared" ca="1" si="281"/>
        <v>16835.890500000001</v>
      </c>
      <c r="X811" s="4">
        <f t="shared" ca="1" si="282"/>
        <v>0</v>
      </c>
      <c r="Y811" s="4">
        <f t="shared" si="283"/>
        <v>0</v>
      </c>
      <c r="Z811" s="13">
        <f t="shared" ca="1" si="284"/>
        <v>16835.890500000001</v>
      </c>
      <c r="AA811" s="4">
        <f t="shared" ca="1" si="285"/>
        <v>0</v>
      </c>
    </row>
    <row r="812" spans="1:27">
      <c r="A812">
        <v>2</v>
      </c>
      <c r="B812">
        <v>0</v>
      </c>
      <c r="C812">
        <f t="shared" ca="1" si="264"/>
        <v>7</v>
      </c>
      <c r="D812">
        <f t="shared" ca="1" si="265"/>
        <v>6</v>
      </c>
      <c r="E812">
        <f t="shared" ca="1" si="266"/>
        <v>2</v>
      </c>
      <c r="F812" s="110">
        <f t="shared" ca="1" si="267"/>
        <v>1.383123E-2</v>
      </c>
      <c r="G812">
        <v>1</v>
      </c>
      <c r="H812">
        <v>1</v>
      </c>
      <c r="I812">
        <v>2</v>
      </c>
      <c r="J812" s="1">
        <f t="shared" ca="1" si="268"/>
        <v>0</v>
      </c>
      <c r="K812" s="1">
        <f t="shared" ca="1" si="269"/>
        <v>0</v>
      </c>
      <c r="L812" s="13">
        <f t="shared" ca="1" si="270"/>
        <v>548</v>
      </c>
      <c r="M812" s="7">
        <f t="shared" ca="1" si="271"/>
        <v>452</v>
      </c>
      <c r="N812" s="26">
        <f t="shared" ca="1" si="272"/>
        <v>2</v>
      </c>
      <c r="O812" s="44">
        <f t="shared" ca="1" si="273"/>
        <v>1.5942243152407929</v>
      </c>
      <c r="P812" s="44">
        <f t="shared" ca="1" si="274"/>
        <v>15.942243152407926</v>
      </c>
      <c r="Q812" s="44">
        <f t="shared" ca="1" si="275"/>
        <v>15.942243152407926</v>
      </c>
      <c r="R812" s="44">
        <f t="shared" ca="1" si="276"/>
        <v>1.5942243152407927</v>
      </c>
      <c r="S812" s="44">
        <f t="shared" ca="1" si="277"/>
        <v>1.5942243152407927</v>
      </c>
      <c r="T812" s="4">
        <f t="shared" ca="1" si="278"/>
        <v>0</v>
      </c>
      <c r="U812" s="120">
        <f t="shared" ca="1" si="279"/>
        <v>1450.3348669012169</v>
      </c>
      <c r="V812" s="4">
        <f t="shared" ca="1" si="280"/>
        <v>0</v>
      </c>
      <c r="W812" s="13">
        <f t="shared" ca="1" si="281"/>
        <v>12808.165500000003</v>
      </c>
      <c r="X812" s="4">
        <f t="shared" ca="1" si="282"/>
        <v>0</v>
      </c>
      <c r="Y812" s="4">
        <f t="shared" si="283"/>
        <v>0</v>
      </c>
      <c r="Z812" s="13">
        <f t="shared" ca="1" si="284"/>
        <v>12808.165500000003</v>
      </c>
      <c r="AA812" s="4">
        <f t="shared" ca="1" si="285"/>
        <v>0</v>
      </c>
    </row>
    <row r="813" spans="1:27">
      <c r="A813">
        <v>2</v>
      </c>
      <c r="B813">
        <v>0</v>
      </c>
      <c r="C813">
        <f t="shared" ca="1" si="264"/>
        <v>7</v>
      </c>
      <c r="D813">
        <f t="shared" ca="1" si="265"/>
        <v>6</v>
      </c>
      <c r="E813">
        <f t="shared" ca="1" si="266"/>
        <v>2</v>
      </c>
      <c r="F813" s="110">
        <f t="shared" ca="1" si="267"/>
        <v>1.383123E-2</v>
      </c>
      <c r="G813">
        <v>1</v>
      </c>
      <c r="H813">
        <v>1</v>
      </c>
      <c r="I813">
        <v>1</v>
      </c>
      <c r="J813" s="1">
        <f t="shared" ca="1" si="268"/>
        <v>0</v>
      </c>
      <c r="K813" s="1">
        <f t="shared" ca="1" si="269"/>
        <v>0</v>
      </c>
      <c r="L813" s="13">
        <f t="shared" ca="1" si="270"/>
        <v>528</v>
      </c>
      <c r="M813" s="7">
        <f t="shared" ca="1" si="271"/>
        <v>472</v>
      </c>
      <c r="N813" s="26">
        <f t="shared" ca="1" si="272"/>
        <v>2</v>
      </c>
      <c r="O813" s="44">
        <f t="shared" ca="1" si="273"/>
        <v>1.5942243152407929</v>
      </c>
      <c r="P813" s="44">
        <f t="shared" ca="1" si="274"/>
        <v>15.942243152407926</v>
      </c>
      <c r="Q813" s="44">
        <f t="shared" ca="1" si="275"/>
        <v>15.942243152407926</v>
      </c>
      <c r="R813" s="44">
        <f t="shared" ca="1" si="276"/>
        <v>1.5942243152407927</v>
      </c>
      <c r="S813" s="44">
        <f t="shared" ca="1" si="277"/>
        <v>1.5942243152407927</v>
      </c>
      <c r="T813" s="4">
        <f t="shared" ca="1" si="278"/>
        <v>0</v>
      </c>
      <c r="U813" s="120">
        <f t="shared" ca="1" si="279"/>
        <v>1430.3348669012169</v>
      </c>
      <c r="V813" s="4">
        <f t="shared" ca="1" si="280"/>
        <v>0</v>
      </c>
      <c r="W813" s="13">
        <f t="shared" ca="1" si="281"/>
        <v>8780.4405000000006</v>
      </c>
      <c r="X813" s="4">
        <f t="shared" ca="1" si="282"/>
        <v>0</v>
      </c>
      <c r="Y813" s="4">
        <f t="shared" si="283"/>
        <v>0</v>
      </c>
      <c r="Z813" s="13">
        <f t="shared" ca="1" si="284"/>
        <v>8780.4405000000006</v>
      </c>
      <c r="AA813" s="4">
        <f t="shared" ca="1" si="285"/>
        <v>0</v>
      </c>
    </row>
    <row r="814" spans="1:27">
      <c r="A814">
        <v>2</v>
      </c>
      <c r="B814">
        <v>0</v>
      </c>
      <c r="C814">
        <f t="shared" ca="1" si="264"/>
        <v>7</v>
      </c>
      <c r="D814">
        <f t="shared" ca="1" si="265"/>
        <v>6</v>
      </c>
      <c r="E814">
        <f t="shared" ca="1" si="266"/>
        <v>2</v>
      </c>
      <c r="F814" s="110">
        <f t="shared" ca="1" si="267"/>
        <v>1.383123E-2</v>
      </c>
      <c r="G814">
        <v>1</v>
      </c>
      <c r="H814">
        <v>1</v>
      </c>
      <c r="I814">
        <v>0</v>
      </c>
      <c r="J814" s="1">
        <f t="shared" ca="1" si="268"/>
        <v>0</v>
      </c>
      <c r="K814" s="1">
        <f t="shared" ca="1" si="269"/>
        <v>0</v>
      </c>
      <c r="L814" s="13">
        <f t="shared" ca="1" si="270"/>
        <v>508</v>
      </c>
      <c r="M814" s="7">
        <f t="shared" ca="1" si="271"/>
        <v>492</v>
      </c>
      <c r="N814" s="26">
        <f t="shared" ca="1" si="272"/>
        <v>2</v>
      </c>
      <c r="O814" s="44">
        <f t="shared" ca="1" si="273"/>
        <v>1.5942243152407929</v>
      </c>
      <c r="P814" s="44">
        <f t="shared" ca="1" si="274"/>
        <v>15.942243152407926</v>
      </c>
      <c r="Q814" s="44">
        <f t="shared" ca="1" si="275"/>
        <v>15.942243152407926</v>
      </c>
      <c r="R814" s="44">
        <f t="shared" ca="1" si="276"/>
        <v>1.5942243152407927</v>
      </c>
      <c r="S814" s="44">
        <f t="shared" ca="1" si="277"/>
        <v>1.5942243152407927</v>
      </c>
      <c r="T814" s="4">
        <f t="shared" ca="1" si="278"/>
        <v>0</v>
      </c>
      <c r="U814" s="120">
        <f t="shared" ca="1" si="279"/>
        <v>1410.3348669012169</v>
      </c>
      <c r="V814" s="4">
        <f t="shared" ca="1" si="280"/>
        <v>0</v>
      </c>
      <c r="W814" s="13">
        <f t="shared" ca="1" si="281"/>
        <v>4752.7155000000012</v>
      </c>
      <c r="X814" s="4">
        <f t="shared" ca="1" si="282"/>
        <v>0</v>
      </c>
      <c r="Y814" s="4">
        <f t="shared" si="283"/>
        <v>0</v>
      </c>
      <c r="Z814" s="13">
        <f t="shared" ca="1" si="284"/>
        <v>4752.7155000000012</v>
      </c>
      <c r="AA814" s="4">
        <f t="shared" ca="1" si="285"/>
        <v>0</v>
      </c>
    </row>
    <row r="815" spans="1:27">
      <c r="A815">
        <v>2</v>
      </c>
      <c r="B815">
        <v>0</v>
      </c>
      <c r="C815">
        <f t="shared" ca="1" si="264"/>
        <v>7</v>
      </c>
      <c r="D815">
        <f t="shared" ca="1" si="265"/>
        <v>6</v>
      </c>
      <c r="E815">
        <f t="shared" ca="1" si="266"/>
        <v>2</v>
      </c>
      <c r="F815" s="110">
        <f t="shared" ca="1" si="267"/>
        <v>1.383123E-2</v>
      </c>
      <c r="G815">
        <v>1</v>
      </c>
      <c r="H815">
        <v>0</v>
      </c>
      <c r="I815">
        <v>7</v>
      </c>
      <c r="J815" s="1">
        <f t="shared" ca="1" si="268"/>
        <v>0</v>
      </c>
      <c r="K815" s="1">
        <f t="shared" ca="1" si="269"/>
        <v>0</v>
      </c>
      <c r="L815" s="13">
        <f t="shared" ca="1" si="270"/>
        <v>394</v>
      </c>
      <c r="M815" s="7">
        <f t="shared" ca="1" si="271"/>
        <v>606</v>
      </c>
      <c r="N815" s="26">
        <f t="shared" ca="1" si="272"/>
        <v>3</v>
      </c>
      <c r="O815" s="44">
        <f t="shared" ca="1" si="273"/>
        <v>2.2641455309069398</v>
      </c>
      <c r="P815" s="44">
        <f t="shared" ca="1" si="274"/>
        <v>22.641455309069404</v>
      </c>
      <c r="Q815" s="44">
        <f t="shared" ca="1" si="275"/>
        <v>22.641455309069404</v>
      </c>
      <c r="R815" s="44">
        <f t="shared" ca="1" si="276"/>
        <v>2.2641455309069403</v>
      </c>
      <c r="S815" s="44">
        <f t="shared" ca="1" si="277"/>
        <v>2.2641455309069398</v>
      </c>
      <c r="T815" s="4">
        <f t="shared" ca="1" si="278"/>
        <v>0</v>
      </c>
      <c r="U815" s="120">
        <f t="shared" ca="1" si="279"/>
        <v>1584.7475619899244</v>
      </c>
      <c r="V815" s="4">
        <f t="shared" ca="1" si="280"/>
        <v>0</v>
      </c>
      <c r="W815" s="13">
        <f t="shared" ca="1" si="281"/>
        <v>32946.790500000003</v>
      </c>
      <c r="X815" s="4">
        <f t="shared" ca="1" si="282"/>
        <v>0</v>
      </c>
      <c r="Y815" s="4">
        <f t="shared" si="283"/>
        <v>0</v>
      </c>
      <c r="Z815" s="13">
        <f t="shared" ca="1" si="284"/>
        <v>32946.790500000003</v>
      </c>
      <c r="AA815" s="4">
        <f t="shared" ca="1" si="285"/>
        <v>0</v>
      </c>
    </row>
    <row r="816" spans="1:27">
      <c r="A816">
        <v>2</v>
      </c>
      <c r="B816">
        <v>0</v>
      </c>
      <c r="C816">
        <f t="shared" ca="1" si="264"/>
        <v>7</v>
      </c>
      <c r="D816">
        <f t="shared" ca="1" si="265"/>
        <v>6</v>
      </c>
      <c r="E816">
        <f t="shared" ca="1" si="266"/>
        <v>2</v>
      </c>
      <c r="F816" s="110">
        <f t="shared" ca="1" si="267"/>
        <v>1.383123E-2</v>
      </c>
      <c r="G816">
        <v>1</v>
      </c>
      <c r="H816">
        <v>0</v>
      </c>
      <c r="I816">
        <v>6</v>
      </c>
      <c r="J816" s="1">
        <f t="shared" ca="1" si="268"/>
        <v>0.69833729609374984</v>
      </c>
      <c r="K816" s="1">
        <f t="shared" ca="1" si="269"/>
        <v>9.6588637598507554E-3</v>
      </c>
      <c r="L816" s="13">
        <f t="shared" ca="1" si="270"/>
        <v>374</v>
      </c>
      <c r="M816" s="7">
        <f t="shared" ca="1" si="271"/>
        <v>626</v>
      </c>
      <c r="N816" s="26">
        <f t="shared" ca="1" si="272"/>
        <v>3</v>
      </c>
      <c r="O816" s="44">
        <f t="shared" ca="1" si="273"/>
        <v>2.2641455309069398</v>
      </c>
      <c r="P816" s="44">
        <f t="shared" ca="1" si="274"/>
        <v>22.641455309069404</v>
      </c>
      <c r="Q816" s="44">
        <f t="shared" ca="1" si="275"/>
        <v>22.641455309069404</v>
      </c>
      <c r="R816" s="44">
        <f t="shared" ca="1" si="276"/>
        <v>2.2641455309069403</v>
      </c>
      <c r="S816" s="44">
        <f t="shared" ca="1" si="277"/>
        <v>2.2641455309069398</v>
      </c>
      <c r="T816" s="4">
        <f t="shared" ca="1" si="278"/>
        <v>2.1869073215505089E-2</v>
      </c>
      <c r="U816" s="120">
        <f t="shared" ca="1" si="279"/>
        <v>1564.7475619899244</v>
      </c>
      <c r="V816" s="4">
        <f t="shared" ca="1" si="280"/>
        <v>15.113683519819304</v>
      </c>
      <c r="W816" s="13">
        <f t="shared" ca="1" si="281"/>
        <v>28919.065500000004</v>
      </c>
      <c r="X816" s="4">
        <f t="shared" ca="1" si="282"/>
        <v>279.3253137267003</v>
      </c>
      <c r="Y816" s="4">
        <f t="shared" si="283"/>
        <v>0</v>
      </c>
      <c r="Z816" s="13">
        <f t="shared" ca="1" si="284"/>
        <v>28919.065500000004</v>
      </c>
      <c r="AA816" s="4">
        <f t="shared" ca="1" si="285"/>
        <v>279.3253137267003</v>
      </c>
    </row>
    <row r="817" spans="1:27">
      <c r="A817">
        <v>2</v>
      </c>
      <c r="B817">
        <v>0</v>
      </c>
      <c r="C817">
        <f t="shared" ca="1" si="264"/>
        <v>7</v>
      </c>
      <c r="D817">
        <f t="shared" ca="1" si="265"/>
        <v>6</v>
      </c>
      <c r="E817">
        <f t="shared" ca="1" si="266"/>
        <v>2</v>
      </c>
      <c r="F817" s="110">
        <f t="shared" ca="1" si="267"/>
        <v>1.383123E-2</v>
      </c>
      <c r="G817">
        <v>1</v>
      </c>
      <c r="H817">
        <v>0</v>
      </c>
      <c r="I817">
        <v>5</v>
      </c>
      <c r="J817" s="1">
        <f t="shared" ca="1" si="268"/>
        <v>0.22052756718750019</v>
      </c>
      <c r="K817" s="1">
        <f t="shared" ca="1" si="269"/>
        <v>3.0501675031107682E-3</v>
      </c>
      <c r="L817" s="13">
        <f t="shared" ca="1" si="270"/>
        <v>354</v>
      </c>
      <c r="M817" s="7">
        <f t="shared" ca="1" si="271"/>
        <v>646</v>
      </c>
      <c r="N817" s="26">
        <f t="shared" ca="1" si="272"/>
        <v>3</v>
      </c>
      <c r="O817" s="44">
        <f t="shared" ca="1" si="273"/>
        <v>2.2641455309069398</v>
      </c>
      <c r="P817" s="44">
        <f t="shared" ca="1" si="274"/>
        <v>22.641455309069404</v>
      </c>
      <c r="Q817" s="44">
        <f t="shared" ca="1" si="275"/>
        <v>22.641455309069404</v>
      </c>
      <c r="R817" s="44">
        <f t="shared" ca="1" si="276"/>
        <v>2.2641455309069403</v>
      </c>
      <c r="S817" s="44">
        <f t="shared" ca="1" si="277"/>
        <v>2.2641455309069398</v>
      </c>
      <c r="T817" s="4">
        <f t="shared" ca="1" si="278"/>
        <v>6.9060231206858249E-3</v>
      </c>
      <c r="U817" s="120">
        <f t="shared" ca="1" si="279"/>
        <v>1544.7475619899244</v>
      </c>
      <c r="V817" s="4">
        <f t="shared" ca="1" si="280"/>
        <v>4.7117388140912544</v>
      </c>
      <c r="W817" s="13">
        <f t="shared" ca="1" si="281"/>
        <v>24891.340500000002</v>
      </c>
      <c r="X817" s="4">
        <f t="shared" ca="1" si="282"/>
        <v>75.922757901964943</v>
      </c>
      <c r="Y817" s="4">
        <f t="shared" si="283"/>
        <v>0</v>
      </c>
      <c r="Z817" s="13">
        <f t="shared" ca="1" si="284"/>
        <v>24891.340500000002</v>
      </c>
      <c r="AA817" s="4">
        <f t="shared" ca="1" si="285"/>
        <v>75.922757901964943</v>
      </c>
    </row>
    <row r="818" spans="1:27">
      <c r="A818">
        <v>2</v>
      </c>
      <c r="B818">
        <v>0</v>
      </c>
      <c r="C818">
        <f t="shared" ca="1" si="264"/>
        <v>7</v>
      </c>
      <c r="D818">
        <f t="shared" ca="1" si="265"/>
        <v>6</v>
      </c>
      <c r="E818">
        <f t="shared" ca="1" si="266"/>
        <v>2</v>
      </c>
      <c r="F818" s="110">
        <f t="shared" ca="1" si="267"/>
        <v>1.383123E-2</v>
      </c>
      <c r="G818">
        <v>1</v>
      </c>
      <c r="H818">
        <v>0</v>
      </c>
      <c r="I818">
        <v>4</v>
      </c>
      <c r="J818" s="1">
        <f t="shared" ca="1" si="268"/>
        <v>2.9016785156250047E-2</v>
      </c>
      <c r="K818" s="1">
        <f t="shared" ca="1" si="269"/>
        <v>4.0133782935668032E-4</v>
      </c>
      <c r="L818" s="13">
        <f t="shared" ca="1" si="270"/>
        <v>334</v>
      </c>
      <c r="M818" s="7">
        <f t="shared" ca="1" si="271"/>
        <v>666</v>
      </c>
      <c r="N818" s="26">
        <f t="shared" ca="1" si="272"/>
        <v>3</v>
      </c>
      <c r="O818" s="44">
        <f t="shared" ca="1" si="273"/>
        <v>2.2641455309069398</v>
      </c>
      <c r="P818" s="44">
        <f t="shared" ca="1" si="274"/>
        <v>22.641455309069404</v>
      </c>
      <c r="Q818" s="44">
        <f t="shared" ca="1" si="275"/>
        <v>22.641455309069404</v>
      </c>
      <c r="R818" s="44">
        <f t="shared" ca="1" si="276"/>
        <v>2.2641455309069403</v>
      </c>
      <c r="S818" s="44">
        <f t="shared" ca="1" si="277"/>
        <v>2.2641455309069398</v>
      </c>
      <c r="T818" s="4">
        <f t="shared" ca="1" si="278"/>
        <v>9.0868725272181974E-4</v>
      </c>
      <c r="U818" s="120">
        <f t="shared" ca="1" si="279"/>
        <v>1524.7475619899244</v>
      </c>
      <c r="V818" s="4">
        <f t="shared" ca="1" si="280"/>
        <v>0.61193887684592663</v>
      </c>
      <c r="W818" s="13">
        <f t="shared" ca="1" si="281"/>
        <v>20863.615500000004</v>
      </c>
      <c r="X818" s="4">
        <f t="shared" ca="1" si="282"/>
        <v>8.3733581573023912</v>
      </c>
      <c r="Y818" s="4">
        <f t="shared" si="283"/>
        <v>0</v>
      </c>
      <c r="Z818" s="13">
        <f t="shared" ca="1" si="284"/>
        <v>20863.615500000004</v>
      </c>
      <c r="AA818" s="4">
        <f t="shared" ca="1" si="285"/>
        <v>8.3733581573023912</v>
      </c>
    </row>
    <row r="819" spans="1:27">
      <c r="A819">
        <v>2</v>
      </c>
      <c r="B819">
        <v>0</v>
      </c>
      <c r="C819">
        <f t="shared" ca="1" si="264"/>
        <v>7</v>
      </c>
      <c r="D819">
        <f t="shared" ca="1" si="265"/>
        <v>6</v>
      </c>
      <c r="E819">
        <f t="shared" ca="1" si="266"/>
        <v>2</v>
      </c>
      <c r="F819" s="110">
        <f t="shared" ca="1" si="267"/>
        <v>1.383123E-2</v>
      </c>
      <c r="G819">
        <v>1</v>
      </c>
      <c r="H819">
        <v>0</v>
      </c>
      <c r="I819">
        <v>3</v>
      </c>
      <c r="J819" s="1">
        <f t="shared" ca="1" si="268"/>
        <v>2.0362656250000047E-3</v>
      </c>
      <c r="K819" s="1">
        <f t="shared" ca="1" si="269"/>
        <v>2.8164058200468814E-5</v>
      </c>
      <c r="L819" s="13">
        <f t="shared" ca="1" si="270"/>
        <v>314</v>
      </c>
      <c r="M819" s="7">
        <f t="shared" ca="1" si="271"/>
        <v>686</v>
      </c>
      <c r="N819" s="26">
        <f t="shared" ca="1" si="272"/>
        <v>3</v>
      </c>
      <c r="O819" s="44">
        <f t="shared" ca="1" si="273"/>
        <v>2.2641455309069398</v>
      </c>
      <c r="P819" s="44">
        <f t="shared" ca="1" si="274"/>
        <v>22.641455309069404</v>
      </c>
      <c r="Q819" s="44">
        <f t="shared" ca="1" si="275"/>
        <v>22.641455309069404</v>
      </c>
      <c r="R819" s="44">
        <f t="shared" ca="1" si="276"/>
        <v>2.2641455309069403</v>
      </c>
      <c r="S819" s="44">
        <f t="shared" ca="1" si="277"/>
        <v>2.2641455309069398</v>
      </c>
      <c r="T819" s="4">
        <f t="shared" ca="1" si="278"/>
        <v>6.3767526506794422E-5</v>
      </c>
      <c r="U819" s="120">
        <f t="shared" ca="1" si="279"/>
        <v>1504.7475619899244</v>
      </c>
      <c r="V819" s="4">
        <f t="shared" ca="1" si="280"/>
        <v>4.2379797912897789E-2</v>
      </c>
      <c r="W819" s="13">
        <f t="shared" ca="1" si="281"/>
        <v>16835.890500000001</v>
      </c>
      <c r="X819" s="4">
        <f t="shared" ca="1" si="282"/>
        <v>0.47416699989872002</v>
      </c>
      <c r="Y819" s="4">
        <f t="shared" si="283"/>
        <v>0</v>
      </c>
      <c r="Z819" s="13">
        <f t="shared" ca="1" si="284"/>
        <v>16835.890500000001</v>
      </c>
      <c r="AA819" s="4">
        <f t="shared" ca="1" si="285"/>
        <v>0.47416699989872002</v>
      </c>
    </row>
    <row r="820" spans="1:27">
      <c r="A820">
        <v>2</v>
      </c>
      <c r="B820">
        <v>0</v>
      </c>
      <c r="C820">
        <f t="shared" ca="1" si="264"/>
        <v>7</v>
      </c>
      <c r="D820">
        <f t="shared" ca="1" si="265"/>
        <v>6</v>
      </c>
      <c r="E820">
        <f t="shared" ca="1" si="266"/>
        <v>2</v>
      </c>
      <c r="F820" s="110">
        <f t="shared" ca="1" si="267"/>
        <v>1.383123E-2</v>
      </c>
      <c r="G820">
        <v>1</v>
      </c>
      <c r="H820">
        <v>0</v>
      </c>
      <c r="I820">
        <v>2</v>
      </c>
      <c r="J820" s="1">
        <f t="shared" ca="1" si="268"/>
        <v>8.0378906250000291E-5</v>
      </c>
      <c r="K820" s="1">
        <f t="shared" ca="1" si="269"/>
        <v>1.1117391394921914E-6</v>
      </c>
      <c r="L820" s="13">
        <f t="shared" ca="1" si="270"/>
        <v>294</v>
      </c>
      <c r="M820" s="7">
        <f t="shared" ca="1" si="271"/>
        <v>706</v>
      </c>
      <c r="N820" s="26">
        <f t="shared" ca="1" si="272"/>
        <v>3</v>
      </c>
      <c r="O820" s="44">
        <f t="shared" ca="1" si="273"/>
        <v>2.2641455309069398</v>
      </c>
      <c r="P820" s="44">
        <f t="shared" ca="1" si="274"/>
        <v>22.641455309069404</v>
      </c>
      <c r="Q820" s="44">
        <f t="shared" ca="1" si="275"/>
        <v>22.641455309069404</v>
      </c>
      <c r="R820" s="44">
        <f t="shared" ca="1" si="276"/>
        <v>2.2641455309069403</v>
      </c>
      <c r="S820" s="44">
        <f t="shared" ca="1" si="277"/>
        <v>2.2641455309069398</v>
      </c>
      <c r="T820" s="4">
        <f t="shared" ca="1" si="278"/>
        <v>2.5171392042155723E-6</v>
      </c>
      <c r="U820" s="120">
        <f t="shared" ca="1" si="279"/>
        <v>1484.7475619899244</v>
      </c>
      <c r="V820" s="4">
        <f t="shared" ca="1" si="280"/>
        <v>1.6506519769298078E-3</v>
      </c>
      <c r="W820" s="13">
        <f t="shared" ca="1" si="281"/>
        <v>12808.165500000003</v>
      </c>
      <c r="X820" s="4">
        <f t="shared" ca="1" si="282"/>
        <v>1.4239338891443578E-2</v>
      </c>
      <c r="Y820" s="4">
        <f t="shared" si="283"/>
        <v>0</v>
      </c>
      <c r="Z820" s="13">
        <f t="shared" ca="1" si="284"/>
        <v>12808.165500000003</v>
      </c>
      <c r="AA820" s="4">
        <f t="shared" ca="1" si="285"/>
        <v>1.4239338891443578E-2</v>
      </c>
    </row>
    <row r="821" spans="1:27">
      <c r="A821">
        <v>2</v>
      </c>
      <c r="B821">
        <v>0</v>
      </c>
      <c r="C821">
        <f t="shared" ca="1" si="264"/>
        <v>7</v>
      </c>
      <c r="D821">
        <f t="shared" ca="1" si="265"/>
        <v>6</v>
      </c>
      <c r="E821">
        <f t="shared" ca="1" si="266"/>
        <v>2</v>
      </c>
      <c r="F821" s="110">
        <f t="shared" ca="1" si="267"/>
        <v>1.383123E-2</v>
      </c>
      <c r="G821">
        <v>1</v>
      </c>
      <c r="H821">
        <v>0</v>
      </c>
      <c r="I821">
        <v>1</v>
      </c>
      <c r="J821" s="1">
        <f t="shared" ca="1" si="268"/>
        <v>1.6921875000000077E-6</v>
      </c>
      <c r="K821" s="1">
        <f t="shared" ca="1" si="269"/>
        <v>2.3405034515625107E-8</v>
      </c>
      <c r="L821" s="13">
        <f t="shared" ca="1" si="270"/>
        <v>274</v>
      </c>
      <c r="M821" s="7">
        <f t="shared" ca="1" si="271"/>
        <v>726</v>
      </c>
      <c r="N821" s="26">
        <f t="shared" ca="1" si="272"/>
        <v>3</v>
      </c>
      <c r="O821" s="44">
        <f t="shared" ca="1" si="273"/>
        <v>2.2641455309069398</v>
      </c>
      <c r="P821" s="44">
        <f t="shared" ca="1" si="274"/>
        <v>22.641455309069404</v>
      </c>
      <c r="Q821" s="44">
        <f t="shared" ca="1" si="275"/>
        <v>22.641455309069404</v>
      </c>
      <c r="R821" s="44">
        <f t="shared" ca="1" si="276"/>
        <v>2.2641455309069403</v>
      </c>
      <c r="S821" s="44">
        <f t="shared" ca="1" si="277"/>
        <v>2.2641455309069398</v>
      </c>
      <c r="T821" s="4">
        <f t="shared" ca="1" si="278"/>
        <v>5.2992404299275261E-8</v>
      </c>
      <c r="U821" s="120">
        <f t="shared" ca="1" si="279"/>
        <v>1464.7475619899244</v>
      </c>
      <c r="V821" s="4">
        <f t="shared" ca="1" si="280"/>
        <v>3.4282467245051909E-5</v>
      </c>
      <c r="W821" s="13">
        <f t="shared" ca="1" si="281"/>
        <v>8780.4405000000006</v>
      </c>
      <c r="X821" s="4">
        <f t="shared" ca="1" si="282"/>
        <v>2.0550651296489259E-4</v>
      </c>
      <c r="Y821" s="4">
        <f t="shared" si="283"/>
        <v>0</v>
      </c>
      <c r="Z821" s="13">
        <f t="shared" ca="1" si="284"/>
        <v>8780.4405000000006</v>
      </c>
      <c r="AA821" s="4">
        <f t="shared" ca="1" si="285"/>
        <v>2.0550651296489259E-4</v>
      </c>
    </row>
    <row r="822" spans="1:27">
      <c r="A822">
        <v>2</v>
      </c>
      <c r="B822">
        <v>0</v>
      </c>
      <c r="C822">
        <f t="shared" ca="1" si="264"/>
        <v>7</v>
      </c>
      <c r="D822">
        <f t="shared" ca="1" si="265"/>
        <v>6</v>
      </c>
      <c r="E822">
        <f t="shared" ca="1" si="266"/>
        <v>2</v>
      </c>
      <c r="F822" s="110">
        <f t="shared" ca="1" si="267"/>
        <v>1.383123E-2</v>
      </c>
      <c r="G822">
        <v>1</v>
      </c>
      <c r="H822">
        <v>0</v>
      </c>
      <c r="I822">
        <v>0</v>
      </c>
      <c r="J822" s="1">
        <f t="shared" ca="1" si="268"/>
        <v>1.4843750000000078E-8</v>
      </c>
      <c r="K822" s="1">
        <f t="shared" ca="1" si="269"/>
        <v>2.0530732031250107E-10</v>
      </c>
      <c r="L822" s="13">
        <f t="shared" ca="1" si="270"/>
        <v>254</v>
      </c>
      <c r="M822" s="7">
        <f t="shared" ca="1" si="271"/>
        <v>746</v>
      </c>
      <c r="N822" s="26">
        <f t="shared" ca="1" si="272"/>
        <v>3</v>
      </c>
      <c r="O822" s="44">
        <f t="shared" ca="1" si="273"/>
        <v>2.2641455309069398</v>
      </c>
      <c r="P822" s="44">
        <f t="shared" ca="1" si="274"/>
        <v>22.641455309069404</v>
      </c>
      <c r="Q822" s="44">
        <f t="shared" ca="1" si="275"/>
        <v>22.641455309069404</v>
      </c>
      <c r="R822" s="44">
        <f t="shared" ca="1" si="276"/>
        <v>2.2641455309069403</v>
      </c>
      <c r="S822" s="44">
        <f t="shared" ca="1" si="277"/>
        <v>2.2641455309069398</v>
      </c>
      <c r="T822" s="4">
        <f t="shared" ca="1" si="278"/>
        <v>4.6484565174802889E-10</v>
      </c>
      <c r="U822" s="120">
        <f t="shared" ca="1" si="279"/>
        <v>1444.7475619899244</v>
      </c>
      <c r="V822" s="4">
        <f t="shared" ca="1" si="280"/>
        <v>2.9661725048017043E-7</v>
      </c>
      <c r="W822" s="13">
        <f t="shared" ca="1" si="281"/>
        <v>4752.7155000000012</v>
      </c>
      <c r="X822" s="4">
        <f t="shared" ca="1" si="282"/>
        <v>9.7576728351268898E-7</v>
      </c>
      <c r="Y822" s="4">
        <f t="shared" si="283"/>
        <v>0</v>
      </c>
      <c r="Z822" s="13">
        <f t="shared" ca="1" si="284"/>
        <v>4752.7155000000012</v>
      </c>
      <c r="AA822" s="4">
        <f t="shared" ca="1" si="285"/>
        <v>9.7576728351268898E-7</v>
      </c>
    </row>
    <row r="823" spans="1:27">
      <c r="A823">
        <v>2</v>
      </c>
      <c r="B823">
        <v>0</v>
      </c>
      <c r="C823">
        <f t="shared" ca="1" si="264"/>
        <v>7</v>
      </c>
      <c r="D823">
        <f t="shared" ca="1" si="265"/>
        <v>6</v>
      </c>
      <c r="E823">
        <f t="shared" ca="1" si="266"/>
        <v>2</v>
      </c>
      <c r="F823" s="110">
        <f t="shared" ca="1" si="267"/>
        <v>1.383123E-2</v>
      </c>
      <c r="G823">
        <v>0</v>
      </c>
      <c r="H823">
        <v>1</v>
      </c>
      <c r="I823">
        <v>7</v>
      </c>
      <c r="J823" s="1">
        <f t="shared" ca="1" si="268"/>
        <v>0</v>
      </c>
      <c r="K823" s="1">
        <f t="shared" ca="1" si="269"/>
        <v>0</v>
      </c>
      <c r="L823" s="13">
        <f t="shared" ca="1" si="270"/>
        <v>394</v>
      </c>
      <c r="M823" s="7">
        <f t="shared" ca="1" si="271"/>
        <v>606</v>
      </c>
      <c r="N823" s="26">
        <f t="shared" ca="1" si="272"/>
        <v>3</v>
      </c>
      <c r="O823" s="44">
        <f t="shared" ca="1" si="273"/>
        <v>2.2641455309069398</v>
      </c>
      <c r="P823" s="44">
        <f t="shared" ca="1" si="274"/>
        <v>22.641455309069404</v>
      </c>
      <c r="Q823" s="44">
        <f t="shared" ca="1" si="275"/>
        <v>22.641455309069404</v>
      </c>
      <c r="R823" s="44">
        <f t="shared" ca="1" si="276"/>
        <v>2.2641455309069403</v>
      </c>
      <c r="S823" s="44">
        <f t="shared" ca="1" si="277"/>
        <v>2.2641455309069398</v>
      </c>
      <c r="T823" s="4">
        <f t="shared" ca="1" si="278"/>
        <v>0</v>
      </c>
      <c r="U823" s="120">
        <f t="shared" ca="1" si="279"/>
        <v>1584.7475619899244</v>
      </c>
      <c r="V823" s="4">
        <f t="shared" ca="1" si="280"/>
        <v>0</v>
      </c>
      <c r="W823" s="13">
        <f t="shared" ca="1" si="281"/>
        <v>28194.075000000001</v>
      </c>
      <c r="X823" s="4">
        <f t="shared" ca="1" si="282"/>
        <v>0</v>
      </c>
      <c r="Y823" s="4">
        <f t="shared" si="283"/>
        <v>0</v>
      </c>
      <c r="Z823" s="13">
        <f t="shared" ca="1" si="284"/>
        <v>28194.075000000001</v>
      </c>
      <c r="AA823" s="4">
        <f t="shared" ca="1" si="285"/>
        <v>0</v>
      </c>
    </row>
    <row r="824" spans="1:27">
      <c r="A824">
        <v>2</v>
      </c>
      <c r="B824">
        <v>0</v>
      </c>
      <c r="C824">
        <f t="shared" ca="1" si="264"/>
        <v>7</v>
      </c>
      <c r="D824">
        <f t="shared" ca="1" si="265"/>
        <v>6</v>
      </c>
      <c r="E824">
        <f t="shared" ca="1" si="266"/>
        <v>2</v>
      </c>
      <c r="F824" s="110">
        <f t="shared" ca="1" si="267"/>
        <v>1.383123E-2</v>
      </c>
      <c r="G824">
        <v>0</v>
      </c>
      <c r="H824">
        <v>1</v>
      </c>
      <c r="I824">
        <v>6</v>
      </c>
      <c r="J824" s="1">
        <f t="shared" ca="1" si="268"/>
        <v>0</v>
      </c>
      <c r="K824" s="1">
        <f t="shared" ca="1" si="269"/>
        <v>0</v>
      </c>
      <c r="L824" s="13">
        <f t="shared" ca="1" si="270"/>
        <v>374</v>
      </c>
      <c r="M824" s="7">
        <f t="shared" ca="1" si="271"/>
        <v>626</v>
      </c>
      <c r="N824" s="26">
        <f t="shared" ca="1" si="272"/>
        <v>3</v>
      </c>
      <c r="O824" s="44">
        <f t="shared" ca="1" si="273"/>
        <v>2.2641455309069398</v>
      </c>
      <c r="P824" s="44">
        <f t="shared" ca="1" si="274"/>
        <v>22.641455309069404</v>
      </c>
      <c r="Q824" s="44">
        <f t="shared" ca="1" si="275"/>
        <v>22.641455309069404</v>
      </c>
      <c r="R824" s="44">
        <f t="shared" ca="1" si="276"/>
        <v>2.2641455309069403</v>
      </c>
      <c r="S824" s="44">
        <f t="shared" ca="1" si="277"/>
        <v>2.2641455309069398</v>
      </c>
      <c r="T824" s="4">
        <f t="shared" ca="1" si="278"/>
        <v>0</v>
      </c>
      <c r="U824" s="120">
        <f t="shared" ca="1" si="279"/>
        <v>1564.7475619899244</v>
      </c>
      <c r="V824" s="4">
        <f t="shared" ca="1" si="280"/>
        <v>0</v>
      </c>
      <c r="W824" s="13">
        <f t="shared" ca="1" si="281"/>
        <v>24166.350000000002</v>
      </c>
      <c r="X824" s="4">
        <f t="shared" ca="1" si="282"/>
        <v>0</v>
      </c>
      <c r="Y824" s="4">
        <f t="shared" si="283"/>
        <v>0</v>
      </c>
      <c r="Z824" s="13">
        <f t="shared" ca="1" si="284"/>
        <v>24166.350000000002</v>
      </c>
      <c r="AA824" s="4">
        <f t="shared" ca="1" si="285"/>
        <v>0</v>
      </c>
    </row>
    <row r="825" spans="1:27">
      <c r="A825">
        <v>2</v>
      </c>
      <c r="B825">
        <v>0</v>
      </c>
      <c r="C825">
        <f t="shared" ca="1" si="264"/>
        <v>7</v>
      </c>
      <c r="D825">
        <f t="shared" ca="1" si="265"/>
        <v>6</v>
      </c>
      <c r="E825">
        <f t="shared" ca="1" si="266"/>
        <v>2</v>
      </c>
      <c r="F825" s="110">
        <f t="shared" ca="1" si="267"/>
        <v>1.383123E-2</v>
      </c>
      <c r="G825">
        <v>0</v>
      </c>
      <c r="H825">
        <v>1</v>
      </c>
      <c r="I825">
        <v>5</v>
      </c>
      <c r="J825" s="1">
        <f t="shared" ca="1" si="268"/>
        <v>0</v>
      </c>
      <c r="K825" s="1">
        <f t="shared" ca="1" si="269"/>
        <v>0</v>
      </c>
      <c r="L825" s="13">
        <f t="shared" ca="1" si="270"/>
        <v>354</v>
      </c>
      <c r="M825" s="7">
        <f t="shared" ca="1" si="271"/>
        <v>646</v>
      </c>
      <c r="N825" s="26">
        <f t="shared" ca="1" si="272"/>
        <v>3</v>
      </c>
      <c r="O825" s="44">
        <f t="shared" ca="1" si="273"/>
        <v>2.2641455309069398</v>
      </c>
      <c r="P825" s="44">
        <f t="shared" ca="1" si="274"/>
        <v>22.641455309069404</v>
      </c>
      <c r="Q825" s="44">
        <f t="shared" ca="1" si="275"/>
        <v>22.641455309069404</v>
      </c>
      <c r="R825" s="44">
        <f t="shared" ca="1" si="276"/>
        <v>2.2641455309069403</v>
      </c>
      <c r="S825" s="44">
        <f t="shared" ca="1" si="277"/>
        <v>2.2641455309069398</v>
      </c>
      <c r="T825" s="4">
        <f t="shared" ca="1" si="278"/>
        <v>0</v>
      </c>
      <c r="U825" s="120">
        <f t="shared" ca="1" si="279"/>
        <v>1544.7475619899244</v>
      </c>
      <c r="V825" s="4">
        <f t="shared" ca="1" si="280"/>
        <v>0</v>
      </c>
      <c r="W825" s="13">
        <f t="shared" ca="1" si="281"/>
        <v>20138.625</v>
      </c>
      <c r="X825" s="4">
        <f t="shared" ca="1" si="282"/>
        <v>0</v>
      </c>
      <c r="Y825" s="4">
        <f t="shared" si="283"/>
        <v>0</v>
      </c>
      <c r="Z825" s="13">
        <f t="shared" ca="1" si="284"/>
        <v>20138.625</v>
      </c>
      <c r="AA825" s="4">
        <f t="shared" ca="1" si="285"/>
        <v>0</v>
      </c>
    </row>
    <row r="826" spans="1:27">
      <c r="A826">
        <v>2</v>
      </c>
      <c r="B826">
        <v>0</v>
      </c>
      <c r="C826">
        <f t="shared" ca="1" si="264"/>
        <v>7</v>
      </c>
      <c r="D826">
        <f t="shared" ca="1" si="265"/>
        <v>6</v>
      </c>
      <c r="E826">
        <f t="shared" ca="1" si="266"/>
        <v>2</v>
      </c>
      <c r="F826" s="110">
        <f t="shared" ca="1" si="267"/>
        <v>1.383123E-2</v>
      </c>
      <c r="G826">
        <v>0</v>
      </c>
      <c r="H826">
        <v>1</v>
      </c>
      <c r="I826">
        <v>4</v>
      </c>
      <c r="J826" s="1">
        <f t="shared" ca="1" si="268"/>
        <v>0</v>
      </c>
      <c r="K826" s="1">
        <f t="shared" ca="1" si="269"/>
        <v>0</v>
      </c>
      <c r="L826" s="13">
        <f t="shared" ca="1" si="270"/>
        <v>334</v>
      </c>
      <c r="M826" s="7">
        <f t="shared" ca="1" si="271"/>
        <v>666</v>
      </c>
      <c r="N826" s="26">
        <f t="shared" ca="1" si="272"/>
        <v>3</v>
      </c>
      <c r="O826" s="44">
        <f t="shared" ca="1" si="273"/>
        <v>2.2641455309069398</v>
      </c>
      <c r="P826" s="44">
        <f t="shared" ca="1" si="274"/>
        <v>22.641455309069404</v>
      </c>
      <c r="Q826" s="44">
        <f t="shared" ca="1" si="275"/>
        <v>22.641455309069404</v>
      </c>
      <c r="R826" s="44">
        <f t="shared" ca="1" si="276"/>
        <v>2.2641455309069403</v>
      </c>
      <c r="S826" s="44">
        <f t="shared" ca="1" si="277"/>
        <v>2.2641455309069398</v>
      </c>
      <c r="T826" s="4">
        <f t="shared" ca="1" si="278"/>
        <v>0</v>
      </c>
      <c r="U826" s="120">
        <f t="shared" ca="1" si="279"/>
        <v>1524.7475619899244</v>
      </c>
      <c r="V826" s="4">
        <f t="shared" ca="1" si="280"/>
        <v>0</v>
      </c>
      <c r="W826" s="13">
        <f t="shared" ca="1" si="281"/>
        <v>16110.900000000001</v>
      </c>
      <c r="X826" s="4">
        <f t="shared" ca="1" si="282"/>
        <v>0</v>
      </c>
      <c r="Y826" s="4">
        <f t="shared" si="283"/>
        <v>0</v>
      </c>
      <c r="Z826" s="13">
        <f t="shared" ca="1" si="284"/>
        <v>16110.900000000001</v>
      </c>
      <c r="AA826" s="4">
        <f t="shared" ca="1" si="285"/>
        <v>0</v>
      </c>
    </row>
    <row r="827" spans="1:27">
      <c r="A827">
        <v>2</v>
      </c>
      <c r="B827">
        <v>0</v>
      </c>
      <c r="C827">
        <f t="shared" ca="1" si="264"/>
        <v>7</v>
      </c>
      <c r="D827">
        <f t="shared" ca="1" si="265"/>
        <v>6</v>
      </c>
      <c r="E827">
        <f t="shared" ca="1" si="266"/>
        <v>2</v>
      </c>
      <c r="F827" s="110">
        <f t="shared" ca="1" si="267"/>
        <v>1.383123E-2</v>
      </c>
      <c r="G827">
        <v>0</v>
      </c>
      <c r="H827">
        <v>1</v>
      </c>
      <c r="I827">
        <v>3</v>
      </c>
      <c r="J827" s="1">
        <f t="shared" ca="1" si="268"/>
        <v>0</v>
      </c>
      <c r="K827" s="1">
        <f t="shared" ca="1" si="269"/>
        <v>0</v>
      </c>
      <c r="L827" s="13">
        <f t="shared" ca="1" si="270"/>
        <v>314</v>
      </c>
      <c r="M827" s="7">
        <f t="shared" ca="1" si="271"/>
        <v>686</v>
      </c>
      <c r="N827" s="26">
        <f t="shared" ca="1" si="272"/>
        <v>3</v>
      </c>
      <c r="O827" s="44">
        <f t="shared" ca="1" si="273"/>
        <v>2.2641455309069398</v>
      </c>
      <c r="P827" s="44">
        <f t="shared" ca="1" si="274"/>
        <v>22.641455309069404</v>
      </c>
      <c r="Q827" s="44">
        <f t="shared" ca="1" si="275"/>
        <v>22.641455309069404</v>
      </c>
      <c r="R827" s="44">
        <f t="shared" ca="1" si="276"/>
        <v>2.2641455309069403</v>
      </c>
      <c r="S827" s="44">
        <f t="shared" ca="1" si="277"/>
        <v>2.2641455309069398</v>
      </c>
      <c r="T827" s="4">
        <f t="shared" ca="1" si="278"/>
        <v>0</v>
      </c>
      <c r="U827" s="120">
        <f t="shared" ca="1" si="279"/>
        <v>1504.7475619899244</v>
      </c>
      <c r="V827" s="4">
        <f t="shared" ca="1" si="280"/>
        <v>0</v>
      </c>
      <c r="W827" s="13">
        <f t="shared" ca="1" si="281"/>
        <v>12083.175000000001</v>
      </c>
      <c r="X827" s="4">
        <f t="shared" ca="1" si="282"/>
        <v>0</v>
      </c>
      <c r="Y827" s="4">
        <f t="shared" si="283"/>
        <v>0</v>
      </c>
      <c r="Z827" s="13">
        <f t="shared" ca="1" si="284"/>
        <v>12083.175000000001</v>
      </c>
      <c r="AA827" s="4">
        <f t="shared" ca="1" si="285"/>
        <v>0</v>
      </c>
    </row>
    <row r="828" spans="1:27">
      <c r="A828">
        <v>2</v>
      </c>
      <c r="B828">
        <v>0</v>
      </c>
      <c r="C828">
        <f t="shared" ca="1" si="264"/>
        <v>7</v>
      </c>
      <c r="D828">
        <f t="shared" ca="1" si="265"/>
        <v>6</v>
      </c>
      <c r="E828">
        <f t="shared" ca="1" si="266"/>
        <v>2</v>
      </c>
      <c r="F828" s="110">
        <f t="shared" ca="1" si="267"/>
        <v>1.383123E-2</v>
      </c>
      <c r="G828">
        <v>0</v>
      </c>
      <c r="H828">
        <v>1</v>
      </c>
      <c r="I828">
        <v>2</v>
      </c>
      <c r="J828" s="1">
        <f t="shared" ca="1" si="268"/>
        <v>0</v>
      </c>
      <c r="K828" s="1">
        <f t="shared" ca="1" si="269"/>
        <v>0</v>
      </c>
      <c r="L828" s="13">
        <f t="shared" ca="1" si="270"/>
        <v>294</v>
      </c>
      <c r="M828" s="7">
        <f t="shared" ca="1" si="271"/>
        <v>706</v>
      </c>
      <c r="N828" s="26">
        <f t="shared" ca="1" si="272"/>
        <v>3</v>
      </c>
      <c r="O828" s="44">
        <f t="shared" ca="1" si="273"/>
        <v>2.2641455309069398</v>
      </c>
      <c r="P828" s="44">
        <f t="shared" ca="1" si="274"/>
        <v>22.641455309069404</v>
      </c>
      <c r="Q828" s="44">
        <f t="shared" ca="1" si="275"/>
        <v>22.641455309069404</v>
      </c>
      <c r="R828" s="44">
        <f t="shared" ca="1" si="276"/>
        <v>2.2641455309069403</v>
      </c>
      <c r="S828" s="44">
        <f t="shared" ca="1" si="277"/>
        <v>2.2641455309069398</v>
      </c>
      <c r="T828" s="4">
        <f t="shared" ca="1" si="278"/>
        <v>0</v>
      </c>
      <c r="U828" s="120">
        <f t="shared" ca="1" si="279"/>
        <v>1484.7475619899244</v>
      </c>
      <c r="V828" s="4">
        <f t="shared" ca="1" si="280"/>
        <v>0</v>
      </c>
      <c r="W828" s="13">
        <f t="shared" ca="1" si="281"/>
        <v>8055.4500000000007</v>
      </c>
      <c r="X828" s="4">
        <f t="shared" ca="1" si="282"/>
        <v>0</v>
      </c>
      <c r="Y828" s="4">
        <f t="shared" si="283"/>
        <v>0</v>
      </c>
      <c r="Z828" s="13">
        <f t="shared" ca="1" si="284"/>
        <v>8055.4500000000007</v>
      </c>
      <c r="AA828" s="4">
        <f t="shared" ca="1" si="285"/>
        <v>0</v>
      </c>
    </row>
    <row r="829" spans="1:27">
      <c r="A829">
        <v>2</v>
      </c>
      <c r="B829">
        <v>0</v>
      </c>
      <c r="C829">
        <f t="shared" ca="1" si="264"/>
        <v>7</v>
      </c>
      <c r="D829">
        <f t="shared" ca="1" si="265"/>
        <v>6</v>
      </c>
      <c r="E829">
        <f t="shared" ca="1" si="266"/>
        <v>2</v>
      </c>
      <c r="F829" s="110">
        <f t="shared" ca="1" si="267"/>
        <v>1.383123E-2</v>
      </c>
      <c r="G829">
        <v>0</v>
      </c>
      <c r="H829">
        <v>1</v>
      </c>
      <c r="I829">
        <v>1</v>
      </c>
      <c r="J829" s="1">
        <f t="shared" ca="1" si="268"/>
        <v>0</v>
      </c>
      <c r="K829" s="1">
        <f t="shared" ca="1" si="269"/>
        <v>0</v>
      </c>
      <c r="L829" s="13">
        <f t="shared" ca="1" si="270"/>
        <v>274</v>
      </c>
      <c r="M829" s="7">
        <f t="shared" ca="1" si="271"/>
        <v>726</v>
      </c>
      <c r="N829" s="26">
        <f t="shared" ca="1" si="272"/>
        <v>3</v>
      </c>
      <c r="O829" s="44">
        <f t="shared" ca="1" si="273"/>
        <v>2.2641455309069398</v>
      </c>
      <c r="P829" s="44">
        <f t="shared" ca="1" si="274"/>
        <v>22.641455309069404</v>
      </c>
      <c r="Q829" s="44">
        <f t="shared" ca="1" si="275"/>
        <v>22.641455309069404</v>
      </c>
      <c r="R829" s="44">
        <f t="shared" ca="1" si="276"/>
        <v>2.2641455309069403</v>
      </c>
      <c r="S829" s="44">
        <f t="shared" ca="1" si="277"/>
        <v>2.2641455309069398</v>
      </c>
      <c r="T829" s="4">
        <f t="shared" ca="1" si="278"/>
        <v>0</v>
      </c>
      <c r="U829" s="120">
        <f t="shared" ca="1" si="279"/>
        <v>1464.7475619899244</v>
      </c>
      <c r="V829" s="4">
        <f t="shared" ca="1" si="280"/>
        <v>0</v>
      </c>
      <c r="W829" s="13">
        <f t="shared" ca="1" si="281"/>
        <v>4027.7250000000004</v>
      </c>
      <c r="X829" s="4">
        <f t="shared" ca="1" si="282"/>
        <v>0</v>
      </c>
      <c r="Y829" s="4">
        <f t="shared" si="283"/>
        <v>0</v>
      </c>
      <c r="Z829" s="13">
        <f t="shared" ca="1" si="284"/>
        <v>4027.7250000000004</v>
      </c>
      <c r="AA829" s="4">
        <f t="shared" ca="1" si="285"/>
        <v>0</v>
      </c>
    </row>
    <row r="830" spans="1:27">
      <c r="A830">
        <v>2</v>
      </c>
      <c r="B830">
        <v>0</v>
      </c>
      <c r="C830">
        <f t="shared" ca="1" si="264"/>
        <v>7</v>
      </c>
      <c r="D830">
        <f t="shared" ca="1" si="265"/>
        <v>6</v>
      </c>
      <c r="E830">
        <f t="shared" ca="1" si="266"/>
        <v>2</v>
      </c>
      <c r="F830" s="110">
        <f t="shared" ca="1" si="267"/>
        <v>1.383123E-2</v>
      </c>
      <c r="G830">
        <v>0</v>
      </c>
      <c r="H830">
        <v>1</v>
      </c>
      <c r="I830">
        <v>0</v>
      </c>
      <c r="J830" s="1">
        <f t="shared" ca="1" si="268"/>
        <v>0</v>
      </c>
      <c r="K830" s="1">
        <f t="shared" ca="1" si="269"/>
        <v>0</v>
      </c>
      <c r="L830" s="13">
        <f t="shared" ca="1" si="270"/>
        <v>254</v>
      </c>
      <c r="M830" s="7">
        <f t="shared" ca="1" si="271"/>
        <v>746</v>
      </c>
      <c r="N830" s="26">
        <f t="shared" ca="1" si="272"/>
        <v>3</v>
      </c>
      <c r="O830" s="44">
        <f t="shared" ca="1" si="273"/>
        <v>2.2641455309069398</v>
      </c>
      <c r="P830" s="44">
        <f t="shared" ca="1" si="274"/>
        <v>22.641455309069404</v>
      </c>
      <c r="Q830" s="44">
        <f t="shared" ca="1" si="275"/>
        <v>22.641455309069404</v>
      </c>
      <c r="R830" s="44">
        <f t="shared" ca="1" si="276"/>
        <v>2.2641455309069403</v>
      </c>
      <c r="S830" s="44">
        <f t="shared" ca="1" si="277"/>
        <v>2.2641455309069398</v>
      </c>
      <c r="T830" s="4">
        <f t="shared" ca="1" si="278"/>
        <v>0</v>
      </c>
      <c r="U830" s="120">
        <f t="shared" ca="1" si="279"/>
        <v>1444.7475619899244</v>
      </c>
      <c r="V830" s="4">
        <f t="shared" ca="1" si="280"/>
        <v>0</v>
      </c>
      <c r="W830" s="13">
        <f t="shared" ca="1" si="281"/>
        <v>0</v>
      </c>
      <c r="X830" s="4">
        <f t="shared" ca="1" si="282"/>
        <v>0</v>
      </c>
      <c r="Y830" s="4">
        <f t="shared" si="283"/>
        <v>0</v>
      </c>
      <c r="Z830" s="13">
        <f t="shared" ca="1" si="284"/>
        <v>0</v>
      </c>
      <c r="AA830" s="4">
        <f t="shared" ca="1" si="285"/>
        <v>0</v>
      </c>
    </row>
    <row r="831" spans="1:27">
      <c r="A831">
        <v>2</v>
      </c>
      <c r="B831">
        <v>0</v>
      </c>
      <c r="C831">
        <f t="shared" ca="1" si="264"/>
        <v>7</v>
      </c>
      <c r="D831">
        <f t="shared" ca="1" si="265"/>
        <v>6</v>
      </c>
      <c r="E831">
        <f t="shared" ca="1" si="266"/>
        <v>2</v>
      </c>
      <c r="F831" s="110">
        <f t="shared" ca="1" si="267"/>
        <v>1.383123E-2</v>
      </c>
      <c r="G831">
        <v>0</v>
      </c>
      <c r="H831">
        <v>0</v>
      </c>
      <c r="I831">
        <v>7</v>
      </c>
      <c r="J831" s="1">
        <f t="shared" ca="1" si="268"/>
        <v>0</v>
      </c>
      <c r="K831" s="1">
        <f t="shared" ca="1" si="269"/>
        <v>0</v>
      </c>
      <c r="L831" s="13">
        <f t="shared" ca="1" si="270"/>
        <v>140</v>
      </c>
      <c r="M831" s="7">
        <f t="shared" ca="1" si="271"/>
        <v>860</v>
      </c>
      <c r="N831" s="26">
        <f t="shared" ca="1" si="272"/>
        <v>4</v>
      </c>
      <c r="O831" s="44">
        <f t="shared" ca="1" si="273"/>
        <v>2.8910364854084887</v>
      </c>
      <c r="P831" s="44">
        <f t="shared" ca="1" si="274"/>
        <v>28.910364854084886</v>
      </c>
      <c r="Q831" s="44">
        <f t="shared" ca="1" si="275"/>
        <v>28.910364854084886</v>
      </c>
      <c r="R831" s="44">
        <f t="shared" ca="1" si="276"/>
        <v>2.8910364854084887</v>
      </c>
      <c r="S831" s="44">
        <f t="shared" ca="1" si="277"/>
        <v>2.8910364854084882</v>
      </c>
      <c r="T831" s="4">
        <f t="shared" ca="1" si="278"/>
        <v>0</v>
      </c>
      <c r="U831" s="120">
        <f t="shared" ca="1" si="279"/>
        <v>1600.6349838037554</v>
      </c>
      <c r="V831" s="4">
        <f t="shared" ca="1" si="280"/>
        <v>0</v>
      </c>
      <c r="W831" s="13">
        <f t="shared" ca="1" si="281"/>
        <v>28194.075000000001</v>
      </c>
      <c r="X831" s="4">
        <f t="shared" ca="1" si="282"/>
        <v>0</v>
      </c>
      <c r="Y831" s="4">
        <f t="shared" si="283"/>
        <v>0</v>
      </c>
      <c r="Z831" s="13">
        <f t="shared" ca="1" si="284"/>
        <v>28194.075000000001</v>
      </c>
      <c r="AA831" s="4">
        <f t="shared" ca="1" si="285"/>
        <v>0</v>
      </c>
    </row>
    <row r="832" spans="1:27">
      <c r="A832">
        <v>2</v>
      </c>
      <c r="B832">
        <v>0</v>
      </c>
      <c r="C832">
        <f t="shared" ca="1" si="264"/>
        <v>7</v>
      </c>
      <c r="D832">
        <f t="shared" ca="1" si="265"/>
        <v>6</v>
      </c>
      <c r="E832">
        <f t="shared" ca="1" si="266"/>
        <v>2</v>
      </c>
      <c r="F832" s="110">
        <f t="shared" ca="1" si="267"/>
        <v>1.383123E-2</v>
      </c>
      <c r="G832">
        <v>0</v>
      </c>
      <c r="H832">
        <v>0</v>
      </c>
      <c r="I832">
        <v>6</v>
      </c>
      <c r="J832" s="1">
        <f t="shared" ca="1" si="268"/>
        <v>3.6754594531249997E-2</v>
      </c>
      <c r="K832" s="1">
        <f t="shared" ca="1" si="269"/>
        <v>5.0836125051846094E-4</v>
      </c>
      <c r="L832" s="13">
        <f t="shared" ca="1" si="270"/>
        <v>120</v>
      </c>
      <c r="M832" s="7">
        <f t="shared" ca="1" si="271"/>
        <v>880</v>
      </c>
      <c r="N832" s="26">
        <f t="shared" ca="1" si="272"/>
        <v>4</v>
      </c>
      <c r="O832" s="44">
        <f t="shared" ca="1" si="273"/>
        <v>2.8910364854084887</v>
      </c>
      <c r="P832" s="44">
        <f t="shared" ca="1" si="274"/>
        <v>28.910364854084886</v>
      </c>
      <c r="Q832" s="44">
        <f t="shared" ca="1" si="275"/>
        <v>28.910364854084886</v>
      </c>
      <c r="R832" s="44">
        <f t="shared" ca="1" si="276"/>
        <v>2.8910364854084887</v>
      </c>
      <c r="S832" s="44">
        <f t="shared" ca="1" si="277"/>
        <v>2.8910364854084882</v>
      </c>
      <c r="T832" s="4">
        <f t="shared" ca="1" si="278"/>
        <v>1.4696909230167553E-3</v>
      </c>
      <c r="U832" s="120">
        <f t="shared" ca="1" si="279"/>
        <v>1580.6349838037554</v>
      </c>
      <c r="V832" s="4">
        <f t="shared" ca="1" si="280"/>
        <v>0.8035335769797044</v>
      </c>
      <c r="W832" s="13">
        <f t="shared" ca="1" si="281"/>
        <v>24166.350000000002</v>
      </c>
      <c r="X832" s="4">
        <f t="shared" ca="1" si="282"/>
        <v>12.285235906466809</v>
      </c>
      <c r="Y832" s="4">
        <f t="shared" si="283"/>
        <v>0</v>
      </c>
      <c r="Z832" s="13">
        <f t="shared" ca="1" si="284"/>
        <v>24166.350000000002</v>
      </c>
      <c r="AA832" s="4">
        <f t="shared" ca="1" si="285"/>
        <v>12.285235906466809</v>
      </c>
    </row>
    <row r="833" spans="1:27">
      <c r="A833">
        <v>2</v>
      </c>
      <c r="B833">
        <v>0</v>
      </c>
      <c r="C833">
        <f t="shared" ca="1" si="264"/>
        <v>7</v>
      </c>
      <c r="D833">
        <f t="shared" ca="1" si="265"/>
        <v>6</v>
      </c>
      <c r="E833">
        <f t="shared" ca="1" si="266"/>
        <v>2</v>
      </c>
      <c r="F833" s="110">
        <f t="shared" ca="1" si="267"/>
        <v>1.383123E-2</v>
      </c>
      <c r="G833">
        <v>0</v>
      </c>
      <c r="H833">
        <v>0</v>
      </c>
      <c r="I833">
        <v>5</v>
      </c>
      <c r="J833" s="1">
        <f t="shared" ca="1" si="268"/>
        <v>1.1606714062500011E-2</v>
      </c>
      <c r="K833" s="1">
        <f t="shared" ca="1" si="269"/>
        <v>1.6053513174267204E-4</v>
      </c>
      <c r="L833" s="13">
        <f t="shared" ca="1" si="270"/>
        <v>100</v>
      </c>
      <c r="M833" s="7">
        <f t="shared" ca="1" si="271"/>
        <v>900</v>
      </c>
      <c r="N833" s="26">
        <f t="shared" ca="1" si="272"/>
        <v>4</v>
      </c>
      <c r="O833" s="44">
        <f t="shared" ca="1" si="273"/>
        <v>2.8910364854084887</v>
      </c>
      <c r="P833" s="44">
        <f t="shared" ca="1" si="274"/>
        <v>28.910364854084886</v>
      </c>
      <c r="Q833" s="44">
        <f t="shared" ca="1" si="275"/>
        <v>28.910364854084886</v>
      </c>
      <c r="R833" s="44">
        <f t="shared" ca="1" si="276"/>
        <v>2.8910364854084887</v>
      </c>
      <c r="S833" s="44">
        <f t="shared" ca="1" si="277"/>
        <v>2.8910364854084882</v>
      </c>
      <c r="T833" s="4">
        <f t="shared" ca="1" si="278"/>
        <v>4.6411292305792321E-4</v>
      </c>
      <c r="U833" s="120">
        <f t="shared" ca="1" si="279"/>
        <v>1560.6349838037554</v>
      </c>
      <c r="V833" s="4">
        <f t="shared" ca="1" si="280"/>
        <v>0.2505367427271587</v>
      </c>
      <c r="W833" s="13">
        <f t="shared" ca="1" si="281"/>
        <v>20138.625</v>
      </c>
      <c r="X833" s="4">
        <f t="shared" ca="1" si="282"/>
        <v>3.2329568174912686</v>
      </c>
      <c r="Y833" s="4">
        <f t="shared" si="283"/>
        <v>0</v>
      </c>
      <c r="Z833" s="13">
        <f t="shared" ca="1" si="284"/>
        <v>20138.625</v>
      </c>
      <c r="AA833" s="4">
        <f t="shared" ca="1" si="285"/>
        <v>3.2329568174912686</v>
      </c>
    </row>
    <row r="834" spans="1:27">
      <c r="A834">
        <v>2</v>
      </c>
      <c r="B834">
        <v>0</v>
      </c>
      <c r="C834">
        <f t="shared" ca="1" si="264"/>
        <v>7</v>
      </c>
      <c r="D834">
        <f t="shared" ca="1" si="265"/>
        <v>6</v>
      </c>
      <c r="E834">
        <f t="shared" ca="1" si="266"/>
        <v>2</v>
      </c>
      <c r="F834" s="110">
        <f t="shared" ca="1" si="267"/>
        <v>1.383123E-2</v>
      </c>
      <c r="G834">
        <v>0</v>
      </c>
      <c r="H834">
        <v>0</v>
      </c>
      <c r="I834">
        <v>4</v>
      </c>
      <c r="J834" s="1">
        <f t="shared" ca="1" si="268"/>
        <v>1.5271992187500026E-3</v>
      </c>
      <c r="K834" s="1">
        <f t="shared" ca="1" si="269"/>
        <v>2.1123043650351597E-5</v>
      </c>
      <c r="L834" s="13">
        <f t="shared" ca="1" si="270"/>
        <v>80</v>
      </c>
      <c r="M834" s="7">
        <f t="shared" ca="1" si="271"/>
        <v>920</v>
      </c>
      <c r="N834" s="26">
        <f t="shared" ca="1" si="272"/>
        <v>4</v>
      </c>
      <c r="O834" s="44">
        <f t="shared" ca="1" si="273"/>
        <v>2.8910364854084887</v>
      </c>
      <c r="P834" s="44">
        <f t="shared" ca="1" si="274"/>
        <v>28.910364854084886</v>
      </c>
      <c r="Q834" s="44">
        <f t="shared" ca="1" si="275"/>
        <v>28.910364854084886</v>
      </c>
      <c r="R834" s="44">
        <f t="shared" ca="1" si="276"/>
        <v>2.8910364854084887</v>
      </c>
      <c r="S834" s="44">
        <f t="shared" ca="1" si="277"/>
        <v>2.8910364854084882</v>
      </c>
      <c r="T834" s="4">
        <f t="shared" ca="1" si="278"/>
        <v>6.1067489876042566E-5</v>
      </c>
      <c r="U834" s="120">
        <f t="shared" ca="1" si="279"/>
        <v>1540.6349838037554</v>
      </c>
      <c r="V834" s="4">
        <f t="shared" ca="1" si="280"/>
        <v>3.2542900012145451E-2</v>
      </c>
      <c r="W834" s="13">
        <f t="shared" ca="1" si="281"/>
        <v>16110.900000000001</v>
      </c>
      <c r="X834" s="4">
        <f t="shared" ca="1" si="282"/>
        <v>0.34031124394644957</v>
      </c>
      <c r="Y834" s="4">
        <f t="shared" si="283"/>
        <v>0</v>
      </c>
      <c r="Z834" s="13">
        <f t="shared" ca="1" si="284"/>
        <v>16110.900000000001</v>
      </c>
      <c r="AA834" s="4">
        <f t="shared" ca="1" si="285"/>
        <v>0.34031124394644957</v>
      </c>
    </row>
    <row r="835" spans="1:27">
      <c r="A835">
        <v>2</v>
      </c>
      <c r="B835">
        <v>0</v>
      </c>
      <c r="C835">
        <f t="shared" ca="1" si="264"/>
        <v>7</v>
      </c>
      <c r="D835">
        <f t="shared" ca="1" si="265"/>
        <v>6</v>
      </c>
      <c r="E835">
        <f t="shared" ca="1" si="266"/>
        <v>2</v>
      </c>
      <c r="F835" s="110">
        <f t="shared" ca="1" si="267"/>
        <v>1.383123E-2</v>
      </c>
      <c r="G835">
        <v>0</v>
      </c>
      <c r="H835">
        <v>0</v>
      </c>
      <c r="I835">
        <v>3</v>
      </c>
      <c r="J835" s="1">
        <f t="shared" ca="1" si="268"/>
        <v>1.0717187500000027E-4</v>
      </c>
      <c r="K835" s="1">
        <f t="shared" ca="1" si="269"/>
        <v>1.4823188526562536E-6</v>
      </c>
      <c r="L835" s="13">
        <f t="shared" ca="1" si="270"/>
        <v>60</v>
      </c>
      <c r="M835" s="7">
        <f t="shared" ca="1" si="271"/>
        <v>940</v>
      </c>
      <c r="N835" s="26">
        <f t="shared" ca="1" si="272"/>
        <v>4</v>
      </c>
      <c r="O835" s="44">
        <f t="shared" ca="1" si="273"/>
        <v>2.8910364854084887</v>
      </c>
      <c r="P835" s="44">
        <f t="shared" ca="1" si="274"/>
        <v>28.910364854084886</v>
      </c>
      <c r="Q835" s="44">
        <f t="shared" ca="1" si="275"/>
        <v>28.910364854084886</v>
      </c>
      <c r="R835" s="44">
        <f t="shared" ca="1" si="276"/>
        <v>2.8910364854084887</v>
      </c>
      <c r="S835" s="44">
        <f t="shared" ca="1" si="277"/>
        <v>2.8910364854084882</v>
      </c>
      <c r="T835" s="4">
        <f t="shared" ca="1" si="278"/>
        <v>4.2854378860380785E-6</v>
      </c>
      <c r="U835" s="120">
        <f t="shared" ca="1" si="279"/>
        <v>1520.6349838037554</v>
      </c>
      <c r="V835" s="4">
        <f t="shared" ca="1" si="280"/>
        <v>2.2540659045009433E-3</v>
      </c>
      <c r="W835" s="13">
        <f t="shared" ca="1" si="281"/>
        <v>12083.175000000001</v>
      </c>
      <c r="X835" s="4">
        <f t="shared" ca="1" si="282"/>
        <v>1.791111810244473E-2</v>
      </c>
      <c r="Y835" s="4">
        <f t="shared" si="283"/>
        <v>0</v>
      </c>
      <c r="Z835" s="13">
        <f t="shared" ca="1" si="284"/>
        <v>12083.175000000001</v>
      </c>
      <c r="AA835" s="4">
        <f t="shared" ca="1" si="285"/>
        <v>1.791111810244473E-2</v>
      </c>
    </row>
    <row r="836" spans="1:27">
      <c r="A836">
        <v>2</v>
      </c>
      <c r="B836">
        <v>0</v>
      </c>
      <c r="C836">
        <f t="shared" ca="1" si="264"/>
        <v>7</v>
      </c>
      <c r="D836">
        <f t="shared" ca="1" si="265"/>
        <v>6</v>
      </c>
      <c r="E836">
        <f t="shared" ca="1" si="266"/>
        <v>2</v>
      </c>
      <c r="F836" s="110">
        <f t="shared" ca="1" si="267"/>
        <v>1.383123E-2</v>
      </c>
      <c r="G836">
        <v>0</v>
      </c>
      <c r="H836">
        <v>0</v>
      </c>
      <c r="I836">
        <v>2</v>
      </c>
      <c r="J836" s="1">
        <f t="shared" ca="1" si="268"/>
        <v>4.2304687500000152E-6</v>
      </c>
      <c r="K836" s="1">
        <f t="shared" ca="1" si="269"/>
        <v>5.8512586289062708E-8</v>
      </c>
      <c r="L836" s="13">
        <f t="shared" ca="1" si="270"/>
        <v>40</v>
      </c>
      <c r="M836" s="7">
        <f t="shared" ca="1" si="271"/>
        <v>960</v>
      </c>
      <c r="N836" s="26">
        <f t="shared" ca="1" si="272"/>
        <v>4</v>
      </c>
      <c r="O836" s="44">
        <f t="shared" ca="1" si="273"/>
        <v>2.8910364854084887</v>
      </c>
      <c r="P836" s="44">
        <f t="shared" ca="1" si="274"/>
        <v>28.910364854084886</v>
      </c>
      <c r="Q836" s="44">
        <f t="shared" ca="1" si="275"/>
        <v>28.910364854084886</v>
      </c>
      <c r="R836" s="44">
        <f t="shared" ca="1" si="276"/>
        <v>2.8910364854084887</v>
      </c>
      <c r="S836" s="44">
        <f t="shared" ca="1" si="277"/>
        <v>2.8910364854084882</v>
      </c>
      <c r="T836" s="4">
        <f t="shared" ca="1" si="278"/>
        <v>1.6916202181729276E-7</v>
      </c>
      <c r="U836" s="120">
        <f t="shared" ca="1" si="279"/>
        <v>1500.6349838037554</v>
      </c>
      <c r="V836" s="4">
        <f t="shared" ca="1" si="280"/>
        <v>8.7806033978203463E-5</v>
      </c>
      <c r="W836" s="13">
        <f t="shared" ca="1" si="281"/>
        <v>8055.4500000000007</v>
      </c>
      <c r="X836" s="4">
        <f t="shared" ca="1" si="282"/>
        <v>4.7134521322223026E-4</v>
      </c>
      <c r="Y836" s="4">
        <f t="shared" si="283"/>
        <v>0</v>
      </c>
      <c r="Z836" s="13">
        <f t="shared" ca="1" si="284"/>
        <v>8055.4500000000007</v>
      </c>
      <c r="AA836" s="4">
        <f t="shared" ca="1" si="285"/>
        <v>4.7134521322223026E-4</v>
      </c>
    </row>
    <row r="837" spans="1:27">
      <c r="A837">
        <v>2</v>
      </c>
      <c r="B837">
        <v>0</v>
      </c>
      <c r="C837">
        <f t="shared" ca="1" si="264"/>
        <v>7</v>
      </c>
      <c r="D837">
        <f t="shared" ca="1" si="265"/>
        <v>6</v>
      </c>
      <c r="E837">
        <f t="shared" ca="1" si="266"/>
        <v>2</v>
      </c>
      <c r="F837" s="110">
        <f t="shared" ca="1" si="267"/>
        <v>1.383123E-2</v>
      </c>
      <c r="G837">
        <v>0</v>
      </c>
      <c r="H837">
        <v>0</v>
      </c>
      <c r="I837">
        <v>1</v>
      </c>
      <c r="J837" s="1">
        <f t="shared" ca="1" si="268"/>
        <v>8.9062500000000418E-8</v>
      </c>
      <c r="K837" s="1">
        <f t="shared" ca="1" si="269"/>
        <v>1.2318439218750057E-9</v>
      </c>
      <c r="L837" s="13">
        <f t="shared" ca="1" si="270"/>
        <v>20</v>
      </c>
      <c r="M837" s="7">
        <f t="shared" ca="1" si="271"/>
        <v>980</v>
      </c>
      <c r="N837" s="26">
        <f t="shared" ca="1" si="272"/>
        <v>4</v>
      </c>
      <c r="O837" s="44">
        <f t="shared" ca="1" si="273"/>
        <v>2.8910364854084887</v>
      </c>
      <c r="P837" s="44">
        <f t="shared" ca="1" si="274"/>
        <v>28.910364854084886</v>
      </c>
      <c r="Q837" s="44">
        <f t="shared" ca="1" si="275"/>
        <v>28.910364854084886</v>
      </c>
      <c r="R837" s="44">
        <f t="shared" ca="1" si="276"/>
        <v>2.8910364854084887</v>
      </c>
      <c r="S837" s="44">
        <f t="shared" ca="1" si="277"/>
        <v>2.8910364854084882</v>
      </c>
      <c r="T837" s="4">
        <f t="shared" ca="1" si="278"/>
        <v>3.5613057224693247E-9</v>
      </c>
      <c r="U837" s="120">
        <f t="shared" ca="1" si="279"/>
        <v>1480.6349838037554</v>
      </c>
      <c r="V837" s="4">
        <f t="shared" ca="1" si="280"/>
        <v>1.8239112053141536E-6</v>
      </c>
      <c r="W837" s="13">
        <f t="shared" ca="1" si="281"/>
        <v>4027.7250000000004</v>
      </c>
      <c r="X837" s="4">
        <f t="shared" ca="1" si="282"/>
        <v>4.9615285602340082E-6</v>
      </c>
      <c r="Y837" s="4">
        <f t="shared" si="283"/>
        <v>0</v>
      </c>
      <c r="Z837" s="13">
        <f t="shared" ca="1" si="284"/>
        <v>4027.7250000000004</v>
      </c>
      <c r="AA837" s="4">
        <f t="shared" ca="1" si="285"/>
        <v>4.9615285602340082E-6</v>
      </c>
    </row>
    <row r="838" spans="1:27">
      <c r="A838">
        <v>2</v>
      </c>
      <c r="B838">
        <v>0</v>
      </c>
      <c r="C838">
        <f t="shared" ca="1" si="264"/>
        <v>7</v>
      </c>
      <c r="D838">
        <f t="shared" ca="1" si="265"/>
        <v>6</v>
      </c>
      <c r="E838">
        <f t="shared" ca="1" si="266"/>
        <v>2</v>
      </c>
      <c r="F838" s="110">
        <f t="shared" ca="1" si="267"/>
        <v>1.383123E-2</v>
      </c>
      <c r="G838">
        <v>0</v>
      </c>
      <c r="H838">
        <v>0</v>
      </c>
      <c r="I838">
        <v>0</v>
      </c>
      <c r="J838" s="1">
        <f t="shared" ca="1" si="268"/>
        <v>7.812500000000041E-10</v>
      </c>
      <c r="K838" s="1">
        <f t="shared" ca="1" si="269"/>
        <v>1.0805648437500057E-11</v>
      </c>
      <c r="L838" s="13">
        <f t="shared" ca="1" si="270"/>
        <v>0</v>
      </c>
      <c r="M838" s="7">
        <f t="shared" ca="1" si="271"/>
        <v>1000</v>
      </c>
      <c r="N838" s="26">
        <f t="shared" ca="1" si="272"/>
        <v>4</v>
      </c>
      <c r="O838" s="44">
        <f t="shared" ca="1" si="273"/>
        <v>2.8910364854084887</v>
      </c>
      <c r="P838" s="44">
        <f t="shared" ca="1" si="274"/>
        <v>28.910364854084886</v>
      </c>
      <c r="Q838" s="44">
        <f t="shared" ca="1" si="275"/>
        <v>28.910364854084886</v>
      </c>
      <c r="R838" s="44">
        <f t="shared" ca="1" si="276"/>
        <v>2.8910364854084887</v>
      </c>
      <c r="S838" s="44">
        <f t="shared" ca="1" si="277"/>
        <v>2.8910364854084882</v>
      </c>
      <c r="T838" s="4">
        <f t="shared" ca="1" si="278"/>
        <v>3.1239523881309886E-11</v>
      </c>
      <c r="U838" s="120">
        <f t="shared" ca="1" si="279"/>
        <v>1460.6349838037554</v>
      </c>
      <c r="V838" s="4">
        <f t="shared" ca="1" si="280"/>
        <v>1.5783108130496971E-8</v>
      </c>
      <c r="W838" s="13">
        <f t="shared" ca="1" si="281"/>
        <v>0</v>
      </c>
      <c r="X838" s="4">
        <f t="shared" ca="1" si="282"/>
        <v>0</v>
      </c>
      <c r="Y838" s="4">
        <f t="shared" si="283"/>
        <v>0</v>
      </c>
      <c r="Z838" s="13">
        <f t="shared" ca="1" si="284"/>
        <v>0</v>
      </c>
      <c r="AA838" s="4">
        <f t="shared" ca="1" si="285"/>
        <v>0</v>
      </c>
    </row>
    <row r="839" spans="1:27">
      <c r="A839">
        <v>2</v>
      </c>
      <c r="B839">
        <v>1</v>
      </c>
      <c r="C839">
        <f t="shared" ca="1" si="264"/>
        <v>8</v>
      </c>
      <c r="D839">
        <f t="shared" ca="1" si="265"/>
        <v>7</v>
      </c>
      <c r="E839">
        <f t="shared" ca="1" si="266"/>
        <v>2</v>
      </c>
      <c r="F839" s="110">
        <f t="shared" ca="1" si="267"/>
        <v>4.6104100000000005E-3</v>
      </c>
      <c r="G839">
        <v>1</v>
      </c>
      <c r="H839">
        <v>1</v>
      </c>
      <c r="I839">
        <v>7</v>
      </c>
      <c r="J839" s="1">
        <f t="shared" ca="1" si="268"/>
        <v>0</v>
      </c>
      <c r="K839" s="1">
        <f t="shared" ca="1" si="269"/>
        <v>0</v>
      </c>
      <c r="L839" s="13">
        <f t="shared" ca="1" si="270"/>
        <v>648</v>
      </c>
      <c r="M839" s="7">
        <f t="shared" ca="1" si="271"/>
        <v>352</v>
      </c>
      <c r="N839" s="26">
        <f t="shared" ca="1" si="272"/>
        <v>2</v>
      </c>
      <c r="O839" s="44">
        <f t="shared" ca="1" si="273"/>
        <v>1.5942243152407929</v>
      </c>
      <c r="P839" s="44">
        <f t="shared" ca="1" si="274"/>
        <v>15.942243152407926</v>
      </c>
      <c r="Q839" s="44">
        <f t="shared" ca="1" si="275"/>
        <v>15.942243152407926</v>
      </c>
      <c r="R839" s="44">
        <f t="shared" ca="1" si="276"/>
        <v>1.5942243152407927</v>
      </c>
      <c r="S839" s="44">
        <f t="shared" ca="1" si="277"/>
        <v>1.5942243152407927</v>
      </c>
      <c r="T839" s="4">
        <f t="shared" ca="1" si="278"/>
        <v>0</v>
      </c>
      <c r="U839" s="120">
        <f t="shared" ca="1" si="279"/>
        <v>1550.3348669012169</v>
      </c>
      <c r="V839" s="4">
        <f t="shared" ca="1" si="280"/>
        <v>0</v>
      </c>
      <c r="W839" s="13">
        <f t="shared" ca="1" si="281"/>
        <v>32946.790500000003</v>
      </c>
      <c r="X839" s="4">
        <f t="shared" ca="1" si="282"/>
        <v>0</v>
      </c>
      <c r="Y839" s="4">
        <f t="shared" si="283"/>
        <v>0</v>
      </c>
      <c r="Z839" s="13">
        <f t="shared" ca="1" si="284"/>
        <v>32946.790500000003</v>
      </c>
      <c r="AA839" s="4">
        <f t="shared" ca="1" si="285"/>
        <v>0</v>
      </c>
    </row>
    <row r="840" spans="1:27">
      <c r="A840">
        <v>2</v>
      </c>
      <c r="B840">
        <v>1</v>
      </c>
      <c r="C840">
        <f t="shared" ca="1" si="264"/>
        <v>8</v>
      </c>
      <c r="D840">
        <f t="shared" ca="1" si="265"/>
        <v>7</v>
      </c>
      <c r="E840">
        <f t="shared" ca="1" si="266"/>
        <v>2</v>
      </c>
      <c r="F840" s="110">
        <f t="shared" ca="1" si="267"/>
        <v>4.6104100000000005E-3</v>
      </c>
      <c r="G840">
        <v>1</v>
      </c>
      <c r="H840">
        <v>1</v>
      </c>
      <c r="I840">
        <v>6</v>
      </c>
      <c r="J840" s="1">
        <f t="shared" ca="1" si="268"/>
        <v>0</v>
      </c>
      <c r="K840" s="1">
        <f t="shared" ca="1" si="269"/>
        <v>0</v>
      </c>
      <c r="L840" s="13">
        <f t="shared" ca="1" si="270"/>
        <v>628</v>
      </c>
      <c r="M840" s="7">
        <f t="shared" ca="1" si="271"/>
        <v>372</v>
      </c>
      <c r="N840" s="26">
        <f t="shared" ca="1" si="272"/>
        <v>2</v>
      </c>
      <c r="O840" s="44">
        <f t="shared" ca="1" si="273"/>
        <v>1.5942243152407929</v>
      </c>
      <c r="P840" s="44">
        <f t="shared" ca="1" si="274"/>
        <v>15.942243152407926</v>
      </c>
      <c r="Q840" s="44">
        <f t="shared" ca="1" si="275"/>
        <v>15.942243152407926</v>
      </c>
      <c r="R840" s="44">
        <f t="shared" ca="1" si="276"/>
        <v>1.5942243152407927</v>
      </c>
      <c r="S840" s="44">
        <f t="shared" ca="1" si="277"/>
        <v>1.5942243152407927</v>
      </c>
      <c r="T840" s="4">
        <f t="shared" ca="1" si="278"/>
        <v>0</v>
      </c>
      <c r="U840" s="120">
        <f t="shared" ca="1" si="279"/>
        <v>1530.3348669012169</v>
      </c>
      <c r="V840" s="4">
        <f t="shared" ca="1" si="280"/>
        <v>0</v>
      </c>
      <c r="W840" s="13">
        <f t="shared" ca="1" si="281"/>
        <v>28919.065500000004</v>
      </c>
      <c r="X840" s="4">
        <f t="shared" ca="1" si="282"/>
        <v>0</v>
      </c>
      <c r="Y840" s="4">
        <f t="shared" si="283"/>
        <v>0</v>
      </c>
      <c r="Z840" s="13">
        <f t="shared" ca="1" si="284"/>
        <v>28919.065500000004</v>
      </c>
      <c r="AA840" s="4">
        <f t="shared" ca="1" si="285"/>
        <v>0</v>
      </c>
    </row>
    <row r="841" spans="1:27">
      <c r="A841">
        <v>2</v>
      </c>
      <c r="B841">
        <v>1</v>
      </c>
      <c r="C841">
        <f t="shared" ca="1" si="264"/>
        <v>8</v>
      </c>
      <c r="D841">
        <f t="shared" ca="1" si="265"/>
        <v>7</v>
      </c>
      <c r="E841">
        <f t="shared" ca="1" si="266"/>
        <v>2</v>
      </c>
      <c r="F841" s="110">
        <f t="shared" ca="1" si="267"/>
        <v>4.6104100000000005E-3</v>
      </c>
      <c r="G841">
        <v>1</v>
      </c>
      <c r="H841">
        <v>1</v>
      </c>
      <c r="I841">
        <v>5</v>
      </c>
      <c r="J841" s="1">
        <f t="shared" ca="1" si="268"/>
        <v>0</v>
      </c>
      <c r="K841" s="1">
        <f t="shared" ca="1" si="269"/>
        <v>0</v>
      </c>
      <c r="L841" s="13">
        <f t="shared" ca="1" si="270"/>
        <v>608</v>
      </c>
      <c r="M841" s="7">
        <f t="shared" ca="1" si="271"/>
        <v>392</v>
      </c>
      <c r="N841" s="26">
        <f t="shared" ca="1" si="272"/>
        <v>2</v>
      </c>
      <c r="O841" s="44">
        <f t="shared" ca="1" si="273"/>
        <v>1.5942243152407929</v>
      </c>
      <c r="P841" s="44">
        <f t="shared" ca="1" si="274"/>
        <v>15.942243152407926</v>
      </c>
      <c r="Q841" s="44">
        <f t="shared" ca="1" si="275"/>
        <v>15.942243152407926</v>
      </c>
      <c r="R841" s="44">
        <f t="shared" ca="1" si="276"/>
        <v>1.5942243152407927</v>
      </c>
      <c r="S841" s="44">
        <f t="shared" ca="1" si="277"/>
        <v>1.5942243152407927</v>
      </c>
      <c r="T841" s="4">
        <f t="shared" ca="1" si="278"/>
        <v>0</v>
      </c>
      <c r="U841" s="120">
        <f t="shared" ca="1" si="279"/>
        <v>1510.3348669012169</v>
      </c>
      <c r="V841" s="4">
        <f t="shared" ca="1" si="280"/>
        <v>0</v>
      </c>
      <c r="W841" s="13">
        <f t="shared" ca="1" si="281"/>
        <v>24891.340500000002</v>
      </c>
      <c r="X841" s="4">
        <f t="shared" ca="1" si="282"/>
        <v>0</v>
      </c>
      <c r="Y841" s="4">
        <f t="shared" si="283"/>
        <v>0</v>
      </c>
      <c r="Z841" s="13">
        <f t="shared" ca="1" si="284"/>
        <v>24891.340500000002</v>
      </c>
      <c r="AA841" s="4">
        <f t="shared" ca="1" si="285"/>
        <v>0</v>
      </c>
    </row>
    <row r="842" spans="1:27">
      <c r="A842">
        <v>2</v>
      </c>
      <c r="B842">
        <v>1</v>
      </c>
      <c r="C842">
        <f t="shared" ca="1" si="264"/>
        <v>8</v>
      </c>
      <c r="D842">
        <f t="shared" ca="1" si="265"/>
        <v>7</v>
      </c>
      <c r="E842">
        <f t="shared" ca="1" si="266"/>
        <v>2</v>
      </c>
      <c r="F842" s="110">
        <f t="shared" ca="1" si="267"/>
        <v>4.6104100000000005E-3</v>
      </c>
      <c r="G842">
        <v>1</v>
      </c>
      <c r="H842">
        <v>1</v>
      </c>
      <c r="I842">
        <v>4</v>
      </c>
      <c r="J842" s="1">
        <f t="shared" ca="1" si="268"/>
        <v>0</v>
      </c>
      <c r="K842" s="1">
        <f t="shared" ca="1" si="269"/>
        <v>0</v>
      </c>
      <c r="L842" s="13">
        <f t="shared" ca="1" si="270"/>
        <v>588</v>
      </c>
      <c r="M842" s="7">
        <f t="shared" ca="1" si="271"/>
        <v>412</v>
      </c>
      <c r="N842" s="26">
        <f t="shared" ca="1" si="272"/>
        <v>2</v>
      </c>
      <c r="O842" s="44">
        <f t="shared" ca="1" si="273"/>
        <v>1.5942243152407929</v>
      </c>
      <c r="P842" s="44">
        <f t="shared" ca="1" si="274"/>
        <v>15.942243152407926</v>
      </c>
      <c r="Q842" s="44">
        <f t="shared" ca="1" si="275"/>
        <v>15.942243152407926</v>
      </c>
      <c r="R842" s="44">
        <f t="shared" ca="1" si="276"/>
        <v>1.5942243152407927</v>
      </c>
      <c r="S842" s="44">
        <f t="shared" ca="1" si="277"/>
        <v>1.5942243152407927</v>
      </c>
      <c r="T842" s="4">
        <f t="shared" ca="1" si="278"/>
        <v>0</v>
      </c>
      <c r="U842" s="120">
        <f t="shared" ca="1" si="279"/>
        <v>1490.3348669012169</v>
      </c>
      <c r="V842" s="4">
        <f t="shared" ca="1" si="280"/>
        <v>0</v>
      </c>
      <c r="W842" s="13">
        <f t="shared" ca="1" si="281"/>
        <v>20863.615500000004</v>
      </c>
      <c r="X842" s="4">
        <f t="shared" ca="1" si="282"/>
        <v>0</v>
      </c>
      <c r="Y842" s="4">
        <f t="shared" si="283"/>
        <v>0</v>
      </c>
      <c r="Z842" s="13">
        <f t="shared" ca="1" si="284"/>
        <v>20863.615500000004</v>
      </c>
      <c r="AA842" s="4">
        <f t="shared" ca="1" si="285"/>
        <v>0</v>
      </c>
    </row>
    <row r="843" spans="1:27">
      <c r="A843">
        <v>2</v>
      </c>
      <c r="B843">
        <v>1</v>
      </c>
      <c r="C843">
        <f t="shared" ca="1" si="264"/>
        <v>8</v>
      </c>
      <c r="D843">
        <f t="shared" ca="1" si="265"/>
        <v>7</v>
      </c>
      <c r="E843">
        <f t="shared" ca="1" si="266"/>
        <v>2</v>
      </c>
      <c r="F843" s="110">
        <f t="shared" ca="1" si="267"/>
        <v>4.6104100000000005E-3</v>
      </c>
      <c r="G843">
        <v>1</v>
      </c>
      <c r="H843">
        <v>1</v>
      </c>
      <c r="I843">
        <v>3</v>
      </c>
      <c r="J843" s="1">
        <f t="shared" ca="1" si="268"/>
        <v>0</v>
      </c>
      <c r="K843" s="1">
        <f t="shared" ca="1" si="269"/>
        <v>0</v>
      </c>
      <c r="L843" s="13">
        <f t="shared" ca="1" si="270"/>
        <v>568</v>
      </c>
      <c r="M843" s="7">
        <f t="shared" ca="1" si="271"/>
        <v>432</v>
      </c>
      <c r="N843" s="26">
        <f t="shared" ca="1" si="272"/>
        <v>2</v>
      </c>
      <c r="O843" s="44">
        <f t="shared" ca="1" si="273"/>
        <v>1.5942243152407929</v>
      </c>
      <c r="P843" s="44">
        <f t="shared" ca="1" si="274"/>
        <v>15.942243152407926</v>
      </c>
      <c r="Q843" s="44">
        <f t="shared" ca="1" si="275"/>
        <v>15.942243152407926</v>
      </c>
      <c r="R843" s="44">
        <f t="shared" ca="1" si="276"/>
        <v>1.5942243152407927</v>
      </c>
      <c r="S843" s="44">
        <f t="shared" ca="1" si="277"/>
        <v>1.5942243152407927</v>
      </c>
      <c r="T843" s="4">
        <f t="shared" ca="1" si="278"/>
        <v>0</v>
      </c>
      <c r="U843" s="120">
        <f t="shared" ca="1" si="279"/>
        <v>1470.3348669012169</v>
      </c>
      <c r="V843" s="4">
        <f t="shared" ca="1" si="280"/>
        <v>0</v>
      </c>
      <c r="W843" s="13">
        <f t="shared" ca="1" si="281"/>
        <v>16835.890500000001</v>
      </c>
      <c r="X843" s="4">
        <f t="shared" ca="1" si="282"/>
        <v>0</v>
      </c>
      <c r="Y843" s="4">
        <f t="shared" si="283"/>
        <v>0</v>
      </c>
      <c r="Z843" s="13">
        <f t="shared" ca="1" si="284"/>
        <v>16835.890500000001</v>
      </c>
      <c r="AA843" s="4">
        <f t="shared" ca="1" si="285"/>
        <v>0</v>
      </c>
    </row>
    <row r="844" spans="1:27">
      <c r="A844">
        <v>2</v>
      </c>
      <c r="B844">
        <v>1</v>
      </c>
      <c r="C844">
        <f t="shared" ca="1" si="264"/>
        <v>8</v>
      </c>
      <c r="D844">
        <f t="shared" ca="1" si="265"/>
        <v>7</v>
      </c>
      <c r="E844">
        <f t="shared" ca="1" si="266"/>
        <v>2</v>
      </c>
      <c r="F844" s="110">
        <f t="shared" ca="1" si="267"/>
        <v>4.6104100000000005E-3</v>
      </c>
      <c r="G844">
        <v>1</v>
      </c>
      <c r="H844">
        <v>1</v>
      </c>
      <c r="I844">
        <v>2</v>
      </c>
      <c r="J844" s="1">
        <f t="shared" ca="1" si="268"/>
        <v>0</v>
      </c>
      <c r="K844" s="1">
        <f t="shared" ca="1" si="269"/>
        <v>0</v>
      </c>
      <c r="L844" s="13">
        <f t="shared" ca="1" si="270"/>
        <v>548</v>
      </c>
      <c r="M844" s="7">
        <f t="shared" ca="1" si="271"/>
        <v>452</v>
      </c>
      <c r="N844" s="26">
        <f t="shared" ca="1" si="272"/>
        <v>2</v>
      </c>
      <c r="O844" s="44">
        <f t="shared" ca="1" si="273"/>
        <v>1.5942243152407929</v>
      </c>
      <c r="P844" s="44">
        <f t="shared" ca="1" si="274"/>
        <v>15.942243152407926</v>
      </c>
      <c r="Q844" s="44">
        <f t="shared" ca="1" si="275"/>
        <v>15.942243152407926</v>
      </c>
      <c r="R844" s="44">
        <f t="shared" ca="1" si="276"/>
        <v>1.5942243152407927</v>
      </c>
      <c r="S844" s="44">
        <f t="shared" ca="1" si="277"/>
        <v>1.5942243152407927</v>
      </c>
      <c r="T844" s="4">
        <f t="shared" ca="1" si="278"/>
        <v>0</v>
      </c>
      <c r="U844" s="120">
        <f t="shared" ca="1" si="279"/>
        <v>1450.3348669012169</v>
      </c>
      <c r="V844" s="4">
        <f t="shared" ca="1" si="280"/>
        <v>0</v>
      </c>
      <c r="W844" s="13">
        <f t="shared" ca="1" si="281"/>
        <v>12808.165500000003</v>
      </c>
      <c r="X844" s="4">
        <f t="shared" ca="1" si="282"/>
        <v>0</v>
      </c>
      <c r="Y844" s="4">
        <f t="shared" si="283"/>
        <v>0</v>
      </c>
      <c r="Z844" s="13">
        <f t="shared" ca="1" si="284"/>
        <v>12808.165500000003</v>
      </c>
      <c r="AA844" s="4">
        <f t="shared" ca="1" si="285"/>
        <v>0</v>
      </c>
    </row>
    <row r="845" spans="1:27">
      <c r="A845">
        <v>2</v>
      </c>
      <c r="B845">
        <v>1</v>
      </c>
      <c r="C845">
        <f t="shared" ca="1" si="264"/>
        <v>8</v>
      </c>
      <c r="D845">
        <f t="shared" ca="1" si="265"/>
        <v>7</v>
      </c>
      <c r="E845">
        <f t="shared" ca="1" si="266"/>
        <v>2</v>
      </c>
      <c r="F845" s="110">
        <f t="shared" ca="1" si="267"/>
        <v>4.6104100000000005E-3</v>
      </c>
      <c r="G845">
        <v>1</v>
      </c>
      <c r="H845">
        <v>1</v>
      </c>
      <c r="I845">
        <v>1</v>
      </c>
      <c r="J845" s="1">
        <f t="shared" ca="1" si="268"/>
        <v>0</v>
      </c>
      <c r="K845" s="1">
        <f t="shared" ca="1" si="269"/>
        <v>0</v>
      </c>
      <c r="L845" s="13">
        <f t="shared" ca="1" si="270"/>
        <v>528</v>
      </c>
      <c r="M845" s="7">
        <f t="shared" ca="1" si="271"/>
        <v>472</v>
      </c>
      <c r="N845" s="26">
        <f t="shared" ca="1" si="272"/>
        <v>2</v>
      </c>
      <c r="O845" s="44">
        <f t="shared" ca="1" si="273"/>
        <v>1.5942243152407929</v>
      </c>
      <c r="P845" s="44">
        <f t="shared" ca="1" si="274"/>
        <v>15.942243152407926</v>
      </c>
      <c r="Q845" s="44">
        <f t="shared" ca="1" si="275"/>
        <v>15.942243152407926</v>
      </c>
      <c r="R845" s="44">
        <f t="shared" ca="1" si="276"/>
        <v>1.5942243152407927</v>
      </c>
      <c r="S845" s="44">
        <f t="shared" ca="1" si="277"/>
        <v>1.5942243152407927</v>
      </c>
      <c r="T845" s="4">
        <f t="shared" ca="1" si="278"/>
        <v>0</v>
      </c>
      <c r="U845" s="120">
        <f t="shared" ca="1" si="279"/>
        <v>1430.3348669012169</v>
      </c>
      <c r="V845" s="4">
        <f t="shared" ca="1" si="280"/>
        <v>0</v>
      </c>
      <c r="W845" s="13">
        <f t="shared" ca="1" si="281"/>
        <v>8780.4405000000006</v>
      </c>
      <c r="X845" s="4">
        <f t="shared" ca="1" si="282"/>
        <v>0</v>
      </c>
      <c r="Y845" s="4">
        <f t="shared" si="283"/>
        <v>0</v>
      </c>
      <c r="Z845" s="13">
        <f t="shared" ca="1" si="284"/>
        <v>8780.4405000000006</v>
      </c>
      <c r="AA845" s="4">
        <f t="shared" ca="1" si="285"/>
        <v>0</v>
      </c>
    </row>
    <row r="846" spans="1:27">
      <c r="A846">
        <v>2</v>
      </c>
      <c r="B846">
        <v>1</v>
      </c>
      <c r="C846">
        <f t="shared" ca="1" si="264"/>
        <v>8</v>
      </c>
      <c r="D846">
        <f t="shared" ca="1" si="265"/>
        <v>7</v>
      </c>
      <c r="E846">
        <f t="shared" ca="1" si="266"/>
        <v>2</v>
      </c>
      <c r="F846" s="110">
        <f t="shared" ca="1" si="267"/>
        <v>4.6104100000000005E-3</v>
      </c>
      <c r="G846">
        <v>1</v>
      </c>
      <c r="H846">
        <v>1</v>
      </c>
      <c r="I846">
        <v>0</v>
      </c>
      <c r="J846" s="1">
        <f t="shared" ca="1" si="268"/>
        <v>0</v>
      </c>
      <c r="K846" s="1">
        <f t="shared" ca="1" si="269"/>
        <v>0</v>
      </c>
      <c r="L846" s="13">
        <f t="shared" ca="1" si="270"/>
        <v>508</v>
      </c>
      <c r="M846" s="7">
        <f t="shared" ca="1" si="271"/>
        <v>492</v>
      </c>
      <c r="N846" s="26">
        <f t="shared" ca="1" si="272"/>
        <v>2</v>
      </c>
      <c r="O846" s="44">
        <f t="shared" ca="1" si="273"/>
        <v>1.5942243152407929</v>
      </c>
      <c r="P846" s="44">
        <f t="shared" ca="1" si="274"/>
        <v>15.942243152407926</v>
      </c>
      <c r="Q846" s="44">
        <f t="shared" ca="1" si="275"/>
        <v>15.942243152407926</v>
      </c>
      <c r="R846" s="44">
        <f t="shared" ca="1" si="276"/>
        <v>1.5942243152407927</v>
      </c>
      <c r="S846" s="44">
        <f t="shared" ca="1" si="277"/>
        <v>1.5942243152407927</v>
      </c>
      <c r="T846" s="4">
        <f t="shared" ca="1" si="278"/>
        <v>0</v>
      </c>
      <c r="U846" s="120">
        <f t="shared" ca="1" si="279"/>
        <v>1410.3348669012169</v>
      </c>
      <c r="V846" s="4">
        <f t="shared" ca="1" si="280"/>
        <v>0</v>
      </c>
      <c r="W846" s="13">
        <f t="shared" ca="1" si="281"/>
        <v>4752.7155000000012</v>
      </c>
      <c r="X846" s="4">
        <f t="shared" ca="1" si="282"/>
        <v>0</v>
      </c>
      <c r="Y846" s="4">
        <f t="shared" si="283"/>
        <v>0</v>
      </c>
      <c r="Z846" s="13">
        <f t="shared" ca="1" si="284"/>
        <v>4752.7155000000012</v>
      </c>
      <c r="AA846" s="4">
        <f t="shared" ca="1" si="285"/>
        <v>0</v>
      </c>
    </row>
    <row r="847" spans="1:27">
      <c r="A847">
        <v>2</v>
      </c>
      <c r="B847">
        <v>1</v>
      </c>
      <c r="C847">
        <f t="shared" ca="1" si="264"/>
        <v>8</v>
      </c>
      <c r="D847">
        <f t="shared" ca="1" si="265"/>
        <v>7</v>
      </c>
      <c r="E847">
        <f t="shared" ca="1" si="266"/>
        <v>2</v>
      </c>
      <c r="F847" s="110">
        <f t="shared" ca="1" si="267"/>
        <v>4.6104100000000005E-3</v>
      </c>
      <c r="G847">
        <v>1</v>
      </c>
      <c r="H847">
        <v>0</v>
      </c>
      <c r="I847">
        <v>7</v>
      </c>
      <c r="J847" s="1">
        <f t="shared" ca="1" si="268"/>
        <v>0.66342043128906247</v>
      </c>
      <c r="K847" s="1">
        <f t="shared" ca="1" si="269"/>
        <v>3.058640190619407E-3</v>
      </c>
      <c r="L847" s="13">
        <f t="shared" ca="1" si="270"/>
        <v>394</v>
      </c>
      <c r="M847" s="7">
        <f t="shared" ca="1" si="271"/>
        <v>606</v>
      </c>
      <c r="N847" s="26">
        <f t="shared" ca="1" si="272"/>
        <v>3</v>
      </c>
      <c r="O847" s="44">
        <f t="shared" ca="1" si="273"/>
        <v>2.2641455309069398</v>
      </c>
      <c r="P847" s="44">
        <f t="shared" ca="1" si="274"/>
        <v>22.641455309069404</v>
      </c>
      <c r="Q847" s="44">
        <f t="shared" ca="1" si="275"/>
        <v>22.641455309069404</v>
      </c>
      <c r="R847" s="44">
        <f t="shared" ca="1" si="276"/>
        <v>2.2641455309069403</v>
      </c>
      <c r="S847" s="44">
        <f t="shared" ca="1" si="277"/>
        <v>2.2641455309069398</v>
      </c>
      <c r="T847" s="4">
        <f t="shared" ca="1" si="278"/>
        <v>6.9252065182432813E-3</v>
      </c>
      <c r="U847" s="120">
        <f t="shared" ca="1" si="279"/>
        <v>1584.7475619899244</v>
      </c>
      <c r="V847" s="4">
        <f t="shared" ca="1" si="280"/>
        <v>4.8471725850885026</v>
      </c>
      <c r="W847" s="13">
        <f t="shared" ca="1" si="281"/>
        <v>32946.790500000003</v>
      </c>
      <c r="X847" s="4">
        <f t="shared" ca="1" si="282"/>
        <v>100.77237757521767</v>
      </c>
      <c r="Y847" s="4">
        <f t="shared" si="283"/>
        <v>0</v>
      </c>
      <c r="Z847" s="13">
        <f t="shared" ca="1" si="284"/>
        <v>32946.790500000003</v>
      </c>
      <c r="AA847" s="4">
        <f t="shared" ca="1" si="285"/>
        <v>100.77237757521767</v>
      </c>
    </row>
    <row r="848" spans="1:27">
      <c r="A848">
        <v>2</v>
      </c>
      <c r="B848">
        <v>1</v>
      </c>
      <c r="C848">
        <f t="shared" ca="1" si="264"/>
        <v>8</v>
      </c>
      <c r="D848">
        <f t="shared" ca="1" si="265"/>
        <v>7</v>
      </c>
      <c r="E848">
        <f t="shared" ca="1" si="266"/>
        <v>2</v>
      </c>
      <c r="F848" s="110">
        <f t="shared" ca="1" si="267"/>
        <v>4.6104100000000005E-3</v>
      </c>
      <c r="G848">
        <v>1</v>
      </c>
      <c r="H848">
        <v>0</v>
      </c>
      <c r="I848">
        <v>6</v>
      </c>
      <c r="J848" s="1">
        <f t="shared" ca="1" si="268"/>
        <v>0.24441805363281272</v>
      </c>
      <c r="K848" s="1">
        <f t="shared" ca="1" si="269"/>
        <v>1.1268674386492562E-3</v>
      </c>
      <c r="L848" s="13">
        <f t="shared" ca="1" si="270"/>
        <v>374</v>
      </c>
      <c r="M848" s="7">
        <f t="shared" ca="1" si="271"/>
        <v>626</v>
      </c>
      <c r="N848" s="26">
        <f t="shared" ca="1" si="272"/>
        <v>3</v>
      </c>
      <c r="O848" s="44">
        <f t="shared" ca="1" si="273"/>
        <v>2.2641455309069398</v>
      </c>
      <c r="P848" s="44">
        <f t="shared" ca="1" si="274"/>
        <v>22.641455309069404</v>
      </c>
      <c r="Q848" s="44">
        <f t="shared" ca="1" si="275"/>
        <v>22.641455309069404</v>
      </c>
      <c r="R848" s="44">
        <f t="shared" ca="1" si="276"/>
        <v>2.2641455309069403</v>
      </c>
      <c r="S848" s="44">
        <f t="shared" ca="1" si="277"/>
        <v>2.2641455309069398</v>
      </c>
      <c r="T848" s="4">
        <f t="shared" ca="1" si="278"/>
        <v>2.5513918751422634E-3</v>
      </c>
      <c r="U848" s="120">
        <f t="shared" ca="1" si="279"/>
        <v>1564.7475619899244</v>
      </c>
      <c r="V848" s="4">
        <f t="shared" ca="1" si="280"/>
        <v>1.7632630773122544</v>
      </c>
      <c r="W848" s="13">
        <f t="shared" ca="1" si="281"/>
        <v>28919.065500000004</v>
      </c>
      <c r="X848" s="4">
        <f t="shared" ca="1" si="282"/>
        <v>32.587953268115072</v>
      </c>
      <c r="Y848" s="4">
        <f t="shared" si="283"/>
        <v>0</v>
      </c>
      <c r="Z848" s="13">
        <f t="shared" ca="1" si="284"/>
        <v>28919.065500000004</v>
      </c>
      <c r="AA848" s="4">
        <f t="shared" ca="1" si="285"/>
        <v>32.587953268115072</v>
      </c>
    </row>
    <row r="849" spans="1:27">
      <c r="A849">
        <v>2</v>
      </c>
      <c r="B849">
        <v>1</v>
      </c>
      <c r="C849">
        <f t="shared" ca="1" si="264"/>
        <v>8</v>
      </c>
      <c r="D849">
        <f t="shared" ca="1" si="265"/>
        <v>7</v>
      </c>
      <c r="E849">
        <f t="shared" ca="1" si="266"/>
        <v>2</v>
      </c>
      <c r="F849" s="110">
        <f t="shared" ca="1" si="267"/>
        <v>4.6104100000000005E-3</v>
      </c>
      <c r="G849">
        <v>1</v>
      </c>
      <c r="H849">
        <v>0</v>
      </c>
      <c r="I849">
        <v>5</v>
      </c>
      <c r="J849" s="1">
        <f t="shared" ca="1" si="268"/>
        <v>3.8592324257812567E-2</v>
      </c>
      <c r="K849" s="1">
        <f t="shared" ca="1" si="269"/>
        <v>1.7792643768146165E-4</v>
      </c>
      <c r="L849" s="13">
        <f t="shared" ca="1" si="270"/>
        <v>354</v>
      </c>
      <c r="M849" s="7">
        <f t="shared" ca="1" si="271"/>
        <v>646</v>
      </c>
      <c r="N849" s="26">
        <f t="shared" ca="1" si="272"/>
        <v>3</v>
      </c>
      <c r="O849" s="44">
        <f t="shared" ca="1" si="273"/>
        <v>2.2641455309069398</v>
      </c>
      <c r="P849" s="44">
        <f t="shared" ca="1" si="274"/>
        <v>22.641455309069404</v>
      </c>
      <c r="Q849" s="44">
        <f t="shared" ca="1" si="275"/>
        <v>22.641455309069404</v>
      </c>
      <c r="R849" s="44">
        <f t="shared" ca="1" si="276"/>
        <v>2.2641455309069403</v>
      </c>
      <c r="S849" s="44">
        <f t="shared" ca="1" si="277"/>
        <v>2.2641455309069398</v>
      </c>
      <c r="T849" s="4">
        <f t="shared" ca="1" si="278"/>
        <v>4.0285134870667353E-4</v>
      </c>
      <c r="U849" s="120">
        <f t="shared" ca="1" si="279"/>
        <v>1544.7475619899244</v>
      </c>
      <c r="V849" s="4">
        <f t="shared" ca="1" si="280"/>
        <v>0.27485143082199009</v>
      </c>
      <c r="W849" s="13">
        <f t="shared" ca="1" si="281"/>
        <v>24891.340500000002</v>
      </c>
      <c r="X849" s="4">
        <f t="shared" ca="1" si="282"/>
        <v>4.428827544281293</v>
      </c>
      <c r="Y849" s="4">
        <f t="shared" si="283"/>
        <v>0</v>
      </c>
      <c r="Z849" s="13">
        <f t="shared" ca="1" si="284"/>
        <v>24891.340500000002</v>
      </c>
      <c r="AA849" s="4">
        <f t="shared" ca="1" si="285"/>
        <v>4.428827544281293</v>
      </c>
    </row>
    <row r="850" spans="1:27">
      <c r="A850">
        <v>2</v>
      </c>
      <c r="B850">
        <v>1</v>
      </c>
      <c r="C850">
        <f t="shared" ca="1" si="264"/>
        <v>8</v>
      </c>
      <c r="D850">
        <f t="shared" ca="1" si="265"/>
        <v>7</v>
      </c>
      <c r="E850">
        <f t="shared" ca="1" si="266"/>
        <v>2</v>
      </c>
      <c r="F850" s="110">
        <f t="shared" ca="1" si="267"/>
        <v>4.6104100000000005E-3</v>
      </c>
      <c r="G850">
        <v>1</v>
      </c>
      <c r="H850">
        <v>0</v>
      </c>
      <c r="I850">
        <v>4</v>
      </c>
      <c r="J850" s="1">
        <f t="shared" ca="1" si="268"/>
        <v>3.3852916015625085E-3</v>
      </c>
      <c r="K850" s="1">
        <f t="shared" ca="1" si="269"/>
        <v>1.5607582252759805E-5</v>
      </c>
      <c r="L850" s="13">
        <f t="shared" ca="1" si="270"/>
        <v>334</v>
      </c>
      <c r="M850" s="7">
        <f t="shared" ca="1" si="271"/>
        <v>666</v>
      </c>
      <c r="N850" s="26">
        <f t="shared" ca="1" si="272"/>
        <v>3</v>
      </c>
      <c r="O850" s="44">
        <f t="shared" ca="1" si="273"/>
        <v>2.2641455309069398</v>
      </c>
      <c r="P850" s="44">
        <f t="shared" ca="1" si="274"/>
        <v>22.641455309069404</v>
      </c>
      <c r="Q850" s="44">
        <f t="shared" ca="1" si="275"/>
        <v>22.641455309069404</v>
      </c>
      <c r="R850" s="44">
        <f t="shared" ca="1" si="276"/>
        <v>2.2641455309069403</v>
      </c>
      <c r="S850" s="44">
        <f t="shared" ca="1" si="277"/>
        <v>2.2641455309069398</v>
      </c>
      <c r="T850" s="4">
        <f t="shared" ca="1" si="278"/>
        <v>3.5337837605848583E-5</v>
      </c>
      <c r="U850" s="120">
        <f t="shared" ca="1" si="279"/>
        <v>1524.7475619899244</v>
      </c>
      <c r="V850" s="4">
        <f t="shared" ca="1" si="280"/>
        <v>2.3797622988452727E-2</v>
      </c>
      <c r="W850" s="13">
        <f t="shared" ca="1" si="281"/>
        <v>20863.615500000004</v>
      </c>
      <c r="X850" s="4">
        <f t="shared" ca="1" si="282"/>
        <v>0.32563059500620445</v>
      </c>
      <c r="Y850" s="4">
        <f t="shared" si="283"/>
        <v>0</v>
      </c>
      <c r="Z850" s="13">
        <f t="shared" ca="1" si="284"/>
        <v>20863.615500000004</v>
      </c>
      <c r="AA850" s="4">
        <f t="shared" ca="1" si="285"/>
        <v>0.32563059500620445</v>
      </c>
    </row>
    <row r="851" spans="1:27">
      <c r="A851">
        <v>2</v>
      </c>
      <c r="B851">
        <v>1</v>
      </c>
      <c r="C851">
        <f t="shared" ca="1" si="264"/>
        <v>8</v>
      </c>
      <c r="D851">
        <f t="shared" ca="1" si="265"/>
        <v>7</v>
      </c>
      <c r="E851">
        <f t="shared" ca="1" si="266"/>
        <v>2</v>
      </c>
      <c r="F851" s="110">
        <f t="shared" ca="1" si="267"/>
        <v>4.6104100000000005E-3</v>
      </c>
      <c r="G851">
        <v>1</v>
      </c>
      <c r="H851">
        <v>0</v>
      </c>
      <c r="I851">
        <v>3</v>
      </c>
      <c r="J851" s="1">
        <f t="shared" ca="1" si="268"/>
        <v>1.7817324218750058E-4</v>
      </c>
      <c r="K851" s="1">
        <f t="shared" ca="1" si="269"/>
        <v>8.2145169751367466E-7</v>
      </c>
      <c r="L851" s="13">
        <f t="shared" ca="1" si="270"/>
        <v>314</v>
      </c>
      <c r="M851" s="7">
        <f t="shared" ca="1" si="271"/>
        <v>686</v>
      </c>
      <c r="N851" s="26">
        <f t="shared" ca="1" si="272"/>
        <v>3</v>
      </c>
      <c r="O851" s="44">
        <f t="shared" ca="1" si="273"/>
        <v>2.2641455309069398</v>
      </c>
      <c r="P851" s="44">
        <f t="shared" ca="1" si="274"/>
        <v>22.641455309069404</v>
      </c>
      <c r="Q851" s="44">
        <f t="shared" ca="1" si="275"/>
        <v>22.641455309069404</v>
      </c>
      <c r="R851" s="44">
        <f t="shared" ca="1" si="276"/>
        <v>2.2641455309069403</v>
      </c>
      <c r="S851" s="44">
        <f t="shared" ca="1" si="277"/>
        <v>2.2641455309069398</v>
      </c>
      <c r="T851" s="4">
        <f t="shared" ca="1" si="278"/>
        <v>1.8598861897815058E-6</v>
      </c>
      <c r="U851" s="120">
        <f t="shared" ca="1" si="279"/>
        <v>1504.7475619899244</v>
      </c>
      <c r="V851" s="4">
        <f t="shared" ca="1" si="280"/>
        <v>1.2360774391261867E-3</v>
      </c>
      <c r="W851" s="13">
        <f t="shared" ca="1" si="281"/>
        <v>16835.890500000001</v>
      </c>
      <c r="X851" s="4">
        <f t="shared" ca="1" si="282"/>
        <v>1.382987083037935E-2</v>
      </c>
      <c r="Y851" s="4">
        <f t="shared" si="283"/>
        <v>0</v>
      </c>
      <c r="Z851" s="13">
        <f t="shared" ca="1" si="284"/>
        <v>16835.890500000001</v>
      </c>
      <c r="AA851" s="4">
        <f t="shared" ca="1" si="285"/>
        <v>1.382987083037935E-2</v>
      </c>
    </row>
    <row r="852" spans="1:27">
      <c r="A852">
        <v>2</v>
      </c>
      <c r="B852">
        <v>1</v>
      </c>
      <c r="C852">
        <f t="shared" ca="1" si="264"/>
        <v>8</v>
      </c>
      <c r="D852">
        <f t="shared" ca="1" si="265"/>
        <v>7</v>
      </c>
      <c r="E852">
        <f t="shared" ca="1" si="266"/>
        <v>2</v>
      </c>
      <c r="F852" s="110">
        <f t="shared" ca="1" si="267"/>
        <v>4.6104100000000005E-3</v>
      </c>
      <c r="G852">
        <v>1</v>
      </c>
      <c r="H852">
        <v>0</v>
      </c>
      <c r="I852">
        <v>2</v>
      </c>
      <c r="J852" s="1">
        <f t="shared" ca="1" si="268"/>
        <v>5.6265234375000243E-6</v>
      </c>
      <c r="K852" s="1">
        <f t="shared" ca="1" si="269"/>
        <v>2.5940579921484492E-8</v>
      </c>
      <c r="L852" s="13">
        <f t="shared" ca="1" si="270"/>
        <v>294</v>
      </c>
      <c r="M852" s="7">
        <f t="shared" ca="1" si="271"/>
        <v>706</v>
      </c>
      <c r="N852" s="26">
        <f t="shared" ca="1" si="272"/>
        <v>3</v>
      </c>
      <c r="O852" s="44">
        <f t="shared" ca="1" si="273"/>
        <v>2.2641455309069398</v>
      </c>
      <c r="P852" s="44">
        <f t="shared" ca="1" si="274"/>
        <v>22.641455309069404</v>
      </c>
      <c r="Q852" s="44">
        <f t="shared" ca="1" si="275"/>
        <v>22.641455309069404</v>
      </c>
      <c r="R852" s="44">
        <f t="shared" ca="1" si="276"/>
        <v>2.2641455309069403</v>
      </c>
      <c r="S852" s="44">
        <f t="shared" ca="1" si="277"/>
        <v>2.2641455309069398</v>
      </c>
      <c r="T852" s="4">
        <f t="shared" ca="1" si="278"/>
        <v>5.8733248098363409E-8</v>
      </c>
      <c r="U852" s="120">
        <f t="shared" ca="1" si="279"/>
        <v>1484.7475619899244</v>
      </c>
      <c r="V852" s="4">
        <f t="shared" ca="1" si="280"/>
        <v>3.8515212795028885E-5</v>
      </c>
      <c r="W852" s="13">
        <f t="shared" ca="1" si="281"/>
        <v>12808.165500000003</v>
      </c>
      <c r="X852" s="4">
        <f t="shared" ca="1" si="282"/>
        <v>3.3225124080035046E-4</v>
      </c>
      <c r="Y852" s="4">
        <f t="shared" si="283"/>
        <v>0</v>
      </c>
      <c r="Z852" s="13">
        <f t="shared" ca="1" si="284"/>
        <v>12808.165500000003</v>
      </c>
      <c r="AA852" s="4">
        <f t="shared" ca="1" si="285"/>
        <v>3.3225124080035046E-4</v>
      </c>
    </row>
    <row r="853" spans="1:27">
      <c r="A853">
        <v>2</v>
      </c>
      <c r="B853">
        <v>1</v>
      </c>
      <c r="C853">
        <f t="shared" ca="1" si="264"/>
        <v>8</v>
      </c>
      <c r="D853">
        <f t="shared" ca="1" si="265"/>
        <v>7</v>
      </c>
      <c r="E853">
        <f t="shared" ca="1" si="266"/>
        <v>2</v>
      </c>
      <c r="F853" s="110">
        <f t="shared" ca="1" si="267"/>
        <v>4.6104100000000005E-3</v>
      </c>
      <c r="G853">
        <v>1</v>
      </c>
      <c r="H853">
        <v>0</v>
      </c>
      <c r="I853">
        <v>1</v>
      </c>
      <c r="J853" s="1">
        <f t="shared" ca="1" si="268"/>
        <v>9.8710937500000504E-8</v>
      </c>
      <c r="K853" s="1">
        <f t="shared" ca="1" si="269"/>
        <v>4.5509789335937736E-10</v>
      </c>
      <c r="L853" s="13">
        <f t="shared" ca="1" si="270"/>
        <v>274</v>
      </c>
      <c r="M853" s="7">
        <f t="shared" ca="1" si="271"/>
        <v>726</v>
      </c>
      <c r="N853" s="26">
        <f t="shared" ca="1" si="272"/>
        <v>3</v>
      </c>
      <c r="O853" s="44">
        <f t="shared" ca="1" si="273"/>
        <v>2.2641455309069398</v>
      </c>
      <c r="P853" s="44">
        <f t="shared" ca="1" si="274"/>
        <v>22.641455309069404</v>
      </c>
      <c r="Q853" s="44">
        <f t="shared" ca="1" si="275"/>
        <v>22.641455309069404</v>
      </c>
      <c r="R853" s="44">
        <f t="shared" ca="1" si="276"/>
        <v>2.2641455309069403</v>
      </c>
      <c r="S853" s="44">
        <f t="shared" ca="1" si="277"/>
        <v>2.2641455309069398</v>
      </c>
      <c r="T853" s="4">
        <f t="shared" ca="1" si="278"/>
        <v>1.0304078613747973E-9</v>
      </c>
      <c r="U853" s="120">
        <f t="shared" ca="1" si="279"/>
        <v>1464.7475619899244</v>
      </c>
      <c r="V853" s="4">
        <f t="shared" ca="1" si="280"/>
        <v>6.6660352976489859E-7</v>
      </c>
      <c r="W853" s="13">
        <f t="shared" ca="1" si="281"/>
        <v>8780.4405000000006</v>
      </c>
      <c r="X853" s="4">
        <f t="shared" ca="1" si="282"/>
        <v>3.9959599743173581E-6</v>
      </c>
      <c r="Y853" s="4">
        <f t="shared" si="283"/>
        <v>0</v>
      </c>
      <c r="Z853" s="13">
        <f t="shared" ca="1" si="284"/>
        <v>8780.4405000000006</v>
      </c>
      <c r="AA853" s="4">
        <f t="shared" ca="1" si="285"/>
        <v>3.9959599743173581E-6</v>
      </c>
    </row>
    <row r="854" spans="1:27">
      <c r="A854">
        <v>2</v>
      </c>
      <c r="B854">
        <v>1</v>
      </c>
      <c r="C854">
        <f t="shared" ca="1" si="264"/>
        <v>8</v>
      </c>
      <c r="D854">
        <f t="shared" ca="1" si="265"/>
        <v>7</v>
      </c>
      <c r="E854">
        <f t="shared" ca="1" si="266"/>
        <v>2</v>
      </c>
      <c r="F854" s="110">
        <f t="shared" ca="1" si="267"/>
        <v>4.6104100000000005E-3</v>
      </c>
      <c r="G854">
        <v>1</v>
      </c>
      <c r="H854">
        <v>0</v>
      </c>
      <c r="I854">
        <v>0</v>
      </c>
      <c r="J854" s="1">
        <f t="shared" ca="1" si="268"/>
        <v>7.4218750000000458E-10</v>
      </c>
      <c r="K854" s="1">
        <f t="shared" ca="1" si="269"/>
        <v>3.4217886718750217E-12</v>
      </c>
      <c r="L854" s="13">
        <f t="shared" ca="1" si="270"/>
        <v>254</v>
      </c>
      <c r="M854" s="7">
        <f t="shared" ca="1" si="271"/>
        <v>746</v>
      </c>
      <c r="N854" s="26">
        <f t="shared" ca="1" si="272"/>
        <v>3</v>
      </c>
      <c r="O854" s="44">
        <f t="shared" ca="1" si="273"/>
        <v>2.2641455309069398</v>
      </c>
      <c r="P854" s="44">
        <f t="shared" ca="1" si="274"/>
        <v>22.641455309069404</v>
      </c>
      <c r="Q854" s="44">
        <f t="shared" ca="1" si="275"/>
        <v>22.641455309069404</v>
      </c>
      <c r="R854" s="44">
        <f t="shared" ca="1" si="276"/>
        <v>2.2641455309069403</v>
      </c>
      <c r="S854" s="44">
        <f t="shared" ca="1" si="277"/>
        <v>2.2641455309069398</v>
      </c>
      <c r="T854" s="4">
        <f t="shared" ca="1" si="278"/>
        <v>7.7474275291338234E-12</v>
      </c>
      <c r="U854" s="120">
        <f t="shared" ca="1" si="279"/>
        <v>1444.7475619899244</v>
      </c>
      <c r="V854" s="4">
        <f t="shared" ca="1" si="280"/>
        <v>4.9436208413361791E-9</v>
      </c>
      <c r="W854" s="13">
        <f t="shared" ca="1" si="281"/>
        <v>4752.7155000000012</v>
      </c>
      <c r="X854" s="4">
        <f t="shared" ca="1" si="282"/>
        <v>1.6262788058544833E-8</v>
      </c>
      <c r="Y854" s="4">
        <f t="shared" si="283"/>
        <v>0</v>
      </c>
      <c r="Z854" s="13">
        <f t="shared" ca="1" si="284"/>
        <v>4752.7155000000012</v>
      </c>
      <c r="AA854" s="4">
        <f t="shared" ca="1" si="285"/>
        <v>1.6262788058544833E-8</v>
      </c>
    </row>
    <row r="855" spans="1:27">
      <c r="A855">
        <v>2</v>
      </c>
      <c r="B855">
        <v>1</v>
      </c>
      <c r="C855">
        <f t="shared" ca="1" si="264"/>
        <v>8</v>
      </c>
      <c r="D855">
        <f t="shared" ca="1" si="265"/>
        <v>7</v>
      </c>
      <c r="E855">
        <f t="shared" ca="1" si="266"/>
        <v>2</v>
      </c>
      <c r="F855" s="110">
        <f t="shared" ca="1" si="267"/>
        <v>4.6104100000000005E-3</v>
      </c>
      <c r="G855">
        <v>0</v>
      </c>
      <c r="H855">
        <v>1</v>
      </c>
      <c r="I855">
        <v>7</v>
      </c>
      <c r="J855" s="1">
        <f t="shared" ca="1" si="268"/>
        <v>0</v>
      </c>
      <c r="K855" s="1">
        <f t="shared" ca="1" si="269"/>
        <v>0</v>
      </c>
      <c r="L855" s="13">
        <f t="shared" ca="1" si="270"/>
        <v>394</v>
      </c>
      <c r="M855" s="7">
        <f t="shared" ca="1" si="271"/>
        <v>606</v>
      </c>
      <c r="N855" s="26">
        <f t="shared" ca="1" si="272"/>
        <v>3</v>
      </c>
      <c r="O855" s="44">
        <f t="shared" ca="1" si="273"/>
        <v>2.2641455309069398</v>
      </c>
      <c r="P855" s="44">
        <f t="shared" ca="1" si="274"/>
        <v>22.641455309069404</v>
      </c>
      <c r="Q855" s="44">
        <f t="shared" ca="1" si="275"/>
        <v>22.641455309069404</v>
      </c>
      <c r="R855" s="44">
        <f t="shared" ca="1" si="276"/>
        <v>2.2641455309069403</v>
      </c>
      <c r="S855" s="44">
        <f t="shared" ca="1" si="277"/>
        <v>2.2641455309069398</v>
      </c>
      <c r="T855" s="4">
        <f t="shared" ca="1" si="278"/>
        <v>0</v>
      </c>
      <c r="U855" s="120">
        <f t="shared" ca="1" si="279"/>
        <v>1584.7475619899244</v>
      </c>
      <c r="V855" s="4">
        <f t="shared" ca="1" si="280"/>
        <v>0</v>
      </c>
      <c r="W855" s="13">
        <f t="shared" ca="1" si="281"/>
        <v>28194.075000000001</v>
      </c>
      <c r="X855" s="4">
        <f t="shared" ca="1" si="282"/>
        <v>0</v>
      </c>
      <c r="Y855" s="4">
        <f t="shared" si="283"/>
        <v>0</v>
      </c>
      <c r="Z855" s="13">
        <f t="shared" ca="1" si="284"/>
        <v>28194.075000000001</v>
      </c>
      <c r="AA855" s="4">
        <f t="shared" ca="1" si="285"/>
        <v>0</v>
      </c>
    </row>
    <row r="856" spans="1:27">
      <c r="A856">
        <v>2</v>
      </c>
      <c r="B856">
        <v>1</v>
      </c>
      <c r="C856">
        <f t="shared" ca="1" si="264"/>
        <v>8</v>
      </c>
      <c r="D856">
        <f t="shared" ca="1" si="265"/>
        <v>7</v>
      </c>
      <c r="E856">
        <f t="shared" ca="1" si="266"/>
        <v>2</v>
      </c>
      <c r="F856" s="110">
        <f t="shared" ca="1" si="267"/>
        <v>4.6104100000000005E-3</v>
      </c>
      <c r="G856">
        <v>0</v>
      </c>
      <c r="H856">
        <v>1</v>
      </c>
      <c r="I856">
        <v>6</v>
      </c>
      <c r="J856" s="1">
        <f t="shared" ca="1" si="268"/>
        <v>0</v>
      </c>
      <c r="K856" s="1">
        <f t="shared" ca="1" si="269"/>
        <v>0</v>
      </c>
      <c r="L856" s="13">
        <f t="shared" ca="1" si="270"/>
        <v>374</v>
      </c>
      <c r="M856" s="7">
        <f t="shared" ca="1" si="271"/>
        <v>626</v>
      </c>
      <c r="N856" s="26">
        <f t="shared" ca="1" si="272"/>
        <v>3</v>
      </c>
      <c r="O856" s="44">
        <f t="shared" ca="1" si="273"/>
        <v>2.2641455309069398</v>
      </c>
      <c r="P856" s="44">
        <f t="shared" ca="1" si="274"/>
        <v>22.641455309069404</v>
      </c>
      <c r="Q856" s="44">
        <f t="shared" ca="1" si="275"/>
        <v>22.641455309069404</v>
      </c>
      <c r="R856" s="44">
        <f t="shared" ca="1" si="276"/>
        <v>2.2641455309069403</v>
      </c>
      <c r="S856" s="44">
        <f t="shared" ca="1" si="277"/>
        <v>2.2641455309069398</v>
      </c>
      <c r="T856" s="4">
        <f t="shared" ca="1" si="278"/>
        <v>0</v>
      </c>
      <c r="U856" s="120">
        <f t="shared" ca="1" si="279"/>
        <v>1564.7475619899244</v>
      </c>
      <c r="V856" s="4">
        <f t="shared" ca="1" si="280"/>
        <v>0</v>
      </c>
      <c r="W856" s="13">
        <f t="shared" ca="1" si="281"/>
        <v>24166.350000000002</v>
      </c>
      <c r="X856" s="4">
        <f t="shared" ca="1" si="282"/>
        <v>0</v>
      </c>
      <c r="Y856" s="4">
        <f t="shared" si="283"/>
        <v>0</v>
      </c>
      <c r="Z856" s="13">
        <f t="shared" ca="1" si="284"/>
        <v>24166.350000000002</v>
      </c>
      <c r="AA856" s="4">
        <f t="shared" ca="1" si="285"/>
        <v>0</v>
      </c>
    </row>
    <row r="857" spans="1:27">
      <c r="A857">
        <v>2</v>
      </c>
      <c r="B857">
        <v>1</v>
      </c>
      <c r="C857">
        <f t="shared" ca="1" si="264"/>
        <v>8</v>
      </c>
      <c r="D857">
        <f t="shared" ca="1" si="265"/>
        <v>7</v>
      </c>
      <c r="E857">
        <f t="shared" ca="1" si="266"/>
        <v>2</v>
      </c>
      <c r="F857" s="110">
        <f t="shared" ca="1" si="267"/>
        <v>4.6104100000000005E-3</v>
      </c>
      <c r="G857">
        <v>0</v>
      </c>
      <c r="H857">
        <v>1</v>
      </c>
      <c r="I857">
        <v>5</v>
      </c>
      <c r="J857" s="1">
        <f t="shared" ca="1" si="268"/>
        <v>0</v>
      </c>
      <c r="K857" s="1">
        <f t="shared" ca="1" si="269"/>
        <v>0</v>
      </c>
      <c r="L857" s="13">
        <f t="shared" ca="1" si="270"/>
        <v>354</v>
      </c>
      <c r="M857" s="7">
        <f t="shared" ca="1" si="271"/>
        <v>646</v>
      </c>
      <c r="N857" s="26">
        <f t="shared" ca="1" si="272"/>
        <v>3</v>
      </c>
      <c r="O857" s="44">
        <f t="shared" ca="1" si="273"/>
        <v>2.2641455309069398</v>
      </c>
      <c r="P857" s="44">
        <f t="shared" ca="1" si="274"/>
        <v>22.641455309069404</v>
      </c>
      <c r="Q857" s="44">
        <f t="shared" ca="1" si="275"/>
        <v>22.641455309069404</v>
      </c>
      <c r="R857" s="44">
        <f t="shared" ca="1" si="276"/>
        <v>2.2641455309069403</v>
      </c>
      <c r="S857" s="44">
        <f t="shared" ca="1" si="277"/>
        <v>2.2641455309069398</v>
      </c>
      <c r="T857" s="4">
        <f t="shared" ca="1" si="278"/>
        <v>0</v>
      </c>
      <c r="U857" s="120">
        <f t="shared" ca="1" si="279"/>
        <v>1544.7475619899244</v>
      </c>
      <c r="V857" s="4">
        <f t="shared" ca="1" si="280"/>
        <v>0</v>
      </c>
      <c r="W857" s="13">
        <f t="shared" ca="1" si="281"/>
        <v>20138.625</v>
      </c>
      <c r="X857" s="4">
        <f t="shared" ca="1" si="282"/>
        <v>0</v>
      </c>
      <c r="Y857" s="4">
        <f t="shared" si="283"/>
        <v>0</v>
      </c>
      <c r="Z857" s="13">
        <f t="shared" ca="1" si="284"/>
        <v>20138.625</v>
      </c>
      <c r="AA857" s="4">
        <f t="shared" ca="1" si="285"/>
        <v>0</v>
      </c>
    </row>
    <row r="858" spans="1:27">
      <c r="A858">
        <v>2</v>
      </c>
      <c r="B858">
        <v>1</v>
      </c>
      <c r="C858">
        <f t="shared" ca="1" si="264"/>
        <v>8</v>
      </c>
      <c r="D858">
        <f t="shared" ca="1" si="265"/>
        <v>7</v>
      </c>
      <c r="E858">
        <f t="shared" ca="1" si="266"/>
        <v>2</v>
      </c>
      <c r="F858" s="110">
        <f t="shared" ca="1" si="267"/>
        <v>4.6104100000000005E-3</v>
      </c>
      <c r="G858">
        <v>0</v>
      </c>
      <c r="H858">
        <v>1</v>
      </c>
      <c r="I858">
        <v>4</v>
      </c>
      <c r="J858" s="1">
        <f t="shared" ca="1" si="268"/>
        <v>0</v>
      </c>
      <c r="K858" s="1">
        <f t="shared" ca="1" si="269"/>
        <v>0</v>
      </c>
      <c r="L858" s="13">
        <f t="shared" ca="1" si="270"/>
        <v>334</v>
      </c>
      <c r="M858" s="7">
        <f t="shared" ca="1" si="271"/>
        <v>666</v>
      </c>
      <c r="N858" s="26">
        <f t="shared" ca="1" si="272"/>
        <v>3</v>
      </c>
      <c r="O858" s="44">
        <f t="shared" ca="1" si="273"/>
        <v>2.2641455309069398</v>
      </c>
      <c r="P858" s="44">
        <f t="shared" ca="1" si="274"/>
        <v>22.641455309069404</v>
      </c>
      <c r="Q858" s="44">
        <f t="shared" ca="1" si="275"/>
        <v>22.641455309069404</v>
      </c>
      <c r="R858" s="44">
        <f t="shared" ca="1" si="276"/>
        <v>2.2641455309069403</v>
      </c>
      <c r="S858" s="44">
        <f t="shared" ca="1" si="277"/>
        <v>2.2641455309069398</v>
      </c>
      <c r="T858" s="4">
        <f t="shared" ca="1" si="278"/>
        <v>0</v>
      </c>
      <c r="U858" s="120">
        <f t="shared" ca="1" si="279"/>
        <v>1524.7475619899244</v>
      </c>
      <c r="V858" s="4">
        <f t="shared" ca="1" si="280"/>
        <v>0</v>
      </c>
      <c r="W858" s="13">
        <f t="shared" ca="1" si="281"/>
        <v>16110.900000000001</v>
      </c>
      <c r="X858" s="4">
        <f t="shared" ca="1" si="282"/>
        <v>0</v>
      </c>
      <c r="Y858" s="4">
        <f t="shared" si="283"/>
        <v>0</v>
      </c>
      <c r="Z858" s="13">
        <f t="shared" ca="1" si="284"/>
        <v>16110.900000000001</v>
      </c>
      <c r="AA858" s="4">
        <f t="shared" ca="1" si="285"/>
        <v>0</v>
      </c>
    </row>
    <row r="859" spans="1:27">
      <c r="A859">
        <v>2</v>
      </c>
      <c r="B859">
        <v>1</v>
      </c>
      <c r="C859">
        <f t="shared" ca="1" si="264"/>
        <v>8</v>
      </c>
      <c r="D859">
        <f t="shared" ca="1" si="265"/>
        <v>7</v>
      </c>
      <c r="E859">
        <f t="shared" ca="1" si="266"/>
        <v>2</v>
      </c>
      <c r="F859" s="110">
        <f t="shared" ca="1" si="267"/>
        <v>4.6104100000000005E-3</v>
      </c>
      <c r="G859">
        <v>0</v>
      </c>
      <c r="H859">
        <v>1</v>
      </c>
      <c r="I859">
        <v>3</v>
      </c>
      <c r="J859" s="1">
        <f t="shared" ca="1" si="268"/>
        <v>0</v>
      </c>
      <c r="K859" s="1">
        <f t="shared" ca="1" si="269"/>
        <v>0</v>
      </c>
      <c r="L859" s="13">
        <f t="shared" ca="1" si="270"/>
        <v>314</v>
      </c>
      <c r="M859" s="7">
        <f t="shared" ca="1" si="271"/>
        <v>686</v>
      </c>
      <c r="N859" s="26">
        <f t="shared" ca="1" si="272"/>
        <v>3</v>
      </c>
      <c r="O859" s="44">
        <f t="shared" ca="1" si="273"/>
        <v>2.2641455309069398</v>
      </c>
      <c r="P859" s="44">
        <f t="shared" ca="1" si="274"/>
        <v>22.641455309069404</v>
      </c>
      <c r="Q859" s="44">
        <f t="shared" ca="1" si="275"/>
        <v>22.641455309069404</v>
      </c>
      <c r="R859" s="44">
        <f t="shared" ca="1" si="276"/>
        <v>2.2641455309069403</v>
      </c>
      <c r="S859" s="44">
        <f t="shared" ca="1" si="277"/>
        <v>2.2641455309069398</v>
      </c>
      <c r="T859" s="4">
        <f t="shared" ca="1" si="278"/>
        <v>0</v>
      </c>
      <c r="U859" s="120">
        <f t="shared" ca="1" si="279"/>
        <v>1504.7475619899244</v>
      </c>
      <c r="V859" s="4">
        <f t="shared" ca="1" si="280"/>
        <v>0</v>
      </c>
      <c r="W859" s="13">
        <f t="shared" ca="1" si="281"/>
        <v>12083.175000000001</v>
      </c>
      <c r="X859" s="4">
        <f t="shared" ca="1" si="282"/>
        <v>0</v>
      </c>
      <c r="Y859" s="4">
        <f t="shared" si="283"/>
        <v>0</v>
      </c>
      <c r="Z859" s="13">
        <f t="shared" ca="1" si="284"/>
        <v>12083.175000000001</v>
      </c>
      <c r="AA859" s="4">
        <f t="shared" ca="1" si="285"/>
        <v>0</v>
      </c>
    </row>
    <row r="860" spans="1:27">
      <c r="A860">
        <v>2</v>
      </c>
      <c r="B860">
        <v>1</v>
      </c>
      <c r="C860">
        <f t="shared" ca="1" si="264"/>
        <v>8</v>
      </c>
      <c r="D860">
        <f t="shared" ca="1" si="265"/>
        <v>7</v>
      </c>
      <c r="E860">
        <f t="shared" ca="1" si="266"/>
        <v>2</v>
      </c>
      <c r="F860" s="110">
        <f t="shared" ca="1" si="267"/>
        <v>4.6104100000000005E-3</v>
      </c>
      <c r="G860">
        <v>0</v>
      </c>
      <c r="H860">
        <v>1</v>
      </c>
      <c r="I860">
        <v>2</v>
      </c>
      <c r="J860" s="1">
        <f t="shared" ca="1" si="268"/>
        <v>0</v>
      </c>
      <c r="K860" s="1">
        <f t="shared" ca="1" si="269"/>
        <v>0</v>
      </c>
      <c r="L860" s="13">
        <f t="shared" ca="1" si="270"/>
        <v>294</v>
      </c>
      <c r="M860" s="7">
        <f t="shared" ca="1" si="271"/>
        <v>706</v>
      </c>
      <c r="N860" s="26">
        <f t="shared" ca="1" si="272"/>
        <v>3</v>
      </c>
      <c r="O860" s="44">
        <f t="shared" ca="1" si="273"/>
        <v>2.2641455309069398</v>
      </c>
      <c r="P860" s="44">
        <f t="shared" ca="1" si="274"/>
        <v>22.641455309069404</v>
      </c>
      <c r="Q860" s="44">
        <f t="shared" ca="1" si="275"/>
        <v>22.641455309069404</v>
      </c>
      <c r="R860" s="44">
        <f t="shared" ca="1" si="276"/>
        <v>2.2641455309069403</v>
      </c>
      <c r="S860" s="44">
        <f t="shared" ca="1" si="277"/>
        <v>2.2641455309069398</v>
      </c>
      <c r="T860" s="4">
        <f t="shared" ca="1" si="278"/>
        <v>0</v>
      </c>
      <c r="U860" s="120">
        <f t="shared" ca="1" si="279"/>
        <v>1484.7475619899244</v>
      </c>
      <c r="V860" s="4">
        <f t="shared" ca="1" si="280"/>
        <v>0</v>
      </c>
      <c r="W860" s="13">
        <f t="shared" ca="1" si="281"/>
        <v>8055.4500000000007</v>
      </c>
      <c r="X860" s="4">
        <f t="shared" ca="1" si="282"/>
        <v>0</v>
      </c>
      <c r="Y860" s="4">
        <f t="shared" si="283"/>
        <v>0</v>
      </c>
      <c r="Z860" s="13">
        <f t="shared" ca="1" si="284"/>
        <v>8055.4500000000007</v>
      </c>
      <c r="AA860" s="4">
        <f t="shared" ca="1" si="285"/>
        <v>0</v>
      </c>
    </row>
    <row r="861" spans="1:27">
      <c r="A861">
        <v>2</v>
      </c>
      <c r="B861">
        <v>1</v>
      </c>
      <c r="C861">
        <f t="shared" ca="1" si="264"/>
        <v>8</v>
      </c>
      <c r="D861">
        <f t="shared" ca="1" si="265"/>
        <v>7</v>
      </c>
      <c r="E861">
        <f t="shared" ca="1" si="266"/>
        <v>2</v>
      </c>
      <c r="F861" s="110">
        <f t="shared" ca="1" si="267"/>
        <v>4.6104100000000005E-3</v>
      </c>
      <c r="G861">
        <v>0</v>
      </c>
      <c r="H861">
        <v>1</v>
      </c>
      <c r="I861">
        <v>1</v>
      </c>
      <c r="J861" s="1">
        <f t="shared" ca="1" si="268"/>
        <v>0</v>
      </c>
      <c r="K861" s="1">
        <f t="shared" ca="1" si="269"/>
        <v>0</v>
      </c>
      <c r="L861" s="13">
        <f t="shared" ca="1" si="270"/>
        <v>274</v>
      </c>
      <c r="M861" s="7">
        <f t="shared" ca="1" si="271"/>
        <v>726</v>
      </c>
      <c r="N861" s="26">
        <f t="shared" ca="1" si="272"/>
        <v>3</v>
      </c>
      <c r="O861" s="44">
        <f t="shared" ca="1" si="273"/>
        <v>2.2641455309069398</v>
      </c>
      <c r="P861" s="44">
        <f t="shared" ca="1" si="274"/>
        <v>22.641455309069404</v>
      </c>
      <c r="Q861" s="44">
        <f t="shared" ca="1" si="275"/>
        <v>22.641455309069404</v>
      </c>
      <c r="R861" s="44">
        <f t="shared" ca="1" si="276"/>
        <v>2.2641455309069403</v>
      </c>
      <c r="S861" s="44">
        <f t="shared" ca="1" si="277"/>
        <v>2.2641455309069398</v>
      </c>
      <c r="T861" s="4">
        <f t="shared" ca="1" si="278"/>
        <v>0</v>
      </c>
      <c r="U861" s="120">
        <f t="shared" ca="1" si="279"/>
        <v>1464.7475619899244</v>
      </c>
      <c r="V861" s="4">
        <f t="shared" ca="1" si="280"/>
        <v>0</v>
      </c>
      <c r="W861" s="13">
        <f t="shared" ca="1" si="281"/>
        <v>4027.7250000000004</v>
      </c>
      <c r="X861" s="4">
        <f t="shared" ca="1" si="282"/>
        <v>0</v>
      </c>
      <c r="Y861" s="4">
        <f t="shared" si="283"/>
        <v>0</v>
      </c>
      <c r="Z861" s="13">
        <f t="shared" ca="1" si="284"/>
        <v>4027.7250000000004</v>
      </c>
      <c r="AA861" s="4">
        <f t="shared" ca="1" si="285"/>
        <v>0</v>
      </c>
    </row>
    <row r="862" spans="1:27">
      <c r="A862">
        <v>2</v>
      </c>
      <c r="B862">
        <v>1</v>
      </c>
      <c r="C862">
        <f t="shared" ca="1" si="264"/>
        <v>8</v>
      </c>
      <c r="D862">
        <f t="shared" ca="1" si="265"/>
        <v>7</v>
      </c>
      <c r="E862">
        <f t="shared" ca="1" si="266"/>
        <v>2</v>
      </c>
      <c r="F862" s="110">
        <f t="shared" ca="1" si="267"/>
        <v>4.6104100000000005E-3</v>
      </c>
      <c r="G862">
        <v>0</v>
      </c>
      <c r="H862">
        <v>1</v>
      </c>
      <c r="I862">
        <v>0</v>
      </c>
      <c r="J862" s="1">
        <f t="shared" ca="1" si="268"/>
        <v>0</v>
      </c>
      <c r="K862" s="1">
        <f t="shared" ca="1" si="269"/>
        <v>0</v>
      </c>
      <c r="L862" s="13">
        <f t="shared" ca="1" si="270"/>
        <v>254</v>
      </c>
      <c r="M862" s="7">
        <f t="shared" ca="1" si="271"/>
        <v>746</v>
      </c>
      <c r="N862" s="26">
        <f t="shared" ca="1" si="272"/>
        <v>3</v>
      </c>
      <c r="O862" s="44">
        <f t="shared" ca="1" si="273"/>
        <v>2.2641455309069398</v>
      </c>
      <c r="P862" s="44">
        <f t="shared" ca="1" si="274"/>
        <v>22.641455309069404</v>
      </c>
      <c r="Q862" s="44">
        <f t="shared" ca="1" si="275"/>
        <v>22.641455309069404</v>
      </c>
      <c r="R862" s="44">
        <f t="shared" ca="1" si="276"/>
        <v>2.2641455309069403</v>
      </c>
      <c r="S862" s="44">
        <f t="shared" ca="1" si="277"/>
        <v>2.2641455309069398</v>
      </c>
      <c r="T862" s="4">
        <f t="shared" ca="1" si="278"/>
        <v>0</v>
      </c>
      <c r="U862" s="120">
        <f t="shared" ca="1" si="279"/>
        <v>1444.7475619899244</v>
      </c>
      <c r="V862" s="4">
        <f t="shared" ca="1" si="280"/>
        <v>0</v>
      </c>
      <c r="W862" s="13">
        <f t="shared" ca="1" si="281"/>
        <v>0</v>
      </c>
      <c r="X862" s="4">
        <f t="shared" ca="1" si="282"/>
        <v>0</v>
      </c>
      <c r="Y862" s="4">
        <f t="shared" si="283"/>
        <v>0</v>
      </c>
      <c r="Z862" s="13">
        <f t="shared" ca="1" si="284"/>
        <v>0</v>
      </c>
      <c r="AA862" s="4">
        <f t="shared" ca="1" si="285"/>
        <v>0</v>
      </c>
    </row>
    <row r="863" spans="1:27">
      <c r="A863">
        <v>2</v>
      </c>
      <c r="B863">
        <v>1</v>
      </c>
      <c r="C863">
        <f t="shared" ca="1" si="264"/>
        <v>8</v>
      </c>
      <c r="D863">
        <f t="shared" ca="1" si="265"/>
        <v>7</v>
      </c>
      <c r="E863">
        <f t="shared" ca="1" si="266"/>
        <v>2</v>
      </c>
      <c r="F863" s="110">
        <f t="shared" ca="1" si="267"/>
        <v>4.6104100000000005E-3</v>
      </c>
      <c r="G863">
        <v>0</v>
      </c>
      <c r="H863">
        <v>0</v>
      </c>
      <c r="I863">
        <v>7</v>
      </c>
      <c r="J863" s="1">
        <f t="shared" ca="1" si="268"/>
        <v>3.4916864804687496E-2</v>
      </c>
      <c r="K863" s="1">
        <f t="shared" ca="1" si="269"/>
        <v>1.609810626641793E-4</v>
      </c>
      <c r="L863" s="13">
        <f t="shared" ca="1" si="270"/>
        <v>140</v>
      </c>
      <c r="M863" s="7">
        <f t="shared" ca="1" si="271"/>
        <v>860</v>
      </c>
      <c r="N863" s="26">
        <f t="shared" ca="1" si="272"/>
        <v>4</v>
      </c>
      <c r="O863" s="44">
        <f t="shared" ca="1" si="273"/>
        <v>2.8910364854084887</v>
      </c>
      <c r="P863" s="44">
        <f t="shared" ca="1" si="274"/>
        <v>28.910364854084886</v>
      </c>
      <c r="Q863" s="44">
        <f t="shared" ca="1" si="275"/>
        <v>28.910364854084886</v>
      </c>
      <c r="R863" s="44">
        <f t="shared" ca="1" si="276"/>
        <v>2.8910364854084887</v>
      </c>
      <c r="S863" s="44">
        <f t="shared" ca="1" si="277"/>
        <v>2.8910364854084882</v>
      </c>
      <c r="T863" s="4">
        <f t="shared" ca="1" si="278"/>
        <v>4.6540212562197253E-4</v>
      </c>
      <c r="U863" s="120">
        <f t="shared" ca="1" si="279"/>
        <v>1600.6349838037554</v>
      </c>
      <c r="V863" s="4">
        <f t="shared" ca="1" si="280"/>
        <v>0.25767192063018995</v>
      </c>
      <c r="W863" s="13">
        <f t="shared" ca="1" si="281"/>
        <v>28194.075000000001</v>
      </c>
      <c r="X863" s="4">
        <f t="shared" ca="1" si="282"/>
        <v>4.5387121543335711</v>
      </c>
      <c r="Y863" s="4">
        <f t="shared" si="283"/>
        <v>0</v>
      </c>
      <c r="Z863" s="13">
        <f t="shared" ca="1" si="284"/>
        <v>28194.075000000001</v>
      </c>
      <c r="AA863" s="4">
        <f t="shared" ca="1" si="285"/>
        <v>4.5387121543335711</v>
      </c>
    </row>
    <row r="864" spans="1:27">
      <c r="A864">
        <v>2</v>
      </c>
      <c r="B864">
        <v>1</v>
      </c>
      <c r="C864">
        <f t="shared" ca="1" si="264"/>
        <v>8</v>
      </c>
      <c r="D864">
        <f t="shared" ca="1" si="265"/>
        <v>7</v>
      </c>
      <c r="E864">
        <f t="shared" ca="1" si="266"/>
        <v>2</v>
      </c>
      <c r="F864" s="110">
        <f t="shared" ca="1" si="267"/>
        <v>4.6104100000000005E-3</v>
      </c>
      <c r="G864">
        <v>0</v>
      </c>
      <c r="H864">
        <v>0</v>
      </c>
      <c r="I864">
        <v>6</v>
      </c>
      <c r="J864" s="1">
        <f t="shared" ca="1" si="268"/>
        <v>1.2864108085937513E-2</v>
      </c>
      <c r="K864" s="1">
        <f t="shared" ca="1" si="269"/>
        <v>5.930881256048718E-5</v>
      </c>
      <c r="L864" s="13">
        <f t="shared" ca="1" si="270"/>
        <v>120</v>
      </c>
      <c r="M864" s="7">
        <f t="shared" ca="1" si="271"/>
        <v>880</v>
      </c>
      <c r="N864" s="26">
        <f t="shared" ca="1" si="272"/>
        <v>4</v>
      </c>
      <c r="O864" s="44">
        <f t="shared" ca="1" si="273"/>
        <v>2.8910364854084887</v>
      </c>
      <c r="P864" s="44">
        <f t="shared" ca="1" si="274"/>
        <v>28.910364854084886</v>
      </c>
      <c r="Q864" s="44">
        <f t="shared" ca="1" si="275"/>
        <v>28.910364854084886</v>
      </c>
      <c r="R864" s="44">
        <f t="shared" ca="1" si="276"/>
        <v>2.8910364854084887</v>
      </c>
      <c r="S864" s="44">
        <f t="shared" ca="1" si="277"/>
        <v>2.8910364854084882</v>
      </c>
      <c r="T864" s="4">
        <f t="shared" ca="1" si="278"/>
        <v>1.7146394101862165E-4</v>
      </c>
      <c r="U864" s="120">
        <f t="shared" ca="1" si="279"/>
        <v>1580.6349838037554</v>
      </c>
      <c r="V864" s="4">
        <f t="shared" ca="1" si="280"/>
        <v>9.3745583980965622E-2</v>
      </c>
      <c r="W864" s="13">
        <f t="shared" ca="1" si="281"/>
        <v>24166.350000000002</v>
      </c>
      <c r="X864" s="4">
        <f t="shared" ca="1" si="282"/>
        <v>1.4332775224211294</v>
      </c>
      <c r="Y864" s="4">
        <f t="shared" si="283"/>
        <v>0</v>
      </c>
      <c r="Z864" s="13">
        <f t="shared" ca="1" si="284"/>
        <v>24166.350000000002</v>
      </c>
      <c r="AA864" s="4">
        <f t="shared" ca="1" si="285"/>
        <v>1.4332775224211294</v>
      </c>
    </row>
    <row r="865" spans="1:27">
      <c r="A865">
        <v>2</v>
      </c>
      <c r="B865">
        <v>1</v>
      </c>
      <c r="C865">
        <f t="shared" ca="1" si="264"/>
        <v>8</v>
      </c>
      <c r="D865">
        <f t="shared" ca="1" si="265"/>
        <v>7</v>
      </c>
      <c r="E865">
        <f t="shared" ca="1" si="266"/>
        <v>2</v>
      </c>
      <c r="F865" s="110">
        <f t="shared" ca="1" si="267"/>
        <v>4.6104100000000005E-3</v>
      </c>
      <c r="G865">
        <v>0</v>
      </c>
      <c r="H865">
        <v>0</v>
      </c>
      <c r="I865">
        <v>5</v>
      </c>
      <c r="J865" s="1">
        <f t="shared" ca="1" si="268"/>
        <v>2.0311749609375038E-3</v>
      </c>
      <c r="K865" s="1">
        <f t="shared" ca="1" si="269"/>
        <v>9.3645493516558778E-6</v>
      </c>
      <c r="L865" s="13">
        <f t="shared" ca="1" si="270"/>
        <v>100</v>
      </c>
      <c r="M865" s="7">
        <f t="shared" ca="1" si="271"/>
        <v>900</v>
      </c>
      <c r="N865" s="26">
        <f t="shared" ca="1" si="272"/>
        <v>4</v>
      </c>
      <c r="O865" s="44">
        <f t="shared" ca="1" si="273"/>
        <v>2.8910364854084887</v>
      </c>
      <c r="P865" s="44">
        <f t="shared" ca="1" si="274"/>
        <v>28.910364854084886</v>
      </c>
      <c r="Q865" s="44">
        <f t="shared" ca="1" si="275"/>
        <v>28.910364854084886</v>
      </c>
      <c r="R865" s="44">
        <f t="shared" ca="1" si="276"/>
        <v>2.8910364854084887</v>
      </c>
      <c r="S865" s="44">
        <f t="shared" ca="1" si="277"/>
        <v>2.8910364854084882</v>
      </c>
      <c r="T865" s="4">
        <f t="shared" ca="1" si="278"/>
        <v>2.7073253845045546E-5</v>
      </c>
      <c r="U865" s="120">
        <f t="shared" ca="1" si="279"/>
        <v>1560.6349838037554</v>
      </c>
      <c r="V865" s="4">
        <f t="shared" ca="1" si="280"/>
        <v>1.4614643325750938E-2</v>
      </c>
      <c r="W865" s="13">
        <f t="shared" ca="1" si="281"/>
        <v>20138.625</v>
      </c>
      <c r="X865" s="4">
        <f t="shared" ca="1" si="282"/>
        <v>0.18858914768699087</v>
      </c>
      <c r="Y865" s="4">
        <f t="shared" si="283"/>
        <v>0</v>
      </c>
      <c r="Z865" s="13">
        <f t="shared" ca="1" si="284"/>
        <v>20138.625</v>
      </c>
      <c r="AA865" s="4">
        <f t="shared" ca="1" si="285"/>
        <v>0.18858914768699087</v>
      </c>
    </row>
    <row r="866" spans="1:27">
      <c r="A866">
        <v>2</v>
      </c>
      <c r="B866">
        <v>1</v>
      </c>
      <c r="C866">
        <f t="shared" ca="1" si="264"/>
        <v>8</v>
      </c>
      <c r="D866">
        <f t="shared" ca="1" si="265"/>
        <v>7</v>
      </c>
      <c r="E866">
        <f t="shared" ca="1" si="266"/>
        <v>2</v>
      </c>
      <c r="F866" s="110">
        <f t="shared" ca="1" si="267"/>
        <v>4.6104100000000005E-3</v>
      </c>
      <c r="G866">
        <v>0</v>
      </c>
      <c r="H866">
        <v>0</v>
      </c>
      <c r="I866">
        <v>4</v>
      </c>
      <c r="J866" s="1">
        <f t="shared" ca="1" si="268"/>
        <v>1.7817324218750047E-4</v>
      </c>
      <c r="K866" s="1">
        <f t="shared" ca="1" si="269"/>
        <v>8.2145169751367413E-7</v>
      </c>
      <c r="L866" s="13">
        <f t="shared" ca="1" si="270"/>
        <v>80</v>
      </c>
      <c r="M866" s="7">
        <f t="shared" ca="1" si="271"/>
        <v>920</v>
      </c>
      <c r="N866" s="26">
        <f t="shared" ca="1" si="272"/>
        <v>4</v>
      </c>
      <c r="O866" s="44">
        <f t="shared" ca="1" si="273"/>
        <v>2.8910364854084887</v>
      </c>
      <c r="P866" s="44">
        <f t="shared" ca="1" si="274"/>
        <v>28.910364854084886</v>
      </c>
      <c r="Q866" s="44">
        <f t="shared" ca="1" si="275"/>
        <v>28.910364854084886</v>
      </c>
      <c r="R866" s="44">
        <f t="shared" ca="1" si="276"/>
        <v>2.8910364854084887</v>
      </c>
      <c r="S866" s="44">
        <f t="shared" ca="1" si="277"/>
        <v>2.8910364854084882</v>
      </c>
      <c r="T866" s="4">
        <f t="shared" ca="1" si="278"/>
        <v>2.3748468285127689E-6</v>
      </c>
      <c r="U866" s="120">
        <f t="shared" ca="1" si="279"/>
        <v>1540.6349838037554</v>
      </c>
      <c r="V866" s="4">
        <f t="shared" ca="1" si="280"/>
        <v>1.2655572226945467E-3</v>
      </c>
      <c r="W866" s="13">
        <f t="shared" ca="1" si="281"/>
        <v>16110.900000000001</v>
      </c>
      <c r="X866" s="4">
        <f t="shared" ca="1" si="282"/>
        <v>1.3234326153473053E-2</v>
      </c>
      <c r="Y866" s="4">
        <f t="shared" si="283"/>
        <v>0</v>
      </c>
      <c r="Z866" s="13">
        <f t="shared" ca="1" si="284"/>
        <v>16110.900000000001</v>
      </c>
      <c r="AA866" s="4">
        <f t="shared" ca="1" si="285"/>
        <v>1.3234326153473053E-2</v>
      </c>
    </row>
    <row r="867" spans="1:27">
      <c r="A867">
        <v>2</v>
      </c>
      <c r="B867">
        <v>1</v>
      </c>
      <c r="C867">
        <f t="shared" ca="1" si="264"/>
        <v>8</v>
      </c>
      <c r="D867">
        <f t="shared" ca="1" si="265"/>
        <v>7</v>
      </c>
      <c r="E867">
        <f t="shared" ca="1" si="266"/>
        <v>2</v>
      </c>
      <c r="F867" s="110">
        <f t="shared" ca="1" si="267"/>
        <v>4.6104100000000005E-3</v>
      </c>
      <c r="G867">
        <v>0</v>
      </c>
      <c r="H867">
        <v>0</v>
      </c>
      <c r="I867">
        <v>3</v>
      </c>
      <c r="J867" s="1">
        <f t="shared" ca="1" si="268"/>
        <v>9.3775390625000315E-6</v>
      </c>
      <c r="K867" s="1">
        <f t="shared" ca="1" si="269"/>
        <v>4.3234299869140773E-8</v>
      </c>
      <c r="L867" s="13">
        <f t="shared" ca="1" si="270"/>
        <v>60</v>
      </c>
      <c r="M867" s="7">
        <f t="shared" ca="1" si="271"/>
        <v>940</v>
      </c>
      <c r="N867" s="26">
        <f t="shared" ca="1" si="272"/>
        <v>4</v>
      </c>
      <c r="O867" s="44">
        <f t="shared" ca="1" si="273"/>
        <v>2.8910364854084887</v>
      </c>
      <c r="P867" s="44">
        <f t="shared" ca="1" si="274"/>
        <v>28.910364854084886</v>
      </c>
      <c r="Q867" s="44">
        <f t="shared" ca="1" si="275"/>
        <v>28.910364854084886</v>
      </c>
      <c r="R867" s="44">
        <f t="shared" ca="1" si="276"/>
        <v>2.8910364854084887</v>
      </c>
      <c r="S867" s="44">
        <f t="shared" ca="1" si="277"/>
        <v>2.8910364854084882</v>
      </c>
      <c r="T867" s="4">
        <f t="shared" ca="1" si="278"/>
        <v>1.249919383427774E-7</v>
      </c>
      <c r="U867" s="120">
        <f t="shared" ca="1" si="279"/>
        <v>1520.6349838037554</v>
      </c>
      <c r="V867" s="4">
        <f t="shared" ca="1" si="280"/>
        <v>6.5743588881277587E-5</v>
      </c>
      <c r="W867" s="13">
        <f t="shared" ca="1" si="281"/>
        <v>12083.175000000001</v>
      </c>
      <c r="X867" s="4">
        <f t="shared" ca="1" si="282"/>
        <v>5.2240761132130512E-4</v>
      </c>
      <c r="Y867" s="4">
        <f t="shared" si="283"/>
        <v>0</v>
      </c>
      <c r="Z867" s="13">
        <f t="shared" ca="1" si="284"/>
        <v>12083.175000000001</v>
      </c>
      <c r="AA867" s="4">
        <f t="shared" ca="1" si="285"/>
        <v>5.2240761132130512E-4</v>
      </c>
    </row>
    <row r="868" spans="1:27">
      <c r="A868">
        <v>2</v>
      </c>
      <c r="B868">
        <v>1</v>
      </c>
      <c r="C868">
        <f t="shared" ca="1" si="264"/>
        <v>8</v>
      </c>
      <c r="D868">
        <f t="shared" ca="1" si="265"/>
        <v>7</v>
      </c>
      <c r="E868">
        <f t="shared" ca="1" si="266"/>
        <v>2</v>
      </c>
      <c r="F868" s="110">
        <f t="shared" ca="1" si="267"/>
        <v>4.6104100000000005E-3</v>
      </c>
      <c r="G868">
        <v>0</v>
      </c>
      <c r="H868">
        <v>0</v>
      </c>
      <c r="I868">
        <v>2</v>
      </c>
      <c r="J868" s="1">
        <f t="shared" ca="1" si="268"/>
        <v>2.961328125000013E-7</v>
      </c>
      <c r="K868" s="1">
        <f t="shared" ca="1" si="269"/>
        <v>1.3652936800781311E-9</v>
      </c>
      <c r="L868" s="13">
        <f t="shared" ca="1" si="270"/>
        <v>40</v>
      </c>
      <c r="M868" s="7">
        <f t="shared" ca="1" si="271"/>
        <v>960</v>
      </c>
      <c r="N868" s="26">
        <f t="shared" ca="1" si="272"/>
        <v>4</v>
      </c>
      <c r="O868" s="44">
        <f t="shared" ca="1" si="273"/>
        <v>2.8910364854084887</v>
      </c>
      <c r="P868" s="44">
        <f t="shared" ca="1" si="274"/>
        <v>28.910364854084886</v>
      </c>
      <c r="Q868" s="44">
        <f t="shared" ca="1" si="275"/>
        <v>28.910364854084886</v>
      </c>
      <c r="R868" s="44">
        <f t="shared" ca="1" si="276"/>
        <v>2.8910364854084887</v>
      </c>
      <c r="S868" s="44">
        <f t="shared" ca="1" si="277"/>
        <v>2.8910364854084882</v>
      </c>
      <c r="T868" s="4">
        <f t="shared" ca="1" si="278"/>
        <v>3.9471138424035012E-9</v>
      </c>
      <c r="U868" s="120">
        <f t="shared" ca="1" si="279"/>
        <v>1500.6349838037554</v>
      </c>
      <c r="V868" s="4">
        <f t="shared" ca="1" si="280"/>
        <v>2.0488074594914157E-6</v>
      </c>
      <c r="W868" s="13">
        <f t="shared" ca="1" si="281"/>
        <v>8055.4500000000007</v>
      </c>
      <c r="X868" s="4">
        <f t="shared" ca="1" si="282"/>
        <v>1.0998054975185383E-5</v>
      </c>
      <c r="Y868" s="4">
        <f t="shared" si="283"/>
        <v>0</v>
      </c>
      <c r="Z868" s="13">
        <f t="shared" ca="1" si="284"/>
        <v>8055.4500000000007</v>
      </c>
      <c r="AA868" s="4">
        <f t="shared" ca="1" si="285"/>
        <v>1.0998054975185383E-5</v>
      </c>
    </row>
    <row r="869" spans="1:27">
      <c r="A869">
        <v>2</v>
      </c>
      <c r="B869">
        <v>1</v>
      </c>
      <c r="C869">
        <f t="shared" ca="1" si="264"/>
        <v>8</v>
      </c>
      <c r="D869">
        <f t="shared" ca="1" si="265"/>
        <v>7</v>
      </c>
      <c r="E869">
        <f t="shared" ca="1" si="266"/>
        <v>2</v>
      </c>
      <c r="F869" s="110">
        <f t="shared" ca="1" si="267"/>
        <v>4.6104100000000005E-3</v>
      </c>
      <c r="G869">
        <v>0</v>
      </c>
      <c r="H869">
        <v>0</v>
      </c>
      <c r="I869">
        <v>1</v>
      </c>
      <c r="J869" s="1">
        <f t="shared" ca="1" si="268"/>
        <v>5.1953125000000272E-9</v>
      </c>
      <c r="K869" s="1">
        <f t="shared" ca="1" si="269"/>
        <v>2.3952520703125127E-11</v>
      </c>
      <c r="L869" s="13">
        <f t="shared" ca="1" si="270"/>
        <v>20</v>
      </c>
      <c r="M869" s="7">
        <f t="shared" ca="1" si="271"/>
        <v>980</v>
      </c>
      <c r="N869" s="26">
        <f t="shared" ca="1" si="272"/>
        <v>4</v>
      </c>
      <c r="O869" s="44">
        <f t="shared" ca="1" si="273"/>
        <v>2.8910364854084887</v>
      </c>
      <c r="P869" s="44">
        <f t="shared" ca="1" si="274"/>
        <v>28.910364854084886</v>
      </c>
      <c r="Q869" s="44">
        <f t="shared" ca="1" si="275"/>
        <v>28.910364854084886</v>
      </c>
      <c r="R869" s="44">
        <f t="shared" ca="1" si="276"/>
        <v>2.8910364854084887</v>
      </c>
      <c r="S869" s="44">
        <f t="shared" ca="1" si="277"/>
        <v>2.8910364854084882</v>
      </c>
      <c r="T869" s="4">
        <f t="shared" ca="1" si="278"/>
        <v>6.9247611270236924E-11</v>
      </c>
      <c r="U869" s="120">
        <f t="shared" ca="1" si="279"/>
        <v>1480.6349838037554</v>
      </c>
      <c r="V869" s="4">
        <f t="shared" ca="1" si="280"/>
        <v>3.5464940103330788E-8</v>
      </c>
      <c r="W869" s="13">
        <f t="shared" ca="1" si="281"/>
        <v>4027.7250000000004</v>
      </c>
      <c r="X869" s="4">
        <f t="shared" ca="1" si="282"/>
        <v>9.6474166448994656E-8</v>
      </c>
      <c r="Y869" s="4">
        <f t="shared" si="283"/>
        <v>0</v>
      </c>
      <c r="Z869" s="13">
        <f t="shared" ca="1" si="284"/>
        <v>4027.7250000000004</v>
      </c>
      <c r="AA869" s="4">
        <f t="shared" ca="1" si="285"/>
        <v>9.6474166448994656E-8</v>
      </c>
    </row>
    <row r="870" spans="1:27">
      <c r="A870">
        <v>2</v>
      </c>
      <c r="B870">
        <v>1</v>
      </c>
      <c r="C870">
        <f t="shared" ca="1" si="264"/>
        <v>8</v>
      </c>
      <c r="D870">
        <f t="shared" ca="1" si="265"/>
        <v>7</v>
      </c>
      <c r="E870">
        <f t="shared" ca="1" si="266"/>
        <v>2</v>
      </c>
      <c r="F870" s="110">
        <f t="shared" ca="1" si="267"/>
        <v>4.6104100000000005E-3</v>
      </c>
      <c r="G870">
        <v>0</v>
      </c>
      <c r="H870">
        <v>0</v>
      </c>
      <c r="I870">
        <v>0</v>
      </c>
      <c r="J870" s="1">
        <f t="shared" ca="1" si="268"/>
        <v>3.9062500000000246E-11</v>
      </c>
      <c r="K870" s="1">
        <f t="shared" ca="1" si="269"/>
        <v>1.8009414062500115E-13</v>
      </c>
      <c r="L870" s="13">
        <f t="shared" ca="1" si="270"/>
        <v>0</v>
      </c>
      <c r="M870" s="7">
        <f t="shared" ca="1" si="271"/>
        <v>1000</v>
      </c>
      <c r="N870" s="26">
        <f t="shared" ca="1" si="272"/>
        <v>4</v>
      </c>
      <c r="O870" s="44">
        <f t="shared" ca="1" si="273"/>
        <v>2.8910364854084887</v>
      </c>
      <c r="P870" s="44">
        <f t="shared" ca="1" si="274"/>
        <v>28.910364854084886</v>
      </c>
      <c r="Q870" s="44">
        <f t="shared" ca="1" si="275"/>
        <v>28.910364854084886</v>
      </c>
      <c r="R870" s="44">
        <f t="shared" ca="1" si="276"/>
        <v>2.8910364854084887</v>
      </c>
      <c r="S870" s="44">
        <f t="shared" ca="1" si="277"/>
        <v>2.8910364854084882</v>
      </c>
      <c r="T870" s="4">
        <f t="shared" ca="1" si="278"/>
        <v>5.2065873135516533E-13</v>
      </c>
      <c r="U870" s="120">
        <f t="shared" ca="1" si="279"/>
        <v>1460.6349838037554</v>
      </c>
      <c r="V870" s="4">
        <f t="shared" ca="1" si="280"/>
        <v>2.6305180217494982E-10</v>
      </c>
      <c r="W870" s="13">
        <f t="shared" ca="1" si="281"/>
        <v>0</v>
      </c>
      <c r="X870" s="4">
        <f t="shared" ca="1" si="282"/>
        <v>0</v>
      </c>
      <c r="Y870" s="4">
        <f t="shared" si="283"/>
        <v>0</v>
      </c>
      <c r="Z870" s="13">
        <f t="shared" ca="1" si="284"/>
        <v>0</v>
      </c>
      <c r="AA870" s="4">
        <f t="shared" ca="1" si="285"/>
        <v>0</v>
      </c>
    </row>
    <row r="871" spans="1:27">
      <c r="A871">
        <v>2</v>
      </c>
      <c r="B871">
        <v>2</v>
      </c>
      <c r="C871">
        <f t="shared" ref="C871:C934" ca="1" si="286">MIN(8, 1+$B$543+$B$542+A871+B871)</f>
        <v>8</v>
      </c>
      <c r="D871">
        <f t="shared" ref="D871:D934" ca="1" si="287">C871-(1+$B$543)</f>
        <v>7</v>
      </c>
      <c r="E871">
        <f t="shared" ref="E871:E934" ca="1" si="288">MIN(A871, C871-(1+$B$543+$B$542))</f>
        <v>2</v>
      </c>
      <c r="F871" s="110">
        <f t="shared" ref="F871:F934" ca="1" si="289">IF(A871=3, Set2QA, IF(A871=2, (1-Set2QA)*Set2TA + (1-Set2QA)*(1-Set2TA)*(1-Set2DA)*Set2AM3*Set2AM33, IF(A871=1, (1-Set2QA)*(1-Set2TA)*Set2DA + (1-Set2QA)*(1-Set2TA)*(1-Set2DA)*Set2AM3*Set2AM32, (1-Set2QA)*(1-Set2TA)*(1-Set2DA)*(1-Set2AM3)))) * IF($B$542+$B$543&gt;0, IF(B871=3, Set2QA, IF(B871=2, (1-Set2QA)*Set2TA, IF(B871=1, (1-Set2QA)*(1-Set2TA)*Set2DA, (1-Set2QA)*(1-Set2TA)*(1-Set2DA)))), IF(B871=0, 1, 0))</f>
        <v>3.7636000000000001E-4</v>
      </c>
      <c r="G871">
        <v>1</v>
      </c>
      <c r="H871">
        <v>1</v>
      </c>
      <c r="I871">
        <v>7</v>
      </c>
      <c r="J871" s="1">
        <f t="shared" ref="J871:J934" ca="1" si="290">POWER(95%,G871)*POWER(5%, 1-G871) * IF($B$543=0, IF(H871=0, 1, 0), POWER(Set2WSHitRate,H871)*POWER(1-Set2WSHitRate, 1-H871)) * IF(I871&lt;=D871, POWER(Set2WSHitRate, I871)*POWER(1-Set2WSHitRate, D871-I871)*COMBIN(D871,I871), 0)</f>
        <v>0</v>
      </c>
      <c r="K871" s="1">
        <f t="shared" ref="K871:K934" ca="1" si="291">F871*J871</f>
        <v>0</v>
      </c>
      <c r="L871" s="13">
        <f t="shared" ref="L871:L934" ca="1" si="292">MAX((G871+H871)*Set2WSTP + I871*$B$539, Set2SaveTP)</f>
        <v>648</v>
      </c>
      <c r="M871" s="7">
        <f t="shared" ref="M871:M934" ca="1" si="293">MAX(Set2MinTP-(L871+Set2Regain), 0)</f>
        <v>352</v>
      </c>
      <c r="N871" s="26">
        <f t="shared" ref="N871:N934" ca="1" si="294">CEILING(M871/Set2MeleeTP, 1)</f>
        <v>2</v>
      </c>
      <c r="O871" s="44">
        <f t="shared" ref="O871:O934" ca="1" si="295">VLOOKUP(N871, AvgRoundsSet2, 2)</f>
        <v>1.5942243152407929</v>
      </c>
      <c r="P871" s="44">
        <f t="shared" ref="P871:P934" ca="1" si="296">VLOOKUP(CEILING(MAX(M871-1, 0)/Set2MeleeTP, 1), AvgRoundsSet2, 2) + VLOOKUP(CEILING(MAX(M871-2, 0)/Set2MeleeTP, 1), AvgRoundsSet2, 2) + VLOOKUP(CEILING(MAX(M871-3, 0)/Set2MeleeTP, 1), AvgRoundsSet2, 2) + VLOOKUP(CEILING(MAX(M871-4, 0)/Set2MeleeTP, 1), AvgRoundsSet2, 2) + VLOOKUP(CEILING(MAX(M871-5, 0)/Set2MeleeTP, 1), AvgRoundsSet2, 2) + VLOOKUP(CEILING(MAX(M871-6, 0)/Set2MeleeTP, 1), AvgRoundsSet2, 2) + VLOOKUP(CEILING(MAX(M871-7, 0)/Set2MeleeTP, 1), AvgRoundsSet2, 2) + VLOOKUP(CEILING(MAX(M871-8, 0)/Set2MeleeTP, 1), AvgRoundsSet2, 2) + VLOOKUP(CEILING(MAX(M871-9, 0)/Set2MeleeTP, 1), AvgRoundsSet2, 2) + VLOOKUP(CEILING(MAX(M871-10, 0)/Set2MeleeTP, 1), AvgRoundsSet2, 2)</f>
        <v>15.942243152407926</v>
      </c>
      <c r="Q871" s="44">
        <f t="shared" ref="Q871:Q934" ca="1" si="297">VLOOKUP(CEILING(MAX(M871-11, 0)/Set2MeleeTP, 1), AvgRoundsSet2, 2) + VLOOKUP(CEILING(MAX(M871-12, 0)/Set2MeleeTP, 1), AvgRoundsSet2, 2) + VLOOKUP(CEILING(MAX(M871-13, 0)/Set2MeleeTP, 1), AvgRoundsSet2, 2) + VLOOKUP(CEILING(MAX(M871-14, 0)/Set2MeleeTP, 1), AvgRoundsSet2, 2) + VLOOKUP(CEILING(MAX(M871-15, 0)/Set2MeleeTP, 1), AvgRoundsSet2, 2) + VLOOKUP(CEILING(MAX(M871-16, 0)/Set2MeleeTP, 1), AvgRoundsSet2, 2) + VLOOKUP(CEILING(MAX(M871-17, 0)/Set2MeleeTP, 1), AvgRoundsSet2, 2) + VLOOKUP(CEILING(MAX(M871-18, 0)/Set2MeleeTP, 1), AvgRoundsSet2, 2) + VLOOKUP(CEILING(MAX(M871-19, 0)/Set2MeleeTP, 1), AvgRoundsSet2, 2) + VLOOKUP(CEILING(MAX(M871-20, 0)/Set2MeleeTP, 1), AvgRoundsSet2, 2)</f>
        <v>15.942243152407926</v>
      </c>
      <c r="R871" s="44">
        <f t="shared" ref="R871:R934" ca="1" si="298">(P871+Q871)/20</f>
        <v>1.5942243152407927</v>
      </c>
      <c r="S871" s="44">
        <f t="shared" ref="S871:S934" ca="1" si="299">R871*Set2ConserveTP + O871*(1-Set2ConserveTP)</f>
        <v>1.5942243152407927</v>
      </c>
      <c r="T871" s="4">
        <f t="shared" ref="T871:T934" ca="1" si="300">K871*S871</f>
        <v>0</v>
      </c>
      <c r="U871" s="120">
        <f t="shared" ref="U871:U934" ca="1" si="301">MIN(L871+(S871+Set2OverTP)*AvgHitsPerRound2*Set2MeleeTP + Set2Regain + 10.5*Set2ConserveTP, 3000)</f>
        <v>1550.3348669012169</v>
      </c>
      <c r="V871" s="4">
        <f t="shared" ref="V871:V934" ca="1" si="302">U871*K871</f>
        <v>0</v>
      </c>
      <c r="W871" s="13">
        <f t="shared" ref="W871:W934" ca="1" si="303">G871*$K$543*((1-$L$543)*$L$547 + $L$543*$M$547*$M$543)*Set2WSDmg + H871*$K$546*((1-$L$546)*$L$548 + $L$546*$M$548*$M$544) + I871*$K$544*((1-$L$544)*$L$547 + $L$544*$M$547*$M$544) + E871*$K$545*$L$545*$M$543</f>
        <v>32946.790500000003</v>
      </c>
      <c r="X871" s="4">
        <f t="shared" ref="X871:X934" ca="1" si="304">K871*W871</f>
        <v>0</v>
      </c>
      <c r="Y871" s="4">
        <f t="shared" ref="Y871:Y934" si="305">IF($B$545=1, (VLOOKUP(C871, IF($B$546=10%,Souleater10,Souleater12), 6, FALSE) * $B$547), 0)</f>
        <v>0</v>
      </c>
      <c r="Z871" s="13">
        <f t="shared" ca="1" si="284"/>
        <v>32946.790500000003</v>
      </c>
      <c r="AA871" s="4">
        <f t="shared" ca="1" si="285"/>
        <v>0</v>
      </c>
    </row>
    <row r="872" spans="1:27">
      <c r="A872">
        <v>2</v>
      </c>
      <c r="B872">
        <v>2</v>
      </c>
      <c r="C872">
        <f t="shared" ca="1" si="286"/>
        <v>8</v>
      </c>
      <c r="D872">
        <f t="shared" ca="1" si="287"/>
        <v>7</v>
      </c>
      <c r="E872">
        <f t="shared" ca="1" si="288"/>
        <v>2</v>
      </c>
      <c r="F872" s="110">
        <f t="shared" ca="1" si="289"/>
        <v>3.7636000000000001E-4</v>
      </c>
      <c r="G872">
        <v>1</v>
      </c>
      <c r="H872">
        <v>1</v>
      </c>
      <c r="I872">
        <v>6</v>
      </c>
      <c r="J872" s="1">
        <f t="shared" ca="1" si="290"/>
        <v>0</v>
      </c>
      <c r="K872" s="1">
        <f t="shared" ca="1" si="291"/>
        <v>0</v>
      </c>
      <c r="L872" s="13">
        <f t="shared" ca="1" si="292"/>
        <v>628</v>
      </c>
      <c r="M872" s="7">
        <f t="shared" ca="1" si="293"/>
        <v>372</v>
      </c>
      <c r="N872" s="26">
        <f t="shared" ca="1" si="294"/>
        <v>2</v>
      </c>
      <c r="O872" s="44">
        <f t="shared" ca="1" si="295"/>
        <v>1.5942243152407929</v>
      </c>
      <c r="P872" s="44">
        <f t="shared" ca="1" si="296"/>
        <v>15.942243152407926</v>
      </c>
      <c r="Q872" s="44">
        <f t="shared" ca="1" si="297"/>
        <v>15.942243152407926</v>
      </c>
      <c r="R872" s="44">
        <f t="shared" ca="1" si="298"/>
        <v>1.5942243152407927</v>
      </c>
      <c r="S872" s="44">
        <f t="shared" ca="1" si="299"/>
        <v>1.5942243152407927</v>
      </c>
      <c r="T872" s="4">
        <f t="shared" ca="1" si="300"/>
        <v>0</v>
      </c>
      <c r="U872" s="120">
        <f t="shared" ca="1" si="301"/>
        <v>1530.3348669012169</v>
      </c>
      <c r="V872" s="4">
        <f t="shared" ca="1" si="302"/>
        <v>0</v>
      </c>
      <c r="W872" s="13">
        <f t="shared" ca="1" si="303"/>
        <v>28919.065500000004</v>
      </c>
      <c r="X872" s="4">
        <f t="shared" ca="1" si="304"/>
        <v>0</v>
      </c>
      <c r="Y872" s="4">
        <f t="shared" si="305"/>
        <v>0</v>
      </c>
      <c r="Z872" s="13">
        <f t="shared" ref="Z872:Z935" ca="1" si="306">Y872+W872</f>
        <v>28919.065500000004</v>
      </c>
      <c r="AA872" s="4">
        <f t="shared" ref="AA872:AA935" ca="1" si="307">Z872*K872</f>
        <v>0</v>
      </c>
    </row>
    <row r="873" spans="1:27">
      <c r="A873">
        <v>2</v>
      </c>
      <c r="B873">
        <v>2</v>
      </c>
      <c r="C873">
        <f t="shared" ca="1" si="286"/>
        <v>8</v>
      </c>
      <c r="D873">
        <f t="shared" ca="1" si="287"/>
        <v>7</v>
      </c>
      <c r="E873">
        <f t="shared" ca="1" si="288"/>
        <v>2</v>
      </c>
      <c r="F873" s="110">
        <f t="shared" ca="1" si="289"/>
        <v>3.7636000000000001E-4</v>
      </c>
      <c r="G873">
        <v>1</v>
      </c>
      <c r="H873">
        <v>1</v>
      </c>
      <c r="I873">
        <v>5</v>
      </c>
      <c r="J873" s="1">
        <f t="shared" ca="1" si="290"/>
        <v>0</v>
      </c>
      <c r="K873" s="1">
        <f t="shared" ca="1" si="291"/>
        <v>0</v>
      </c>
      <c r="L873" s="13">
        <f t="shared" ca="1" si="292"/>
        <v>608</v>
      </c>
      <c r="M873" s="7">
        <f t="shared" ca="1" si="293"/>
        <v>392</v>
      </c>
      <c r="N873" s="26">
        <f t="shared" ca="1" si="294"/>
        <v>2</v>
      </c>
      <c r="O873" s="44">
        <f t="shared" ca="1" si="295"/>
        <v>1.5942243152407929</v>
      </c>
      <c r="P873" s="44">
        <f t="shared" ca="1" si="296"/>
        <v>15.942243152407926</v>
      </c>
      <c r="Q873" s="44">
        <f t="shared" ca="1" si="297"/>
        <v>15.942243152407926</v>
      </c>
      <c r="R873" s="44">
        <f t="shared" ca="1" si="298"/>
        <v>1.5942243152407927</v>
      </c>
      <c r="S873" s="44">
        <f t="shared" ca="1" si="299"/>
        <v>1.5942243152407927</v>
      </c>
      <c r="T873" s="4">
        <f t="shared" ca="1" si="300"/>
        <v>0</v>
      </c>
      <c r="U873" s="120">
        <f t="shared" ca="1" si="301"/>
        <v>1510.3348669012169</v>
      </c>
      <c r="V873" s="4">
        <f t="shared" ca="1" si="302"/>
        <v>0</v>
      </c>
      <c r="W873" s="13">
        <f t="shared" ca="1" si="303"/>
        <v>24891.340500000002</v>
      </c>
      <c r="X873" s="4">
        <f t="shared" ca="1" si="304"/>
        <v>0</v>
      </c>
      <c r="Y873" s="4">
        <f t="shared" si="305"/>
        <v>0</v>
      </c>
      <c r="Z873" s="13">
        <f t="shared" ca="1" si="306"/>
        <v>24891.340500000002</v>
      </c>
      <c r="AA873" s="4">
        <f t="shared" ca="1" si="307"/>
        <v>0</v>
      </c>
    </row>
    <row r="874" spans="1:27">
      <c r="A874">
        <v>2</v>
      </c>
      <c r="B874">
        <v>2</v>
      </c>
      <c r="C874">
        <f t="shared" ca="1" si="286"/>
        <v>8</v>
      </c>
      <c r="D874">
        <f t="shared" ca="1" si="287"/>
        <v>7</v>
      </c>
      <c r="E874">
        <f t="shared" ca="1" si="288"/>
        <v>2</v>
      </c>
      <c r="F874" s="110">
        <f t="shared" ca="1" si="289"/>
        <v>3.7636000000000001E-4</v>
      </c>
      <c r="G874">
        <v>1</v>
      </c>
      <c r="H874">
        <v>1</v>
      </c>
      <c r="I874">
        <v>4</v>
      </c>
      <c r="J874" s="1">
        <f t="shared" ca="1" si="290"/>
        <v>0</v>
      </c>
      <c r="K874" s="1">
        <f t="shared" ca="1" si="291"/>
        <v>0</v>
      </c>
      <c r="L874" s="13">
        <f t="shared" ca="1" si="292"/>
        <v>588</v>
      </c>
      <c r="M874" s="7">
        <f t="shared" ca="1" si="293"/>
        <v>412</v>
      </c>
      <c r="N874" s="26">
        <f t="shared" ca="1" si="294"/>
        <v>2</v>
      </c>
      <c r="O874" s="44">
        <f t="shared" ca="1" si="295"/>
        <v>1.5942243152407929</v>
      </c>
      <c r="P874" s="44">
        <f t="shared" ca="1" si="296"/>
        <v>15.942243152407926</v>
      </c>
      <c r="Q874" s="44">
        <f t="shared" ca="1" si="297"/>
        <v>15.942243152407926</v>
      </c>
      <c r="R874" s="44">
        <f t="shared" ca="1" si="298"/>
        <v>1.5942243152407927</v>
      </c>
      <c r="S874" s="44">
        <f t="shared" ca="1" si="299"/>
        <v>1.5942243152407927</v>
      </c>
      <c r="T874" s="4">
        <f t="shared" ca="1" si="300"/>
        <v>0</v>
      </c>
      <c r="U874" s="120">
        <f t="shared" ca="1" si="301"/>
        <v>1490.3348669012169</v>
      </c>
      <c r="V874" s="4">
        <f t="shared" ca="1" si="302"/>
        <v>0</v>
      </c>
      <c r="W874" s="13">
        <f t="shared" ca="1" si="303"/>
        <v>20863.615500000004</v>
      </c>
      <c r="X874" s="4">
        <f t="shared" ca="1" si="304"/>
        <v>0</v>
      </c>
      <c r="Y874" s="4">
        <f t="shared" si="305"/>
        <v>0</v>
      </c>
      <c r="Z874" s="13">
        <f t="shared" ca="1" si="306"/>
        <v>20863.615500000004</v>
      </c>
      <c r="AA874" s="4">
        <f t="shared" ca="1" si="307"/>
        <v>0</v>
      </c>
    </row>
    <row r="875" spans="1:27">
      <c r="A875">
        <v>2</v>
      </c>
      <c r="B875">
        <v>2</v>
      </c>
      <c r="C875">
        <f t="shared" ca="1" si="286"/>
        <v>8</v>
      </c>
      <c r="D875">
        <f t="shared" ca="1" si="287"/>
        <v>7</v>
      </c>
      <c r="E875">
        <f t="shared" ca="1" si="288"/>
        <v>2</v>
      </c>
      <c r="F875" s="110">
        <f t="shared" ca="1" si="289"/>
        <v>3.7636000000000001E-4</v>
      </c>
      <c r="G875">
        <v>1</v>
      </c>
      <c r="H875">
        <v>1</v>
      </c>
      <c r="I875">
        <v>3</v>
      </c>
      <c r="J875" s="1">
        <f t="shared" ca="1" si="290"/>
        <v>0</v>
      </c>
      <c r="K875" s="1">
        <f t="shared" ca="1" si="291"/>
        <v>0</v>
      </c>
      <c r="L875" s="13">
        <f t="shared" ca="1" si="292"/>
        <v>568</v>
      </c>
      <c r="M875" s="7">
        <f t="shared" ca="1" si="293"/>
        <v>432</v>
      </c>
      <c r="N875" s="26">
        <f t="shared" ca="1" si="294"/>
        <v>2</v>
      </c>
      <c r="O875" s="44">
        <f t="shared" ca="1" si="295"/>
        <v>1.5942243152407929</v>
      </c>
      <c r="P875" s="44">
        <f t="shared" ca="1" si="296"/>
        <v>15.942243152407926</v>
      </c>
      <c r="Q875" s="44">
        <f t="shared" ca="1" si="297"/>
        <v>15.942243152407926</v>
      </c>
      <c r="R875" s="44">
        <f t="shared" ca="1" si="298"/>
        <v>1.5942243152407927</v>
      </c>
      <c r="S875" s="44">
        <f t="shared" ca="1" si="299"/>
        <v>1.5942243152407927</v>
      </c>
      <c r="T875" s="4">
        <f t="shared" ca="1" si="300"/>
        <v>0</v>
      </c>
      <c r="U875" s="120">
        <f t="shared" ca="1" si="301"/>
        <v>1470.3348669012169</v>
      </c>
      <c r="V875" s="4">
        <f t="shared" ca="1" si="302"/>
        <v>0</v>
      </c>
      <c r="W875" s="13">
        <f t="shared" ca="1" si="303"/>
        <v>16835.890500000001</v>
      </c>
      <c r="X875" s="4">
        <f t="shared" ca="1" si="304"/>
        <v>0</v>
      </c>
      <c r="Y875" s="4">
        <f t="shared" si="305"/>
        <v>0</v>
      </c>
      <c r="Z875" s="13">
        <f t="shared" ca="1" si="306"/>
        <v>16835.890500000001</v>
      </c>
      <c r="AA875" s="4">
        <f t="shared" ca="1" si="307"/>
        <v>0</v>
      </c>
    </row>
    <row r="876" spans="1:27">
      <c r="A876">
        <v>2</v>
      </c>
      <c r="B876">
        <v>2</v>
      </c>
      <c r="C876">
        <f t="shared" ca="1" si="286"/>
        <v>8</v>
      </c>
      <c r="D876">
        <f t="shared" ca="1" si="287"/>
        <v>7</v>
      </c>
      <c r="E876">
        <f t="shared" ca="1" si="288"/>
        <v>2</v>
      </c>
      <c r="F876" s="110">
        <f t="shared" ca="1" si="289"/>
        <v>3.7636000000000001E-4</v>
      </c>
      <c r="G876">
        <v>1</v>
      </c>
      <c r="H876">
        <v>1</v>
      </c>
      <c r="I876">
        <v>2</v>
      </c>
      <c r="J876" s="1">
        <f t="shared" ca="1" si="290"/>
        <v>0</v>
      </c>
      <c r="K876" s="1">
        <f t="shared" ca="1" si="291"/>
        <v>0</v>
      </c>
      <c r="L876" s="13">
        <f t="shared" ca="1" si="292"/>
        <v>548</v>
      </c>
      <c r="M876" s="7">
        <f t="shared" ca="1" si="293"/>
        <v>452</v>
      </c>
      <c r="N876" s="26">
        <f t="shared" ca="1" si="294"/>
        <v>2</v>
      </c>
      <c r="O876" s="44">
        <f t="shared" ca="1" si="295"/>
        <v>1.5942243152407929</v>
      </c>
      <c r="P876" s="44">
        <f t="shared" ca="1" si="296"/>
        <v>15.942243152407926</v>
      </c>
      <c r="Q876" s="44">
        <f t="shared" ca="1" si="297"/>
        <v>15.942243152407926</v>
      </c>
      <c r="R876" s="44">
        <f t="shared" ca="1" si="298"/>
        <v>1.5942243152407927</v>
      </c>
      <c r="S876" s="44">
        <f t="shared" ca="1" si="299"/>
        <v>1.5942243152407927</v>
      </c>
      <c r="T876" s="4">
        <f t="shared" ca="1" si="300"/>
        <v>0</v>
      </c>
      <c r="U876" s="120">
        <f t="shared" ca="1" si="301"/>
        <v>1450.3348669012169</v>
      </c>
      <c r="V876" s="4">
        <f t="shared" ca="1" si="302"/>
        <v>0</v>
      </c>
      <c r="W876" s="13">
        <f t="shared" ca="1" si="303"/>
        <v>12808.165500000003</v>
      </c>
      <c r="X876" s="4">
        <f t="shared" ca="1" si="304"/>
        <v>0</v>
      </c>
      <c r="Y876" s="4">
        <f t="shared" si="305"/>
        <v>0</v>
      </c>
      <c r="Z876" s="13">
        <f t="shared" ca="1" si="306"/>
        <v>12808.165500000003</v>
      </c>
      <c r="AA876" s="4">
        <f t="shared" ca="1" si="307"/>
        <v>0</v>
      </c>
    </row>
    <row r="877" spans="1:27">
      <c r="A877">
        <v>2</v>
      </c>
      <c r="B877">
        <v>2</v>
      </c>
      <c r="C877">
        <f t="shared" ca="1" si="286"/>
        <v>8</v>
      </c>
      <c r="D877">
        <f t="shared" ca="1" si="287"/>
        <v>7</v>
      </c>
      <c r="E877">
        <f t="shared" ca="1" si="288"/>
        <v>2</v>
      </c>
      <c r="F877" s="110">
        <f t="shared" ca="1" si="289"/>
        <v>3.7636000000000001E-4</v>
      </c>
      <c r="G877">
        <v>1</v>
      </c>
      <c r="H877">
        <v>1</v>
      </c>
      <c r="I877">
        <v>1</v>
      </c>
      <c r="J877" s="1">
        <f t="shared" ca="1" si="290"/>
        <v>0</v>
      </c>
      <c r="K877" s="1">
        <f t="shared" ca="1" si="291"/>
        <v>0</v>
      </c>
      <c r="L877" s="13">
        <f t="shared" ca="1" si="292"/>
        <v>528</v>
      </c>
      <c r="M877" s="7">
        <f t="shared" ca="1" si="293"/>
        <v>472</v>
      </c>
      <c r="N877" s="26">
        <f t="shared" ca="1" si="294"/>
        <v>2</v>
      </c>
      <c r="O877" s="44">
        <f t="shared" ca="1" si="295"/>
        <v>1.5942243152407929</v>
      </c>
      <c r="P877" s="44">
        <f t="shared" ca="1" si="296"/>
        <v>15.942243152407926</v>
      </c>
      <c r="Q877" s="44">
        <f t="shared" ca="1" si="297"/>
        <v>15.942243152407926</v>
      </c>
      <c r="R877" s="44">
        <f t="shared" ca="1" si="298"/>
        <v>1.5942243152407927</v>
      </c>
      <c r="S877" s="44">
        <f t="shared" ca="1" si="299"/>
        <v>1.5942243152407927</v>
      </c>
      <c r="T877" s="4">
        <f t="shared" ca="1" si="300"/>
        <v>0</v>
      </c>
      <c r="U877" s="120">
        <f t="shared" ca="1" si="301"/>
        <v>1430.3348669012169</v>
      </c>
      <c r="V877" s="4">
        <f t="shared" ca="1" si="302"/>
        <v>0</v>
      </c>
      <c r="W877" s="13">
        <f t="shared" ca="1" si="303"/>
        <v>8780.4405000000006</v>
      </c>
      <c r="X877" s="4">
        <f t="shared" ca="1" si="304"/>
        <v>0</v>
      </c>
      <c r="Y877" s="4">
        <f t="shared" si="305"/>
        <v>0</v>
      </c>
      <c r="Z877" s="13">
        <f t="shared" ca="1" si="306"/>
        <v>8780.4405000000006</v>
      </c>
      <c r="AA877" s="4">
        <f t="shared" ca="1" si="307"/>
        <v>0</v>
      </c>
    </row>
    <row r="878" spans="1:27">
      <c r="A878">
        <v>2</v>
      </c>
      <c r="B878">
        <v>2</v>
      </c>
      <c r="C878">
        <f t="shared" ca="1" si="286"/>
        <v>8</v>
      </c>
      <c r="D878">
        <f t="shared" ca="1" si="287"/>
        <v>7</v>
      </c>
      <c r="E878">
        <f t="shared" ca="1" si="288"/>
        <v>2</v>
      </c>
      <c r="F878" s="110">
        <f t="shared" ca="1" si="289"/>
        <v>3.7636000000000001E-4</v>
      </c>
      <c r="G878">
        <v>1</v>
      </c>
      <c r="H878">
        <v>1</v>
      </c>
      <c r="I878">
        <v>0</v>
      </c>
      <c r="J878" s="1">
        <f t="shared" ca="1" si="290"/>
        <v>0</v>
      </c>
      <c r="K878" s="1">
        <f t="shared" ca="1" si="291"/>
        <v>0</v>
      </c>
      <c r="L878" s="13">
        <f t="shared" ca="1" si="292"/>
        <v>508</v>
      </c>
      <c r="M878" s="7">
        <f t="shared" ca="1" si="293"/>
        <v>492</v>
      </c>
      <c r="N878" s="26">
        <f t="shared" ca="1" si="294"/>
        <v>2</v>
      </c>
      <c r="O878" s="44">
        <f t="shared" ca="1" si="295"/>
        <v>1.5942243152407929</v>
      </c>
      <c r="P878" s="44">
        <f t="shared" ca="1" si="296"/>
        <v>15.942243152407926</v>
      </c>
      <c r="Q878" s="44">
        <f t="shared" ca="1" si="297"/>
        <v>15.942243152407926</v>
      </c>
      <c r="R878" s="44">
        <f t="shared" ca="1" si="298"/>
        <v>1.5942243152407927</v>
      </c>
      <c r="S878" s="44">
        <f t="shared" ca="1" si="299"/>
        <v>1.5942243152407927</v>
      </c>
      <c r="T878" s="4">
        <f t="shared" ca="1" si="300"/>
        <v>0</v>
      </c>
      <c r="U878" s="120">
        <f t="shared" ca="1" si="301"/>
        <v>1410.3348669012169</v>
      </c>
      <c r="V878" s="4">
        <f t="shared" ca="1" si="302"/>
        <v>0</v>
      </c>
      <c r="W878" s="13">
        <f t="shared" ca="1" si="303"/>
        <v>4752.7155000000012</v>
      </c>
      <c r="X878" s="4">
        <f t="shared" ca="1" si="304"/>
        <v>0</v>
      </c>
      <c r="Y878" s="4">
        <f t="shared" si="305"/>
        <v>0</v>
      </c>
      <c r="Z878" s="13">
        <f t="shared" ca="1" si="306"/>
        <v>4752.7155000000012</v>
      </c>
      <c r="AA878" s="4">
        <f t="shared" ca="1" si="307"/>
        <v>0</v>
      </c>
    </row>
    <row r="879" spans="1:27">
      <c r="A879">
        <v>2</v>
      </c>
      <c r="B879">
        <v>2</v>
      </c>
      <c r="C879">
        <f t="shared" ca="1" si="286"/>
        <v>8</v>
      </c>
      <c r="D879">
        <f t="shared" ca="1" si="287"/>
        <v>7</v>
      </c>
      <c r="E879">
        <f t="shared" ca="1" si="288"/>
        <v>2</v>
      </c>
      <c r="F879" s="110">
        <f t="shared" ca="1" si="289"/>
        <v>3.7636000000000001E-4</v>
      </c>
      <c r="G879">
        <v>1</v>
      </c>
      <c r="H879">
        <v>0</v>
      </c>
      <c r="I879">
        <v>7</v>
      </c>
      <c r="J879" s="1">
        <f t="shared" ca="1" si="290"/>
        <v>0.66342043128906247</v>
      </c>
      <c r="K879" s="1">
        <f t="shared" ca="1" si="291"/>
        <v>2.4968491351995154E-4</v>
      </c>
      <c r="L879" s="13">
        <f t="shared" ca="1" si="292"/>
        <v>394</v>
      </c>
      <c r="M879" s="7">
        <f t="shared" ca="1" si="293"/>
        <v>606</v>
      </c>
      <c r="N879" s="26">
        <f t="shared" ca="1" si="294"/>
        <v>3</v>
      </c>
      <c r="O879" s="44">
        <f t="shared" ca="1" si="295"/>
        <v>2.2641455309069398</v>
      </c>
      <c r="P879" s="44">
        <f t="shared" ca="1" si="296"/>
        <v>22.641455309069404</v>
      </c>
      <c r="Q879" s="44">
        <f t="shared" ca="1" si="297"/>
        <v>22.641455309069404</v>
      </c>
      <c r="R879" s="44">
        <f t="shared" ca="1" si="298"/>
        <v>2.2641455309069403</v>
      </c>
      <c r="S879" s="44">
        <f t="shared" ca="1" si="299"/>
        <v>2.2641455309069398</v>
      </c>
      <c r="T879" s="4">
        <f t="shared" ca="1" si="300"/>
        <v>5.6532298108108404E-4</v>
      </c>
      <c r="U879" s="120">
        <f t="shared" ca="1" si="301"/>
        <v>1584.7475619899244</v>
      </c>
      <c r="V879" s="4">
        <f t="shared" ca="1" si="302"/>
        <v>0.39568755796640831</v>
      </c>
      <c r="W879" s="13">
        <f t="shared" ca="1" si="303"/>
        <v>32946.790500000003</v>
      </c>
      <c r="X879" s="4">
        <f t="shared" ca="1" si="304"/>
        <v>8.2263165367524618</v>
      </c>
      <c r="Y879" s="4">
        <f t="shared" si="305"/>
        <v>0</v>
      </c>
      <c r="Z879" s="13">
        <f t="shared" ca="1" si="306"/>
        <v>32946.790500000003</v>
      </c>
      <c r="AA879" s="4">
        <f t="shared" ca="1" si="307"/>
        <v>8.2263165367524618</v>
      </c>
    </row>
    <row r="880" spans="1:27">
      <c r="A880">
        <v>2</v>
      </c>
      <c r="B880">
        <v>2</v>
      </c>
      <c r="C880">
        <f t="shared" ca="1" si="286"/>
        <v>8</v>
      </c>
      <c r="D880">
        <f t="shared" ca="1" si="287"/>
        <v>7</v>
      </c>
      <c r="E880">
        <f t="shared" ca="1" si="288"/>
        <v>2</v>
      </c>
      <c r="F880" s="110">
        <f t="shared" ca="1" si="289"/>
        <v>3.7636000000000001E-4</v>
      </c>
      <c r="G880">
        <v>1</v>
      </c>
      <c r="H880">
        <v>0</v>
      </c>
      <c r="I880">
        <v>6</v>
      </c>
      <c r="J880" s="1">
        <f t="shared" ca="1" si="290"/>
        <v>0.24441805363281272</v>
      </c>
      <c r="K880" s="1">
        <f t="shared" ca="1" si="291"/>
        <v>9.1989178665245389E-5</v>
      </c>
      <c r="L880" s="13">
        <f t="shared" ca="1" si="292"/>
        <v>374</v>
      </c>
      <c r="M880" s="7">
        <f t="shared" ca="1" si="293"/>
        <v>626</v>
      </c>
      <c r="N880" s="26">
        <f t="shared" ca="1" si="294"/>
        <v>3</v>
      </c>
      <c r="O880" s="44">
        <f t="shared" ca="1" si="295"/>
        <v>2.2641455309069398</v>
      </c>
      <c r="P880" s="44">
        <f t="shared" ca="1" si="296"/>
        <v>22.641455309069404</v>
      </c>
      <c r="Q880" s="44">
        <f t="shared" ca="1" si="297"/>
        <v>22.641455309069404</v>
      </c>
      <c r="R880" s="44">
        <f t="shared" ca="1" si="298"/>
        <v>2.2641455309069403</v>
      </c>
      <c r="S880" s="44">
        <f t="shared" ca="1" si="299"/>
        <v>2.2641455309069398</v>
      </c>
      <c r="T880" s="4">
        <f t="shared" ca="1" si="300"/>
        <v>2.0827688776671536E-4</v>
      </c>
      <c r="U880" s="120">
        <f t="shared" ca="1" si="301"/>
        <v>1564.7475619899244</v>
      </c>
      <c r="V880" s="4">
        <f t="shared" ca="1" si="302"/>
        <v>0.1439398430458983</v>
      </c>
      <c r="W880" s="13">
        <f t="shared" ca="1" si="303"/>
        <v>28919.065500000004</v>
      </c>
      <c r="X880" s="4">
        <f t="shared" ca="1" si="304"/>
        <v>2.6602410831114343</v>
      </c>
      <c r="Y880" s="4">
        <f t="shared" si="305"/>
        <v>0</v>
      </c>
      <c r="Z880" s="13">
        <f t="shared" ca="1" si="306"/>
        <v>28919.065500000004</v>
      </c>
      <c r="AA880" s="4">
        <f t="shared" ca="1" si="307"/>
        <v>2.6602410831114343</v>
      </c>
    </row>
    <row r="881" spans="1:27">
      <c r="A881">
        <v>2</v>
      </c>
      <c r="B881">
        <v>2</v>
      </c>
      <c r="C881">
        <f t="shared" ca="1" si="286"/>
        <v>8</v>
      </c>
      <c r="D881">
        <f t="shared" ca="1" si="287"/>
        <v>7</v>
      </c>
      <c r="E881">
        <f t="shared" ca="1" si="288"/>
        <v>2</v>
      </c>
      <c r="F881" s="110">
        <f t="shared" ca="1" si="289"/>
        <v>3.7636000000000001E-4</v>
      </c>
      <c r="G881">
        <v>1</v>
      </c>
      <c r="H881">
        <v>0</v>
      </c>
      <c r="I881">
        <v>5</v>
      </c>
      <c r="J881" s="1">
        <f t="shared" ca="1" si="290"/>
        <v>3.8592324257812567E-2</v>
      </c>
      <c r="K881" s="1">
        <f t="shared" ca="1" si="291"/>
        <v>1.4524607157670339E-5</v>
      </c>
      <c r="L881" s="13">
        <f t="shared" ca="1" si="292"/>
        <v>354</v>
      </c>
      <c r="M881" s="7">
        <f t="shared" ca="1" si="293"/>
        <v>646</v>
      </c>
      <c r="N881" s="26">
        <f t="shared" ca="1" si="294"/>
        <v>3</v>
      </c>
      <c r="O881" s="44">
        <f t="shared" ca="1" si="295"/>
        <v>2.2641455309069398</v>
      </c>
      <c r="P881" s="44">
        <f t="shared" ca="1" si="296"/>
        <v>22.641455309069404</v>
      </c>
      <c r="Q881" s="44">
        <f t="shared" ca="1" si="297"/>
        <v>22.641455309069404</v>
      </c>
      <c r="R881" s="44">
        <f t="shared" ca="1" si="298"/>
        <v>2.2641455309069403</v>
      </c>
      <c r="S881" s="44">
        <f t="shared" ca="1" si="299"/>
        <v>2.2641455309069398</v>
      </c>
      <c r="T881" s="4">
        <f t="shared" ca="1" si="300"/>
        <v>3.2885824384218246E-5</v>
      </c>
      <c r="U881" s="120">
        <f t="shared" ca="1" si="301"/>
        <v>1544.7475619899244</v>
      </c>
      <c r="V881" s="4">
        <f t="shared" ca="1" si="302"/>
        <v>2.243685149567266E-2</v>
      </c>
      <c r="W881" s="13">
        <f t="shared" ca="1" si="303"/>
        <v>24891.340500000002</v>
      </c>
      <c r="X881" s="4">
        <f t="shared" ca="1" si="304"/>
        <v>0.36153694239030965</v>
      </c>
      <c r="Y881" s="4">
        <f t="shared" si="305"/>
        <v>0</v>
      </c>
      <c r="Z881" s="13">
        <f t="shared" ca="1" si="306"/>
        <v>24891.340500000002</v>
      </c>
      <c r="AA881" s="4">
        <f t="shared" ca="1" si="307"/>
        <v>0.36153694239030965</v>
      </c>
    </row>
    <row r="882" spans="1:27">
      <c r="A882">
        <v>2</v>
      </c>
      <c r="B882">
        <v>2</v>
      </c>
      <c r="C882">
        <f t="shared" ca="1" si="286"/>
        <v>8</v>
      </c>
      <c r="D882">
        <f t="shared" ca="1" si="287"/>
        <v>7</v>
      </c>
      <c r="E882">
        <f t="shared" ca="1" si="288"/>
        <v>2</v>
      </c>
      <c r="F882" s="110">
        <f t="shared" ca="1" si="289"/>
        <v>3.7636000000000001E-4</v>
      </c>
      <c r="G882">
        <v>1</v>
      </c>
      <c r="H882">
        <v>0</v>
      </c>
      <c r="I882">
        <v>4</v>
      </c>
      <c r="J882" s="1">
        <f t="shared" ca="1" si="290"/>
        <v>3.3852916015625085E-3</v>
      </c>
      <c r="K882" s="1">
        <f t="shared" ca="1" si="291"/>
        <v>1.2740883471640658E-6</v>
      </c>
      <c r="L882" s="13">
        <f t="shared" ca="1" si="292"/>
        <v>334</v>
      </c>
      <c r="M882" s="7">
        <f t="shared" ca="1" si="293"/>
        <v>666</v>
      </c>
      <c r="N882" s="26">
        <f t="shared" ca="1" si="294"/>
        <v>3</v>
      </c>
      <c r="O882" s="44">
        <f t="shared" ca="1" si="295"/>
        <v>2.2641455309069398</v>
      </c>
      <c r="P882" s="44">
        <f t="shared" ca="1" si="296"/>
        <v>22.641455309069404</v>
      </c>
      <c r="Q882" s="44">
        <f t="shared" ca="1" si="297"/>
        <v>22.641455309069404</v>
      </c>
      <c r="R882" s="44">
        <f t="shared" ca="1" si="298"/>
        <v>2.2641455309069403</v>
      </c>
      <c r="S882" s="44">
        <f t="shared" ca="1" si="299"/>
        <v>2.2641455309069398</v>
      </c>
      <c r="T882" s="4">
        <f t="shared" ca="1" si="300"/>
        <v>2.8847214372121291E-6</v>
      </c>
      <c r="U882" s="120">
        <f t="shared" ca="1" si="301"/>
        <v>1524.7475619899244</v>
      </c>
      <c r="V882" s="4">
        <f t="shared" ca="1" si="302"/>
        <v>1.9426631010981818E-3</v>
      </c>
      <c r="W882" s="13">
        <f t="shared" ca="1" si="303"/>
        <v>20863.615500000004</v>
      </c>
      <c r="X882" s="4">
        <f t="shared" ca="1" si="304"/>
        <v>2.6582089388261589E-2</v>
      </c>
      <c r="Y882" s="4">
        <f t="shared" si="305"/>
        <v>0</v>
      </c>
      <c r="Z882" s="13">
        <f t="shared" ca="1" si="306"/>
        <v>20863.615500000004</v>
      </c>
      <c r="AA882" s="4">
        <f t="shared" ca="1" si="307"/>
        <v>2.6582089388261589E-2</v>
      </c>
    </row>
    <row r="883" spans="1:27">
      <c r="A883">
        <v>2</v>
      </c>
      <c r="B883">
        <v>2</v>
      </c>
      <c r="C883">
        <f t="shared" ca="1" si="286"/>
        <v>8</v>
      </c>
      <c r="D883">
        <f t="shared" ca="1" si="287"/>
        <v>7</v>
      </c>
      <c r="E883">
        <f t="shared" ca="1" si="288"/>
        <v>2</v>
      </c>
      <c r="F883" s="110">
        <f t="shared" ca="1" si="289"/>
        <v>3.7636000000000001E-4</v>
      </c>
      <c r="G883">
        <v>1</v>
      </c>
      <c r="H883">
        <v>0</v>
      </c>
      <c r="I883">
        <v>3</v>
      </c>
      <c r="J883" s="1">
        <f t="shared" ca="1" si="290"/>
        <v>1.7817324218750058E-4</v>
      </c>
      <c r="K883" s="1">
        <f t="shared" ca="1" si="291"/>
        <v>6.7057281429687721E-8</v>
      </c>
      <c r="L883" s="13">
        <f t="shared" ca="1" si="292"/>
        <v>314</v>
      </c>
      <c r="M883" s="7">
        <f t="shared" ca="1" si="293"/>
        <v>686</v>
      </c>
      <c r="N883" s="26">
        <f t="shared" ca="1" si="294"/>
        <v>3</v>
      </c>
      <c r="O883" s="44">
        <f t="shared" ca="1" si="295"/>
        <v>2.2641455309069398</v>
      </c>
      <c r="P883" s="44">
        <f t="shared" ca="1" si="296"/>
        <v>22.641455309069404</v>
      </c>
      <c r="Q883" s="44">
        <f t="shared" ca="1" si="297"/>
        <v>22.641455309069404</v>
      </c>
      <c r="R883" s="44">
        <f t="shared" ca="1" si="298"/>
        <v>2.2641455309069403</v>
      </c>
      <c r="S883" s="44">
        <f t="shared" ca="1" si="299"/>
        <v>2.2641455309069398</v>
      </c>
      <c r="T883" s="4">
        <f t="shared" ca="1" si="300"/>
        <v>1.5182744406379637E-7</v>
      </c>
      <c r="U883" s="120">
        <f t="shared" ca="1" si="301"/>
        <v>1504.7475619899244</v>
      </c>
      <c r="V883" s="4">
        <f t="shared" ca="1" si="302"/>
        <v>1.0090428074499483E-4</v>
      </c>
      <c r="W883" s="13">
        <f t="shared" ca="1" si="303"/>
        <v>16835.890500000001</v>
      </c>
      <c r="X883" s="4">
        <f t="shared" ca="1" si="304"/>
        <v>1.1289690473779059E-3</v>
      </c>
      <c r="Y883" s="4">
        <f t="shared" si="305"/>
        <v>0</v>
      </c>
      <c r="Z883" s="13">
        <f t="shared" ca="1" si="306"/>
        <v>16835.890500000001</v>
      </c>
      <c r="AA883" s="4">
        <f t="shared" ca="1" si="307"/>
        <v>1.1289690473779059E-3</v>
      </c>
    </row>
    <row r="884" spans="1:27">
      <c r="A884">
        <v>2</v>
      </c>
      <c r="B884">
        <v>2</v>
      </c>
      <c r="C884">
        <f t="shared" ca="1" si="286"/>
        <v>8</v>
      </c>
      <c r="D884">
        <f t="shared" ca="1" si="287"/>
        <v>7</v>
      </c>
      <c r="E884">
        <f t="shared" ca="1" si="288"/>
        <v>2</v>
      </c>
      <c r="F884" s="110">
        <f t="shared" ca="1" si="289"/>
        <v>3.7636000000000001E-4</v>
      </c>
      <c r="G884">
        <v>1</v>
      </c>
      <c r="H884">
        <v>0</v>
      </c>
      <c r="I884">
        <v>2</v>
      </c>
      <c r="J884" s="1">
        <f t="shared" ca="1" si="290"/>
        <v>5.6265234375000243E-6</v>
      </c>
      <c r="K884" s="1">
        <f t="shared" ca="1" si="291"/>
        <v>2.1175983609375091E-9</v>
      </c>
      <c r="L884" s="13">
        <f t="shared" ca="1" si="292"/>
        <v>294</v>
      </c>
      <c r="M884" s="7">
        <f t="shared" ca="1" si="293"/>
        <v>706</v>
      </c>
      <c r="N884" s="26">
        <f t="shared" ca="1" si="294"/>
        <v>3</v>
      </c>
      <c r="O884" s="44">
        <f t="shared" ca="1" si="295"/>
        <v>2.2641455309069398</v>
      </c>
      <c r="P884" s="44">
        <f t="shared" ca="1" si="296"/>
        <v>22.641455309069404</v>
      </c>
      <c r="Q884" s="44">
        <f t="shared" ca="1" si="297"/>
        <v>22.641455309069404</v>
      </c>
      <c r="R884" s="44">
        <f t="shared" ca="1" si="298"/>
        <v>2.2641455309069403</v>
      </c>
      <c r="S884" s="44">
        <f t="shared" ca="1" si="299"/>
        <v>2.2641455309069398</v>
      </c>
      <c r="T884" s="4">
        <f t="shared" ca="1" si="300"/>
        <v>4.7945508651725224E-9</v>
      </c>
      <c r="U884" s="120">
        <f t="shared" ca="1" si="301"/>
        <v>1484.7475619899244</v>
      </c>
      <c r="V884" s="4">
        <f t="shared" ca="1" si="302"/>
        <v>3.1440990036758264E-6</v>
      </c>
      <c r="W884" s="13">
        <f t="shared" ca="1" si="303"/>
        <v>12808.165500000003</v>
      </c>
      <c r="X884" s="4">
        <f t="shared" ca="1" si="304"/>
        <v>2.7122550269416356E-5</v>
      </c>
      <c r="Y884" s="4">
        <f t="shared" si="305"/>
        <v>0</v>
      </c>
      <c r="Z884" s="13">
        <f t="shared" ca="1" si="306"/>
        <v>12808.165500000003</v>
      </c>
      <c r="AA884" s="4">
        <f t="shared" ca="1" si="307"/>
        <v>2.7122550269416356E-5</v>
      </c>
    </row>
    <row r="885" spans="1:27">
      <c r="A885">
        <v>2</v>
      </c>
      <c r="B885">
        <v>2</v>
      </c>
      <c r="C885">
        <f t="shared" ca="1" si="286"/>
        <v>8</v>
      </c>
      <c r="D885">
        <f t="shared" ca="1" si="287"/>
        <v>7</v>
      </c>
      <c r="E885">
        <f t="shared" ca="1" si="288"/>
        <v>2</v>
      </c>
      <c r="F885" s="110">
        <f t="shared" ca="1" si="289"/>
        <v>3.7636000000000001E-4</v>
      </c>
      <c r="G885">
        <v>1</v>
      </c>
      <c r="H885">
        <v>0</v>
      </c>
      <c r="I885">
        <v>1</v>
      </c>
      <c r="J885" s="1">
        <f t="shared" ca="1" si="290"/>
        <v>9.8710937500000504E-8</v>
      </c>
      <c r="K885" s="1">
        <f t="shared" ca="1" si="291"/>
        <v>3.7150848437500189E-11</v>
      </c>
      <c r="L885" s="13">
        <f t="shared" ca="1" si="292"/>
        <v>274</v>
      </c>
      <c r="M885" s="7">
        <f t="shared" ca="1" si="293"/>
        <v>726</v>
      </c>
      <c r="N885" s="26">
        <f t="shared" ca="1" si="294"/>
        <v>3</v>
      </c>
      <c r="O885" s="44">
        <f t="shared" ca="1" si="295"/>
        <v>2.2641455309069398</v>
      </c>
      <c r="P885" s="44">
        <f t="shared" ca="1" si="296"/>
        <v>22.641455309069404</v>
      </c>
      <c r="Q885" s="44">
        <f t="shared" ca="1" si="297"/>
        <v>22.641455309069404</v>
      </c>
      <c r="R885" s="44">
        <f t="shared" ca="1" si="298"/>
        <v>2.2641455309069403</v>
      </c>
      <c r="S885" s="44">
        <f t="shared" ca="1" si="299"/>
        <v>2.2641455309069398</v>
      </c>
      <c r="T885" s="4">
        <f t="shared" ca="1" si="300"/>
        <v>8.411492745916712E-11</v>
      </c>
      <c r="U885" s="120">
        <f t="shared" ca="1" si="301"/>
        <v>1464.7475619899244</v>
      </c>
      <c r="V885" s="4">
        <f t="shared" ca="1" si="302"/>
        <v>5.4416614674685591E-8</v>
      </c>
      <c r="W885" s="13">
        <f t="shared" ca="1" si="303"/>
        <v>8780.4405000000006</v>
      </c>
      <c r="X885" s="4">
        <f t="shared" ca="1" si="304"/>
        <v>3.2620081422998838E-7</v>
      </c>
      <c r="Y885" s="4">
        <f t="shared" si="305"/>
        <v>0</v>
      </c>
      <c r="Z885" s="13">
        <f t="shared" ca="1" si="306"/>
        <v>8780.4405000000006</v>
      </c>
      <c r="AA885" s="4">
        <f t="shared" ca="1" si="307"/>
        <v>3.2620081422998838E-7</v>
      </c>
    </row>
    <row r="886" spans="1:27">
      <c r="A886">
        <v>2</v>
      </c>
      <c r="B886">
        <v>2</v>
      </c>
      <c r="C886">
        <f t="shared" ca="1" si="286"/>
        <v>8</v>
      </c>
      <c r="D886">
        <f t="shared" ca="1" si="287"/>
        <v>7</v>
      </c>
      <c r="E886">
        <f t="shared" ca="1" si="288"/>
        <v>2</v>
      </c>
      <c r="F886" s="110">
        <f t="shared" ca="1" si="289"/>
        <v>3.7636000000000001E-4</v>
      </c>
      <c r="G886">
        <v>1</v>
      </c>
      <c r="H886">
        <v>0</v>
      </c>
      <c r="I886">
        <v>0</v>
      </c>
      <c r="J886" s="1">
        <f t="shared" ca="1" si="290"/>
        <v>7.4218750000000458E-10</v>
      </c>
      <c r="K886" s="1">
        <f t="shared" ca="1" si="291"/>
        <v>2.7932968750000172E-13</v>
      </c>
      <c r="L886" s="13">
        <f t="shared" ca="1" si="292"/>
        <v>254</v>
      </c>
      <c r="M886" s="7">
        <f t="shared" ca="1" si="293"/>
        <v>746</v>
      </c>
      <c r="N886" s="26">
        <f t="shared" ca="1" si="294"/>
        <v>3</v>
      </c>
      <c r="O886" s="44">
        <f t="shared" ca="1" si="295"/>
        <v>2.2641455309069398</v>
      </c>
      <c r="P886" s="44">
        <f t="shared" ca="1" si="296"/>
        <v>22.641455309069404</v>
      </c>
      <c r="Q886" s="44">
        <f t="shared" ca="1" si="297"/>
        <v>22.641455309069404</v>
      </c>
      <c r="R886" s="44">
        <f t="shared" ca="1" si="298"/>
        <v>2.2641455309069403</v>
      </c>
      <c r="S886" s="44">
        <f t="shared" ca="1" si="299"/>
        <v>2.2641455309069398</v>
      </c>
      <c r="T886" s="4">
        <f t="shared" ca="1" si="300"/>
        <v>6.3244306360276103E-13</v>
      </c>
      <c r="U886" s="120">
        <f t="shared" ca="1" si="301"/>
        <v>1444.7475619899244</v>
      </c>
      <c r="V886" s="4">
        <f t="shared" ca="1" si="302"/>
        <v>4.0356088500703493E-10</v>
      </c>
      <c r="W886" s="13">
        <f t="shared" ca="1" si="303"/>
        <v>4752.7155000000012</v>
      </c>
      <c r="X886" s="4">
        <f t="shared" ca="1" si="304"/>
        <v>1.3275745353914147E-9</v>
      </c>
      <c r="Y886" s="4">
        <f t="shared" si="305"/>
        <v>0</v>
      </c>
      <c r="Z886" s="13">
        <f t="shared" ca="1" si="306"/>
        <v>4752.7155000000012</v>
      </c>
      <c r="AA886" s="4">
        <f t="shared" ca="1" si="307"/>
        <v>1.3275745353914147E-9</v>
      </c>
    </row>
    <row r="887" spans="1:27">
      <c r="A887">
        <v>2</v>
      </c>
      <c r="B887">
        <v>2</v>
      </c>
      <c r="C887">
        <f t="shared" ca="1" si="286"/>
        <v>8</v>
      </c>
      <c r="D887">
        <f t="shared" ca="1" si="287"/>
        <v>7</v>
      </c>
      <c r="E887">
        <f t="shared" ca="1" si="288"/>
        <v>2</v>
      </c>
      <c r="F887" s="110">
        <f t="shared" ca="1" si="289"/>
        <v>3.7636000000000001E-4</v>
      </c>
      <c r="G887">
        <v>0</v>
      </c>
      <c r="H887">
        <v>1</v>
      </c>
      <c r="I887">
        <v>7</v>
      </c>
      <c r="J887" s="1">
        <f t="shared" ca="1" si="290"/>
        <v>0</v>
      </c>
      <c r="K887" s="1">
        <f t="shared" ca="1" si="291"/>
        <v>0</v>
      </c>
      <c r="L887" s="13">
        <f t="shared" ca="1" si="292"/>
        <v>394</v>
      </c>
      <c r="M887" s="7">
        <f t="shared" ca="1" si="293"/>
        <v>606</v>
      </c>
      <c r="N887" s="26">
        <f t="shared" ca="1" si="294"/>
        <v>3</v>
      </c>
      <c r="O887" s="44">
        <f t="shared" ca="1" si="295"/>
        <v>2.2641455309069398</v>
      </c>
      <c r="P887" s="44">
        <f t="shared" ca="1" si="296"/>
        <v>22.641455309069404</v>
      </c>
      <c r="Q887" s="44">
        <f t="shared" ca="1" si="297"/>
        <v>22.641455309069404</v>
      </c>
      <c r="R887" s="44">
        <f t="shared" ca="1" si="298"/>
        <v>2.2641455309069403</v>
      </c>
      <c r="S887" s="44">
        <f t="shared" ca="1" si="299"/>
        <v>2.2641455309069398</v>
      </c>
      <c r="T887" s="4">
        <f t="shared" ca="1" si="300"/>
        <v>0</v>
      </c>
      <c r="U887" s="120">
        <f t="shared" ca="1" si="301"/>
        <v>1584.7475619899244</v>
      </c>
      <c r="V887" s="4">
        <f t="shared" ca="1" si="302"/>
        <v>0</v>
      </c>
      <c r="W887" s="13">
        <f t="shared" ca="1" si="303"/>
        <v>28194.075000000001</v>
      </c>
      <c r="X887" s="4">
        <f t="shared" ca="1" si="304"/>
        <v>0</v>
      </c>
      <c r="Y887" s="4">
        <f t="shared" si="305"/>
        <v>0</v>
      </c>
      <c r="Z887" s="13">
        <f t="shared" ca="1" si="306"/>
        <v>28194.075000000001</v>
      </c>
      <c r="AA887" s="4">
        <f t="shared" ca="1" si="307"/>
        <v>0</v>
      </c>
    </row>
    <row r="888" spans="1:27">
      <c r="A888">
        <v>2</v>
      </c>
      <c r="B888">
        <v>2</v>
      </c>
      <c r="C888">
        <f t="shared" ca="1" si="286"/>
        <v>8</v>
      </c>
      <c r="D888">
        <f t="shared" ca="1" si="287"/>
        <v>7</v>
      </c>
      <c r="E888">
        <f t="shared" ca="1" si="288"/>
        <v>2</v>
      </c>
      <c r="F888" s="110">
        <f t="shared" ca="1" si="289"/>
        <v>3.7636000000000001E-4</v>
      </c>
      <c r="G888">
        <v>0</v>
      </c>
      <c r="H888">
        <v>1</v>
      </c>
      <c r="I888">
        <v>6</v>
      </c>
      <c r="J888" s="1">
        <f t="shared" ca="1" si="290"/>
        <v>0</v>
      </c>
      <c r="K888" s="1">
        <f t="shared" ca="1" si="291"/>
        <v>0</v>
      </c>
      <c r="L888" s="13">
        <f t="shared" ca="1" si="292"/>
        <v>374</v>
      </c>
      <c r="M888" s="7">
        <f t="shared" ca="1" si="293"/>
        <v>626</v>
      </c>
      <c r="N888" s="26">
        <f t="shared" ca="1" si="294"/>
        <v>3</v>
      </c>
      <c r="O888" s="44">
        <f t="shared" ca="1" si="295"/>
        <v>2.2641455309069398</v>
      </c>
      <c r="P888" s="44">
        <f t="shared" ca="1" si="296"/>
        <v>22.641455309069404</v>
      </c>
      <c r="Q888" s="44">
        <f t="shared" ca="1" si="297"/>
        <v>22.641455309069404</v>
      </c>
      <c r="R888" s="44">
        <f t="shared" ca="1" si="298"/>
        <v>2.2641455309069403</v>
      </c>
      <c r="S888" s="44">
        <f t="shared" ca="1" si="299"/>
        <v>2.2641455309069398</v>
      </c>
      <c r="T888" s="4">
        <f t="shared" ca="1" si="300"/>
        <v>0</v>
      </c>
      <c r="U888" s="120">
        <f t="shared" ca="1" si="301"/>
        <v>1564.7475619899244</v>
      </c>
      <c r="V888" s="4">
        <f t="shared" ca="1" si="302"/>
        <v>0</v>
      </c>
      <c r="W888" s="13">
        <f t="shared" ca="1" si="303"/>
        <v>24166.350000000002</v>
      </c>
      <c r="X888" s="4">
        <f t="shared" ca="1" si="304"/>
        <v>0</v>
      </c>
      <c r="Y888" s="4">
        <f t="shared" si="305"/>
        <v>0</v>
      </c>
      <c r="Z888" s="13">
        <f t="shared" ca="1" si="306"/>
        <v>24166.350000000002</v>
      </c>
      <c r="AA888" s="4">
        <f t="shared" ca="1" si="307"/>
        <v>0</v>
      </c>
    </row>
    <row r="889" spans="1:27">
      <c r="A889">
        <v>2</v>
      </c>
      <c r="B889">
        <v>2</v>
      </c>
      <c r="C889">
        <f t="shared" ca="1" si="286"/>
        <v>8</v>
      </c>
      <c r="D889">
        <f t="shared" ca="1" si="287"/>
        <v>7</v>
      </c>
      <c r="E889">
        <f t="shared" ca="1" si="288"/>
        <v>2</v>
      </c>
      <c r="F889" s="110">
        <f t="shared" ca="1" si="289"/>
        <v>3.7636000000000001E-4</v>
      </c>
      <c r="G889">
        <v>0</v>
      </c>
      <c r="H889">
        <v>1</v>
      </c>
      <c r="I889">
        <v>5</v>
      </c>
      <c r="J889" s="1">
        <f t="shared" ca="1" si="290"/>
        <v>0</v>
      </c>
      <c r="K889" s="1">
        <f t="shared" ca="1" si="291"/>
        <v>0</v>
      </c>
      <c r="L889" s="13">
        <f t="shared" ca="1" si="292"/>
        <v>354</v>
      </c>
      <c r="M889" s="7">
        <f t="shared" ca="1" si="293"/>
        <v>646</v>
      </c>
      <c r="N889" s="26">
        <f t="shared" ca="1" si="294"/>
        <v>3</v>
      </c>
      <c r="O889" s="44">
        <f t="shared" ca="1" si="295"/>
        <v>2.2641455309069398</v>
      </c>
      <c r="P889" s="44">
        <f t="shared" ca="1" si="296"/>
        <v>22.641455309069404</v>
      </c>
      <c r="Q889" s="44">
        <f t="shared" ca="1" si="297"/>
        <v>22.641455309069404</v>
      </c>
      <c r="R889" s="44">
        <f t="shared" ca="1" si="298"/>
        <v>2.2641455309069403</v>
      </c>
      <c r="S889" s="44">
        <f t="shared" ca="1" si="299"/>
        <v>2.2641455309069398</v>
      </c>
      <c r="T889" s="4">
        <f t="shared" ca="1" si="300"/>
        <v>0</v>
      </c>
      <c r="U889" s="120">
        <f t="shared" ca="1" si="301"/>
        <v>1544.7475619899244</v>
      </c>
      <c r="V889" s="4">
        <f t="shared" ca="1" si="302"/>
        <v>0</v>
      </c>
      <c r="W889" s="13">
        <f t="shared" ca="1" si="303"/>
        <v>20138.625</v>
      </c>
      <c r="X889" s="4">
        <f t="shared" ca="1" si="304"/>
        <v>0</v>
      </c>
      <c r="Y889" s="4">
        <f t="shared" si="305"/>
        <v>0</v>
      </c>
      <c r="Z889" s="13">
        <f t="shared" ca="1" si="306"/>
        <v>20138.625</v>
      </c>
      <c r="AA889" s="4">
        <f t="shared" ca="1" si="307"/>
        <v>0</v>
      </c>
    </row>
    <row r="890" spans="1:27">
      <c r="A890">
        <v>2</v>
      </c>
      <c r="B890">
        <v>2</v>
      </c>
      <c r="C890">
        <f t="shared" ca="1" si="286"/>
        <v>8</v>
      </c>
      <c r="D890">
        <f t="shared" ca="1" si="287"/>
        <v>7</v>
      </c>
      <c r="E890">
        <f t="shared" ca="1" si="288"/>
        <v>2</v>
      </c>
      <c r="F890" s="110">
        <f t="shared" ca="1" si="289"/>
        <v>3.7636000000000001E-4</v>
      </c>
      <c r="G890">
        <v>0</v>
      </c>
      <c r="H890">
        <v>1</v>
      </c>
      <c r="I890">
        <v>4</v>
      </c>
      <c r="J890" s="1">
        <f t="shared" ca="1" si="290"/>
        <v>0</v>
      </c>
      <c r="K890" s="1">
        <f t="shared" ca="1" si="291"/>
        <v>0</v>
      </c>
      <c r="L890" s="13">
        <f t="shared" ca="1" si="292"/>
        <v>334</v>
      </c>
      <c r="M890" s="7">
        <f t="shared" ca="1" si="293"/>
        <v>666</v>
      </c>
      <c r="N890" s="26">
        <f t="shared" ca="1" si="294"/>
        <v>3</v>
      </c>
      <c r="O890" s="44">
        <f t="shared" ca="1" si="295"/>
        <v>2.2641455309069398</v>
      </c>
      <c r="P890" s="44">
        <f t="shared" ca="1" si="296"/>
        <v>22.641455309069404</v>
      </c>
      <c r="Q890" s="44">
        <f t="shared" ca="1" si="297"/>
        <v>22.641455309069404</v>
      </c>
      <c r="R890" s="44">
        <f t="shared" ca="1" si="298"/>
        <v>2.2641455309069403</v>
      </c>
      <c r="S890" s="44">
        <f t="shared" ca="1" si="299"/>
        <v>2.2641455309069398</v>
      </c>
      <c r="T890" s="4">
        <f t="shared" ca="1" si="300"/>
        <v>0</v>
      </c>
      <c r="U890" s="120">
        <f t="shared" ca="1" si="301"/>
        <v>1524.7475619899244</v>
      </c>
      <c r="V890" s="4">
        <f t="shared" ca="1" si="302"/>
        <v>0</v>
      </c>
      <c r="W890" s="13">
        <f t="shared" ca="1" si="303"/>
        <v>16110.900000000001</v>
      </c>
      <c r="X890" s="4">
        <f t="shared" ca="1" si="304"/>
        <v>0</v>
      </c>
      <c r="Y890" s="4">
        <f t="shared" si="305"/>
        <v>0</v>
      </c>
      <c r="Z890" s="13">
        <f t="shared" ca="1" si="306"/>
        <v>16110.900000000001</v>
      </c>
      <c r="AA890" s="4">
        <f t="shared" ca="1" si="307"/>
        <v>0</v>
      </c>
    </row>
    <row r="891" spans="1:27">
      <c r="A891">
        <v>2</v>
      </c>
      <c r="B891">
        <v>2</v>
      </c>
      <c r="C891">
        <f t="shared" ca="1" si="286"/>
        <v>8</v>
      </c>
      <c r="D891">
        <f t="shared" ca="1" si="287"/>
        <v>7</v>
      </c>
      <c r="E891">
        <f t="shared" ca="1" si="288"/>
        <v>2</v>
      </c>
      <c r="F891" s="110">
        <f t="shared" ca="1" si="289"/>
        <v>3.7636000000000001E-4</v>
      </c>
      <c r="G891">
        <v>0</v>
      </c>
      <c r="H891">
        <v>1</v>
      </c>
      <c r="I891">
        <v>3</v>
      </c>
      <c r="J891" s="1">
        <f t="shared" ca="1" si="290"/>
        <v>0</v>
      </c>
      <c r="K891" s="1">
        <f t="shared" ca="1" si="291"/>
        <v>0</v>
      </c>
      <c r="L891" s="13">
        <f t="shared" ca="1" si="292"/>
        <v>314</v>
      </c>
      <c r="M891" s="7">
        <f t="shared" ca="1" si="293"/>
        <v>686</v>
      </c>
      <c r="N891" s="26">
        <f t="shared" ca="1" si="294"/>
        <v>3</v>
      </c>
      <c r="O891" s="44">
        <f t="shared" ca="1" si="295"/>
        <v>2.2641455309069398</v>
      </c>
      <c r="P891" s="44">
        <f t="shared" ca="1" si="296"/>
        <v>22.641455309069404</v>
      </c>
      <c r="Q891" s="44">
        <f t="shared" ca="1" si="297"/>
        <v>22.641455309069404</v>
      </c>
      <c r="R891" s="44">
        <f t="shared" ca="1" si="298"/>
        <v>2.2641455309069403</v>
      </c>
      <c r="S891" s="44">
        <f t="shared" ca="1" si="299"/>
        <v>2.2641455309069398</v>
      </c>
      <c r="T891" s="4">
        <f t="shared" ca="1" si="300"/>
        <v>0</v>
      </c>
      <c r="U891" s="120">
        <f t="shared" ca="1" si="301"/>
        <v>1504.7475619899244</v>
      </c>
      <c r="V891" s="4">
        <f t="shared" ca="1" si="302"/>
        <v>0</v>
      </c>
      <c r="W891" s="13">
        <f t="shared" ca="1" si="303"/>
        <v>12083.175000000001</v>
      </c>
      <c r="X891" s="4">
        <f t="shared" ca="1" si="304"/>
        <v>0</v>
      </c>
      <c r="Y891" s="4">
        <f t="shared" si="305"/>
        <v>0</v>
      </c>
      <c r="Z891" s="13">
        <f t="shared" ca="1" si="306"/>
        <v>12083.175000000001</v>
      </c>
      <c r="AA891" s="4">
        <f t="shared" ca="1" si="307"/>
        <v>0</v>
      </c>
    </row>
    <row r="892" spans="1:27">
      <c r="A892">
        <v>2</v>
      </c>
      <c r="B892">
        <v>2</v>
      </c>
      <c r="C892">
        <f t="shared" ca="1" si="286"/>
        <v>8</v>
      </c>
      <c r="D892">
        <f t="shared" ca="1" si="287"/>
        <v>7</v>
      </c>
      <c r="E892">
        <f t="shared" ca="1" si="288"/>
        <v>2</v>
      </c>
      <c r="F892" s="110">
        <f t="shared" ca="1" si="289"/>
        <v>3.7636000000000001E-4</v>
      </c>
      <c r="G892">
        <v>0</v>
      </c>
      <c r="H892">
        <v>1</v>
      </c>
      <c r="I892">
        <v>2</v>
      </c>
      <c r="J892" s="1">
        <f t="shared" ca="1" si="290"/>
        <v>0</v>
      </c>
      <c r="K892" s="1">
        <f t="shared" ca="1" si="291"/>
        <v>0</v>
      </c>
      <c r="L892" s="13">
        <f t="shared" ca="1" si="292"/>
        <v>294</v>
      </c>
      <c r="M892" s="7">
        <f t="shared" ca="1" si="293"/>
        <v>706</v>
      </c>
      <c r="N892" s="26">
        <f t="shared" ca="1" si="294"/>
        <v>3</v>
      </c>
      <c r="O892" s="44">
        <f t="shared" ca="1" si="295"/>
        <v>2.2641455309069398</v>
      </c>
      <c r="P892" s="44">
        <f t="shared" ca="1" si="296"/>
        <v>22.641455309069404</v>
      </c>
      <c r="Q892" s="44">
        <f t="shared" ca="1" si="297"/>
        <v>22.641455309069404</v>
      </c>
      <c r="R892" s="44">
        <f t="shared" ca="1" si="298"/>
        <v>2.2641455309069403</v>
      </c>
      <c r="S892" s="44">
        <f t="shared" ca="1" si="299"/>
        <v>2.2641455309069398</v>
      </c>
      <c r="T892" s="4">
        <f t="shared" ca="1" si="300"/>
        <v>0</v>
      </c>
      <c r="U892" s="120">
        <f t="shared" ca="1" si="301"/>
        <v>1484.7475619899244</v>
      </c>
      <c r="V892" s="4">
        <f t="shared" ca="1" si="302"/>
        <v>0</v>
      </c>
      <c r="W892" s="13">
        <f t="shared" ca="1" si="303"/>
        <v>8055.4500000000007</v>
      </c>
      <c r="X892" s="4">
        <f t="shared" ca="1" si="304"/>
        <v>0</v>
      </c>
      <c r="Y892" s="4">
        <f t="shared" si="305"/>
        <v>0</v>
      </c>
      <c r="Z892" s="13">
        <f t="shared" ca="1" si="306"/>
        <v>8055.4500000000007</v>
      </c>
      <c r="AA892" s="4">
        <f t="shared" ca="1" si="307"/>
        <v>0</v>
      </c>
    </row>
    <row r="893" spans="1:27">
      <c r="A893">
        <v>2</v>
      </c>
      <c r="B893">
        <v>2</v>
      </c>
      <c r="C893">
        <f t="shared" ca="1" si="286"/>
        <v>8</v>
      </c>
      <c r="D893">
        <f t="shared" ca="1" si="287"/>
        <v>7</v>
      </c>
      <c r="E893">
        <f t="shared" ca="1" si="288"/>
        <v>2</v>
      </c>
      <c r="F893" s="110">
        <f t="shared" ca="1" si="289"/>
        <v>3.7636000000000001E-4</v>
      </c>
      <c r="G893">
        <v>0</v>
      </c>
      <c r="H893">
        <v>1</v>
      </c>
      <c r="I893">
        <v>1</v>
      </c>
      <c r="J893" s="1">
        <f t="shared" ca="1" si="290"/>
        <v>0</v>
      </c>
      <c r="K893" s="1">
        <f t="shared" ca="1" si="291"/>
        <v>0</v>
      </c>
      <c r="L893" s="13">
        <f t="shared" ca="1" si="292"/>
        <v>274</v>
      </c>
      <c r="M893" s="7">
        <f t="shared" ca="1" si="293"/>
        <v>726</v>
      </c>
      <c r="N893" s="26">
        <f t="shared" ca="1" si="294"/>
        <v>3</v>
      </c>
      <c r="O893" s="44">
        <f t="shared" ca="1" si="295"/>
        <v>2.2641455309069398</v>
      </c>
      <c r="P893" s="44">
        <f t="shared" ca="1" si="296"/>
        <v>22.641455309069404</v>
      </c>
      <c r="Q893" s="44">
        <f t="shared" ca="1" si="297"/>
        <v>22.641455309069404</v>
      </c>
      <c r="R893" s="44">
        <f t="shared" ca="1" si="298"/>
        <v>2.2641455309069403</v>
      </c>
      <c r="S893" s="44">
        <f t="shared" ca="1" si="299"/>
        <v>2.2641455309069398</v>
      </c>
      <c r="T893" s="4">
        <f t="shared" ca="1" si="300"/>
        <v>0</v>
      </c>
      <c r="U893" s="120">
        <f t="shared" ca="1" si="301"/>
        <v>1464.7475619899244</v>
      </c>
      <c r="V893" s="4">
        <f t="shared" ca="1" si="302"/>
        <v>0</v>
      </c>
      <c r="W893" s="13">
        <f t="shared" ca="1" si="303"/>
        <v>4027.7250000000004</v>
      </c>
      <c r="X893" s="4">
        <f t="shared" ca="1" si="304"/>
        <v>0</v>
      </c>
      <c r="Y893" s="4">
        <f t="shared" si="305"/>
        <v>0</v>
      </c>
      <c r="Z893" s="13">
        <f t="shared" ca="1" si="306"/>
        <v>4027.7250000000004</v>
      </c>
      <c r="AA893" s="4">
        <f t="shared" ca="1" si="307"/>
        <v>0</v>
      </c>
    </row>
    <row r="894" spans="1:27">
      <c r="A894">
        <v>2</v>
      </c>
      <c r="B894">
        <v>2</v>
      </c>
      <c r="C894">
        <f t="shared" ca="1" si="286"/>
        <v>8</v>
      </c>
      <c r="D894">
        <f t="shared" ca="1" si="287"/>
        <v>7</v>
      </c>
      <c r="E894">
        <f t="shared" ca="1" si="288"/>
        <v>2</v>
      </c>
      <c r="F894" s="110">
        <f t="shared" ca="1" si="289"/>
        <v>3.7636000000000001E-4</v>
      </c>
      <c r="G894">
        <v>0</v>
      </c>
      <c r="H894">
        <v>1</v>
      </c>
      <c r="I894">
        <v>0</v>
      </c>
      <c r="J894" s="1">
        <f t="shared" ca="1" si="290"/>
        <v>0</v>
      </c>
      <c r="K894" s="1">
        <f t="shared" ca="1" si="291"/>
        <v>0</v>
      </c>
      <c r="L894" s="13">
        <f t="shared" ca="1" si="292"/>
        <v>254</v>
      </c>
      <c r="M894" s="7">
        <f t="shared" ca="1" si="293"/>
        <v>746</v>
      </c>
      <c r="N894" s="26">
        <f t="shared" ca="1" si="294"/>
        <v>3</v>
      </c>
      <c r="O894" s="44">
        <f t="shared" ca="1" si="295"/>
        <v>2.2641455309069398</v>
      </c>
      <c r="P894" s="44">
        <f t="shared" ca="1" si="296"/>
        <v>22.641455309069404</v>
      </c>
      <c r="Q894" s="44">
        <f t="shared" ca="1" si="297"/>
        <v>22.641455309069404</v>
      </c>
      <c r="R894" s="44">
        <f t="shared" ca="1" si="298"/>
        <v>2.2641455309069403</v>
      </c>
      <c r="S894" s="44">
        <f t="shared" ca="1" si="299"/>
        <v>2.2641455309069398</v>
      </c>
      <c r="T894" s="4">
        <f t="shared" ca="1" si="300"/>
        <v>0</v>
      </c>
      <c r="U894" s="120">
        <f t="shared" ca="1" si="301"/>
        <v>1444.7475619899244</v>
      </c>
      <c r="V894" s="4">
        <f t="shared" ca="1" si="302"/>
        <v>0</v>
      </c>
      <c r="W894" s="13">
        <f t="shared" ca="1" si="303"/>
        <v>0</v>
      </c>
      <c r="X894" s="4">
        <f t="shared" ca="1" si="304"/>
        <v>0</v>
      </c>
      <c r="Y894" s="4">
        <f t="shared" si="305"/>
        <v>0</v>
      </c>
      <c r="Z894" s="13">
        <f t="shared" ca="1" si="306"/>
        <v>0</v>
      </c>
      <c r="AA894" s="4">
        <f t="shared" ca="1" si="307"/>
        <v>0</v>
      </c>
    </row>
    <row r="895" spans="1:27">
      <c r="A895">
        <v>2</v>
      </c>
      <c r="B895">
        <v>2</v>
      </c>
      <c r="C895">
        <f t="shared" ca="1" si="286"/>
        <v>8</v>
      </c>
      <c r="D895">
        <f t="shared" ca="1" si="287"/>
        <v>7</v>
      </c>
      <c r="E895">
        <f t="shared" ca="1" si="288"/>
        <v>2</v>
      </c>
      <c r="F895" s="110">
        <f t="shared" ca="1" si="289"/>
        <v>3.7636000000000001E-4</v>
      </c>
      <c r="G895">
        <v>0</v>
      </c>
      <c r="H895">
        <v>0</v>
      </c>
      <c r="I895">
        <v>7</v>
      </c>
      <c r="J895" s="1">
        <f t="shared" ca="1" si="290"/>
        <v>3.4916864804687496E-2</v>
      </c>
      <c r="K895" s="1">
        <f t="shared" ca="1" si="291"/>
        <v>1.3141311237892186E-5</v>
      </c>
      <c r="L895" s="13">
        <f t="shared" ca="1" si="292"/>
        <v>140</v>
      </c>
      <c r="M895" s="7">
        <f t="shared" ca="1" si="293"/>
        <v>860</v>
      </c>
      <c r="N895" s="26">
        <f t="shared" ca="1" si="294"/>
        <v>4</v>
      </c>
      <c r="O895" s="44">
        <f t="shared" ca="1" si="295"/>
        <v>2.8910364854084887</v>
      </c>
      <c r="P895" s="44">
        <f t="shared" ca="1" si="296"/>
        <v>28.910364854084886</v>
      </c>
      <c r="Q895" s="44">
        <f t="shared" ca="1" si="297"/>
        <v>28.910364854084886</v>
      </c>
      <c r="R895" s="44">
        <f t="shared" ca="1" si="298"/>
        <v>2.8910364854084887</v>
      </c>
      <c r="S895" s="44">
        <f t="shared" ca="1" si="299"/>
        <v>2.8910364854084882</v>
      </c>
      <c r="T895" s="4">
        <f t="shared" ca="1" si="300"/>
        <v>3.7992010254854893E-5</v>
      </c>
      <c r="U895" s="120">
        <f t="shared" ca="1" si="301"/>
        <v>1600.6349838037554</v>
      </c>
      <c r="V895" s="4">
        <f t="shared" ca="1" si="302"/>
        <v>2.1034442500423668E-2</v>
      </c>
      <c r="W895" s="13">
        <f t="shared" ca="1" si="303"/>
        <v>28194.075000000001</v>
      </c>
      <c r="X895" s="4">
        <f t="shared" ca="1" si="304"/>
        <v>0.37050711463947511</v>
      </c>
      <c r="Y895" s="4">
        <f t="shared" si="305"/>
        <v>0</v>
      </c>
      <c r="Z895" s="13">
        <f t="shared" ca="1" si="306"/>
        <v>28194.075000000001</v>
      </c>
      <c r="AA895" s="4">
        <f t="shared" ca="1" si="307"/>
        <v>0.37050711463947511</v>
      </c>
    </row>
    <row r="896" spans="1:27">
      <c r="A896">
        <v>2</v>
      </c>
      <c r="B896">
        <v>2</v>
      </c>
      <c r="C896">
        <f t="shared" ca="1" si="286"/>
        <v>8</v>
      </c>
      <c r="D896">
        <f t="shared" ca="1" si="287"/>
        <v>7</v>
      </c>
      <c r="E896">
        <f t="shared" ca="1" si="288"/>
        <v>2</v>
      </c>
      <c r="F896" s="110">
        <f t="shared" ca="1" si="289"/>
        <v>3.7636000000000001E-4</v>
      </c>
      <c r="G896">
        <v>0</v>
      </c>
      <c r="H896">
        <v>0</v>
      </c>
      <c r="I896">
        <v>6</v>
      </c>
      <c r="J896" s="1">
        <f t="shared" ca="1" si="290"/>
        <v>1.2864108085937513E-2</v>
      </c>
      <c r="K896" s="1">
        <f t="shared" ca="1" si="291"/>
        <v>4.8415357192234429E-6</v>
      </c>
      <c r="L896" s="13">
        <f t="shared" ca="1" si="292"/>
        <v>120</v>
      </c>
      <c r="M896" s="7">
        <f t="shared" ca="1" si="293"/>
        <v>880</v>
      </c>
      <c r="N896" s="26">
        <f t="shared" ca="1" si="294"/>
        <v>4</v>
      </c>
      <c r="O896" s="44">
        <f t="shared" ca="1" si="295"/>
        <v>2.8910364854084887</v>
      </c>
      <c r="P896" s="44">
        <f t="shared" ca="1" si="296"/>
        <v>28.910364854084886</v>
      </c>
      <c r="Q896" s="44">
        <f t="shared" ca="1" si="297"/>
        <v>28.910364854084886</v>
      </c>
      <c r="R896" s="44">
        <f t="shared" ca="1" si="298"/>
        <v>2.8910364854084887</v>
      </c>
      <c r="S896" s="44">
        <f t="shared" ca="1" si="299"/>
        <v>2.8910364854084882</v>
      </c>
      <c r="T896" s="4">
        <f t="shared" ca="1" si="300"/>
        <v>1.3997056409683399E-5</v>
      </c>
      <c r="U896" s="120">
        <f t="shared" ca="1" si="301"/>
        <v>1580.6349838037554</v>
      </c>
      <c r="V896" s="4">
        <f t="shared" ca="1" si="302"/>
        <v>7.6527007331400497E-3</v>
      </c>
      <c r="W896" s="13">
        <f t="shared" ca="1" si="303"/>
        <v>24166.350000000002</v>
      </c>
      <c r="X896" s="4">
        <f t="shared" ca="1" si="304"/>
        <v>0.11700224672825546</v>
      </c>
      <c r="Y896" s="4">
        <f t="shared" si="305"/>
        <v>0</v>
      </c>
      <c r="Z896" s="13">
        <f t="shared" ca="1" si="306"/>
        <v>24166.350000000002</v>
      </c>
      <c r="AA896" s="4">
        <f t="shared" ca="1" si="307"/>
        <v>0.11700224672825546</v>
      </c>
    </row>
    <row r="897" spans="1:27">
      <c r="A897">
        <v>2</v>
      </c>
      <c r="B897">
        <v>2</v>
      </c>
      <c r="C897">
        <f t="shared" ca="1" si="286"/>
        <v>8</v>
      </c>
      <c r="D897">
        <f t="shared" ca="1" si="287"/>
        <v>7</v>
      </c>
      <c r="E897">
        <f t="shared" ca="1" si="288"/>
        <v>2</v>
      </c>
      <c r="F897" s="110">
        <f t="shared" ca="1" si="289"/>
        <v>3.7636000000000001E-4</v>
      </c>
      <c r="G897">
        <v>0</v>
      </c>
      <c r="H897">
        <v>0</v>
      </c>
      <c r="I897">
        <v>5</v>
      </c>
      <c r="J897" s="1">
        <f t="shared" ca="1" si="290"/>
        <v>2.0311749609375038E-3</v>
      </c>
      <c r="K897" s="1">
        <f t="shared" ca="1" si="291"/>
        <v>7.6445300829843898E-7</v>
      </c>
      <c r="L897" s="13">
        <f t="shared" ca="1" si="292"/>
        <v>100</v>
      </c>
      <c r="M897" s="7">
        <f t="shared" ca="1" si="293"/>
        <v>900</v>
      </c>
      <c r="N897" s="26">
        <f t="shared" ca="1" si="294"/>
        <v>4</v>
      </c>
      <c r="O897" s="44">
        <f t="shared" ca="1" si="295"/>
        <v>2.8910364854084887</v>
      </c>
      <c r="P897" s="44">
        <f t="shared" ca="1" si="296"/>
        <v>28.910364854084886</v>
      </c>
      <c r="Q897" s="44">
        <f t="shared" ca="1" si="297"/>
        <v>28.910364854084886</v>
      </c>
      <c r="R897" s="44">
        <f t="shared" ca="1" si="298"/>
        <v>2.8910364854084887</v>
      </c>
      <c r="S897" s="44">
        <f t="shared" ca="1" si="299"/>
        <v>2.8910364854084882</v>
      </c>
      <c r="T897" s="4">
        <f t="shared" ca="1" si="300"/>
        <v>2.2100615383710651E-6</v>
      </c>
      <c r="U897" s="120">
        <f t="shared" ca="1" si="301"/>
        <v>1560.6349838037554</v>
      </c>
      <c r="V897" s="4">
        <f t="shared" ca="1" si="302"/>
        <v>1.1930321082245664E-3</v>
      </c>
      <c r="W897" s="13">
        <f t="shared" ca="1" si="303"/>
        <v>20138.625</v>
      </c>
      <c r="X897" s="4">
        <f t="shared" ca="1" si="304"/>
        <v>1.5395032464244151E-2</v>
      </c>
      <c r="Y897" s="4">
        <f t="shared" si="305"/>
        <v>0</v>
      </c>
      <c r="Z897" s="13">
        <f t="shared" ca="1" si="306"/>
        <v>20138.625</v>
      </c>
      <c r="AA897" s="4">
        <f t="shared" ca="1" si="307"/>
        <v>1.5395032464244151E-2</v>
      </c>
    </row>
    <row r="898" spans="1:27">
      <c r="A898">
        <v>2</v>
      </c>
      <c r="B898">
        <v>2</v>
      </c>
      <c r="C898">
        <f t="shared" ca="1" si="286"/>
        <v>8</v>
      </c>
      <c r="D898">
        <f t="shared" ca="1" si="287"/>
        <v>7</v>
      </c>
      <c r="E898">
        <f t="shared" ca="1" si="288"/>
        <v>2</v>
      </c>
      <c r="F898" s="110">
        <f t="shared" ca="1" si="289"/>
        <v>3.7636000000000001E-4</v>
      </c>
      <c r="G898">
        <v>0</v>
      </c>
      <c r="H898">
        <v>0</v>
      </c>
      <c r="I898">
        <v>4</v>
      </c>
      <c r="J898" s="1">
        <f t="shared" ca="1" si="290"/>
        <v>1.7817324218750047E-4</v>
      </c>
      <c r="K898" s="1">
        <f t="shared" ca="1" si="291"/>
        <v>6.7057281429687681E-8</v>
      </c>
      <c r="L898" s="13">
        <f t="shared" ca="1" si="292"/>
        <v>80</v>
      </c>
      <c r="M898" s="7">
        <f t="shared" ca="1" si="293"/>
        <v>920</v>
      </c>
      <c r="N898" s="26">
        <f t="shared" ca="1" si="294"/>
        <v>4</v>
      </c>
      <c r="O898" s="44">
        <f t="shared" ca="1" si="295"/>
        <v>2.8910364854084887</v>
      </c>
      <c r="P898" s="44">
        <f t="shared" ca="1" si="296"/>
        <v>28.910364854084886</v>
      </c>
      <c r="Q898" s="44">
        <f t="shared" ca="1" si="297"/>
        <v>28.910364854084886</v>
      </c>
      <c r="R898" s="44">
        <f t="shared" ca="1" si="298"/>
        <v>2.8910364854084887</v>
      </c>
      <c r="S898" s="44">
        <f t="shared" ca="1" si="299"/>
        <v>2.8910364854084882</v>
      </c>
      <c r="T898" s="4">
        <f t="shared" ca="1" si="300"/>
        <v>1.9386504722553216E-7</v>
      </c>
      <c r="U898" s="120">
        <f t="shared" ca="1" si="301"/>
        <v>1540.6349838037554</v>
      </c>
      <c r="V898" s="4">
        <f t="shared" ca="1" si="302"/>
        <v>1.0331079368935075E-4</v>
      </c>
      <c r="W898" s="13">
        <f t="shared" ca="1" si="303"/>
        <v>16110.900000000001</v>
      </c>
      <c r="X898" s="4">
        <f t="shared" ca="1" si="304"/>
        <v>1.0803531553855554E-3</v>
      </c>
      <c r="Y898" s="4">
        <f t="shared" si="305"/>
        <v>0</v>
      </c>
      <c r="Z898" s="13">
        <f t="shared" ca="1" si="306"/>
        <v>16110.900000000001</v>
      </c>
      <c r="AA898" s="4">
        <f t="shared" ca="1" si="307"/>
        <v>1.0803531553855554E-3</v>
      </c>
    </row>
    <row r="899" spans="1:27">
      <c r="A899">
        <v>2</v>
      </c>
      <c r="B899">
        <v>2</v>
      </c>
      <c r="C899">
        <f t="shared" ca="1" si="286"/>
        <v>8</v>
      </c>
      <c r="D899">
        <f t="shared" ca="1" si="287"/>
        <v>7</v>
      </c>
      <c r="E899">
        <f t="shared" ca="1" si="288"/>
        <v>2</v>
      </c>
      <c r="F899" s="110">
        <f t="shared" ca="1" si="289"/>
        <v>3.7636000000000001E-4</v>
      </c>
      <c r="G899">
        <v>0</v>
      </c>
      <c r="H899">
        <v>0</v>
      </c>
      <c r="I899">
        <v>3</v>
      </c>
      <c r="J899" s="1">
        <f t="shared" ca="1" si="290"/>
        <v>9.3775390625000315E-6</v>
      </c>
      <c r="K899" s="1">
        <f t="shared" ca="1" si="291"/>
        <v>3.529330601562512E-9</v>
      </c>
      <c r="L899" s="13">
        <f t="shared" ca="1" si="292"/>
        <v>60</v>
      </c>
      <c r="M899" s="7">
        <f t="shared" ca="1" si="293"/>
        <v>940</v>
      </c>
      <c r="N899" s="26">
        <f t="shared" ca="1" si="294"/>
        <v>4</v>
      </c>
      <c r="O899" s="44">
        <f t="shared" ca="1" si="295"/>
        <v>2.8910364854084887</v>
      </c>
      <c r="P899" s="44">
        <f t="shared" ca="1" si="296"/>
        <v>28.910364854084886</v>
      </c>
      <c r="Q899" s="44">
        <f t="shared" ca="1" si="297"/>
        <v>28.910364854084886</v>
      </c>
      <c r="R899" s="44">
        <f t="shared" ca="1" si="298"/>
        <v>2.8910364854084887</v>
      </c>
      <c r="S899" s="44">
        <f t="shared" ca="1" si="299"/>
        <v>2.8910364854084882</v>
      </c>
      <c r="T899" s="4">
        <f t="shared" ca="1" si="300"/>
        <v>1.0203423538185909E-8</v>
      </c>
      <c r="U899" s="120">
        <f t="shared" ca="1" si="301"/>
        <v>1520.6349838037554</v>
      </c>
      <c r="V899" s="4">
        <f t="shared" ca="1" si="302"/>
        <v>5.3668235821451088E-6</v>
      </c>
      <c r="W899" s="13">
        <f t="shared" ca="1" si="303"/>
        <v>12083.175000000001</v>
      </c>
      <c r="X899" s="4">
        <f t="shared" ca="1" si="304"/>
        <v>4.2645519291535109E-5</v>
      </c>
      <c r="Y899" s="4">
        <f t="shared" si="305"/>
        <v>0</v>
      </c>
      <c r="Z899" s="13">
        <f t="shared" ca="1" si="306"/>
        <v>12083.175000000001</v>
      </c>
      <c r="AA899" s="4">
        <f t="shared" ca="1" si="307"/>
        <v>4.2645519291535109E-5</v>
      </c>
    </row>
    <row r="900" spans="1:27">
      <c r="A900">
        <v>2</v>
      </c>
      <c r="B900">
        <v>2</v>
      </c>
      <c r="C900">
        <f t="shared" ca="1" si="286"/>
        <v>8</v>
      </c>
      <c r="D900">
        <f t="shared" ca="1" si="287"/>
        <v>7</v>
      </c>
      <c r="E900">
        <f t="shared" ca="1" si="288"/>
        <v>2</v>
      </c>
      <c r="F900" s="110">
        <f t="shared" ca="1" si="289"/>
        <v>3.7636000000000001E-4</v>
      </c>
      <c r="G900">
        <v>0</v>
      </c>
      <c r="H900">
        <v>0</v>
      </c>
      <c r="I900">
        <v>2</v>
      </c>
      <c r="J900" s="1">
        <f t="shared" ca="1" si="290"/>
        <v>2.961328125000013E-7</v>
      </c>
      <c r="K900" s="1">
        <f t="shared" ca="1" si="291"/>
        <v>1.1145254531250049E-10</v>
      </c>
      <c r="L900" s="13">
        <f t="shared" ca="1" si="292"/>
        <v>40</v>
      </c>
      <c r="M900" s="7">
        <f t="shared" ca="1" si="293"/>
        <v>960</v>
      </c>
      <c r="N900" s="26">
        <f t="shared" ca="1" si="294"/>
        <v>4</v>
      </c>
      <c r="O900" s="44">
        <f t="shared" ca="1" si="295"/>
        <v>2.8910364854084887</v>
      </c>
      <c r="P900" s="44">
        <f t="shared" ca="1" si="296"/>
        <v>28.910364854084886</v>
      </c>
      <c r="Q900" s="44">
        <f t="shared" ca="1" si="297"/>
        <v>28.910364854084886</v>
      </c>
      <c r="R900" s="44">
        <f t="shared" ca="1" si="298"/>
        <v>2.8910364854084887</v>
      </c>
      <c r="S900" s="44">
        <f t="shared" ca="1" si="299"/>
        <v>2.8910364854084882</v>
      </c>
      <c r="T900" s="4">
        <f t="shared" ca="1" si="300"/>
        <v>3.2221337489008171E-10</v>
      </c>
      <c r="U900" s="120">
        <f t="shared" ca="1" si="301"/>
        <v>1500.6349838037554</v>
      </c>
      <c r="V900" s="4">
        <f t="shared" ca="1" si="302"/>
        <v>1.6724958852991149E-7</v>
      </c>
      <c r="W900" s="13">
        <f t="shared" ca="1" si="303"/>
        <v>8055.4500000000007</v>
      </c>
      <c r="X900" s="4">
        <f t="shared" ca="1" si="304"/>
        <v>8.9780040613758218E-7</v>
      </c>
      <c r="Y900" s="4">
        <f t="shared" si="305"/>
        <v>0</v>
      </c>
      <c r="Z900" s="13">
        <f t="shared" ca="1" si="306"/>
        <v>8055.4500000000007</v>
      </c>
      <c r="AA900" s="4">
        <f t="shared" ca="1" si="307"/>
        <v>8.9780040613758218E-7</v>
      </c>
    </row>
    <row r="901" spans="1:27">
      <c r="A901">
        <v>2</v>
      </c>
      <c r="B901">
        <v>2</v>
      </c>
      <c r="C901">
        <f t="shared" ca="1" si="286"/>
        <v>8</v>
      </c>
      <c r="D901">
        <f t="shared" ca="1" si="287"/>
        <v>7</v>
      </c>
      <c r="E901">
        <f t="shared" ca="1" si="288"/>
        <v>2</v>
      </c>
      <c r="F901" s="110">
        <f t="shared" ca="1" si="289"/>
        <v>3.7636000000000001E-4</v>
      </c>
      <c r="G901">
        <v>0</v>
      </c>
      <c r="H901">
        <v>0</v>
      </c>
      <c r="I901">
        <v>1</v>
      </c>
      <c r="J901" s="1">
        <f t="shared" ca="1" si="290"/>
        <v>5.1953125000000272E-9</v>
      </c>
      <c r="K901" s="1">
        <f t="shared" ca="1" si="291"/>
        <v>1.9553078125000101E-12</v>
      </c>
      <c r="L901" s="13">
        <f t="shared" ca="1" si="292"/>
        <v>20</v>
      </c>
      <c r="M901" s="7">
        <f t="shared" ca="1" si="293"/>
        <v>980</v>
      </c>
      <c r="N901" s="26">
        <f t="shared" ca="1" si="294"/>
        <v>4</v>
      </c>
      <c r="O901" s="44">
        <f t="shared" ca="1" si="295"/>
        <v>2.8910364854084887</v>
      </c>
      <c r="P901" s="44">
        <f t="shared" ca="1" si="296"/>
        <v>28.910364854084886</v>
      </c>
      <c r="Q901" s="44">
        <f t="shared" ca="1" si="297"/>
        <v>28.910364854084886</v>
      </c>
      <c r="R901" s="44">
        <f t="shared" ca="1" si="298"/>
        <v>2.8910364854084887</v>
      </c>
      <c r="S901" s="44">
        <f t="shared" ca="1" si="299"/>
        <v>2.8910364854084882</v>
      </c>
      <c r="T901" s="4">
        <f t="shared" ca="1" si="300"/>
        <v>5.6528662261417885E-12</v>
      </c>
      <c r="U901" s="120">
        <f t="shared" ca="1" si="301"/>
        <v>1480.6349838037554</v>
      </c>
      <c r="V901" s="4">
        <f t="shared" ca="1" si="302"/>
        <v>2.8950971512923088E-9</v>
      </c>
      <c r="W901" s="13">
        <f t="shared" ca="1" si="303"/>
        <v>4027.7250000000004</v>
      </c>
      <c r="X901" s="4">
        <f t="shared" ca="1" si="304"/>
        <v>7.8754421591016045E-9</v>
      </c>
      <c r="Y901" s="4">
        <f t="shared" si="305"/>
        <v>0</v>
      </c>
      <c r="Z901" s="13">
        <f t="shared" ca="1" si="306"/>
        <v>4027.7250000000004</v>
      </c>
      <c r="AA901" s="4">
        <f t="shared" ca="1" si="307"/>
        <v>7.8754421591016045E-9</v>
      </c>
    </row>
    <row r="902" spans="1:27">
      <c r="A902">
        <v>2</v>
      </c>
      <c r="B902">
        <v>2</v>
      </c>
      <c r="C902">
        <f t="shared" ca="1" si="286"/>
        <v>8</v>
      </c>
      <c r="D902">
        <f t="shared" ca="1" si="287"/>
        <v>7</v>
      </c>
      <c r="E902">
        <f t="shared" ca="1" si="288"/>
        <v>2</v>
      </c>
      <c r="F902" s="110">
        <f t="shared" ca="1" si="289"/>
        <v>3.7636000000000001E-4</v>
      </c>
      <c r="G902">
        <v>0</v>
      </c>
      <c r="H902">
        <v>0</v>
      </c>
      <c r="I902">
        <v>0</v>
      </c>
      <c r="J902" s="1">
        <f t="shared" ca="1" si="290"/>
        <v>3.9062500000000246E-11</v>
      </c>
      <c r="K902" s="1">
        <f t="shared" ca="1" si="291"/>
        <v>1.4701562500000094E-14</v>
      </c>
      <c r="L902" s="13">
        <f t="shared" ca="1" si="292"/>
        <v>0</v>
      </c>
      <c r="M902" s="7">
        <f t="shared" ca="1" si="293"/>
        <v>1000</v>
      </c>
      <c r="N902" s="26">
        <f t="shared" ca="1" si="294"/>
        <v>4</v>
      </c>
      <c r="O902" s="44">
        <f t="shared" ca="1" si="295"/>
        <v>2.8910364854084887</v>
      </c>
      <c r="P902" s="44">
        <f t="shared" ca="1" si="296"/>
        <v>28.910364854084886</v>
      </c>
      <c r="Q902" s="44">
        <f t="shared" ca="1" si="297"/>
        <v>28.910364854084886</v>
      </c>
      <c r="R902" s="44">
        <f t="shared" ca="1" si="298"/>
        <v>2.8910364854084887</v>
      </c>
      <c r="S902" s="44">
        <f t="shared" ca="1" si="299"/>
        <v>2.8910364854084882</v>
      </c>
      <c r="T902" s="4">
        <f t="shared" ca="1" si="300"/>
        <v>4.2502753580013501E-14</v>
      </c>
      <c r="U902" s="120">
        <f t="shared" ca="1" si="301"/>
        <v>1460.6349838037554</v>
      </c>
      <c r="V902" s="4">
        <f t="shared" ca="1" si="302"/>
        <v>2.1473616504077537E-11</v>
      </c>
      <c r="W902" s="13">
        <f t="shared" ca="1" si="303"/>
        <v>0</v>
      </c>
      <c r="X902" s="4">
        <f t="shared" ca="1" si="304"/>
        <v>0</v>
      </c>
      <c r="Y902" s="4">
        <f t="shared" si="305"/>
        <v>0</v>
      </c>
      <c r="Z902" s="13">
        <f t="shared" ca="1" si="306"/>
        <v>0</v>
      </c>
      <c r="AA902" s="4">
        <f t="shared" ca="1" si="307"/>
        <v>0</v>
      </c>
    </row>
    <row r="903" spans="1:27">
      <c r="A903">
        <v>2</v>
      </c>
      <c r="B903">
        <v>3</v>
      </c>
      <c r="C903">
        <f t="shared" ca="1" si="286"/>
        <v>8</v>
      </c>
      <c r="D903">
        <f t="shared" ca="1" si="287"/>
        <v>7</v>
      </c>
      <c r="E903">
        <f t="shared" ca="1" si="288"/>
        <v>2</v>
      </c>
      <c r="F903" s="110">
        <f t="shared" ca="1" si="289"/>
        <v>5.8199999999999994E-4</v>
      </c>
      <c r="G903">
        <v>1</v>
      </c>
      <c r="H903">
        <v>1</v>
      </c>
      <c r="I903">
        <v>7</v>
      </c>
      <c r="J903" s="1">
        <f t="shared" ca="1" si="290"/>
        <v>0</v>
      </c>
      <c r="K903" s="1">
        <f t="shared" ca="1" si="291"/>
        <v>0</v>
      </c>
      <c r="L903" s="13">
        <f t="shared" ca="1" si="292"/>
        <v>648</v>
      </c>
      <c r="M903" s="7">
        <f t="shared" ca="1" si="293"/>
        <v>352</v>
      </c>
      <c r="N903" s="26">
        <f t="shared" ca="1" si="294"/>
        <v>2</v>
      </c>
      <c r="O903" s="44">
        <f t="shared" ca="1" si="295"/>
        <v>1.5942243152407929</v>
      </c>
      <c r="P903" s="44">
        <f t="shared" ca="1" si="296"/>
        <v>15.942243152407926</v>
      </c>
      <c r="Q903" s="44">
        <f t="shared" ca="1" si="297"/>
        <v>15.942243152407926</v>
      </c>
      <c r="R903" s="44">
        <f t="shared" ca="1" si="298"/>
        <v>1.5942243152407927</v>
      </c>
      <c r="S903" s="44">
        <f t="shared" ca="1" si="299"/>
        <v>1.5942243152407927</v>
      </c>
      <c r="T903" s="4">
        <f t="shared" ca="1" si="300"/>
        <v>0</v>
      </c>
      <c r="U903" s="120">
        <f t="shared" ca="1" si="301"/>
        <v>1550.3348669012169</v>
      </c>
      <c r="V903" s="4">
        <f t="shared" ca="1" si="302"/>
        <v>0</v>
      </c>
      <c r="W903" s="13">
        <f t="shared" ca="1" si="303"/>
        <v>32946.790500000003</v>
      </c>
      <c r="X903" s="4">
        <f t="shared" ca="1" si="304"/>
        <v>0</v>
      </c>
      <c r="Y903" s="4">
        <f t="shared" si="305"/>
        <v>0</v>
      </c>
      <c r="Z903" s="13">
        <f t="shared" ca="1" si="306"/>
        <v>32946.790500000003</v>
      </c>
      <c r="AA903" s="4">
        <f t="shared" ca="1" si="307"/>
        <v>0</v>
      </c>
    </row>
    <row r="904" spans="1:27">
      <c r="A904">
        <v>2</v>
      </c>
      <c r="B904">
        <v>3</v>
      </c>
      <c r="C904">
        <f t="shared" ca="1" si="286"/>
        <v>8</v>
      </c>
      <c r="D904">
        <f t="shared" ca="1" si="287"/>
        <v>7</v>
      </c>
      <c r="E904">
        <f t="shared" ca="1" si="288"/>
        <v>2</v>
      </c>
      <c r="F904" s="110">
        <f t="shared" ca="1" si="289"/>
        <v>5.8199999999999994E-4</v>
      </c>
      <c r="G904">
        <v>1</v>
      </c>
      <c r="H904">
        <v>1</v>
      </c>
      <c r="I904">
        <v>6</v>
      </c>
      <c r="J904" s="1">
        <f t="shared" ca="1" si="290"/>
        <v>0</v>
      </c>
      <c r="K904" s="1">
        <f t="shared" ca="1" si="291"/>
        <v>0</v>
      </c>
      <c r="L904" s="13">
        <f t="shared" ca="1" si="292"/>
        <v>628</v>
      </c>
      <c r="M904" s="7">
        <f t="shared" ca="1" si="293"/>
        <v>372</v>
      </c>
      <c r="N904" s="26">
        <f t="shared" ca="1" si="294"/>
        <v>2</v>
      </c>
      <c r="O904" s="44">
        <f t="shared" ca="1" si="295"/>
        <v>1.5942243152407929</v>
      </c>
      <c r="P904" s="44">
        <f t="shared" ca="1" si="296"/>
        <v>15.942243152407926</v>
      </c>
      <c r="Q904" s="44">
        <f t="shared" ca="1" si="297"/>
        <v>15.942243152407926</v>
      </c>
      <c r="R904" s="44">
        <f t="shared" ca="1" si="298"/>
        <v>1.5942243152407927</v>
      </c>
      <c r="S904" s="44">
        <f t="shared" ca="1" si="299"/>
        <v>1.5942243152407927</v>
      </c>
      <c r="T904" s="4">
        <f t="shared" ca="1" si="300"/>
        <v>0</v>
      </c>
      <c r="U904" s="120">
        <f t="shared" ca="1" si="301"/>
        <v>1530.3348669012169</v>
      </c>
      <c r="V904" s="4">
        <f t="shared" ca="1" si="302"/>
        <v>0</v>
      </c>
      <c r="W904" s="13">
        <f t="shared" ca="1" si="303"/>
        <v>28919.065500000004</v>
      </c>
      <c r="X904" s="4">
        <f t="shared" ca="1" si="304"/>
        <v>0</v>
      </c>
      <c r="Y904" s="4">
        <f t="shared" si="305"/>
        <v>0</v>
      </c>
      <c r="Z904" s="13">
        <f t="shared" ca="1" si="306"/>
        <v>28919.065500000004</v>
      </c>
      <c r="AA904" s="4">
        <f t="shared" ca="1" si="307"/>
        <v>0</v>
      </c>
    </row>
    <row r="905" spans="1:27">
      <c r="A905">
        <v>2</v>
      </c>
      <c r="B905">
        <v>3</v>
      </c>
      <c r="C905">
        <f t="shared" ca="1" si="286"/>
        <v>8</v>
      </c>
      <c r="D905">
        <f t="shared" ca="1" si="287"/>
        <v>7</v>
      </c>
      <c r="E905">
        <f t="shared" ca="1" si="288"/>
        <v>2</v>
      </c>
      <c r="F905" s="110">
        <f t="shared" ca="1" si="289"/>
        <v>5.8199999999999994E-4</v>
      </c>
      <c r="G905">
        <v>1</v>
      </c>
      <c r="H905">
        <v>1</v>
      </c>
      <c r="I905">
        <v>5</v>
      </c>
      <c r="J905" s="1">
        <f t="shared" ca="1" si="290"/>
        <v>0</v>
      </c>
      <c r="K905" s="1">
        <f t="shared" ca="1" si="291"/>
        <v>0</v>
      </c>
      <c r="L905" s="13">
        <f t="shared" ca="1" si="292"/>
        <v>608</v>
      </c>
      <c r="M905" s="7">
        <f t="shared" ca="1" si="293"/>
        <v>392</v>
      </c>
      <c r="N905" s="26">
        <f t="shared" ca="1" si="294"/>
        <v>2</v>
      </c>
      <c r="O905" s="44">
        <f t="shared" ca="1" si="295"/>
        <v>1.5942243152407929</v>
      </c>
      <c r="P905" s="44">
        <f t="shared" ca="1" si="296"/>
        <v>15.942243152407926</v>
      </c>
      <c r="Q905" s="44">
        <f t="shared" ca="1" si="297"/>
        <v>15.942243152407926</v>
      </c>
      <c r="R905" s="44">
        <f t="shared" ca="1" si="298"/>
        <v>1.5942243152407927</v>
      </c>
      <c r="S905" s="44">
        <f t="shared" ca="1" si="299"/>
        <v>1.5942243152407927</v>
      </c>
      <c r="T905" s="4">
        <f t="shared" ca="1" si="300"/>
        <v>0</v>
      </c>
      <c r="U905" s="120">
        <f t="shared" ca="1" si="301"/>
        <v>1510.3348669012169</v>
      </c>
      <c r="V905" s="4">
        <f t="shared" ca="1" si="302"/>
        <v>0</v>
      </c>
      <c r="W905" s="13">
        <f t="shared" ca="1" si="303"/>
        <v>24891.340500000002</v>
      </c>
      <c r="X905" s="4">
        <f t="shared" ca="1" si="304"/>
        <v>0</v>
      </c>
      <c r="Y905" s="4">
        <f t="shared" si="305"/>
        <v>0</v>
      </c>
      <c r="Z905" s="13">
        <f t="shared" ca="1" si="306"/>
        <v>24891.340500000002</v>
      </c>
      <c r="AA905" s="4">
        <f t="shared" ca="1" si="307"/>
        <v>0</v>
      </c>
    </row>
    <row r="906" spans="1:27">
      <c r="A906">
        <v>2</v>
      </c>
      <c r="B906">
        <v>3</v>
      </c>
      <c r="C906">
        <f t="shared" ca="1" si="286"/>
        <v>8</v>
      </c>
      <c r="D906">
        <f t="shared" ca="1" si="287"/>
        <v>7</v>
      </c>
      <c r="E906">
        <f t="shared" ca="1" si="288"/>
        <v>2</v>
      </c>
      <c r="F906" s="110">
        <f t="shared" ca="1" si="289"/>
        <v>5.8199999999999994E-4</v>
      </c>
      <c r="G906">
        <v>1</v>
      </c>
      <c r="H906">
        <v>1</v>
      </c>
      <c r="I906">
        <v>4</v>
      </c>
      <c r="J906" s="1">
        <f t="shared" ca="1" si="290"/>
        <v>0</v>
      </c>
      <c r="K906" s="1">
        <f t="shared" ca="1" si="291"/>
        <v>0</v>
      </c>
      <c r="L906" s="13">
        <f t="shared" ca="1" si="292"/>
        <v>588</v>
      </c>
      <c r="M906" s="7">
        <f t="shared" ca="1" si="293"/>
        <v>412</v>
      </c>
      <c r="N906" s="26">
        <f t="shared" ca="1" si="294"/>
        <v>2</v>
      </c>
      <c r="O906" s="44">
        <f t="shared" ca="1" si="295"/>
        <v>1.5942243152407929</v>
      </c>
      <c r="P906" s="44">
        <f t="shared" ca="1" si="296"/>
        <v>15.942243152407926</v>
      </c>
      <c r="Q906" s="44">
        <f t="shared" ca="1" si="297"/>
        <v>15.942243152407926</v>
      </c>
      <c r="R906" s="44">
        <f t="shared" ca="1" si="298"/>
        <v>1.5942243152407927</v>
      </c>
      <c r="S906" s="44">
        <f t="shared" ca="1" si="299"/>
        <v>1.5942243152407927</v>
      </c>
      <c r="T906" s="4">
        <f t="shared" ca="1" si="300"/>
        <v>0</v>
      </c>
      <c r="U906" s="120">
        <f t="shared" ca="1" si="301"/>
        <v>1490.3348669012169</v>
      </c>
      <c r="V906" s="4">
        <f t="shared" ca="1" si="302"/>
        <v>0</v>
      </c>
      <c r="W906" s="13">
        <f t="shared" ca="1" si="303"/>
        <v>20863.615500000004</v>
      </c>
      <c r="X906" s="4">
        <f t="shared" ca="1" si="304"/>
        <v>0</v>
      </c>
      <c r="Y906" s="4">
        <f t="shared" si="305"/>
        <v>0</v>
      </c>
      <c r="Z906" s="13">
        <f t="shared" ca="1" si="306"/>
        <v>20863.615500000004</v>
      </c>
      <c r="AA906" s="4">
        <f t="shared" ca="1" si="307"/>
        <v>0</v>
      </c>
    </row>
    <row r="907" spans="1:27">
      <c r="A907">
        <v>2</v>
      </c>
      <c r="B907">
        <v>3</v>
      </c>
      <c r="C907">
        <f t="shared" ca="1" si="286"/>
        <v>8</v>
      </c>
      <c r="D907">
        <f t="shared" ca="1" si="287"/>
        <v>7</v>
      </c>
      <c r="E907">
        <f t="shared" ca="1" si="288"/>
        <v>2</v>
      </c>
      <c r="F907" s="110">
        <f t="shared" ca="1" si="289"/>
        <v>5.8199999999999994E-4</v>
      </c>
      <c r="G907">
        <v>1</v>
      </c>
      <c r="H907">
        <v>1</v>
      </c>
      <c r="I907">
        <v>3</v>
      </c>
      <c r="J907" s="1">
        <f t="shared" ca="1" si="290"/>
        <v>0</v>
      </c>
      <c r="K907" s="1">
        <f t="shared" ca="1" si="291"/>
        <v>0</v>
      </c>
      <c r="L907" s="13">
        <f t="shared" ca="1" si="292"/>
        <v>568</v>
      </c>
      <c r="M907" s="7">
        <f t="shared" ca="1" si="293"/>
        <v>432</v>
      </c>
      <c r="N907" s="26">
        <f t="shared" ca="1" si="294"/>
        <v>2</v>
      </c>
      <c r="O907" s="44">
        <f t="shared" ca="1" si="295"/>
        <v>1.5942243152407929</v>
      </c>
      <c r="P907" s="44">
        <f t="shared" ca="1" si="296"/>
        <v>15.942243152407926</v>
      </c>
      <c r="Q907" s="44">
        <f t="shared" ca="1" si="297"/>
        <v>15.942243152407926</v>
      </c>
      <c r="R907" s="44">
        <f t="shared" ca="1" si="298"/>
        <v>1.5942243152407927</v>
      </c>
      <c r="S907" s="44">
        <f t="shared" ca="1" si="299"/>
        <v>1.5942243152407927</v>
      </c>
      <c r="T907" s="4">
        <f t="shared" ca="1" si="300"/>
        <v>0</v>
      </c>
      <c r="U907" s="120">
        <f t="shared" ca="1" si="301"/>
        <v>1470.3348669012169</v>
      </c>
      <c r="V907" s="4">
        <f t="shared" ca="1" si="302"/>
        <v>0</v>
      </c>
      <c r="W907" s="13">
        <f t="shared" ca="1" si="303"/>
        <v>16835.890500000001</v>
      </c>
      <c r="X907" s="4">
        <f t="shared" ca="1" si="304"/>
        <v>0</v>
      </c>
      <c r="Y907" s="4">
        <f t="shared" si="305"/>
        <v>0</v>
      </c>
      <c r="Z907" s="13">
        <f t="shared" ca="1" si="306"/>
        <v>16835.890500000001</v>
      </c>
      <c r="AA907" s="4">
        <f t="shared" ca="1" si="307"/>
        <v>0</v>
      </c>
    </row>
    <row r="908" spans="1:27">
      <c r="A908">
        <v>2</v>
      </c>
      <c r="B908">
        <v>3</v>
      </c>
      <c r="C908">
        <f t="shared" ca="1" si="286"/>
        <v>8</v>
      </c>
      <c r="D908">
        <f t="shared" ca="1" si="287"/>
        <v>7</v>
      </c>
      <c r="E908">
        <f t="shared" ca="1" si="288"/>
        <v>2</v>
      </c>
      <c r="F908" s="110">
        <f t="shared" ca="1" si="289"/>
        <v>5.8199999999999994E-4</v>
      </c>
      <c r="G908">
        <v>1</v>
      </c>
      <c r="H908">
        <v>1</v>
      </c>
      <c r="I908">
        <v>2</v>
      </c>
      <c r="J908" s="1">
        <f t="shared" ca="1" si="290"/>
        <v>0</v>
      </c>
      <c r="K908" s="1">
        <f t="shared" ca="1" si="291"/>
        <v>0</v>
      </c>
      <c r="L908" s="13">
        <f t="shared" ca="1" si="292"/>
        <v>548</v>
      </c>
      <c r="M908" s="7">
        <f t="shared" ca="1" si="293"/>
        <v>452</v>
      </c>
      <c r="N908" s="26">
        <f t="shared" ca="1" si="294"/>
        <v>2</v>
      </c>
      <c r="O908" s="44">
        <f t="shared" ca="1" si="295"/>
        <v>1.5942243152407929</v>
      </c>
      <c r="P908" s="44">
        <f t="shared" ca="1" si="296"/>
        <v>15.942243152407926</v>
      </c>
      <c r="Q908" s="44">
        <f t="shared" ca="1" si="297"/>
        <v>15.942243152407926</v>
      </c>
      <c r="R908" s="44">
        <f t="shared" ca="1" si="298"/>
        <v>1.5942243152407927</v>
      </c>
      <c r="S908" s="44">
        <f t="shared" ca="1" si="299"/>
        <v>1.5942243152407927</v>
      </c>
      <c r="T908" s="4">
        <f t="shared" ca="1" si="300"/>
        <v>0</v>
      </c>
      <c r="U908" s="120">
        <f t="shared" ca="1" si="301"/>
        <v>1450.3348669012169</v>
      </c>
      <c r="V908" s="4">
        <f t="shared" ca="1" si="302"/>
        <v>0</v>
      </c>
      <c r="W908" s="13">
        <f t="shared" ca="1" si="303"/>
        <v>12808.165500000003</v>
      </c>
      <c r="X908" s="4">
        <f t="shared" ca="1" si="304"/>
        <v>0</v>
      </c>
      <c r="Y908" s="4">
        <f t="shared" si="305"/>
        <v>0</v>
      </c>
      <c r="Z908" s="13">
        <f t="shared" ca="1" si="306"/>
        <v>12808.165500000003</v>
      </c>
      <c r="AA908" s="4">
        <f t="shared" ca="1" si="307"/>
        <v>0</v>
      </c>
    </row>
    <row r="909" spans="1:27">
      <c r="A909">
        <v>2</v>
      </c>
      <c r="B909">
        <v>3</v>
      </c>
      <c r="C909">
        <f t="shared" ca="1" si="286"/>
        <v>8</v>
      </c>
      <c r="D909">
        <f t="shared" ca="1" si="287"/>
        <v>7</v>
      </c>
      <c r="E909">
        <f t="shared" ca="1" si="288"/>
        <v>2</v>
      </c>
      <c r="F909" s="110">
        <f t="shared" ca="1" si="289"/>
        <v>5.8199999999999994E-4</v>
      </c>
      <c r="G909">
        <v>1</v>
      </c>
      <c r="H909">
        <v>1</v>
      </c>
      <c r="I909">
        <v>1</v>
      </c>
      <c r="J909" s="1">
        <f t="shared" ca="1" si="290"/>
        <v>0</v>
      </c>
      <c r="K909" s="1">
        <f t="shared" ca="1" si="291"/>
        <v>0</v>
      </c>
      <c r="L909" s="13">
        <f t="shared" ca="1" si="292"/>
        <v>528</v>
      </c>
      <c r="M909" s="7">
        <f t="shared" ca="1" si="293"/>
        <v>472</v>
      </c>
      <c r="N909" s="26">
        <f t="shared" ca="1" si="294"/>
        <v>2</v>
      </c>
      <c r="O909" s="44">
        <f t="shared" ca="1" si="295"/>
        <v>1.5942243152407929</v>
      </c>
      <c r="P909" s="44">
        <f t="shared" ca="1" si="296"/>
        <v>15.942243152407926</v>
      </c>
      <c r="Q909" s="44">
        <f t="shared" ca="1" si="297"/>
        <v>15.942243152407926</v>
      </c>
      <c r="R909" s="44">
        <f t="shared" ca="1" si="298"/>
        <v>1.5942243152407927</v>
      </c>
      <c r="S909" s="44">
        <f t="shared" ca="1" si="299"/>
        <v>1.5942243152407927</v>
      </c>
      <c r="T909" s="4">
        <f t="shared" ca="1" si="300"/>
        <v>0</v>
      </c>
      <c r="U909" s="120">
        <f t="shared" ca="1" si="301"/>
        <v>1430.3348669012169</v>
      </c>
      <c r="V909" s="4">
        <f t="shared" ca="1" si="302"/>
        <v>0</v>
      </c>
      <c r="W909" s="13">
        <f t="shared" ca="1" si="303"/>
        <v>8780.4405000000006</v>
      </c>
      <c r="X909" s="4">
        <f t="shared" ca="1" si="304"/>
        <v>0</v>
      </c>
      <c r="Y909" s="4">
        <f t="shared" si="305"/>
        <v>0</v>
      </c>
      <c r="Z909" s="13">
        <f t="shared" ca="1" si="306"/>
        <v>8780.4405000000006</v>
      </c>
      <c r="AA909" s="4">
        <f t="shared" ca="1" si="307"/>
        <v>0</v>
      </c>
    </row>
    <row r="910" spans="1:27">
      <c r="A910">
        <v>2</v>
      </c>
      <c r="B910">
        <v>3</v>
      </c>
      <c r="C910">
        <f t="shared" ca="1" si="286"/>
        <v>8</v>
      </c>
      <c r="D910">
        <f t="shared" ca="1" si="287"/>
        <v>7</v>
      </c>
      <c r="E910">
        <f t="shared" ca="1" si="288"/>
        <v>2</v>
      </c>
      <c r="F910" s="110">
        <f t="shared" ca="1" si="289"/>
        <v>5.8199999999999994E-4</v>
      </c>
      <c r="G910">
        <v>1</v>
      </c>
      <c r="H910">
        <v>1</v>
      </c>
      <c r="I910">
        <v>0</v>
      </c>
      <c r="J910" s="1">
        <f t="shared" ca="1" si="290"/>
        <v>0</v>
      </c>
      <c r="K910" s="1">
        <f t="shared" ca="1" si="291"/>
        <v>0</v>
      </c>
      <c r="L910" s="13">
        <f t="shared" ca="1" si="292"/>
        <v>508</v>
      </c>
      <c r="M910" s="7">
        <f t="shared" ca="1" si="293"/>
        <v>492</v>
      </c>
      <c r="N910" s="26">
        <f t="shared" ca="1" si="294"/>
        <v>2</v>
      </c>
      <c r="O910" s="44">
        <f t="shared" ca="1" si="295"/>
        <v>1.5942243152407929</v>
      </c>
      <c r="P910" s="44">
        <f t="shared" ca="1" si="296"/>
        <v>15.942243152407926</v>
      </c>
      <c r="Q910" s="44">
        <f t="shared" ca="1" si="297"/>
        <v>15.942243152407926</v>
      </c>
      <c r="R910" s="44">
        <f t="shared" ca="1" si="298"/>
        <v>1.5942243152407927</v>
      </c>
      <c r="S910" s="44">
        <f t="shared" ca="1" si="299"/>
        <v>1.5942243152407927</v>
      </c>
      <c r="T910" s="4">
        <f t="shared" ca="1" si="300"/>
        <v>0</v>
      </c>
      <c r="U910" s="120">
        <f t="shared" ca="1" si="301"/>
        <v>1410.3348669012169</v>
      </c>
      <c r="V910" s="4">
        <f t="shared" ca="1" si="302"/>
        <v>0</v>
      </c>
      <c r="W910" s="13">
        <f t="shared" ca="1" si="303"/>
        <v>4752.7155000000012</v>
      </c>
      <c r="X910" s="4">
        <f t="shared" ca="1" si="304"/>
        <v>0</v>
      </c>
      <c r="Y910" s="4">
        <f t="shared" si="305"/>
        <v>0</v>
      </c>
      <c r="Z910" s="13">
        <f t="shared" ca="1" si="306"/>
        <v>4752.7155000000012</v>
      </c>
      <c r="AA910" s="4">
        <f t="shared" ca="1" si="307"/>
        <v>0</v>
      </c>
    </row>
    <row r="911" spans="1:27">
      <c r="A911">
        <v>2</v>
      </c>
      <c r="B911">
        <v>3</v>
      </c>
      <c r="C911">
        <f t="shared" ca="1" si="286"/>
        <v>8</v>
      </c>
      <c r="D911">
        <f t="shared" ca="1" si="287"/>
        <v>7</v>
      </c>
      <c r="E911">
        <f t="shared" ca="1" si="288"/>
        <v>2</v>
      </c>
      <c r="F911" s="110">
        <f t="shared" ca="1" si="289"/>
        <v>5.8199999999999994E-4</v>
      </c>
      <c r="G911">
        <v>1</v>
      </c>
      <c r="H911">
        <v>0</v>
      </c>
      <c r="I911">
        <v>7</v>
      </c>
      <c r="J911" s="1">
        <f t="shared" ca="1" si="290"/>
        <v>0.66342043128906247</v>
      </c>
      <c r="K911" s="1">
        <f t="shared" ca="1" si="291"/>
        <v>3.8611069101023433E-4</v>
      </c>
      <c r="L911" s="13">
        <f t="shared" ca="1" si="292"/>
        <v>394</v>
      </c>
      <c r="M911" s="7">
        <f t="shared" ca="1" si="293"/>
        <v>606</v>
      </c>
      <c r="N911" s="26">
        <f t="shared" ca="1" si="294"/>
        <v>3</v>
      </c>
      <c r="O911" s="44">
        <f t="shared" ca="1" si="295"/>
        <v>2.2641455309069398</v>
      </c>
      <c r="P911" s="44">
        <f t="shared" ca="1" si="296"/>
        <v>22.641455309069404</v>
      </c>
      <c r="Q911" s="44">
        <f t="shared" ca="1" si="297"/>
        <v>22.641455309069404</v>
      </c>
      <c r="R911" s="44">
        <f t="shared" ca="1" si="298"/>
        <v>2.2641455309069403</v>
      </c>
      <c r="S911" s="44">
        <f t="shared" ca="1" si="299"/>
        <v>2.2641455309069398</v>
      </c>
      <c r="T911" s="4">
        <f t="shared" ca="1" si="300"/>
        <v>8.7421079548621243E-4</v>
      </c>
      <c r="U911" s="120">
        <f t="shared" ca="1" si="301"/>
        <v>1584.7475619899244</v>
      </c>
      <c r="V911" s="4">
        <f t="shared" ca="1" si="302"/>
        <v>0.61188797623671387</v>
      </c>
      <c r="W911" s="13">
        <f t="shared" ca="1" si="303"/>
        <v>32946.790500000003</v>
      </c>
      <c r="X911" s="4">
        <f t="shared" ca="1" si="304"/>
        <v>12.721108046524424</v>
      </c>
      <c r="Y911" s="4">
        <f t="shared" si="305"/>
        <v>0</v>
      </c>
      <c r="Z911" s="13">
        <f t="shared" ca="1" si="306"/>
        <v>32946.790500000003</v>
      </c>
      <c r="AA911" s="4">
        <f t="shared" ca="1" si="307"/>
        <v>12.721108046524424</v>
      </c>
    </row>
    <row r="912" spans="1:27">
      <c r="A912">
        <v>2</v>
      </c>
      <c r="B912">
        <v>3</v>
      </c>
      <c r="C912">
        <f t="shared" ca="1" si="286"/>
        <v>8</v>
      </c>
      <c r="D912">
        <f t="shared" ca="1" si="287"/>
        <v>7</v>
      </c>
      <c r="E912">
        <f t="shared" ca="1" si="288"/>
        <v>2</v>
      </c>
      <c r="F912" s="110">
        <f t="shared" ca="1" si="289"/>
        <v>5.8199999999999994E-4</v>
      </c>
      <c r="G912">
        <v>1</v>
      </c>
      <c r="H912">
        <v>0</v>
      </c>
      <c r="I912">
        <v>6</v>
      </c>
      <c r="J912" s="1">
        <f t="shared" ca="1" si="290"/>
        <v>0.24441805363281272</v>
      </c>
      <c r="K912" s="1">
        <f t="shared" ca="1" si="291"/>
        <v>1.4225130721429697E-4</v>
      </c>
      <c r="L912" s="13">
        <f t="shared" ca="1" si="292"/>
        <v>374</v>
      </c>
      <c r="M912" s="7">
        <f t="shared" ca="1" si="293"/>
        <v>626</v>
      </c>
      <c r="N912" s="26">
        <f t="shared" ca="1" si="294"/>
        <v>3</v>
      </c>
      <c r="O912" s="44">
        <f t="shared" ca="1" si="295"/>
        <v>2.2641455309069398</v>
      </c>
      <c r="P912" s="44">
        <f t="shared" ca="1" si="296"/>
        <v>22.641455309069404</v>
      </c>
      <c r="Q912" s="44">
        <f t="shared" ca="1" si="297"/>
        <v>22.641455309069404</v>
      </c>
      <c r="R912" s="44">
        <f t="shared" ca="1" si="298"/>
        <v>2.2641455309069403</v>
      </c>
      <c r="S912" s="44">
        <f t="shared" ca="1" si="299"/>
        <v>2.2641455309069398</v>
      </c>
      <c r="T912" s="4">
        <f t="shared" ca="1" si="300"/>
        <v>3.2207766149492062E-4</v>
      </c>
      <c r="U912" s="120">
        <f t="shared" ca="1" si="301"/>
        <v>1564.7475619899244</v>
      </c>
      <c r="V912" s="4">
        <f t="shared" ca="1" si="302"/>
        <v>0.22258738615345094</v>
      </c>
      <c r="W912" s="13">
        <f t="shared" ca="1" si="303"/>
        <v>28919.065500000004</v>
      </c>
      <c r="X912" s="4">
        <f t="shared" ca="1" si="304"/>
        <v>4.113774870790877</v>
      </c>
      <c r="Y912" s="4">
        <f t="shared" si="305"/>
        <v>0</v>
      </c>
      <c r="Z912" s="13">
        <f t="shared" ca="1" si="306"/>
        <v>28919.065500000004</v>
      </c>
      <c r="AA912" s="4">
        <f t="shared" ca="1" si="307"/>
        <v>4.113774870790877</v>
      </c>
    </row>
    <row r="913" spans="1:27">
      <c r="A913">
        <v>2</v>
      </c>
      <c r="B913">
        <v>3</v>
      </c>
      <c r="C913">
        <f t="shared" ca="1" si="286"/>
        <v>8</v>
      </c>
      <c r="D913">
        <f t="shared" ca="1" si="287"/>
        <v>7</v>
      </c>
      <c r="E913">
        <f t="shared" ca="1" si="288"/>
        <v>2</v>
      </c>
      <c r="F913" s="110">
        <f t="shared" ca="1" si="289"/>
        <v>5.8199999999999994E-4</v>
      </c>
      <c r="G913">
        <v>1</v>
      </c>
      <c r="H913">
        <v>0</v>
      </c>
      <c r="I913">
        <v>5</v>
      </c>
      <c r="J913" s="1">
        <f t="shared" ca="1" si="290"/>
        <v>3.8592324257812567E-2</v>
      </c>
      <c r="K913" s="1">
        <f t="shared" ca="1" si="291"/>
        <v>2.2460732718046913E-5</v>
      </c>
      <c r="L913" s="13">
        <f t="shared" ca="1" si="292"/>
        <v>354</v>
      </c>
      <c r="M913" s="7">
        <f t="shared" ca="1" si="293"/>
        <v>646</v>
      </c>
      <c r="N913" s="26">
        <f t="shared" ca="1" si="294"/>
        <v>3</v>
      </c>
      <c r="O913" s="44">
        <f t="shared" ca="1" si="295"/>
        <v>2.2641455309069398</v>
      </c>
      <c r="P913" s="44">
        <f t="shared" ca="1" si="296"/>
        <v>22.641455309069404</v>
      </c>
      <c r="Q913" s="44">
        <f t="shared" ca="1" si="297"/>
        <v>22.641455309069404</v>
      </c>
      <c r="R913" s="44">
        <f t="shared" ca="1" si="298"/>
        <v>2.2641455309069403</v>
      </c>
      <c r="S913" s="44">
        <f t="shared" ca="1" si="299"/>
        <v>2.2641455309069398</v>
      </c>
      <c r="T913" s="4">
        <f t="shared" ca="1" si="300"/>
        <v>5.0854367604461199E-5</v>
      </c>
      <c r="U913" s="120">
        <f t="shared" ca="1" si="301"/>
        <v>1544.7475619899244</v>
      </c>
      <c r="V913" s="4">
        <f t="shared" ca="1" si="302"/>
        <v>3.4696162106710296E-2</v>
      </c>
      <c r="W913" s="13">
        <f t="shared" ca="1" si="303"/>
        <v>24891.340500000002</v>
      </c>
      <c r="X913" s="4">
        <f t="shared" ca="1" si="304"/>
        <v>0.5590777459643963</v>
      </c>
      <c r="Y913" s="4">
        <f t="shared" si="305"/>
        <v>0</v>
      </c>
      <c r="Z913" s="13">
        <f t="shared" ca="1" si="306"/>
        <v>24891.340500000002</v>
      </c>
      <c r="AA913" s="4">
        <f t="shared" ca="1" si="307"/>
        <v>0.5590777459643963</v>
      </c>
    </row>
    <row r="914" spans="1:27">
      <c r="A914">
        <v>2</v>
      </c>
      <c r="B914">
        <v>3</v>
      </c>
      <c r="C914">
        <f t="shared" ca="1" si="286"/>
        <v>8</v>
      </c>
      <c r="D914">
        <f t="shared" ca="1" si="287"/>
        <v>7</v>
      </c>
      <c r="E914">
        <f t="shared" ca="1" si="288"/>
        <v>2</v>
      </c>
      <c r="F914" s="110">
        <f t="shared" ca="1" si="289"/>
        <v>5.8199999999999994E-4</v>
      </c>
      <c r="G914">
        <v>1</v>
      </c>
      <c r="H914">
        <v>0</v>
      </c>
      <c r="I914">
        <v>4</v>
      </c>
      <c r="J914" s="1">
        <f t="shared" ca="1" si="290"/>
        <v>3.3852916015625085E-3</v>
      </c>
      <c r="K914" s="1">
        <f t="shared" ca="1" si="291"/>
        <v>1.9702397121093798E-6</v>
      </c>
      <c r="L914" s="13">
        <f t="shared" ca="1" si="292"/>
        <v>334</v>
      </c>
      <c r="M914" s="7">
        <f t="shared" ca="1" si="293"/>
        <v>666</v>
      </c>
      <c r="N914" s="26">
        <f t="shared" ca="1" si="294"/>
        <v>3</v>
      </c>
      <c r="O914" s="44">
        <f t="shared" ca="1" si="295"/>
        <v>2.2641455309069398</v>
      </c>
      <c r="P914" s="44">
        <f t="shared" ca="1" si="296"/>
        <v>22.641455309069404</v>
      </c>
      <c r="Q914" s="44">
        <f t="shared" ca="1" si="297"/>
        <v>22.641455309069404</v>
      </c>
      <c r="R914" s="44">
        <f t="shared" ca="1" si="298"/>
        <v>2.2641455309069403</v>
      </c>
      <c r="S914" s="44">
        <f t="shared" ca="1" si="299"/>
        <v>2.2641455309069398</v>
      </c>
      <c r="T914" s="4">
        <f t="shared" ca="1" si="300"/>
        <v>4.4609094389878281E-6</v>
      </c>
      <c r="U914" s="120">
        <f t="shared" ca="1" si="301"/>
        <v>1524.7475619899244</v>
      </c>
      <c r="V914" s="4">
        <f t="shared" ca="1" si="302"/>
        <v>3.0041181975745072E-3</v>
      </c>
      <c r="W914" s="13">
        <f t="shared" ca="1" si="303"/>
        <v>20863.615500000004</v>
      </c>
      <c r="X914" s="4">
        <f t="shared" ca="1" si="304"/>
        <v>4.1106323796280798E-2</v>
      </c>
      <c r="Y914" s="4">
        <f t="shared" si="305"/>
        <v>0</v>
      </c>
      <c r="Z914" s="13">
        <f t="shared" ca="1" si="306"/>
        <v>20863.615500000004</v>
      </c>
      <c r="AA914" s="4">
        <f t="shared" ca="1" si="307"/>
        <v>4.1106323796280798E-2</v>
      </c>
    </row>
    <row r="915" spans="1:27">
      <c r="A915">
        <v>2</v>
      </c>
      <c r="B915">
        <v>3</v>
      </c>
      <c r="C915">
        <f t="shared" ca="1" si="286"/>
        <v>8</v>
      </c>
      <c r="D915">
        <f t="shared" ca="1" si="287"/>
        <v>7</v>
      </c>
      <c r="E915">
        <f t="shared" ca="1" si="288"/>
        <v>2</v>
      </c>
      <c r="F915" s="110">
        <f t="shared" ca="1" si="289"/>
        <v>5.8199999999999994E-4</v>
      </c>
      <c r="G915">
        <v>1</v>
      </c>
      <c r="H915">
        <v>0</v>
      </c>
      <c r="I915">
        <v>3</v>
      </c>
      <c r="J915" s="1">
        <f t="shared" ca="1" si="290"/>
        <v>1.7817324218750058E-4</v>
      </c>
      <c r="K915" s="1">
        <f t="shared" ca="1" si="291"/>
        <v>1.0369682695312533E-7</v>
      </c>
      <c r="L915" s="13">
        <f t="shared" ca="1" si="292"/>
        <v>314</v>
      </c>
      <c r="M915" s="7">
        <f t="shared" ca="1" si="293"/>
        <v>686</v>
      </c>
      <c r="N915" s="26">
        <f t="shared" ca="1" si="294"/>
        <v>3</v>
      </c>
      <c r="O915" s="44">
        <f t="shared" ca="1" si="295"/>
        <v>2.2641455309069398</v>
      </c>
      <c r="P915" s="44">
        <f t="shared" ca="1" si="296"/>
        <v>22.641455309069404</v>
      </c>
      <c r="Q915" s="44">
        <f t="shared" ca="1" si="297"/>
        <v>22.641455309069404</v>
      </c>
      <c r="R915" s="44">
        <f t="shared" ca="1" si="298"/>
        <v>2.2641455309069403</v>
      </c>
      <c r="S915" s="44">
        <f t="shared" ca="1" si="299"/>
        <v>2.2641455309069398</v>
      </c>
      <c r="T915" s="4">
        <f t="shared" ca="1" si="300"/>
        <v>2.3478470731514903E-7</v>
      </c>
      <c r="U915" s="120">
        <f t="shared" ca="1" si="301"/>
        <v>1504.7475619899244</v>
      </c>
      <c r="V915" s="4">
        <f t="shared" ca="1" si="302"/>
        <v>1.5603754754380642E-4</v>
      </c>
      <c r="W915" s="13">
        <f t="shared" ca="1" si="303"/>
        <v>16835.890500000001</v>
      </c>
      <c r="X915" s="4">
        <f t="shared" ca="1" si="304"/>
        <v>1.7458284237802668E-3</v>
      </c>
      <c r="Y915" s="4">
        <f t="shared" si="305"/>
        <v>0</v>
      </c>
      <c r="Z915" s="13">
        <f t="shared" ca="1" si="306"/>
        <v>16835.890500000001</v>
      </c>
      <c r="AA915" s="4">
        <f t="shared" ca="1" si="307"/>
        <v>1.7458284237802668E-3</v>
      </c>
    </row>
    <row r="916" spans="1:27">
      <c r="A916">
        <v>2</v>
      </c>
      <c r="B916">
        <v>3</v>
      </c>
      <c r="C916">
        <f t="shared" ca="1" si="286"/>
        <v>8</v>
      </c>
      <c r="D916">
        <f t="shared" ca="1" si="287"/>
        <v>7</v>
      </c>
      <c r="E916">
        <f t="shared" ca="1" si="288"/>
        <v>2</v>
      </c>
      <c r="F916" s="110">
        <f t="shared" ca="1" si="289"/>
        <v>5.8199999999999994E-4</v>
      </c>
      <c r="G916">
        <v>1</v>
      </c>
      <c r="H916">
        <v>0</v>
      </c>
      <c r="I916">
        <v>2</v>
      </c>
      <c r="J916" s="1">
        <f t="shared" ca="1" si="290"/>
        <v>5.6265234375000243E-6</v>
      </c>
      <c r="K916" s="1">
        <f t="shared" ca="1" si="291"/>
        <v>3.2746366406250141E-9</v>
      </c>
      <c r="L916" s="13">
        <f t="shared" ca="1" si="292"/>
        <v>294</v>
      </c>
      <c r="M916" s="7">
        <f t="shared" ca="1" si="293"/>
        <v>706</v>
      </c>
      <c r="N916" s="26">
        <f t="shared" ca="1" si="294"/>
        <v>3</v>
      </c>
      <c r="O916" s="44">
        <f t="shared" ca="1" si="295"/>
        <v>2.2641455309069398</v>
      </c>
      <c r="P916" s="44">
        <f t="shared" ca="1" si="296"/>
        <v>22.641455309069404</v>
      </c>
      <c r="Q916" s="44">
        <f t="shared" ca="1" si="297"/>
        <v>22.641455309069404</v>
      </c>
      <c r="R916" s="44">
        <f t="shared" ca="1" si="298"/>
        <v>2.2641455309069403</v>
      </c>
      <c r="S916" s="44">
        <f t="shared" ca="1" si="299"/>
        <v>2.2641455309069398</v>
      </c>
      <c r="T916" s="4">
        <f t="shared" ca="1" si="300"/>
        <v>7.4142539152152405E-9</v>
      </c>
      <c r="U916" s="120">
        <f t="shared" ca="1" si="301"/>
        <v>1484.7475619899244</v>
      </c>
      <c r="V916" s="4">
        <f t="shared" ca="1" si="302"/>
        <v>4.8620087685708661E-6</v>
      </c>
      <c r="W916" s="13">
        <f t="shared" ca="1" si="303"/>
        <v>12808.165500000003</v>
      </c>
      <c r="X916" s="4">
        <f t="shared" ca="1" si="304"/>
        <v>4.1942088045489213E-5</v>
      </c>
      <c r="Y916" s="4">
        <f t="shared" si="305"/>
        <v>0</v>
      </c>
      <c r="Z916" s="13">
        <f t="shared" ca="1" si="306"/>
        <v>12808.165500000003</v>
      </c>
      <c r="AA916" s="4">
        <f t="shared" ca="1" si="307"/>
        <v>4.1942088045489213E-5</v>
      </c>
    </row>
    <row r="917" spans="1:27">
      <c r="A917">
        <v>2</v>
      </c>
      <c r="B917">
        <v>3</v>
      </c>
      <c r="C917">
        <f t="shared" ca="1" si="286"/>
        <v>8</v>
      </c>
      <c r="D917">
        <f t="shared" ca="1" si="287"/>
        <v>7</v>
      </c>
      <c r="E917">
        <f t="shared" ca="1" si="288"/>
        <v>2</v>
      </c>
      <c r="F917" s="110">
        <f t="shared" ca="1" si="289"/>
        <v>5.8199999999999994E-4</v>
      </c>
      <c r="G917">
        <v>1</v>
      </c>
      <c r="H917">
        <v>0</v>
      </c>
      <c r="I917">
        <v>1</v>
      </c>
      <c r="J917" s="1">
        <f t="shared" ca="1" si="290"/>
        <v>9.8710937500000504E-8</v>
      </c>
      <c r="K917" s="1">
        <f t="shared" ca="1" si="291"/>
        <v>5.7449765625000287E-11</v>
      </c>
      <c r="L917" s="13">
        <f t="shared" ca="1" si="292"/>
        <v>274</v>
      </c>
      <c r="M917" s="7">
        <f t="shared" ca="1" si="293"/>
        <v>726</v>
      </c>
      <c r="N917" s="26">
        <f t="shared" ca="1" si="294"/>
        <v>3</v>
      </c>
      <c r="O917" s="44">
        <f t="shared" ca="1" si="295"/>
        <v>2.2641455309069398</v>
      </c>
      <c r="P917" s="44">
        <f t="shared" ca="1" si="296"/>
        <v>22.641455309069404</v>
      </c>
      <c r="Q917" s="44">
        <f t="shared" ca="1" si="297"/>
        <v>22.641455309069404</v>
      </c>
      <c r="R917" s="44">
        <f t="shared" ca="1" si="298"/>
        <v>2.2641455309069403</v>
      </c>
      <c r="S917" s="44">
        <f t="shared" ca="1" si="299"/>
        <v>2.2641455309069398</v>
      </c>
      <c r="T917" s="4">
        <f t="shared" ca="1" si="300"/>
        <v>1.3007463009149553E-10</v>
      </c>
      <c r="U917" s="120">
        <f t="shared" ca="1" si="301"/>
        <v>1464.7475619899244</v>
      </c>
      <c r="V917" s="4">
        <f t="shared" ca="1" si="302"/>
        <v>8.414940413611174E-8</v>
      </c>
      <c r="W917" s="13">
        <f t="shared" ca="1" si="303"/>
        <v>8780.4405000000006</v>
      </c>
      <c r="X917" s="4">
        <f t="shared" ca="1" si="304"/>
        <v>5.0443424880926039E-7</v>
      </c>
      <c r="Y917" s="4">
        <f t="shared" si="305"/>
        <v>0</v>
      </c>
      <c r="Z917" s="13">
        <f t="shared" ca="1" si="306"/>
        <v>8780.4405000000006</v>
      </c>
      <c r="AA917" s="4">
        <f t="shared" ca="1" si="307"/>
        <v>5.0443424880926039E-7</v>
      </c>
    </row>
    <row r="918" spans="1:27">
      <c r="A918">
        <v>2</v>
      </c>
      <c r="B918">
        <v>3</v>
      </c>
      <c r="C918">
        <f t="shared" ca="1" si="286"/>
        <v>8</v>
      </c>
      <c r="D918">
        <f t="shared" ca="1" si="287"/>
        <v>7</v>
      </c>
      <c r="E918">
        <f t="shared" ca="1" si="288"/>
        <v>2</v>
      </c>
      <c r="F918" s="110">
        <f t="shared" ca="1" si="289"/>
        <v>5.8199999999999994E-4</v>
      </c>
      <c r="G918">
        <v>1</v>
      </c>
      <c r="H918">
        <v>0</v>
      </c>
      <c r="I918">
        <v>0</v>
      </c>
      <c r="J918" s="1">
        <f t="shared" ca="1" si="290"/>
        <v>7.4218750000000458E-10</v>
      </c>
      <c r="K918" s="1">
        <f t="shared" ca="1" si="291"/>
        <v>4.319531250000026E-13</v>
      </c>
      <c r="L918" s="13">
        <f t="shared" ca="1" si="292"/>
        <v>254</v>
      </c>
      <c r="M918" s="7">
        <f t="shared" ca="1" si="293"/>
        <v>746</v>
      </c>
      <c r="N918" s="26">
        <f t="shared" ca="1" si="294"/>
        <v>3</v>
      </c>
      <c r="O918" s="44">
        <f t="shared" ca="1" si="295"/>
        <v>2.2641455309069398</v>
      </c>
      <c r="P918" s="44">
        <f t="shared" ca="1" si="296"/>
        <v>22.641455309069404</v>
      </c>
      <c r="Q918" s="44">
        <f t="shared" ca="1" si="297"/>
        <v>22.641455309069404</v>
      </c>
      <c r="R918" s="44">
        <f t="shared" ca="1" si="298"/>
        <v>2.2641455309069403</v>
      </c>
      <c r="S918" s="44">
        <f t="shared" ca="1" si="299"/>
        <v>2.2641455309069398</v>
      </c>
      <c r="T918" s="4">
        <f t="shared" ca="1" si="300"/>
        <v>9.7800473753004263E-13</v>
      </c>
      <c r="U918" s="120">
        <f t="shared" ca="1" si="301"/>
        <v>1444.7475619899244</v>
      </c>
      <c r="V918" s="4">
        <f t="shared" ca="1" si="302"/>
        <v>6.2406322423768287E-10</v>
      </c>
      <c r="W918" s="13">
        <f t="shared" ca="1" si="303"/>
        <v>4752.7155000000012</v>
      </c>
      <c r="X918" s="4">
        <f t="shared" ca="1" si="304"/>
        <v>2.0529503124609504E-9</v>
      </c>
      <c r="Y918" s="4">
        <f t="shared" si="305"/>
        <v>0</v>
      </c>
      <c r="Z918" s="13">
        <f t="shared" ca="1" si="306"/>
        <v>4752.7155000000012</v>
      </c>
      <c r="AA918" s="4">
        <f t="shared" ca="1" si="307"/>
        <v>2.0529503124609504E-9</v>
      </c>
    </row>
    <row r="919" spans="1:27">
      <c r="A919">
        <v>2</v>
      </c>
      <c r="B919">
        <v>3</v>
      </c>
      <c r="C919">
        <f t="shared" ca="1" si="286"/>
        <v>8</v>
      </c>
      <c r="D919">
        <f t="shared" ca="1" si="287"/>
        <v>7</v>
      </c>
      <c r="E919">
        <f t="shared" ca="1" si="288"/>
        <v>2</v>
      </c>
      <c r="F919" s="110">
        <f t="shared" ca="1" si="289"/>
        <v>5.8199999999999994E-4</v>
      </c>
      <c r="G919">
        <v>0</v>
      </c>
      <c r="H919">
        <v>1</v>
      </c>
      <c r="I919">
        <v>7</v>
      </c>
      <c r="J919" s="1">
        <f t="shared" ca="1" si="290"/>
        <v>0</v>
      </c>
      <c r="K919" s="1">
        <f t="shared" ca="1" si="291"/>
        <v>0</v>
      </c>
      <c r="L919" s="13">
        <f t="shared" ca="1" si="292"/>
        <v>394</v>
      </c>
      <c r="M919" s="7">
        <f t="shared" ca="1" si="293"/>
        <v>606</v>
      </c>
      <c r="N919" s="26">
        <f t="shared" ca="1" si="294"/>
        <v>3</v>
      </c>
      <c r="O919" s="44">
        <f t="shared" ca="1" si="295"/>
        <v>2.2641455309069398</v>
      </c>
      <c r="P919" s="44">
        <f t="shared" ca="1" si="296"/>
        <v>22.641455309069404</v>
      </c>
      <c r="Q919" s="44">
        <f t="shared" ca="1" si="297"/>
        <v>22.641455309069404</v>
      </c>
      <c r="R919" s="44">
        <f t="shared" ca="1" si="298"/>
        <v>2.2641455309069403</v>
      </c>
      <c r="S919" s="44">
        <f t="shared" ca="1" si="299"/>
        <v>2.2641455309069398</v>
      </c>
      <c r="T919" s="4">
        <f t="shared" ca="1" si="300"/>
        <v>0</v>
      </c>
      <c r="U919" s="120">
        <f t="shared" ca="1" si="301"/>
        <v>1584.7475619899244</v>
      </c>
      <c r="V919" s="4">
        <f t="shared" ca="1" si="302"/>
        <v>0</v>
      </c>
      <c r="W919" s="13">
        <f t="shared" ca="1" si="303"/>
        <v>28194.075000000001</v>
      </c>
      <c r="X919" s="4">
        <f t="shared" ca="1" si="304"/>
        <v>0</v>
      </c>
      <c r="Y919" s="4">
        <f t="shared" si="305"/>
        <v>0</v>
      </c>
      <c r="Z919" s="13">
        <f t="shared" ca="1" si="306"/>
        <v>28194.075000000001</v>
      </c>
      <c r="AA919" s="4">
        <f t="shared" ca="1" si="307"/>
        <v>0</v>
      </c>
    </row>
    <row r="920" spans="1:27">
      <c r="A920">
        <v>2</v>
      </c>
      <c r="B920">
        <v>3</v>
      </c>
      <c r="C920">
        <f t="shared" ca="1" si="286"/>
        <v>8</v>
      </c>
      <c r="D920">
        <f t="shared" ca="1" si="287"/>
        <v>7</v>
      </c>
      <c r="E920">
        <f t="shared" ca="1" si="288"/>
        <v>2</v>
      </c>
      <c r="F920" s="110">
        <f t="shared" ca="1" si="289"/>
        <v>5.8199999999999994E-4</v>
      </c>
      <c r="G920">
        <v>0</v>
      </c>
      <c r="H920">
        <v>1</v>
      </c>
      <c r="I920">
        <v>6</v>
      </c>
      <c r="J920" s="1">
        <f t="shared" ca="1" si="290"/>
        <v>0</v>
      </c>
      <c r="K920" s="1">
        <f t="shared" ca="1" si="291"/>
        <v>0</v>
      </c>
      <c r="L920" s="13">
        <f t="shared" ca="1" si="292"/>
        <v>374</v>
      </c>
      <c r="M920" s="7">
        <f t="shared" ca="1" si="293"/>
        <v>626</v>
      </c>
      <c r="N920" s="26">
        <f t="shared" ca="1" si="294"/>
        <v>3</v>
      </c>
      <c r="O920" s="44">
        <f t="shared" ca="1" si="295"/>
        <v>2.2641455309069398</v>
      </c>
      <c r="P920" s="44">
        <f t="shared" ca="1" si="296"/>
        <v>22.641455309069404</v>
      </c>
      <c r="Q920" s="44">
        <f t="shared" ca="1" si="297"/>
        <v>22.641455309069404</v>
      </c>
      <c r="R920" s="44">
        <f t="shared" ca="1" si="298"/>
        <v>2.2641455309069403</v>
      </c>
      <c r="S920" s="44">
        <f t="shared" ca="1" si="299"/>
        <v>2.2641455309069398</v>
      </c>
      <c r="T920" s="4">
        <f t="shared" ca="1" si="300"/>
        <v>0</v>
      </c>
      <c r="U920" s="120">
        <f t="shared" ca="1" si="301"/>
        <v>1564.7475619899244</v>
      </c>
      <c r="V920" s="4">
        <f t="shared" ca="1" si="302"/>
        <v>0</v>
      </c>
      <c r="W920" s="13">
        <f t="shared" ca="1" si="303"/>
        <v>24166.350000000002</v>
      </c>
      <c r="X920" s="4">
        <f t="shared" ca="1" si="304"/>
        <v>0</v>
      </c>
      <c r="Y920" s="4">
        <f t="shared" si="305"/>
        <v>0</v>
      </c>
      <c r="Z920" s="13">
        <f t="shared" ca="1" si="306"/>
        <v>24166.350000000002</v>
      </c>
      <c r="AA920" s="4">
        <f t="shared" ca="1" si="307"/>
        <v>0</v>
      </c>
    </row>
    <row r="921" spans="1:27">
      <c r="A921">
        <v>2</v>
      </c>
      <c r="B921">
        <v>3</v>
      </c>
      <c r="C921">
        <f t="shared" ca="1" si="286"/>
        <v>8</v>
      </c>
      <c r="D921">
        <f t="shared" ca="1" si="287"/>
        <v>7</v>
      </c>
      <c r="E921">
        <f t="shared" ca="1" si="288"/>
        <v>2</v>
      </c>
      <c r="F921" s="110">
        <f t="shared" ca="1" si="289"/>
        <v>5.8199999999999994E-4</v>
      </c>
      <c r="G921">
        <v>0</v>
      </c>
      <c r="H921">
        <v>1</v>
      </c>
      <c r="I921">
        <v>5</v>
      </c>
      <c r="J921" s="1">
        <f t="shared" ca="1" si="290"/>
        <v>0</v>
      </c>
      <c r="K921" s="1">
        <f t="shared" ca="1" si="291"/>
        <v>0</v>
      </c>
      <c r="L921" s="13">
        <f t="shared" ca="1" si="292"/>
        <v>354</v>
      </c>
      <c r="M921" s="7">
        <f t="shared" ca="1" si="293"/>
        <v>646</v>
      </c>
      <c r="N921" s="26">
        <f t="shared" ca="1" si="294"/>
        <v>3</v>
      </c>
      <c r="O921" s="44">
        <f t="shared" ca="1" si="295"/>
        <v>2.2641455309069398</v>
      </c>
      <c r="P921" s="44">
        <f t="shared" ca="1" si="296"/>
        <v>22.641455309069404</v>
      </c>
      <c r="Q921" s="44">
        <f t="shared" ca="1" si="297"/>
        <v>22.641455309069404</v>
      </c>
      <c r="R921" s="44">
        <f t="shared" ca="1" si="298"/>
        <v>2.2641455309069403</v>
      </c>
      <c r="S921" s="44">
        <f t="shared" ca="1" si="299"/>
        <v>2.2641455309069398</v>
      </c>
      <c r="T921" s="4">
        <f t="shared" ca="1" si="300"/>
        <v>0</v>
      </c>
      <c r="U921" s="120">
        <f t="shared" ca="1" si="301"/>
        <v>1544.7475619899244</v>
      </c>
      <c r="V921" s="4">
        <f t="shared" ca="1" si="302"/>
        <v>0</v>
      </c>
      <c r="W921" s="13">
        <f t="shared" ca="1" si="303"/>
        <v>20138.625</v>
      </c>
      <c r="X921" s="4">
        <f t="shared" ca="1" si="304"/>
        <v>0</v>
      </c>
      <c r="Y921" s="4">
        <f t="shared" si="305"/>
        <v>0</v>
      </c>
      <c r="Z921" s="13">
        <f t="shared" ca="1" si="306"/>
        <v>20138.625</v>
      </c>
      <c r="AA921" s="4">
        <f t="shared" ca="1" si="307"/>
        <v>0</v>
      </c>
    </row>
    <row r="922" spans="1:27">
      <c r="A922">
        <v>2</v>
      </c>
      <c r="B922">
        <v>3</v>
      </c>
      <c r="C922">
        <f t="shared" ca="1" si="286"/>
        <v>8</v>
      </c>
      <c r="D922">
        <f t="shared" ca="1" si="287"/>
        <v>7</v>
      </c>
      <c r="E922">
        <f t="shared" ca="1" si="288"/>
        <v>2</v>
      </c>
      <c r="F922" s="110">
        <f t="shared" ca="1" si="289"/>
        <v>5.8199999999999994E-4</v>
      </c>
      <c r="G922">
        <v>0</v>
      </c>
      <c r="H922">
        <v>1</v>
      </c>
      <c r="I922">
        <v>4</v>
      </c>
      <c r="J922" s="1">
        <f t="shared" ca="1" si="290"/>
        <v>0</v>
      </c>
      <c r="K922" s="1">
        <f t="shared" ca="1" si="291"/>
        <v>0</v>
      </c>
      <c r="L922" s="13">
        <f t="shared" ca="1" si="292"/>
        <v>334</v>
      </c>
      <c r="M922" s="7">
        <f t="shared" ca="1" si="293"/>
        <v>666</v>
      </c>
      <c r="N922" s="26">
        <f t="shared" ca="1" si="294"/>
        <v>3</v>
      </c>
      <c r="O922" s="44">
        <f t="shared" ca="1" si="295"/>
        <v>2.2641455309069398</v>
      </c>
      <c r="P922" s="44">
        <f t="shared" ca="1" si="296"/>
        <v>22.641455309069404</v>
      </c>
      <c r="Q922" s="44">
        <f t="shared" ca="1" si="297"/>
        <v>22.641455309069404</v>
      </c>
      <c r="R922" s="44">
        <f t="shared" ca="1" si="298"/>
        <v>2.2641455309069403</v>
      </c>
      <c r="S922" s="44">
        <f t="shared" ca="1" si="299"/>
        <v>2.2641455309069398</v>
      </c>
      <c r="T922" s="4">
        <f t="shared" ca="1" si="300"/>
        <v>0</v>
      </c>
      <c r="U922" s="120">
        <f t="shared" ca="1" si="301"/>
        <v>1524.7475619899244</v>
      </c>
      <c r="V922" s="4">
        <f t="shared" ca="1" si="302"/>
        <v>0</v>
      </c>
      <c r="W922" s="13">
        <f t="shared" ca="1" si="303"/>
        <v>16110.900000000001</v>
      </c>
      <c r="X922" s="4">
        <f t="shared" ca="1" si="304"/>
        <v>0</v>
      </c>
      <c r="Y922" s="4">
        <f t="shared" si="305"/>
        <v>0</v>
      </c>
      <c r="Z922" s="13">
        <f t="shared" ca="1" si="306"/>
        <v>16110.900000000001</v>
      </c>
      <c r="AA922" s="4">
        <f t="shared" ca="1" si="307"/>
        <v>0</v>
      </c>
    </row>
    <row r="923" spans="1:27">
      <c r="A923">
        <v>2</v>
      </c>
      <c r="B923">
        <v>3</v>
      </c>
      <c r="C923">
        <f t="shared" ca="1" si="286"/>
        <v>8</v>
      </c>
      <c r="D923">
        <f t="shared" ca="1" si="287"/>
        <v>7</v>
      </c>
      <c r="E923">
        <f t="shared" ca="1" si="288"/>
        <v>2</v>
      </c>
      <c r="F923" s="110">
        <f t="shared" ca="1" si="289"/>
        <v>5.8199999999999994E-4</v>
      </c>
      <c r="G923">
        <v>0</v>
      </c>
      <c r="H923">
        <v>1</v>
      </c>
      <c r="I923">
        <v>3</v>
      </c>
      <c r="J923" s="1">
        <f t="shared" ca="1" si="290"/>
        <v>0</v>
      </c>
      <c r="K923" s="1">
        <f t="shared" ca="1" si="291"/>
        <v>0</v>
      </c>
      <c r="L923" s="13">
        <f t="shared" ca="1" si="292"/>
        <v>314</v>
      </c>
      <c r="M923" s="7">
        <f t="shared" ca="1" si="293"/>
        <v>686</v>
      </c>
      <c r="N923" s="26">
        <f t="shared" ca="1" si="294"/>
        <v>3</v>
      </c>
      <c r="O923" s="44">
        <f t="shared" ca="1" si="295"/>
        <v>2.2641455309069398</v>
      </c>
      <c r="P923" s="44">
        <f t="shared" ca="1" si="296"/>
        <v>22.641455309069404</v>
      </c>
      <c r="Q923" s="44">
        <f t="shared" ca="1" si="297"/>
        <v>22.641455309069404</v>
      </c>
      <c r="R923" s="44">
        <f t="shared" ca="1" si="298"/>
        <v>2.2641455309069403</v>
      </c>
      <c r="S923" s="44">
        <f t="shared" ca="1" si="299"/>
        <v>2.2641455309069398</v>
      </c>
      <c r="T923" s="4">
        <f t="shared" ca="1" si="300"/>
        <v>0</v>
      </c>
      <c r="U923" s="120">
        <f t="shared" ca="1" si="301"/>
        <v>1504.7475619899244</v>
      </c>
      <c r="V923" s="4">
        <f t="shared" ca="1" si="302"/>
        <v>0</v>
      </c>
      <c r="W923" s="13">
        <f t="shared" ca="1" si="303"/>
        <v>12083.175000000001</v>
      </c>
      <c r="X923" s="4">
        <f t="shared" ca="1" si="304"/>
        <v>0</v>
      </c>
      <c r="Y923" s="4">
        <f t="shared" si="305"/>
        <v>0</v>
      </c>
      <c r="Z923" s="13">
        <f t="shared" ca="1" si="306"/>
        <v>12083.175000000001</v>
      </c>
      <c r="AA923" s="4">
        <f t="shared" ca="1" si="307"/>
        <v>0</v>
      </c>
    </row>
    <row r="924" spans="1:27">
      <c r="A924">
        <v>2</v>
      </c>
      <c r="B924">
        <v>3</v>
      </c>
      <c r="C924">
        <f t="shared" ca="1" si="286"/>
        <v>8</v>
      </c>
      <c r="D924">
        <f t="shared" ca="1" si="287"/>
        <v>7</v>
      </c>
      <c r="E924">
        <f t="shared" ca="1" si="288"/>
        <v>2</v>
      </c>
      <c r="F924" s="110">
        <f t="shared" ca="1" si="289"/>
        <v>5.8199999999999994E-4</v>
      </c>
      <c r="G924">
        <v>0</v>
      </c>
      <c r="H924">
        <v>1</v>
      </c>
      <c r="I924">
        <v>2</v>
      </c>
      <c r="J924" s="1">
        <f t="shared" ca="1" si="290"/>
        <v>0</v>
      </c>
      <c r="K924" s="1">
        <f t="shared" ca="1" si="291"/>
        <v>0</v>
      </c>
      <c r="L924" s="13">
        <f t="shared" ca="1" si="292"/>
        <v>294</v>
      </c>
      <c r="M924" s="7">
        <f t="shared" ca="1" si="293"/>
        <v>706</v>
      </c>
      <c r="N924" s="26">
        <f t="shared" ca="1" si="294"/>
        <v>3</v>
      </c>
      <c r="O924" s="44">
        <f t="shared" ca="1" si="295"/>
        <v>2.2641455309069398</v>
      </c>
      <c r="P924" s="44">
        <f t="shared" ca="1" si="296"/>
        <v>22.641455309069404</v>
      </c>
      <c r="Q924" s="44">
        <f t="shared" ca="1" si="297"/>
        <v>22.641455309069404</v>
      </c>
      <c r="R924" s="44">
        <f t="shared" ca="1" si="298"/>
        <v>2.2641455309069403</v>
      </c>
      <c r="S924" s="44">
        <f t="shared" ca="1" si="299"/>
        <v>2.2641455309069398</v>
      </c>
      <c r="T924" s="4">
        <f t="shared" ca="1" si="300"/>
        <v>0</v>
      </c>
      <c r="U924" s="120">
        <f t="shared" ca="1" si="301"/>
        <v>1484.7475619899244</v>
      </c>
      <c r="V924" s="4">
        <f t="shared" ca="1" si="302"/>
        <v>0</v>
      </c>
      <c r="W924" s="13">
        <f t="shared" ca="1" si="303"/>
        <v>8055.4500000000007</v>
      </c>
      <c r="X924" s="4">
        <f t="shared" ca="1" si="304"/>
        <v>0</v>
      </c>
      <c r="Y924" s="4">
        <f t="shared" si="305"/>
        <v>0</v>
      </c>
      <c r="Z924" s="13">
        <f t="shared" ca="1" si="306"/>
        <v>8055.4500000000007</v>
      </c>
      <c r="AA924" s="4">
        <f t="shared" ca="1" si="307"/>
        <v>0</v>
      </c>
    </row>
    <row r="925" spans="1:27">
      <c r="A925">
        <v>2</v>
      </c>
      <c r="B925">
        <v>3</v>
      </c>
      <c r="C925">
        <f t="shared" ca="1" si="286"/>
        <v>8</v>
      </c>
      <c r="D925">
        <f t="shared" ca="1" si="287"/>
        <v>7</v>
      </c>
      <c r="E925">
        <f t="shared" ca="1" si="288"/>
        <v>2</v>
      </c>
      <c r="F925" s="110">
        <f t="shared" ca="1" si="289"/>
        <v>5.8199999999999994E-4</v>
      </c>
      <c r="G925">
        <v>0</v>
      </c>
      <c r="H925">
        <v>1</v>
      </c>
      <c r="I925">
        <v>1</v>
      </c>
      <c r="J925" s="1">
        <f t="shared" ca="1" si="290"/>
        <v>0</v>
      </c>
      <c r="K925" s="1">
        <f t="shared" ca="1" si="291"/>
        <v>0</v>
      </c>
      <c r="L925" s="13">
        <f t="shared" ca="1" si="292"/>
        <v>274</v>
      </c>
      <c r="M925" s="7">
        <f t="shared" ca="1" si="293"/>
        <v>726</v>
      </c>
      <c r="N925" s="26">
        <f t="shared" ca="1" si="294"/>
        <v>3</v>
      </c>
      <c r="O925" s="44">
        <f t="shared" ca="1" si="295"/>
        <v>2.2641455309069398</v>
      </c>
      <c r="P925" s="44">
        <f t="shared" ca="1" si="296"/>
        <v>22.641455309069404</v>
      </c>
      <c r="Q925" s="44">
        <f t="shared" ca="1" si="297"/>
        <v>22.641455309069404</v>
      </c>
      <c r="R925" s="44">
        <f t="shared" ca="1" si="298"/>
        <v>2.2641455309069403</v>
      </c>
      <c r="S925" s="44">
        <f t="shared" ca="1" si="299"/>
        <v>2.2641455309069398</v>
      </c>
      <c r="T925" s="4">
        <f t="shared" ca="1" si="300"/>
        <v>0</v>
      </c>
      <c r="U925" s="120">
        <f t="shared" ca="1" si="301"/>
        <v>1464.7475619899244</v>
      </c>
      <c r="V925" s="4">
        <f t="shared" ca="1" si="302"/>
        <v>0</v>
      </c>
      <c r="W925" s="13">
        <f t="shared" ca="1" si="303"/>
        <v>4027.7250000000004</v>
      </c>
      <c r="X925" s="4">
        <f t="shared" ca="1" si="304"/>
        <v>0</v>
      </c>
      <c r="Y925" s="4">
        <f t="shared" si="305"/>
        <v>0</v>
      </c>
      <c r="Z925" s="13">
        <f t="shared" ca="1" si="306"/>
        <v>4027.7250000000004</v>
      </c>
      <c r="AA925" s="4">
        <f t="shared" ca="1" si="307"/>
        <v>0</v>
      </c>
    </row>
    <row r="926" spans="1:27">
      <c r="A926">
        <v>2</v>
      </c>
      <c r="B926">
        <v>3</v>
      </c>
      <c r="C926">
        <f t="shared" ca="1" si="286"/>
        <v>8</v>
      </c>
      <c r="D926">
        <f t="shared" ca="1" si="287"/>
        <v>7</v>
      </c>
      <c r="E926">
        <f t="shared" ca="1" si="288"/>
        <v>2</v>
      </c>
      <c r="F926" s="110">
        <f t="shared" ca="1" si="289"/>
        <v>5.8199999999999994E-4</v>
      </c>
      <c r="G926">
        <v>0</v>
      </c>
      <c r="H926">
        <v>1</v>
      </c>
      <c r="I926">
        <v>0</v>
      </c>
      <c r="J926" s="1">
        <f t="shared" ca="1" si="290"/>
        <v>0</v>
      </c>
      <c r="K926" s="1">
        <f t="shared" ca="1" si="291"/>
        <v>0</v>
      </c>
      <c r="L926" s="13">
        <f t="shared" ca="1" si="292"/>
        <v>254</v>
      </c>
      <c r="M926" s="7">
        <f t="shared" ca="1" si="293"/>
        <v>746</v>
      </c>
      <c r="N926" s="26">
        <f t="shared" ca="1" si="294"/>
        <v>3</v>
      </c>
      <c r="O926" s="44">
        <f t="shared" ca="1" si="295"/>
        <v>2.2641455309069398</v>
      </c>
      <c r="P926" s="44">
        <f t="shared" ca="1" si="296"/>
        <v>22.641455309069404</v>
      </c>
      <c r="Q926" s="44">
        <f t="shared" ca="1" si="297"/>
        <v>22.641455309069404</v>
      </c>
      <c r="R926" s="44">
        <f t="shared" ca="1" si="298"/>
        <v>2.2641455309069403</v>
      </c>
      <c r="S926" s="44">
        <f t="shared" ca="1" si="299"/>
        <v>2.2641455309069398</v>
      </c>
      <c r="T926" s="4">
        <f t="shared" ca="1" si="300"/>
        <v>0</v>
      </c>
      <c r="U926" s="120">
        <f t="shared" ca="1" si="301"/>
        <v>1444.7475619899244</v>
      </c>
      <c r="V926" s="4">
        <f t="shared" ca="1" si="302"/>
        <v>0</v>
      </c>
      <c r="W926" s="13">
        <f t="shared" ca="1" si="303"/>
        <v>0</v>
      </c>
      <c r="X926" s="4">
        <f t="shared" ca="1" si="304"/>
        <v>0</v>
      </c>
      <c r="Y926" s="4">
        <f t="shared" si="305"/>
        <v>0</v>
      </c>
      <c r="Z926" s="13">
        <f t="shared" ca="1" si="306"/>
        <v>0</v>
      </c>
      <c r="AA926" s="4">
        <f t="shared" ca="1" si="307"/>
        <v>0</v>
      </c>
    </row>
    <row r="927" spans="1:27">
      <c r="A927">
        <v>2</v>
      </c>
      <c r="B927">
        <v>3</v>
      </c>
      <c r="C927">
        <f t="shared" ca="1" si="286"/>
        <v>8</v>
      </c>
      <c r="D927">
        <f t="shared" ca="1" si="287"/>
        <v>7</v>
      </c>
      <c r="E927">
        <f t="shared" ca="1" si="288"/>
        <v>2</v>
      </c>
      <c r="F927" s="110">
        <f t="shared" ca="1" si="289"/>
        <v>5.8199999999999994E-4</v>
      </c>
      <c r="G927">
        <v>0</v>
      </c>
      <c r="H927">
        <v>0</v>
      </c>
      <c r="I927">
        <v>7</v>
      </c>
      <c r="J927" s="1">
        <f t="shared" ca="1" si="290"/>
        <v>3.4916864804687496E-2</v>
      </c>
      <c r="K927" s="1">
        <f t="shared" ca="1" si="291"/>
        <v>2.032161531632812E-5</v>
      </c>
      <c r="L927" s="13">
        <f t="shared" ca="1" si="292"/>
        <v>140</v>
      </c>
      <c r="M927" s="7">
        <f t="shared" ca="1" si="293"/>
        <v>860</v>
      </c>
      <c r="N927" s="26">
        <f t="shared" ca="1" si="294"/>
        <v>4</v>
      </c>
      <c r="O927" s="44">
        <f t="shared" ca="1" si="295"/>
        <v>2.8910364854084887</v>
      </c>
      <c r="P927" s="44">
        <f t="shared" ca="1" si="296"/>
        <v>28.910364854084886</v>
      </c>
      <c r="Q927" s="44">
        <f t="shared" ca="1" si="297"/>
        <v>28.910364854084886</v>
      </c>
      <c r="R927" s="44">
        <f t="shared" ca="1" si="298"/>
        <v>2.8910364854084887</v>
      </c>
      <c r="S927" s="44">
        <f t="shared" ca="1" si="299"/>
        <v>2.8910364854084882</v>
      </c>
      <c r="T927" s="4">
        <f t="shared" ca="1" si="300"/>
        <v>5.8750531321940551E-5</v>
      </c>
      <c r="U927" s="120">
        <f t="shared" ca="1" si="301"/>
        <v>1600.6349838037554</v>
      </c>
      <c r="V927" s="4">
        <f t="shared" ca="1" si="302"/>
        <v>3.2527488402717006E-2</v>
      </c>
      <c r="W927" s="13">
        <f t="shared" ca="1" si="303"/>
        <v>28194.075000000001</v>
      </c>
      <c r="X927" s="4">
        <f t="shared" ca="1" si="304"/>
        <v>0.57294914634970373</v>
      </c>
      <c r="Y927" s="4">
        <f t="shared" si="305"/>
        <v>0</v>
      </c>
      <c r="Z927" s="13">
        <f t="shared" ca="1" si="306"/>
        <v>28194.075000000001</v>
      </c>
      <c r="AA927" s="4">
        <f t="shared" ca="1" si="307"/>
        <v>0.57294914634970373</v>
      </c>
    </row>
    <row r="928" spans="1:27">
      <c r="A928">
        <v>2</v>
      </c>
      <c r="B928">
        <v>3</v>
      </c>
      <c r="C928">
        <f t="shared" ca="1" si="286"/>
        <v>8</v>
      </c>
      <c r="D928">
        <f t="shared" ca="1" si="287"/>
        <v>7</v>
      </c>
      <c r="E928">
        <f t="shared" ca="1" si="288"/>
        <v>2</v>
      </c>
      <c r="F928" s="110">
        <f t="shared" ca="1" si="289"/>
        <v>5.8199999999999994E-4</v>
      </c>
      <c r="G928">
        <v>0</v>
      </c>
      <c r="H928">
        <v>0</v>
      </c>
      <c r="I928">
        <v>6</v>
      </c>
      <c r="J928" s="1">
        <f t="shared" ca="1" si="290"/>
        <v>1.2864108085937513E-2</v>
      </c>
      <c r="K928" s="1">
        <f t="shared" ca="1" si="291"/>
        <v>7.4869109060156318E-6</v>
      </c>
      <c r="L928" s="13">
        <f t="shared" ca="1" si="292"/>
        <v>120</v>
      </c>
      <c r="M928" s="7">
        <f t="shared" ca="1" si="293"/>
        <v>880</v>
      </c>
      <c r="N928" s="26">
        <f t="shared" ca="1" si="294"/>
        <v>4</v>
      </c>
      <c r="O928" s="44">
        <f t="shared" ca="1" si="295"/>
        <v>2.8910364854084887</v>
      </c>
      <c r="P928" s="44">
        <f t="shared" ca="1" si="296"/>
        <v>28.910364854084886</v>
      </c>
      <c r="Q928" s="44">
        <f t="shared" ca="1" si="297"/>
        <v>28.910364854084886</v>
      </c>
      <c r="R928" s="44">
        <f t="shared" ca="1" si="298"/>
        <v>2.8910364854084887</v>
      </c>
      <c r="S928" s="44">
        <f t="shared" ca="1" si="299"/>
        <v>2.8910364854084882</v>
      </c>
      <c r="T928" s="4">
        <f t="shared" ca="1" si="300"/>
        <v>2.1644932592293912E-5</v>
      </c>
      <c r="U928" s="120">
        <f t="shared" ca="1" si="301"/>
        <v>1580.6349838037554</v>
      </c>
      <c r="V928" s="4">
        <f t="shared" ca="1" si="302"/>
        <v>1.1834073298670178E-2</v>
      </c>
      <c r="W928" s="13">
        <f t="shared" ca="1" si="303"/>
        <v>24166.350000000002</v>
      </c>
      <c r="X928" s="4">
        <f t="shared" ca="1" si="304"/>
        <v>0.18093130937359089</v>
      </c>
      <c r="Y928" s="4">
        <f t="shared" si="305"/>
        <v>0</v>
      </c>
      <c r="Z928" s="13">
        <f t="shared" ca="1" si="306"/>
        <v>24166.350000000002</v>
      </c>
      <c r="AA928" s="4">
        <f t="shared" ca="1" si="307"/>
        <v>0.18093130937359089</v>
      </c>
    </row>
    <row r="929" spans="1:27">
      <c r="A929">
        <v>2</v>
      </c>
      <c r="B929">
        <v>3</v>
      </c>
      <c r="C929">
        <f t="shared" ca="1" si="286"/>
        <v>8</v>
      </c>
      <c r="D929">
        <f t="shared" ca="1" si="287"/>
        <v>7</v>
      </c>
      <c r="E929">
        <f t="shared" ca="1" si="288"/>
        <v>2</v>
      </c>
      <c r="F929" s="110">
        <f t="shared" ca="1" si="289"/>
        <v>5.8199999999999994E-4</v>
      </c>
      <c r="G929">
        <v>0</v>
      </c>
      <c r="H929">
        <v>0</v>
      </c>
      <c r="I929">
        <v>5</v>
      </c>
      <c r="J929" s="1">
        <f t="shared" ca="1" si="290"/>
        <v>2.0311749609375038E-3</v>
      </c>
      <c r="K929" s="1">
        <f t="shared" ca="1" si="291"/>
        <v>1.1821438272656271E-6</v>
      </c>
      <c r="L929" s="13">
        <f t="shared" ca="1" si="292"/>
        <v>100</v>
      </c>
      <c r="M929" s="7">
        <f t="shared" ca="1" si="293"/>
        <v>900</v>
      </c>
      <c r="N929" s="26">
        <f t="shared" ca="1" si="294"/>
        <v>4</v>
      </c>
      <c r="O929" s="44">
        <f t="shared" ca="1" si="295"/>
        <v>2.8910364854084887</v>
      </c>
      <c r="P929" s="44">
        <f t="shared" ca="1" si="296"/>
        <v>28.910364854084886</v>
      </c>
      <c r="Q929" s="44">
        <f t="shared" ca="1" si="297"/>
        <v>28.910364854084886</v>
      </c>
      <c r="R929" s="44">
        <f t="shared" ca="1" si="298"/>
        <v>2.8910364854084887</v>
      </c>
      <c r="S929" s="44">
        <f t="shared" ca="1" si="299"/>
        <v>2.8910364854084882</v>
      </c>
      <c r="T929" s="4">
        <f t="shared" ca="1" si="300"/>
        <v>3.4176209356253576E-6</v>
      </c>
      <c r="U929" s="120">
        <f t="shared" ca="1" si="301"/>
        <v>1560.6349838037554</v>
      </c>
      <c r="V929" s="4">
        <f t="shared" ca="1" si="302"/>
        <v>1.8448950127184015E-3</v>
      </c>
      <c r="W929" s="13">
        <f t="shared" ca="1" si="303"/>
        <v>20138.625</v>
      </c>
      <c r="X929" s="4">
        <f t="shared" ca="1" si="304"/>
        <v>2.380675123336724E-2</v>
      </c>
      <c r="Y929" s="4">
        <f t="shared" si="305"/>
        <v>0</v>
      </c>
      <c r="Z929" s="13">
        <f t="shared" ca="1" si="306"/>
        <v>20138.625</v>
      </c>
      <c r="AA929" s="4">
        <f t="shared" ca="1" si="307"/>
        <v>2.380675123336724E-2</v>
      </c>
    </row>
    <row r="930" spans="1:27">
      <c r="A930">
        <v>2</v>
      </c>
      <c r="B930">
        <v>3</v>
      </c>
      <c r="C930">
        <f t="shared" ca="1" si="286"/>
        <v>8</v>
      </c>
      <c r="D930">
        <f t="shared" ca="1" si="287"/>
        <v>7</v>
      </c>
      <c r="E930">
        <f t="shared" ca="1" si="288"/>
        <v>2</v>
      </c>
      <c r="F930" s="110">
        <f t="shared" ca="1" si="289"/>
        <v>5.8199999999999994E-4</v>
      </c>
      <c r="G930">
        <v>0</v>
      </c>
      <c r="H930">
        <v>0</v>
      </c>
      <c r="I930">
        <v>4</v>
      </c>
      <c r="J930" s="1">
        <f t="shared" ca="1" si="290"/>
        <v>1.7817324218750047E-4</v>
      </c>
      <c r="K930" s="1">
        <f t="shared" ca="1" si="291"/>
        <v>1.0369682695312526E-7</v>
      </c>
      <c r="L930" s="13">
        <f t="shared" ca="1" si="292"/>
        <v>80</v>
      </c>
      <c r="M930" s="7">
        <f t="shared" ca="1" si="293"/>
        <v>920</v>
      </c>
      <c r="N930" s="26">
        <f t="shared" ca="1" si="294"/>
        <v>4</v>
      </c>
      <c r="O930" s="44">
        <f t="shared" ca="1" si="295"/>
        <v>2.8910364854084887</v>
      </c>
      <c r="P930" s="44">
        <f t="shared" ca="1" si="296"/>
        <v>28.910364854084886</v>
      </c>
      <c r="Q930" s="44">
        <f t="shared" ca="1" si="297"/>
        <v>28.910364854084886</v>
      </c>
      <c r="R930" s="44">
        <f t="shared" ca="1" si="298"/>
        <v>2.8910364854084887</v>
      </c>
      <c r="S930" s="44">
        <f t="shared" ca="1" si="299"/>
        <v>2.8910364854084882</v>
      </c>
      <c r="T930" s="4">
        <f t="shared" ca="1" si="300"/>
        <v>2.9979131014257544E-7</v>
      </c>
      <c r="U930" s="120">
        <f t="shared" ca="1" si="301"/>
        <v>1540.6349838037554</v>
      </c>
      <c r="V930" s="4">
        <f t="shared" ca="1" si="302"/>
        <v>1.5975895931342896E-4</v>
      </c>
      <c r="W930" s="13">
        <f t="shared" ca="1" si="303"/>
        <v>16110.900000000001</v>
      </c>
      <c r="X930" s="4">
        <f t="shared" ca="1" si="304"/>
        <v>1.670649209359106E-3</v>
      </c>
      <c r="Y930" s="4">
        <f t="shared" si="305"/>
        <v>0</v>
      </c>
      <c r="Z930" s="13">
        <f t="shared" ca="1" si="306"/>
        <v>16110.900000000001</v>
      </c>
      <c r="AA930" s="4">
        <f t="shared" ca="1" si="307"/>
        <v>1.670649209359106E-3</v>
      </c>
    </row>
    <row r="931" spans="1:27">
      <c r="A931">
        <v>2</v>
      </c>
      <c r="B931">
        <v>3</v>
      </c>
      <c r="C931">
        <f t="shared" ca="1" si="286"/>
        <v>8</v>
      </c>
      <c r="D931">
        <f t="shared" ca="1" si="287"/>
        <v>7</v>
      </c>
      <c r="E931">
        <f t="shared" ca="1" si="288"/>
        <v>2</v>
      </c>
      <c r="F931" s="110">
        <f t="shared" ca="1" si="289"/>
        <v>5.8199999999999994E-4</v>
      </c>
      <c r="G931">
        <v>0</v>
      </c>
      <c r="H931">
        <v>0</v>
      </c>
      <c r="I931">
        <v>3</v>
      </c>
      <c r="J931" s="1">
        <f t="shared" ca="1" si="290"/>
        <v>9.3775390625000315E-6</v>
      </c>
      <c r="K931" s="1">
        <f t="shared" ca="1" si="291"/>
        <v>5.4577277343750182E-9</v>
      </c>
      <c r="L931" s="13">
        <f t="shared" ca="1" si="292"/>
        <v>60</v>
      </c>
      <c r="M931" s="7">
        <f t="shared" ca="1" si="293"/>
        <v>940</v>
      </c>
      <c r="N931" s="26">
        <f t="shared" ca="1" si="294"/>
        <v>4</v>
      </c>
      <c r="O931" s="44">
        <f t="shared" ca="1" si="295"/>
        <v>2.8910364854084887</v>
      </c>
      <c r="P931" s="44">
        <f t="shared" ca="1" si="296"/>
        <v>28.910364854084886</v>
      </c>
      <c r="Q931" s="44">
        <f t="shared" ca="1" si="297"/>
        <v>28.910364854084886</v>
      </c>
      <c r="R931" s="44">
        <f t="shared" ca="1" si="298"/>
        <v>2.8910364854084887</v>
      </c>
      <c r="S931" s="44">
        <f t="shared" ca="1" si="299"/>
        <v>2.8910364854084882</v>
      </c>
      <c r="T931" s="4">
        <f t="shared" ca="1" si="300"/>
        <v>1.5778490007503985E-8</v>
      </c>
      <c r="U931" s="120">
        <f t="shared" ca="1" si="301"/>
        <v>1520.6349838037554</v>
      </c>
      <c r="V931" s="4">
        <f t="shared" ca="1" si="302"/>
        <v>8.2992117249666618E-6</v>
      </c>
      <c r="W931" s="13">
        <f t="shared" ca="1" si="303"/>
        <v>12083.175000000001</v>
      </c>
      <c r="X931" s="4">
        <f t="shared" ca="1" si="304"/>
        <v>6.5946679316806862E-5</v>
      </c>
      <c r="Y931" s="4">
        <f t="shared" si="305"/>
        <v>0</v>
      </c>
      <c r="Z931" s="13">
        <f t="shared" ca="1" si="306"/>
        <v>12083.175000000001</v>
      </c>
      <c r="AA931" s="4">
        <f t="shared" ca="1" si="307"/>
        <v>6.5946679316806862E-5</v>
      </c>
    </row>
    <row r="932" spans="1:27">
      <c r="A932">
        <v>2</v>
      </c>
      <c r="B932">
        <v>3</v>
      </c>
      <c r="C932">
        <f t="shared" ca="1" si="286"/>
        <v>8</v>
      </c>
      <c r="D932">
        <f t="shared" ca="1" si="287"/>
        <v>7</v>
      </c>
      <c r="E932">
        <f t="shared" ca="1" si="288"/>
        <v>2</v>
      </c>
      <c r="F932" s="110">
        <f t="shared" ca="1" si="289"/>
        <v>5.8199999999999994E-4</v>
      </c>
      <c r="G932">
        <v>0</v>
      </c>
      <c r="H932">
        <v>0</v>
      </c>
      <c r="I932">
        <v>2</v>
      </c>
      <c r="J932" s="1">
        <f t="shared" ca="1" si="290"/>
        <v>2.961328125000013E-7</v>
      </c>
      <c r="K932" s="1">
        <f t="shared" ca="1" si="291"/>
        <v>1.7234929687500074E-10</v>
      </c>
      <c r="L932" s="13">
        <f t="shared" ca="1" si="292"/>
        <v>40</v>
      </c>
      <c r="M932" s="7">
        <f t="shared" ca="1" si="293"/>
        <v>960</v>
      </c>
      <c r="N932" s="26">
        <f t="shared" ca="1" si="294"/>
        <v>4</v>
      </c>
      <c r="O932" s="44">
        <f t="shared" ca="1" si="295"/>
        <v>2.8910364854084887</v>
      </c>
      <c r="P932" s="44">
        <f t="shared" ca="1" si="296"/>
        <v>28.910364854084886</v>
      </c>
      <c r="Q932" s="44">
        <f t="shared" ca="1" si="297"/>
        <v>28.910364854084886</v>
      </c>
      <c r="R932" s="44">
        <f t="shared" ca="1" si="298"/>
        <v>2.8910364854084887</v>
      </c>
      <c r="S932" s="44">
        <f t="shared" ca="1" si="299"/>
        <v>2.8910364854084882</v>
      </c>
      <c r="T932" s="4">
        <f t="shared" ca="1" si="300"/>
        <v>4.9826810550012623E-10</v>
      </c>
      <c r="U932" s="120">
        <f t="shared" ca="1" si="301"/>
        <v>1500.6349838037554</v>
      </c>
      <c r="V932" s="4">
        <f t="shared" ca="1" si="302"/>
        <v>2.5863338432460534E-7</v>
      </c>
      <c r="W932" s="13">
        <f t="shared" ca="1" si="303"/>
        <v>8055.4500000000007</v>
      </c>
      <c r="X932" s="4">
        <f t="shared" ca="1" si="304"/>
        <v>1.3883511435117248E-6</v>
      </c>
      <c r="Y932" s="4">
        <f t="shared" si="305"/>
        <v>0</v>
      </c>
      <c r="Z932" s="13">
        <f t="shared" ca="1" si="306"/>
        <v>8055.4500000000007</v>
      </c>
      <c r="AA932" s="4">
        <f t="shared" ca="1" si="307"/>
        <v>1.3883511435117248E-6</v>
      </c>
    </row>
    <row r="933" spans="1:27">
      <c r="A933">
        <v>2</v>
      </c>
      <c r="B933">
        <v>3</v>
      </c>
      <c r="C933">
        <f t="shared" ca="1" si="286"/>
        <v>8</v>
      </c>
      <c r="D933">
        <f t="shared" ca="1" si="287"/>
        <v>7</v>
      </c>
      <c r="E933">
        <f t="shared" ca="1" si="288"/>
        <v>2</v>
      </c>
      <c r="F933" s="110">
        <f t="shared" ca="1" si="289"/>
        <v>5.8199999999999994E-4</v>
      </c>
      <c r="G933">
        <v>0</v>
      </c>
      <c r="H933">
        <v>0</v>
      </c>
      <c r="I933">
        <v>1</v>
      </c>
      <c r="J933" s="1">
        <f t="shared" ca="1" si="290"/>
        <v>5.1953125000000272E-9</v>
      </c>
      <c r="K933" s="1">
        <f t="shared" ca="1" si="291"/>
        <v>3.0236718750000154E-12</v>
      </c>
      <c r="L933" s="13">
        <f t="shared" ca="1" si="292"/>
        <v>20</v>
      </c>
      <c r="M933" s="7">
        <f t="shared" ca="1" si="293"/>
        <v>980</v>
      </c>
      <c r="N933" s="26">
        <f t="shared" ca="1" si="294"/>
        <v>4</v>
      </c>
      <c r="O933" s="44">
        <f t="shared" ca="1" si="295"/>
        <v>2.8910364854084887</v>
      </c>
      <c r="P933" s="44">
        <f t="shared" ca="1" si="296"/>
        <v>28.910364854084886</v>
      </c>
      <c r="Q933" s="44">
        <f t="shared" ca="1" si="297"/>
        <v>28.910364854084886</v>
      </c>
      <c r="R933" s="44">
        <f t="shared" ca="1" si="298"/>
        <v>2.8910364854084887</v>
      </c>
      <c r="S933" s="44">
        <f t="shared" ca="1" si="299"/>
        <v>2.8910364854084882</v>
      </c>
      <c r="T933" s="4">
        <f t="shared" ca="1" si="300"/>
        <v>8.7415457105285382E-12</v>
      </c>
      <c r="U933" s="120">
        <f t="shared" ca="1" si="301"/>
        <v>1480.6349838037554</v>
      </c>
      <c r="V933" s="4">
        <f t="shared" ca="1" si="302"/>
        <v>4.4769543576685182E-9</v>
      </c>
      <c r="W933" s="13">
        <f t="shared" ca="1" si="303"/>
        <v>4027.7250000000004</v>
      </c>
      <c r="X933" s="4">
        <f t="shared" ca="1" si="304"/>
        <v>1.2178518802734439E-8</v>
      </c>
      <c r="Y933" s="4">
        <f t="shared" si="305"/>
        <v>0</v>
      </c>
      <c r="Z933" s="13">
        <f t="shared" ca="1" si="306"/>
        <v>4027.7250000000004</v>
      </c>
      <c r="AA933" s="4">
        <f t="shared" ca="1" si="307"/>
        <v>1.2178518802734439E-8</v>
      </c>
    </row>
    <row r="934" spans="1:27">
      <c r="A934">
        <v>2</v>
      </c>
      <c r="B934">
        <v>3</v>
      </c>
      <c r="C934">
        <f t="shared" ca="1" si="286"/>
        <v>8</v>
      </c>
      <c r="D934">
        <f t="shared" ca="1" si="287"/>
        <v>7</v>
      </c>
      <c r="E934">
        <f t="shared" ca="1" si="288"/>
        <v>2</v>
      </c>
      <c r="F934" s="110">
        <f t="shared" ca="1" si="289"/>
        <v>5.8199999999999994E-4</v>
      </c>
      <c r="G934">
        <v>0</v>
      </c>
      <c r="H934">
        <v>0</v>
      </c>
      <c r="I934">
        <v>0</v>
      </c>
      <c r="J934" s="1">
        <f t="shared" ca="1" si="290"/>
        <v>3.9062500000000246E-11</v>
      </c>
      <c r="K934" s="1">
        <f t="shared" ca="1" si="291"/>
        <v>2.2734375000000141E-14</v>
      </c>
      <c r="L934" s="13">
        <f t="shared" ca="1" si="292"/>
        <v>0</v>
      </c>
      <c r="M934" s="7">
        <f t="shared" ca="1" si="293"/>
        <v>1000</v>
      </c>
      <c r="N934" s="26">
        <f t="shared" ca="1" si="294"/>
        <v>4</v>
      </c>
      <c r="O934" s="44">
        <f t="shared" ca="1" si="295"/>
        <v>2.8910364854084887</v>
      </c>
      <c r="P934" s="44">
        <f t="shared" ca="1" si="296"/>
        <v>28.910364854084886</v>
      </c>
      <c r="Q934" s="44">
        <f t="shared" ca="1" si="297"/>
        <v>28.910364854084886</v>
      </c>
      <c r="R934" s="44">
        <f t="shared" ca="1" si="298"/>
        <v>2.8910364854084887</v>
      </c>
      <c r="S934" s="44">
        <f t="shared" ca="1" si="299"/>
        <v>2.8910364854084882</v>
      </c>
      <c r="T934" s="4">
        <f t="shared" ca="1" si="300"/>
        <v>6.5725907597959014E-14</v>
      </c>
      <c r="U934" s="120">
        <f t="shared" ca="1" si="301"/>
        <v>1460.6349838037554</v>
      </c>
      <c r="V934" s="4">
        <f t="shared" ca="1" si="302"/>
        <v>3.320662345991371E-11</v>
      </c>
      <c r="W934" s="13">
        <f t="shared" ca="1" si="303"/>
        <v>0</v>
      </c>
      <c r="X934" s="4">
        <f t="shared" ca="1" si="304"/>
        <v>0</v>
      </c>
      <c r="Y934" s="4">
        <f t="shared" si="305"/>
        <v>0</v>
      </c>
      <c r="Z934" s="13">
        <f t="shared" ca="1" si="306"/>
        <v>0</v>
      </c>
      <c r="AA934" s="4">
        <f t="shared" ca="1" si="307"/>
        <v>0</v>
      </c>
    </row>
    <row r="935" spans="1:27">
      <c r="A935">
        <v>3</v>
      </c>
      <c r="B935">
        <v>0</v>
      </c>
      <c r="C935">
        <f t="shared" ref="C935:C998" ca="1" si="308">MIN(8, 1+$B$543+$B$542+A935+B935)</f>
        <v>8</v>
      </c>
      <c r="D935">
        <f t="shared" ref="D935:D998" ca="1" si="309">C935-(1+$B$543)</f>
        <v>7</v>
      </c>
      <c r="E935">
        <f t="shared" ref="E935:E998" ca="1" si="310">MIN(A935, C935-(1+$B$543+$B$542))</f>
        <v>3</v>
      </c>
      <c r="F935" s="110">
        <f t="shared" ref="F935:F998" ca="1" si="311">IF(A935=3, Set2QA, IF(A935=2, (1-Set2QA)*Set2TA + (1-Set2QA)*(1-Set2TA)*(1-Set2DA)*Set2AM3*Set2AM33, IF(A935=1, (1-Set2QA)*(1-Set2TA)*Set2DA + (1-Set2QA)*(1-Set2TA)*(1-Set2DA)*Set2AM3*Set2AM32, (1-Set2QA)*(1-Set2TA)*(1-Set2DA)*(1-Set2AM3)))) * IF($B$542+$B$543&gt;0, IF(B935=3, Set2QA, IF(B935=2, (1-Set2QA)*Set2TA, IF(B935=1, (1-Set2QA)*(1-Set2TA)*Set2DA, (1-Set2QA)*(1-Set2TA)*(1-Set2DA)))), IF(B935=0, 1, 0))</f>
        <v>2.1388499999999998E-2</v>
      </c>
      <c r="G935">
        <v>1</v>
      </c>
      <c r="H935">
        <v>1</v>
      </c>
      <c r="I935">
        <v>7</v>
      </c>
      <c r="J935" s="1">
        <f t="shared" ref="J935:J998" ca="1" si="312">POWER(95%,G935)*POWER(5%, 1-G935) * IF($B$543=0, IF(H935=0, 1, 0), POWER(Set2WSHitRate,H935)*POWER(1-Set2WSHitRate, 1-H935)) * IF(I935&lt;=D935, POWER(Set2WSHitRate, I935)*POWER(1-Set2WSHitRate, D935-I935)*COMBIN(D935,I935), 0)</f>
        <v>0</v>
      </c>
      <c r="K935" s="1">
        <f t="shared" ref="K935:K998" ca="1" si="313">F935*J935</f>
        <v>0</v>
      </c>
      <c r="L935" s="13">
        <f t="shared" ref="L935:L998" ca="1" si="314">MAX((G935+H935)*Set2WSTP + I935*$B$539, Set2SaveTP)</f>
        <v>648</v>
      </c>
      <c r="M935" s="7">
        <f t="shared" ref="M935:M998" ca="1" si="315">MAX(Set2MinTP-(L935+Set2Regain), 0)</f>
        <v>352</v>
      </c>
      <c r="N935" s="26">
        <f t="shared" ref="N935:N998" ca="1" si="316">CEILING(M935/Set2MeleeTP, 1)</f>
        <v>2</v>
      </c>
      <c r="O935" s="44">
        <f t="shared" ref="O935:O998" ca="1" si="317">VLOOKUP(N935, AvgRoundsSet2, 2)</f>
        <v>1.5942243152407929</v>
      </c>
      <c r="P935" s="44">
        <f t="shared" ref="P935:P998" ca="1" si="318">VLOOKUP(CEILING(MAX(M935-1, 0)/Set2MeleeTP, 1), AvgRoundsSet2, 2) + VLOOKUP(CEILING(MAX(M935-2, 0)/Set2MeleeTP, 1), AvgRoundsSet2, 2) + VLOOKUP(CEILING(MAX(M935-3, 0)/Set2MeleeTP, 1), AvgRoundsSet2, 2) + VLOOKUP(CEILING(MAX(M935-4, 0)/Set2MeleeTP, 1), AvgRoundsSet2, 2) + VLOOKUP(CEILING(MAX(M935-5, 0)/Set2MeleeTP, 1), AvgRoundsSet2, 2) + VLOOKUP(CEILING(MAX(M935-6, 0)/Set2MeleeTP, 1), AvgRoundsSet2, 2) + VLOOKUP(CEILING(MAX(M935-7, 0)/Set2MeleeTP, 1), AvgRoundsSet2, 2) + VLOOKUP(CEILING(MAX(M935-8, 0)/Set2MeleeTP, 1), AvgRoundsSet2, 2) + VLOOKUP(CEILING(MAX(M935-9, 0)/Set2MeleeTP, 1), AvgRoundsSet2, 2) + VLOOKUP(CEILING(MAX(M935-10, 0)/Set2MeleeTP, 1), AvgRoundsSet2, 2)</f>
        <v>15.942243152407926</v>
      </c>
      <c r="Q935" s="44">
        <f t="shared" ref="Q935:Q998" ca="1" si="319">VLOOKUP(CEILING(MAX(M935-11, 0)/Set2MeleeTP, 1), AvgRoundsSet2, 2) + VLOOKUP(CEILING(MAX(M935-12, 0)/Set2MeleeTP, 1), AvgRoundsSet2, 2) + VLOOKUP(CEILING(MAX(M935-13, 0)/Set2MeleeTP, 1), AvgRoundsSet2, 2) + VLOOKUP(CEILING(MAX(M935-14, 0)/Set2MeleeTP, 1), AvgRoundsSet2, 2) + VLOOKUP(CEILING(MAX(M935-15, 0)/Set2MeleeTP, 1), AvgRoundsSet2, 2) + VLOOKUP(CEILING(MAX(M935-16, 0)/Set2MeleeTP, 1), AvgRoundsSet2, 2) + VLOOKUP(CEILING(MAX(M935-17, 0)/Set2MeleeTP, 1), AvgRoundsSet2, 2) + VLOOKUP(CEILING(MAX(M935-18, 0)/Set2MeleeTP, 1), AvgRoundsSet2, 2) + VLOOKUP(CEILING(MAX(M935-19, 0)/Set2MeleeTP, 1), AvgRoundsSet2, 2) + VLOOKUP(CEILING(MAX(M935-20, 0)/Set2MeleeTP, 1), AvgRoundsSet2, 2)</f>
        <v>15.942243152407926</v>
      </c>
      <c r="R935" s="44">
        <f t="shared" ref="R935:R998" ca="1" si="320">(P935+Q935)/20</f>
        <v>1.5942243152407927</v>
      </c>
      <c r="S935" s="44">
        <f t="shared" ref="S935:S998" ca="1" si="321">R935*Set2ConserveTP + O935*(1-Set2ConserveTP)</f>
        <v>1.5942243152407927</v>
      </c>
      <c r="T935" s="4">
        <f t="shared" ref="T935:T998" ca="1" si="322">K935*S935</f>
        <v>0</v>
      </c>
      <c r="U935" s="120">
        <f t="shared" ref="U935:U998" ca="1" si="323">MIN(L935+(S935+Set2OverTP)*AvgHitsPerRound2*Set2MeleeTP + Set2Regain + 10.5*Set2ConserveTP, 3000)</f>
        <v>1550.3348669012169</v>
      </c>
      <c r="V935" s="4">
        <f t="shared" ref="V935:V998" ca="1" si="324">U935*K935</f>
        <v>0</v>
      </c>
      <c r="W935" s="13">
        <f t="shared" ref="W935:W998" ca="1" si="325">G935*$K$543*((1-$L$543)*$L$547 + $L$543*$M$547*$M$543)*Set2WSDmg + H935*$K$546*((1-$L$546)*$L$548 + $L$546*$M$548*$M$544) + I935*$K$544*((1-$L$544)*$L$547 + $L$544*$M$547*$M$544) + E935*$K$545*$L$545*$M$543</f>
        <v>32946.790500000003</v>
      </c>
      <c r="X935" s="4">
        <f t="shared" ref="X935:X998" ca="1" si="326">K935*W935</f>
        <v>0</v>
      </c>
      <c r="Y935" s="4">
        <f t="shared" ref="Y935:Y998" si="327">IF($B$545=1, (VLOOKUP(C935, IF($B$546=10%,Souleater10,Souleater12), 6, FALSE) * $B$547), 0)</f>
        <v>0</v>
      </c>
      <c r="Z935" s="13">
        <f t="shared" ca="1" si="306"/>
        <v>32946.790500000003</v>
      </c>
      <c r="AA935" s="4">
        <f t="shared" ca="1" si="307"/>
        <v>0</v>
      </c>
    </row>
    <row r="936" spans="1:27">
      <c r="A936">
        <v>3</v>
      </c>
      <c r="B936">
        <v>0</v>
      </c>
      <c r="C936">
        <f t="shared" ca="1" si="308"/>
        <v>8</v>
      </c>
      <c r="D936">
        <f t="shared" ca="1" si="309"/>
        <v>7</v>
      </c>
      <c r="E936">
        <f t="shared" ca="1" si="310"/>
        <v>3</v>
      </c>
      <c r="F936" s="110">
        <f t="shared" ca="1" si="311"/>
        <v>2.1388499999999998E-2</v>
      </c>
      <c r="G936">
        <v>1</v>
      </c>
      <c r="H936">
        <v>1</v>
      </c>
      <c r="I936">
        <v>6</v>
      </c>
      <c r="J936" s="1">
        <f t="shared" ca="1" si="312"/>
        <v>0</v>
      </c>
      <c r="K936" s="1">
        <f t="shared" ca="1" si="313"/>
        <v>0</v>
      </c>
      <c r="L936" s="13">
        <f t="shared" ca="1" si="314"/>
        <v>628</v>
      </c>
      <c r="M936" s="7">
        <f t="shared" ca="1" si="315"/>
        <v>372</v>
      </c>
      <c r="N936" s="26">
        <f t="shared" ca="1" si="316"/>
        <v>2</v>
      </c>
      <c r="O936" s="44">
        <f t="shared" ca="1" si="317"/>
        <v>1.5942243152407929</v>
      </c>
      <c r="P936" s="44">
        <f t="shared" ca="1" si="318"/>
        <v>15.942243152407926</v>
      </c>
      <c r="Q936" s="44">
        <f t="shared" ca="1" si="319"/>
        <v>15.942243152407926</v>
      </c>
      <c r="R936" s="44">
        <f t="shared" ca="1" si="320"/>
        <v>1.5942243152407927</v>
      </c>
      <c r="S936" s="44">
        <f t="shared" ca="1" si="321"/>
        <v>1.5942243152407927</v>
      </c>
      <c r="T936" s="4">
        <f t="shared" ca="1" si="322"/>
        <v>0</v>
      </c>
      <c r="U936" s="120">
        <f t="shared" ca="1" si="323"/>
        <v>1530.3348669012169</v>
      </c>
      <c r="V936" s="4">
        <f t="shared" ca="1" si="324"/>
        <v>0</v>
      </c>
      <c r="W936" s="13">
        <f t="shared" ca="1" si="325"/>
        <v>28919.065500000004</v>
      </c>
      <c r="X936" s="4">
        <f t="shared" ca="1" si="326"/>
        <v>0</v>
      </c>
      <c r="Y936" s="4">
        <f t="shared" si="327"/>
        <v>0</v>
      </c>
      <c r="Z936" s="13">
        <f t="shared" ref="Z936:Z999" ca="1" si="328">Y936+W936</f>
        <v>28919.065500000004</v>
      </c>
      <c r="AA936" s="4">
        <f t="shared" ref="AA936:AA999" ca="1" si="329">Z936*K936</f>
        <v>0</v>
      </c>
    </row>
    <row r="937" spans="1:27">
      <c r="A937">
        <v>3</v>
      </c>
      <c r="B937">
        <v>0</v>
      </c>
      <c r="C937">
        <f t="shared" ca="1" si="308"/>
        <v>8</v>
      </c>
      <c r="D937">
        <f t="shared" ca="1" si="309"/>
        <v>7</v>
      </c>
      <c r="E937">
        <f t="shared" ca="1" si="310"/>
        <v>3</v>
      </c>
      <c r="F937" s="110">
        <f t="shared" ca="1" si="311"/>
        <v>2.1388499999999998E-2</v>
      </c>
      <c r="G937">
        <v>1</v>
      </c>
      <c r="H937">
        <v>1</v>
      </c>
      <c r="I937">
        <v>5</v>
      </c>
      <c r="J937" s="1">
        <f t="shared" ca="1" si="312"/>
        <v>0</v>
      </c>
      <c r="K937" s="1">
        <f t="shared" ca="1" si="313"/>
        <v>0</v>
      </c>
      <c r="L937" s="13">
        <f t="shared" ca="1" si="314"/>
        <v>608</v>
      </c>
      <c r="M937" s="7">
        <f t="shared" ca="1" si="315"/>
        <v>392</v>
      </c>
      <c r="N937" s="26">
        <f t="shared" ca="1" si="316"/>
        <v>2</v>
      </c>
      <c r="O937" s="44">
        <f t="shared" ca="1" si="317"/>
        <v>1.5942243152407929</v>
      </c>
      <c r="P937" s="44">
        <f t="shared" ca="1" si="318"/>
        <v>15.942243152407926</v>
      </c>
      <c r="Q937" s="44">
        <f t="shared" ca="1" si="319"/>
        <v>15.942243152407926</v>
      </c>
      <c r="R937" s="44">
        <f t="shared" ca="1" si="320"/>
        <v>1.5942243152407927</v>
      </c>
      <c r="S937" s="44">
        <f t="shared" ca="1" si="321"/>
        <v>1.5942243152407927</v>
      </c>
      <c r="T937" s="4">
        <f t="shared" ca="1" si="322"/>
        <v>0</v>
      </c>
      <c r="U937" s="120">
        <f t="shared" ca="1" si="323"/>
        <v>1510.3348669012169</v>
      </c>
      <c r="V937" s="4">
        <f t="shared" ca="1" si="324"/>
        <v>0</v>
      </c>
      <c r="W937" s="13">
        <f t="shared" ca="1" si="325"/>
        <v>24891.340500000002</v>
      </c>
      <c r="X937" s="4">
        <f t="shared" ca="1" si="326"/>
        <v>0</v>
      </c>
      <c r="Y937" s="4">
        <f t="shared" si="327"/>
        <v>0</v>
      </c>
      <c r="Z937" s="13">
        <f t="shared" ca="1" si="328"/>
        <v>24891.340500000002</v>
      </c>
      <c r="AA937" s="4">
        <f t="shared" ca="1" si="329"/>
        <v>0</v>
      </c>
    </row>
    <row r="938" spans="1:27">
      <c r="A938">
        <v>3</v>
      </c>
      <c r="B938">
        <v>0</v>
      </c>
      <c r="C938">
        <f t="shared" ca="1" si="308"/>
        <v>8</v>
      </c>
      <c r="D938">
        <f t="shared" ca="1" si="309"/>
        <v>7</v>
      </c>
      <c r="E938">
        <f t="shared" ca="1" si="310"/>
        <v>3</v>
      </c>
      <c r="F938" s="110">
        <f t="shared" ca="1" si="311"/>
        <v>2.1388499999999998E-2</v>
      </c>
      <c r="G938">
        <v>1</v>
      </c>
      <c r="H938">
        <v>1</v>
      </c>
      <c r="I938">
        <v>4</v>
      </c>
      <c r="J938" s="1">
        <f t="shared" ca="1" si="312"/>
        <v>0</v>
      </c>
      <c r="K938" s="1">
        <f t="shared" ca="1" si="313"/>
        <v>0</v>
      </c>
      <c r="L938" s="13">
        <f t="shared" ca="1" si="314"/>
        <v>588</v>
      </c>
      <c r="M938" s="7">
        <f t="shared" ca="1" si="315"/>
        <v>412</v>
      </c>
      <c r="N938" s="26">
        <f t="shared" ca="1" si="316"/>
        <v>2</v>
      </c>
      <c r="O938" s="44">
        <f t="shared" ca="1" si="317"/>
        <v>1.5942243152407929</v>
      </c>
      <c r="P938" s="44">
        <f t="shared" ca="1" si="318"/>
        <v>15.942243152407926</v>
      </c>
      <c r="Q938" s="44">
        <f t="shared" ca="1" si="319"/>
        <v>15.942243152407926</v>
      </c>
      <c r="R938" s="44">
        <f t="shared" ca="1" si="320"/>
        <v>1.5942243152407927</v>
      </c>
      <c r="S938" s="44">
        <f t="shared" ca="1" si="321"/>
        <v>1.5942243152407927</v>
      </c>
      <c r="T938" s="4">
        <f t="shared" ca="1" si="322"/>
        <v>0</v>
      </c>
      <c r="U938" s="120">
        <f t="shared" ca="1" si="323"/>
        <v>1490.3348669012169</v>
      </c>
      <c r="V938" s="4">
        <f t="shared" ca="1" si="324"/>
        <v>0</v>
      </c>
      <c r="W938" s="13">
        <f t="shared" ca="1" si="325"/>
        <v>20863.615500000004</v>
      </c>
      <c r="X938" s="4">
        <f t="shared" ca="1" si="326"/>
        <v>0</v>
      </c>
      <c r="Y938" s="4">
        <f t="shared" si="327"/>
        <v>0</v>
      </c>
      <c r="Z938" s="13">
        <f t="shared" ca="1" si="328"/>
        <v>20863.615500000004</v>
      </c>
      <c r="AA938" s="4">
        <f t="shared" ca="1" si="329"/>
        <v>0</v>
      </c>
    </row>
    <row r="939" spans="1:27">
      <c r="A939">
        <v>3</v>
      </c>
      <c r="B939">
        <v>0</v>
      </c>
      <c r="C939">
        <f t="shared" ca="1" si="308"/>
        <v>8</v>
      </c>
      <c r="D939">
        <f t="shared" ca="1" si="309"/>
        <v>7</v>
      </c>
      <c r="E939">
        <f t="shared" ca="1" si="310"/>
        <v>3</v>
      </c>
      <c r="F939" s="110">
        <f t="shared" ca="1" si="311"/>
        <v>2.1388499999999998E-2</v>
      </c>
      <c r="G939">
        <v>1</v>
      </c>
      <c r="H939">
        <v>1</v>
      </c>
      <c r="I939">
        <v>3</v>
      </c>
      <c r="J939" s="1">
        <f t="shared" ca="1" si="312"/>
        <v>0</v>
      </c>
      <c r="K939" s="1">
        <f t="shared" ca="1" si="313"/>
        <v>0</v>
      </c>
      <c r="L939" s="13">
        <f t="shared" ca="1" si="314"/>
        <v>568</v>
      </c>
      <c r="M939" s="7">
        <f t="shared" ca="1" si="315"/>
        <v>432</v>
      </c>
      <c r="N939" s="26">
        <f t="shared" ca="1" si="316"/>
        <v>2</v>
      </c>
      <c r="O939" s="44">
        <f t="shared" ca="1" si="317"/>
        <v>1.5942243152407929</v>
      </c>
      <c r="P939" s="44">
        <f t="shared" ca="1" si="318"/>
        <v>15.942243152407926</v>
      </c>
      <c r="Q939" s="44">
        <f t="shared" ca="1" si="319"/>
        <v>15.942243152407926</v>
      </c>
      <c r="R939" s="44">
        <f t="shared" ca="1" si="320"/>
        <v>1.5942243152407927</v>
      </c>
      <c r="S939" s="44">
        <f t="shared" ca="1" si="321"/>
        <v>1.5942243152407927</v>
      </c>
      <c r="T939" s="4">
        <f t="shared" ca="1" si="322"/>
        <v>0</v>
      </c>
      <c r="U939" s="120">
        <f t="shared" ca="1" si="323"/>
        <v>1470.3348669012169</v>
      </c>
      <c r="V939" s="4">
        <f t="shared" ca="1" si="324"/>
        <v>0</v>
      </c>
      <c r="W939" s="13">
        <f t="shared" ca="1" si="325"/>
        <v>16835.890500000001</v>
      </c>
      <c r="X939" s="4">
        <f t="shared" ca="1" si="326"/>
        <v>0</v>
      </c>
      <c r="Y939" s="4">
        <f t="shared" si="327"/>
        <v>0</v>
      </c>
      <c r="Z939" s="13">
        <f t="shared" ca="1" si="328"/>
        <v>16835.890500000001</v>
      </c>
      <c r="AA939" s="4">
        <f t="shared" ca="1" si="329"/>
        <v>0</v>
      </c>
    </row>
    <row r="940" spans="1:27">
      <c r="A940">
        <v>3</v>
      </c>
      <c r="B940">
        <v>0</v>
      </c>
      <c r="C940">
        <f t="shared" ca="1" si="308"/>
        <v>8</v>
      </c>
      <c r="D940">
        <f t="shared" ca="1" si="309"/>
        <v>7</v>
      </c>
      <c r="E940">
        <f t="shared" ca="1" si="310"/>
        <v>3</v>
      </c>
      <c r="F940" s="110">
        <f t="shared" ca="1" si="311"/>
        <v>2.1388499999999998E-2</v>
      </c>
      <c r="G940">
        <v>1</v>
      </c>
      <c r="H940">
        <v>1</v>
      </c>
      <c r="I940">
        <v>2</v>
      </c>
      <c r="J940" s="1">
        <f t="shared" ca="1" si="312"/>
        <v>0</v>
      </c>
      <c r="K940" s="1">
        <f t="shared" ca="1" si="313"/>
        <v>0</v>
      </c>
      <c r="L940" s="13">
        <f t="shared" ca="1" si="314"/>
        <v>548</v>
      </c>
      <c r="M940" s="7">
        <f t="shared" ca="1" si="315"/>
        <v>452</v>
      </c>
      <c r="N940" s="26">
        <f t="shared" ca="1" si="316"/>
        <v>2</v>
      </c>
      <c r="O940" s="44">
        <f t="shared" ca="1" si="317"/>
        <v>1.5942243152407929</v>
      </c>
      <c r="P940" s="44">
        <f t="shared" ca="1" si="318"/>
        <v>15.942243152407926</v>
      </c>
      <c r="Q940" s="44">
        <f t="shared" ca="1" si="319"/>
        <v>15.942243152407926</v>
      </c>
      <c r="R940" s="44">
        <f t="shared" ca="1" si="320"/>
        <v>1.5942243152407927</v>
      </c>
      <c r="S940" s="44">
        <f t="shared" ca="1" si="321"/>
        <v>1.5942243152407927</v>
      </c>
      <c r="T940" s="4">
        <f t="shared" ca="1" si="322"/>
        <v>0</v>
      </c>
      <c r="U940" s="120">
        <f t="shared" ca="1" si="323"/>
        <v>1450.3348669012169</v>
      </c>
      <c r="V940" s="4">
        <f t="shared" ca="1" si="324"/>
        <v>0</v>
      </c>
      <c r="W940" s="13">
        <f t="shared" ca="1" si="325"/>
        <v>12808.165500000003</v>
      </c>
      <c r="X940" s="4">
        <f t="shared" ca="1" si="326"/>
        <v>0</v>
      </c>
      <c r="Y940" s="4">
        <f t="shared" si="327"/>
        <v>0</v>
      </c>
      <c r="Z940" s="13">
        <f t="shared" ca="1" si="328"/>
        <v>12808.165500000003</v>
      </c>
      <c r="AA940" s="4">
        <f t="shared" ca="1" si="329"/>
        <v>0</v>
      </c>
    </row>
    <row r="941" spans="1:27">
      <c r="A941">
        <v>3</v>
      </c>
      <c r="B941">
        <v>0</v>
      </c>
      <c r="C941">
        <f t="shared" ca="1" si="308"/>
        <v>8</v>
      </c>
      <c r="D941">
        <f t="shared" ca="1" si="309"/>
        <v>7</v>
      </c>
      <c r="E941">
        <f t="shared" ca="1" si="310"/>
        <v>3</v>
      </c>
      <c r="F941" s="110">
        <f t="shared" ca="1" si="311"/>
        <v>2.1388499999999998E-2</v>
      </c>
      <c r="G941">
        <v>1</v>
      </c>
      <c r="H941">
        <v>1</v>
      </c>
      <c r="I941">
        <v>1</v>
      </c>
      <c r="J941" s="1">
        <f t="shared" ca="1" si="312"/>
        <v>0</v>
      </c>
      <c r="K941" s="1">
        <f t="shared" ca="1" si="313"/>
        <v>0</v>
      </c>
      <c r="L941" s="13">
        <f t="shared" ca="1" si="314"/>
        <v>528</v>
      </c>
      <c r="M941" s="7">
        <f t="shared" ca="1" si="315"/>
        <v>472</v>
      </c>
      <c r="N941" s="26">
        <f t="shared" ca="1" si="316"/>
        <v>2</v>
      </c>
      <c r="O941" s="44">
        <f t="shared" ca="1" si="317"/>
        <v>1.5942243152407929</v>
      </c>
      <c r="P941" s="44">
        <f t="shared" ca="1" si="318"/>
        <v>15.942243152407926</v>
      </c>
      <c r="Q941" s="44">
        <f t="shared" ca="1" si="319"/>
        <v>15.942243152407926</v>
      </c>
      <c r="R941" s="44">
        <f t="shared" ca="1" si="320"/>
        <v>1.5942243152407927</v>
      </c>
      <c r="S941" s="44">
        <f t="shared" ca="1" si="321"/>
        <v>1.5942243152407927</v>
      </c>
      <c r="T941" s="4">
        <f t="shared" ca="1" si="322"/>
        <v>0</v>
      </c>
      <c r="U941" s="120">
        <f t="shared" ca="1" si="323"/>
        <v>1430.3348669012169</v>
      </c>
      <c r="V941" s="4">
        <f t="shared" ca="1" si="324"/>
        <v>0</v>
      </c>
      <c r="W941" s="13">
        <f t="shared" ca="1" si="325"/>
        <v>8780.4405000000006</v>
      </c>
      <c r="X941" s="4">
        <f t="shared" ca="1" si="326"/>
        <v>0</v>
      </c>
      <c r="Y941" s="4">
        <f t="shared" si="327"/>
        <v>0</v>
      </c>
      <c r="Z941" s="13">
        <f t="shared" ca="1" si="328"/>
        <v>8780.4405000000006</v>
      </c>
      <c r="AA941" s="4">
        <f t="shared" ca="1" si="329"/>
        <v>0</v>
      </c>
    </row>
    <row r="942" spans="1:27">
      <c r="A942">
        <v>3</v>
      </c>
      <c r="B942">
        <v>0</v>
      </c>
      <c r="C942">
        <f t="shared" ca="1" si="308"/>
        <v>8</v>
      </c>
      <c r="D942">
        <f t="shared" ca="1" si="309"/>
        <v>7</v>
      </c>
      <c r="E942">
        <f t="shared" ca="1" si="310"/>
        <v>3</v>
      </c>
      <c r="F942" s="110">
        <f t="shared" ca="1" si="311"/>
        <v>2.1388499999999998E-2</v>
      </c>
      <c r="G942">
        <v>1</v>
      </c>
      <c r="H942">
        <v>1</v>
      </c>
      <c r="I942">
        <v>0</v>
      </c>
      <c r="J942" s="1">
        <f t="shared" ca="1" si="312"/>
        <v>0</v>
      </c>
      <c r="K942" s="1">
        <f t="shared" ca="1" si="313"/>
        <v>0</v>
      </c>
      <c r="L942" s="13">
        <f t="shared" ca="1" si="314"/>
        <v>508</v>
      </c>
      <c r="M942" s="7">
        <f t="shared" ca="1" si="315"/>
        <v>492</v>
      </c>
      <c r="N942" s="26">
        <f t="shared" ca="1" si="316"/>
        <v>2</v>
      </c>
      <c r="O942" s="44">
        <f t="shared" ca="1" si="317"/>
        <v>1.5942243152407929</v>
      </c>
      <c r="P942" s="44">
        <f t="shared" ca="1" si="318"/>
        <v>15.942243152407926</v>
      </c>
      <c r="Q942" s="44">
        <f t="shared" ca="1" si="319"/>
        <v>15.942243152407926</v>
      </c>
      <c r="R942" s="44">
        <f t="shared" ca="1" si="320"/>
        <v>1.5942243152407927</v>
      </c>
      <c r="S942" s="44">
        <f t="shared" ca="1" si="321"/>
        <v>1.5942243152407927</v>
      </c>
      <c r="T942" s="4">
        <f t="shared" ca="1" si="322"/>
        <v>0</v>
      </c>
      <c r="U942" s="120">
        <f t="shared" ca="1" si="323"/>
        <v>1410.3348669012169</v>
      </c>
      <c r="V942" s="4">
        <f t="shared" ca="1" si="324"/>
        <v>0</v>
      </c>
      <c r="W942" s="13">
        <f t="shared" ca="1" si="325"/>
        <v>4752.7155000000012</v>
      </c>
      <c r="X942" s="4">
        <f t="shared" ca="1" si="326"/>
        <v>0</v>
      </c>
      <c r="Y942" s="4">
        <f t="shared" si="327"/>
        <v>0</v>
      </c>
      <c r="Z942" s="13">
        <f t="shared" ca="1" si="328"/>
        <v>4752.7155000000012</v>
      </c>
      <c r="AA942" s="4">
        <f t="shared" ca="1" si="329"/>
        <v>0</v>
      </c>
    </row>
    <row r="943" spans="1:27">
      <c r="A943">
        <v>3</v>
      </c>
      <c r="B943">
        <v>0</v>
      </c>
      <c r="C943">
        <f t="shared" ca="1" si="308"/>
        <v>8</v>
      </c>
      <c r="D943">
        <f t="shared" ca="1" si="309"/>
        <v>7</v>
      </c>
      <c r="E943">
        <f t="shared" ca="1" si="310"/>
        <v>3</v>
      </c>
      <c r="F943" s="110">
        <f t="shared" ca="1" si="311"/>
        <v>2.1388499999999998E-2</v>
      </c>
      <c r="G943">
        <v>1</v>
      </c>
      <c r="H943">
        <v>0</v>
      </c>
      <c r="I943">
        <v>7</v>
      </c>
      <c r="J943" s="1">
        <f t="shared" ca="1" si="312"/>
        <v>0.66342043128906247</v>
      </c>
      <c r="K943" s="1">
        <f t="shared" ca="1" si="313"/>
        <v>1.4189567894626111E-2</v>
      </c>
      <c r="L943" s="13">
        <f t="shared" ca="1" si="314"/>
        <v>394</v>
      </c>
      <c r="M943" s="7">
        <f t="shared" ca="1" si="315"/>
        <v>606</v>
      </c>
      <c r="N943" s="26">
        <f t="shared" ca="1" si="316"/>
        <v>3</v>
      </c>
      <c r="O943" s="44">
        <f t="shared" ca="1" si="317"/>
        <v>2.2641455309069398</v>
      </c>
      <c r="P943" s="44">
        <f t="shared" ca="1" si="318"/>
        <v>22.641455309069404</v>
      </c>
      <c r="Q943" s="44">
        <f t="shared" ca="1" si="319"/>
        <v>22.641455309069404</v>
      </c>
      <c r="R943" s="44">
        <f t="shared" ca="1" si="320"/>
        <v>2.2641455309069403</v>
      </c>
      <c r="S943" s="44">
        <f t="shared" ca="1" si="321"/>
        <v>2.2641455309069398</v>
      </c>
      <c r="T943" s="4">
        <f t="shared" ca="1" si="322"/>
        <v>3.2127246734118306E-2</v>
      </c>
      <c r="U943" s="120">
        <f t="shared" ca="1" si="323"/>
        <v>1584.7475619899244</v>
      </c>
      <c r="V943" s="4">
        <f t="shared" ca="1" si="324"/>
        <v>22.486883126699233</v>
      </c>
      <c r="W943" s="13">
        <f t="shared" ca="1" si="325"/>
        <v>32946.790500000003</v>
      </c>
      <c r="X943" s="4">
        <f t="shared" ca="1" si="326"/>
        <v>467.50072070977262</v>
      </c>
      <c r="Y943" s="4">
        <f t="shared" si="327"/>
        <v>0</v>
      </c>
      <c r="Z943" s="13">
        <f t="shared" ca="1" si="328"/>
        <v>32946.790500000003</v>
      </c>
      <c r="AA943" s="4">
        <f t="shared" ca="1" si="329"/>
        <v>467.50072070977262</v>
      </c>
    </row>
    <row r="944" spans="1:27">
      <c r="A944">
        <v>3</v>
      </c>
      <c r="B944">
        <v>0</v>
      </c>
      <c r="C944">
        <f t="shared" ca="1" si="308"/>
        <v>8</v>
      </c>
      <c r="D944">
        <f t="shared" ca="1" si="309"/>
        <v>7</v>
      </c>
      <c r="E944">
        <f t="shared" ca="1" si="310"/>
        <v>3</v>
      </c>
      <c r="F944" s="110">
        <f t="shared" ca="1" si="311"/>
        <v>2.1388499999999998E-2</v>
      </c>
      <c r="G944">
        <v>1</v>
      </c>
      <c r="H944">
        <v>0</v>
      </c>
      <c r="I944">
        <v>6</v>
      </c>
      <c r="J944" s="1">
        <f t="shared" ca="1" si="312"/>
        <v>0.24441805363281272</v>
      </c>
      <c r="K944" s="1">
        <f t="shared" ca="1" si="313"/>
        <v>5.2277355401254139E-3</v>
      </c>
      <c r="L944" s="13">
        <f t="shared" ca="1" si="314"/>
        <v>374</v>
      </c>
      <c r="M944" s="7">
        <f t="shared" ca="1" si="315"/>
        <v>626</v>
      </c>
      <c r="N944" s="26">
        <f t="shared" ca="1" si="316"/>
        <v>3</v>
      </c>
      <c r="O944" s="44">
        <f t="shared" ca="1" si="317"/>
        <v>2.2641455309069398</v>
      </c>
      <c r="P944" s="44">
        <f t="shared" ca="1" si="318"/>
        <v>22.641455309069404</v>
      </c>
      <c r="Q944" s="44">
        <f t="shared" ca="1" si="319"/>
        <v>22.641455309069404</v>
      </c>
      <c r="R944" s="44">
        <f t="shared" ca="1" si="320"/>
        <v>2.2641455309069403</v>
      </c>
      <c r="S944" s="44">
        <f t="shared" ca="1" si="321"/>
        <v>2.2641455309069398</v>
      </c>
      <c r="T944" s="4">
        <f t="shared" ca="1" si="322"/>
        <v>1.1836354059938332E-2</v>
      </c>
      <c r="U944" s="120">
        <f t="shared" ca="1" si="323"/>
        <v>1564.7475619899244</v>
      </c>
      <c r="V944" s="4">
        <f t="shared" ca="1" si="324"/>
        <v>8.1800864411393217</v>
      </c>
      <c r="W944" s="13">
        <f t="shared" ca="1" si="325"/>
        <v>28919.065500000004</v>
      </c>
      <c r="X944" s="4">
        <f t="shared" ca="1" si="326"/>
        <v>151.18122650156474</v>
      </c>
      <c r="Y944" s="4">
        <f t="shared" si="327"/>
        <v>0</v>
      </c>
      <c r="Z944" s="13">
        <f t="shared" ca="1" si="328"/>
        <v>28919.065500000004</v>
      </c>
      <c r="AA944" s="4">
        <f t="shared" ca="1" si="329"/>
        <v>151.18122650156474</v>
      </c>
    </row>
    <row r="945" spans="1:27">
      <c r="A945">
        <v>3</v>
      </c>
      <c r="B945">
        <v>0</v>
      </c>
      <c r="C945">
        <f t="shared" ca="1" si="308"/>
        <v>8</v>
      </c>
      <c r="D945">
        <f t="shared" ca="1" si="309"/>
        <v>7</v>
      </c>
      <c r="E945">
        <f t="shared" ca="1" si="310"/>
        <v>3</v>
      </c>
      <c r="F945" s="110">
        <f t="shared" ca="1" si="311"/>
        <v>2.1388499999999998E-2</v>
      </c>
      <c r="G945">
        <v>1</v>
      </c>
      <c r="H945">
        <v>0</v>
      </c>
      <c r="I945">
        <v>5</v>
      </c>
      <c r="J945" s="1">
        <f t="shared" ca="1" si="312"/>
        <v>3.8592324257812567E-2</v>
      </c>
      <c r="K945" s="1">
        <f t="shared" ca="1" si="313"/>
        <v>8.25431927388224E-4</v>
      </c>
      <c r="L945" s="13">
        <f t="shared" ca="1" si="314"/>
        <v>354</v>
      </c>
      <c r="M945" s="7">
        <f t="shared" ca="1" si="315"/>
        <v>646</v>
      </c>
      <c r="N945" s="26">
        <f t="shared" ca="1" si="316"/>
        <v>3</v>
      </c>
      <c r="O945" s="44">
        <f t="shared" ca="1" si="317"/>
        <v>2.2641455309069398</v>
      </c>
      <c r="P945" s="44">
        <f t="shared" ca="1" si="318"/>
        <v>22.641455309069404</v>
      </c>
      <c r="Q945" s="44">
        <f t="shared" ca="1" si="319"/>
        <v>22.641455309069404</v>
      </c>
      <c r="R945" s="44">
        <f t="shared" ca="1" si="320"/>
        <v>2.2641455309069403</v>
      </c>
      <c r="S945" s="44">
        <f t="shared" ca="1" si="321"/>
        <v>2.2641455309069398</v>
      </c>
      <c r="T945" s="4">
        <f t="shared" ca="1" si="322"/>
        <v>1.8688980094639491E-3</v>
      </c>
      <c r="U945" s="120">
        <f t="shared" ca="1" si="323"/>
        <v>1544.7475619899244</v>
      </c>
      <c r="V945" s="4">
        <f t="shared" ca="1" si="324"/>
        <v>1.2750839574216033</v>
      </c>
      <c r="W945" s="13">
        <f t="shared" ca="1" si="325"/>
        <v>24891.340500000002</v>
      </c>
      <c r="X945" s="4">
        <f t="shared" ca="1" si="326"/>
        <v>20.546107164191561</v>
      </c>
      <c r="Y945" s="4">
        <f t="shared" si="327"/>
        <v>0</v>
      </c>
      <c r="Z945" s="13">
        <f t="shared" ca="1" si="328"/>
        <v>24891.340500000002</v>
      </c>
      <c r="AA945" s="4">
        <f t="shared" ca="1" si="329"/>
        <v>20.546107164191561</v>
      </c>
    </row>
    <row r="946" spans="1:27">
      <c r="A946">
        <v>3</v>
      </c>
      <c r="B946">
        <v>0</v>
      </c>
      <c r="C946">
        <f t="shared" ca="1" si="308"/>
        <v>8</v>
      </c>
      <c r="D946">
        <f t="shared" ca="1" si="309"/>
        <v>7</v>
      </c>
      <c r="E946">
        <f t="shared" ca="1" si="310"/>
        <v>3</v>
      </c>
      <c r="F946" s="110">
        <f t="shared" ca="1" si="311"/>
        <v>2.1388499999999998E-2</v>
      </c>
      <c r="G946">
        <v>1</v>
      </c>
      <c r="H946">
        <v>0</v>
      </c>
      <c r="I946">
        <v>4</v>
      </c>
      <c r="J946" s="1">
        <f t="shared" ca="1" si="312"/>
        <v>3.3852916015625085E-3</v>
      </c>
      <c r="K946" s="1">
        <f t="shared" ca="1" si="313"/>
        <v>7.2406309420019701E-5</v>
      </c>
      <c r="L946" s="13">
        <f t="shared" ca="1" si="314"/>
        <v>334</v>
      </c>
      <c r="M946" s="7">
        <f t="shared" ca="1" si="315"/>
        <v>666</v>
      </c>
      <c r="N946" s="26">
        <f t="shared" ca="1" si="316"/>
        <v>3</v>
      </c>
      <c r="O946" s="44">
        <f t="shared" ca="1" si="317"/>
        <v>2.2641455309069398</v>
      </c>
      <c r="P946" s="44">
        <f t="shared" ca="1" si="318"/>
        <v>22.641455309069404</v>
      </c>
      <c r="Q946" s="44">
        <f t="shared" ca="1" si="319"/>
        <v>22.641455309069404</v>
      </c>
      <c r="R946" s="44">
        <f t="shared" ca="1" si="320"/>
        <v>2.2641455309069403</v>
      </c>
      <c r="S946" s="44">
        <f t="shared" ca="1" si="321"/>
        <v>2.2641455309069398</v>
      </c>
      <c r="T946" s="4">
        <f t="shared" ca="1" si="322"/>
        <v>1.6393842188280267E-4</v>
      </c>
      <c r="U946" s="120">
        <f t="shared" ca="1" si="323"/>
        <v>1524.7475619899244</v>
      </c>
      <c r="V946" s="4">
        <f t="shared" ca="1" si="324"/>
        <v>0.11040134376086314</v>
      </c>
      <c r="W946" s="13">
        <f t="shared" ca="1" si="325"/>
        <v>20863.615500000004</v>
      </c>
      <c r="X946" s="4">
        <f t="shared" ca="1" si="326"/>
        <v>1.5106573995133192</v>
      </c>
      <c r="Y946" s="4">
        <f t="shared" si="327"/>
        <v>0</v>
      </c>
      <c r="Z946" s="13">
        <f t="shared" ca="1" si="328"/>
        <v>20863.615500000004</v>
      </c>
      <c r="AA946" s="4">
        <f t="shared" ca="1" si="329"/>
        <v>1.5106573995133192</v>
      </c>
    </row>
    <row r="947" spans="1:27">
      <c r="A947">
        <v>3</v>
      </c>
      <c r="B947">
        <v>0</v>
      </c>
      <c r="C947">
        <f t="shared" ca="1" si="308"/>
        <v>8</v>
      </c>
      <c r="D947">
        <f t="shared" ca="1" si="309"/>
        <v>7</v>
      </c>
      <c r="E947">
        <f t="shared" ca="1" si="310"/>
        <v>3</v>
      </c>
      <c r="F947" s="110">
        <f t="shared" ca="1" si="311"/>
        <v>2.1388499999999998E-2</v>
      </c>
      <c r="G947">
        <v>1</v>
      </c>
      <c r="H947">
        <v>0</v>
      </c>
      <c r="I947">
        <v>3</v>
      </c>
      <c r="J947" s="1">
        <f t="shared" ca="1" si="312"/>
        <v>1.7817324218750058E-4</v>
      </c>
      <c r="K947" s="1">
        <f t="shared" ca="1" si="313"/>
        <v>3.8108583905273558E-6</v>
      </c>
      <c r="L947" s="13">
        <f t="shared" ca="1" si="314"/>
        <v>314</v>
      </c>
      <c r="M947" s="7">
        <f t="shared" ca="1" si="315"/>
        <v>686</v>
      </c>
      <c r="N947" s="26">
        <f t="shared" ca="1" si="316"/>
        <v>3</v>
      </c>
      <c r="O947" s="44">
        <f t="shared" ca="1" si="317"/>
        <v>2.2641455309069398</v>
      </c>
      <c r="P947" s="44">
        <f t="shared" ca="1" si="318"/>
        <v>22.641455309069404</v>
      </c>
      <c r="Q947" s="44">
        <f t="shared" ca="1" si="319"/>
        <v>22.641455309069404</v>
      </c>
      <c r="R947" s="44">
        <f t="shared" ca="1" si="320"/>
        <v>2.2641455309069403</v>
      </c>
      <c r="S947" s="44">
        <f t="shared" ca="1" si="321"/>
        <v>2.2641455309069398</v>
      </c>
      <c r="T947" s="4">
        <f t="shared" ca="1" si="322"/>
        <v>8.6283379938317255E-6</v>
      </c>
      <c r="U947" s="120">
        <f t="shared" ca="1" si="323"/>
        <v>1504.7475619899244</v>
      </c>
      <c r="V947" s="4">
        <f t="shared" ca="1" si="324"/>
        <v>5.7343798722348863E-3</v>
      </c>
      <c r="W947" s="13">
        <f t="shared" ca="1" si="325"/>
        <v>16835.890500000001</v>
      </c>
      <c r="X947" s="4">
        <f t="shared" ca="1" si="326"/>
        <v>6.4159194573924799E-2</v>
      </c>
      <c r="Y947" s="4">
        <f t="shared" si="327"/>
        <v>0</v>
      </c>
      <c r="Z947" s="13">
        <f t="shared" ca="1" si="328"/>
        <v>16835.890500000001</v>
      </c>
      <c r="AA947" s="4">
        <f t="shared" ca="1" si="329"/>
        <v>6.4159194573924799E-2</v>
      </c>
    </row>
    <row r="948" spans="1:27">
      <c r="A948">
        <v>3</v>
      </c>
      <c r="B948">
        <v>0</v>
      </c>
      <c r="C948">
        <f t="shared" ca="1" si="308"/>
        <v>8</v>
      </c>
      <c r="D948">
        <f t="shared" ca="1" si="309"/>
        <v>7</v>
      </c>
      <c r="E948">
        <f t="shared" ca="1" si="310"/>
        <v>3</v>
      </c>
      <c r="F948" s="110">
        <f t="shared" ca="1" si="311"/>
        <v>2.1388499999999998E-2</v>
      </c>
      <c r="G948">
        <v>1</v>
      </c>
      <c r="H948">
        <v>0</v>
      </c>
      <c r="I948">
        <v>2</v>
      </c>
      <c r="J948" s="1">
        <f t="shared" ca="1" si="312"/>
        <v>5.6265234375000243E-6</v>
      </c>
      <c r="K948" s="1">
        <f t="shared" ca="1" si="313"/>
        <v>1.2034289654296927E-7</v>
      </c>
      <c r="L948" s="13">
        <f t="shared" ca="1" si="314"/>
        <v>294</v>
      </c>
      <c r="M948" s="7">
        <f t="shared" ca="1" si="315"/>
        <v>706</v>
      </c>
      <c r="N948" s="26">
        <f t="shared" ca="1" si="316"/>
        <v>3</v>
      </c>
      <c r="O948" s="44">
        <f t="shared" ca="1" si="317"/>
        <v>2.2641455309069398</v>
      </c>
      <c r="P948" s="44">
        <f t="shared" ca="1" si="318"/>
        <v>22.641455309069404</v>
      </c>
      <c r="Q948" s="44">
        <f t="shared" ca="1" si="319"/>
        <v>22.641455309069404</v>
      </c>
      <c r="R948" s="44">
        <f t="shared" ca="1" si="320"/>
        <v>2.2641455309069403</v>
      </c>
      <c r="S948" s="44">
        <f t="shared" ca="1" si="321"/>
        <v>2.2641455309069398</v>
      </c>
      <c r="T948" s="4">
        <f t="shared" ca="1" si="322"/>
        <v>2.7247383138416007E-7</v>
      </c>
      <c r="U948" s="120">
        <f t="shared" ca="1" si="323"/>
        <v>1484.7475619899244</v>
      </c>
      <c r="V948" s="4">
        <f t="shared" ca="1" si="324"/>
        <v>1.7867882224497934E-4</v>
      </c>
      <c r="W948" s="13">
        <f t="shared" ca="1" si="325"/>
        <v>12808.165500000003</v>
      </c>
      <c r="X948" s="4">
        <f t="shared" ca="1" si="326"/>
        <v>1.5413717356717285E-3</v>
      </c>
      <c r="Y948" s="4">
        <f t="shared" si="327"/>
        <v>0</v>
      </c>
      <c r="Z948" s="13">
        <f t="shared" ca="1" si="328"/>
        <v>12808.165500000003</v>
      </c>
      <c r="AA948" s="4">
        <f t="shared" ca="1" si="329"/>
        <v>1.5413717356717285E-3</v>
      </c>
    </row>
    <row r="949" spans="1:27">
      <c r="A949">
        <v>3</v>
      </c>
      <c r="B949">
        <v>0</v>
      </c>
      <c r="C949">
        <f t="shared" ca="1" si="308"/>
        <v>8</v>
      </c>
      <c r="D949">
        <f t="shared" ca="1" si="309"/>
        <v>7</v>
      </c>
      <c r="E949">
        <f t="shared" ca="1" si="310"/>
        <v>3</v>
      </c>
      <c r="F949" s="110">
        <f t="shared" ca="1" si="311"/>
        <v>2.1388499999999998E-2</v>
      </c>
      <c r="G949">
        <v>1</v>
      </c>
      <c r="H949">
        <v>0</v>
      </c>
      <c r="I949">
        <v>1</v>
      </c>
      <c r="J949" s="1">
        <f t="shared" ca="1" si="312"/>
        <v>9.8710937500000504E-8</v>
      </c>
      <c r="K949" s="1">
        <f t="shared" ca="1" si="313"/>
        <v>2.1112788867187606E-9</v>
      </c>
      <c r="L949" s="13">
        <f t="shared" ca="1" si="314"/>
        <v>274</v>
      </c>
      <c r="M949" s="7">
        <f t="shared" ca="1" si="315"/>
        <v>726</v>
      </c>
      <c r="N949" s="26">
        <f t="shared" ca="1" si="316"/>
        <v>3</v>
      </c>
      <c r="O949" s="44">
        <f t="shared" ca="1" si="317"/>
        <v>2.2641455309069398</v>
      </c>
      <c r="P949" s="44">
        <f t="shared" ca="1" si="318"/>
        <v>22.641455309069404</v>
      </c>
      <c r="Q949" s="44">
        <f t="shared" ca="1" si="319"/>
        <v>22.641455309069404</v>
      </c>
      <c r="R949" s="44">
        <f t="shared" ca="1" si="320"/>
        <v>2.2641455309069403</v>
      </c>
      <c r="S949" s="44">
        <f t="shared" ca="1" si="321"/>
        <v>2.2641455309069398</v>
      </c>
      <c r="T949" s="4">
        <f t="shared" ca="1" si="322"/>
        <v>4.7802426558624615E-9</v>
      </c>
      <c r="U949" s="120">
        <f t="shared" ca="1" si="323"/>
        <v>1464.7475619899244</v>
      </c>
      <c r="V949" s="4">
        <f t="shared" ca="1" si="324"/>
        <v>3.0924906020021066E-6</v>
      </c>
      <c r="W949" s="13">
        <f t="shared" ca="1" si="325"/>
        <v>8780.4405000000006</v>
      </c>
      <c r="X949" s="4">
        <f t="shared" ca="1" si="326"/>
        <v>1.853795864374032E-5</v>
      </c>
      <c r="Y949" s="4">
        <f t="shared" si="327"/>
        <v>0</v>
      </c>
      <c r="Z949" s="13">
        <f t="shared" ca="1" si="328"/>
        <v>8780.4405000000006</v>
      </c>
      <c r="AA949" s="4">
        <f t="shared" ca="1" si="329"/>
        <v>1.853795864374032E-5</v>
      </c>
    </row>
    <row r="950" spans="1:27">
      <c r="A950">
        <v>3</v>
      </c>
      <c r="B950">
        <v>0</v>
      </c>
      <c r="C950">
        <f t="shared" ca="1" si="308"/>
        <v>8</v>
      </c>
      <c r="D950">
        <f t="shared" ca="1" si="309"/>
        <v>7</v>
      </c>
      <c r="E950">
        <f t="shared" ca="1" si="310"/>
        <v>3</v>
      </c>
      <c r="F950" s="110">
        <f t="shared" ca="1" si="311"/>
        <v>2.1388499999999998E-2</v>
      </c>
      <c r="G950">
        <v>1</v>
      </c>
      <c r="H950">
        <v>0</v>
      </c>
      <c r="I950">
        <v>0</v>
      </c>
      <c r="J950" s="1">
        <f t="shared" ca="1" si="312"/>
        <v>7.4218750000000458E-10</v>
      </c>
      <c r="K950" s="1">
        <f t="shared" ca="1" si="313"/>
        <v>1.5874277343750096E-11</v>
      </c>
      <c r="L950" s="13">
        <f t="shared" ca="1" si="314"/>
        <v>254</v>
      </c>
      <c r="M950" s="7">
        <f t="shared" ca="1" si="315"/>
        <v>746</v>
      </c>
      <c r="N950" s="26">
        <f t="shared" ca="1" si="316"/>
        <v>3</v>
      </c>
      <c r="O950" s="44">
        <f t="shared" ca="1" si="317"/>
        <v>2.2641455309069398</v>
      </c>
      <c r="P950" s="44">
        <f t="shared" ca="1" si="318"/>
        <v>22.641455309069404</v>
      </c>
      <c r="Q950" s="44">
        <f t="shared" ca="1" si="319"/>
        <v>22.641455309069404</v>
      </c>
      <c r="R950" s="44">
        <f t="shared" ca="1" si="320"/>
        <v>2.2641455309069403</v>
      </c>
      <c r="S950" s="44">
        <f t="shared" ca="1" si="321"/>
        <v>2.2641455309069398</v>
      </c>
      <c r="T950" s="4">
        <f t="shared" ca="1" si="322"/>
        <v>3.5941674104229065E-11</v>
      </c>
      <c r="U950" s="120">
        <f t="shared" ca="1" si="323"/>
        <v>1444.7475619899244</v>
      </c>
      <c r="V950" s="4">
        <f t="shared" ca="1" si="324"/>
        <v>2.2934323490734844E-8</v>
      </c>
      <c r="W950" s="13">
        <f t="shared" ca="1" si="325"/>
        <v>4752.7155000000012</v>
      </c>
      <c r="X950" s="4">
        <f t="shared" ca="1" si="326"/>
        <v>7.5445923982939924E-8</v>
      </c>
      <c r="Y950" s="4">
        <f t="shared" si="327"/>
        <v>0</v>
      </c>
      <c r="Z950" s="13">
        <f t="shared" ca="1" si="328"/>
        <v>4752.7155000000012</v>
      </c>
      <c r="AA950" s="4">
        <f t="shared" ca="1" si="329"/>
        <v>7.5445923982939924E-8</v>
      </c>
    </row>
    <row r="951" spans="1:27">
      <c r="A951">
        <v>3</v>
      </c>
      <c r="B951">
        <v>0</v>
      </c>
      <c r="C951">
        <f t="shared" ca="1" si="308"/>
        <v>8</v>
      </c>
      <c r="D951">
        <f t="shared" ca="1" si="309"/>
        <v>7</v>
      </c>
      <c r="E951">
        <f t="shared" ca="1" si="310"/>
        <v>3</v>
      </c>
      <c r="F951" s="110">
        <f t="shared" ca="1" si="311"/>
        <v>2.1388499999999998E-2</v>
      </c>
      <c r="G951">
        <v>0</v>
      </c>
      <c r="H951">
        <v>1</v>
      </c>
      <c r="I951">
        <v>7</v>
      </c>
      <c r="J951" s="1">
        <f t="shared" ca="1" si="312"/>
        <v>0</v>
      </c>
      <c r="K951" s="1">
        <f t="shared" ca="1" si="313"/>
        <v>0</v>
      </c>
      <c r="L951" s="13">
        <f t="shared" ca="1" si="314"/>
        <v>394</v>
      </c>
      <c r="M951" s="7">
        <f t="shared" ca="1" si="315"/>
        <v>606</v>
      </c>
      <c r="N951" s="26">
        <f t="shared" ca="1" si="316"/>
        <v>3</v>
      </c>
      <c r="O951" s="44">
        <f t="shared" ca="1" si="317"/>
        <v>2.2641455309069398</v>
      </c>
      <c r="P951" s="44">
        <f t="shared" ca="1" si="318"/>
        <v>22.641455309069404</v>
      </c>
      <c r="Q951" s="44">
        <f t="shared" ca="1" si="319"/>
        <v>22.641455309069404</v>
      </c>
      <c r="R951" s="44">
        <f t="shared" ca="1" si="320"/>
        <v>2.2641455309069403</v>
      </c>
      <c r="S951" s="44">
        <f t="shared" ca="1" si="321"/>
        <v>2.2641455309069398</v>
      </c>
      <c r="T951" s="4">
        <f t="shared" ca="1" si="322"/>
        <v>0</v>
      </c>
      <c r="U951" s="120">
        <f t="shared" ca="1" si="323"/>
        <v>1584.7475619899244</v>
      </c>
      <c r="V951" s="4">
        <f t="shared" ca="1" si="324"/>
        <v>0</v>
      </c>
      <c r="W951" s="13">
        <f t="shared" ca="1" si="325"/>
        <v>28194.075000000001</v>
      </c>
      <c r="X951" s="4">
        <f t="shared" ca="1" si="326"/>
        <v>0</v>
      </c>
      <c r="Y951" s="4">
        <f t="shared" si="327"/>
        <v>0</v>
      </c>
      <c r="Z951" s="13">
        <f t="shared" ca="1" si="328"/>
        <v>28194.075000000001</v>
      </c>
      <c r="AA951" s="4">
        <f t="shared" ca="1" si="329"/>
        <v>0</v>
      </c>
    </row>
    <row r="952" spans="1:27">
      <c r="A952">
        <v>3</v>
      </c>
      <c r="B952">
        <v>0</v>
      </c>
      <c r="C952">
        <f t="shared" ca="1" si="308"/>
        <v>8</v>
      </c>
      <c r="D952">
        <f t="shared" ca="1" si="309"/>
        <v>7</v>
      </c>
      <c r="E952">
        <f t="shared" ca="1" si="310"/>
        <v>3</v>
      </c>
      <c r="F952" s="110">
        <f t="shared" ca="1" si="311"/>
        <v>2.1388499999999998E-2</v>
      </c>
      <c r="G952">
        <v>0</v>
      </c>
      <c r="H952">
        <v>1</v>
      </c>
      <c r="I952">
        <v>6</v>
      </c>
      <c r="J952" s="1">
        <f t="shared" ca="1" si="312"/>
        <v>0</v>
      </c>
      <c r="K952" s="1">
        <f t="shared" ca="1" si="313"/>
        <v>0</v>
      </c>
      <c r="L952" s="13">
        <f t="shared" ca="1" si="314"/>
        <v>374</v>
      </c>
      <c r="M952" s="7">
        <f t="shared" ca="1" si="315"/>
        <v>626</v>
      </c>
      <c r="N952" s="26">
        <f t="shared" ca="1" si="316"/>
        <v>3</v>
      </c>
      <c r="O952" s="44">
        <f t="shared" ca="1" si="317"/>
        <v>2.2641455309069398</v>
      </c>
      <c r="P952" s="44">
        <f t="shared" ca="1" si="318"/>
        <v>22.641455309069404</v>
      </c>
      <c r="Q952" s="44">
        <f t="shared" ca="1" si="319"/>
        <v>22.641455309069404</v>
      </c>
      <c r="R952" s="44">
        <f t="shared" ca="1" si="320"/>
        <v>2.2641455309069403</v>
      </c>
      <c r="S952" s="44">
        <f t="shared" ca="1" si="321"/>
        <v>2.2641455309069398</v>
      </c>
      <c r="T952" s="4">
        <f t="shared" ca="1" si="322"/>
        <v>0</v>
      </c>
      <c r="U952" s="120">
        <f t="shared" ca="1" si="323"/>
        <v>1564.7475619899244</v>
      </c>
      <c r="V952" s="4">
        <f t="shared" ca="1" si="324"/>
        <v>0</v>
      </c>
      <c r="W952" s="13">
        <f t="shared" ca="1" si="325"/>
        <v>24166.350000000002</v>
      </c>
      <c r="X952" s="4">
        <f t="shared" ca="1" si="326"/>
        <v>0</v>
      </c>
      <c r="Y952" s="4">
        <f t="shared" si="327"/>
        <v>0</v>
      </c>
      <c r="Z952" s="13">
        <f t="shared" ca="1" si="328"/>
        <v>24166.350000000002</v>
      </c>
      <c r="AA952" s="4">
        <f t="shared" ca="1" si="329"/>
        <v>0</v>
      </c>
    </row>
    <row r="953" spans="1:27">
      <c r="A953">
        <v>3</v>
      </c>
      <c r="B953">
        <v>0</v>
      </c>
      <c r="C953">
        <f t="shared" ca="1" si="308"/>
        <v>8</v>
      </c>
      <c r="D953">
        <f t="shared" ca="1" si="309"/>
        <v>7</v>
      </c>
      <c r="E953">
        <f t="shared" ca="1" si="310"/>
        <v>3</v>
      </c>
      <c r="F953" s="110">
        <f t="shared" ca="1" si="311"/>
        <v>2.1388499999999998E-2</v>
      </c>
      <c r="G953">
        <v>0</v>
      </c>
      <c r="H953">
        <v>1</v>
      </c>
      <c r="I953">
        <v>5</v>
      </c>
      <c r="J953" s="1">
        <f t="shared" ca="1" si="312"/>
        <v>0</v>
      </c>
      <c r="K953" s="1">
        <f t="shared" ca="1" si="313"/>
        <v>0</v>
      </c>
      <c r="L953" s="13">
        <f t="shared" ca="1" si="314"/>
        <v>354</v>
      </c>
      <c r="M953" s="7">
        <f t="shared" ca="1" si="315"/>
        <v>646</v>
      </c>
      <c r="N953" s="26">
        <f t="shared" ca="1" si="316"/>
        <v>3</v>
      </c>
      <c r="O953" s="44">
        <f t="shared" ca="1" si="317"/>
        <v>2.2641455309069398</v>
      </c>
      <c r="P953" s="44">
        <f t="shared" ca="1" si="318"/>
        <v>22.641455309069404</v>
      </c>
      <c r="Q953" s="44">
        <f t="shared" ca="1" si="319"/>
        <v>22.641455309069404</v>
      </c>
      <c r="R953" s="44">
        <f t="shared" ca="1" si="320"/>
        <v>2.2641455309069403</v>
      </c>
      <c r="S953" s="44">
        <f t="shared" ca="1" si="321"/>
        <v>2.2641455309069398</v>
      </c>
      <c r="T953" s="4">
        <f t="shared" ca="1" si="322"/>
        <v>0</v>
      </c>
      <c r="U953" s="120">
        <f t="shared" ca="1" si="323"/>
        <v>1544.7475619899244</v>
      </c>
      <c r="V953" s="4">
        <f t="shared" ca="1" si="324"/>
        <v>0</v>
      </c>
      <c r="W953" s="13">
        <f t="shared" ca="1" si="325"/>
        <v>20138.625</v>
      </c>
      <c r="X953" s="4">
        <f t="shared" ca="1" si="326"/>
        <v>0</v>
      </c>
      <c r="Y953" s="4">
        <f t="shared" si="327"/>
        <v>0</v>
      </c>
      <c r="Z953" s="13">
        <f t="shared" ca="1" si="328"/>
        <v>20138.625</v>
      </c>
      <c r="AA953" s="4">
        <f t="shared" ca="1" si="329"/>
        <v>0</v>
      </c>
    </row>
    <row r="954" spans="1:27">
      <c r="A954">
        <v>3</v>
      </c>
      <c r="B954">
        <v>0</v>
      </c>
      <c r="C954">
        <f t="shared" ca="1" si="308"/>
        <v>8</v>
      </c>
      <c r="D954">
        <f t="shared" ca="1" si="309"/>
        <v>7</v>
      </c>
      <c r="E954">
        <f t="shared" ca="1" si="310"/>
        <v>3</v>
      </c>
      <c r="F954" s="110">
        <f t="shared" ca="1" si="311"/>
        <v>2.1388499999999998E-2</v>
      </c>
      <c r="G954">
        <v>0</v>
      </c>
      <c r="H954">
        <v>1</v>
      </c>
      <c r="I954">
        <v>4</v>
      </c>
      <c r="J954" s="1">
        <f t="shared" ca="1" si="312"/>
        <v>0</v>
      </c>
      <c r="K954" s="1">
        <f t="shared" ca="1" si="313"/>
        <v>0</v>
      </c>
      <c r="L954" s="13">
        <f t="shared" ca="1" si="314"/>
        <v>334</v>
      </c>
      <c r="M954" s="7">
        <f t="shared" ca="1" si="315"/>
        <v>666</v>
      </c>
      <c r="N954" s="26">
        <f t="shared" ca="1" si="316"/>
        <v>3</v>
      </c>
      <c r="O954" s="44">
        <f t="shared" ca="1" si="317"/>
        <v>2.2641455309069398</v>
      </c>
      <c r="P954" s="44">
        <f t="shared" ca="1" si="318"/>
        <v>22.641455309069404</v>
      </c>
      <c r="Q954" s="44">
        <f t="shared" ca="1" si="319"/>
        <v>22.641455309069404</v>
      </c>
      <c r="R954" s="44">
        <f t="shared" ca="1" si="320"/>
        <v>2.2641455309069403</v>
      </c>
      <c r="S954" s="44">
        <f t="shared" ca="1" si="321"/>
        <v>2.2641455309069398</v>
      </c>
      <c r="T954" s="4">
        <f t="shared" ca="1" si="322"/>
        <v>0</v>
      </c>
      <c r="U954" s="120">
        <f t="shared" ca="1" si="323"/>
        <v>1524.7475619899244</v>
      </c>
      <c r="V954" s="4">
        <f t="shared" ca="1" si="324"/>
        <v>0</v>
      </c>
      <c r="W954" s="13">
        <f t="shared" ca="1" si="325"/>
        <v>16110.900000000001</v>
      </c>
      <c r="X954" s="4">
        <f t="shared" ca="1" si="326"/>
        <v>0</v>
      </c>
      <c r="Y954" s="4">
        <f t="shared" si="327"/>
        <v>0</v>
      </c>
      <c r="Z954" s="13">
        <f t="shared" ca="1" si="328"/>
        <v>16110.900000000001</v>
      </c>
      <c r="AA954" s="4">
        <f t="shared" ca="1" si="329"/>
        <v>0</v>
      </c>
    </row>
    <row r="955" spans="1:27">
      <c r="A955">
        <v>3</v>
      </c>
      <c r="B955">
        <v>0</v>
      </c>
      <c r="C955">
        <f t="shared" ca="1" si="308"/>
        <v>8</v>
      </c>
      <c r="D955">
        <f t="shared" ca="1" si="309"/>
        <v>7</v>
      </c>
      <c r="E955">
        <f t="shared" ca="1" si="310"/>
        <v>3</v>
      </c>
      <c r="F955" s="110">
        <f t="shared" ca="1" si="311"/>
        <v>2.1388499999999998E-2</v>
      </c>
      <c r="G955">
        <v>0</v>
      </c>
      <c r="H955">
        <v>1</v>
      </c>
      <c r="I955">
        <v>3</v>
      </c>
      <c r="J955" s="1">
        <f t="shared" ca="1" si="312"/>
        <v>0</v>
      </c>
      <c r="K955" s="1">
        <f t="shared" ca="1" si="313"/>
        <v>0</v>
      </c>
      <c r="L955" s="13">
        <f t="shared" ca="1" si="314"/>
        <v>314</v>
      </c>
      <c r="M955" s="7">
        <f t="shared" ca="1" si="315"/>
        <v>686</v>
      </c>
      <c r="N955" s="26">
        <f t="shared" ca="1" si="316"/>
        <v>3</v>
      </c>
      <c r="O955" s="44">
        <f t="shared" ca="1" si="317"/>
        <v>2.2641455309069398</v>
      </c>
      <c r="P955" s="44">
        <f t="shared" ca="1" si="318"/>
        <v>22.641455309069404</v>
      </c>
      <c r="Q955" s="44">
        <f t="shared" ca="1" si="319"/>
        <v>22.641455309069404</v>
      </c>
      <c r="R955" s="44">
        <f t="shared" ca="1" si="320"/>
        <v>2.2641455309069403</v>
      </c>
      <c r="S955" s="44">
        <f t="shared" ca="1" si="321"/>
        <v>2.2641455309069398</v>
      </c>
      <c r="T955" s="4">
        <f t="shared" ca="1" si="322"/>
        <v>0</v>
      </c>
      <c r="U955" s="120">
        <f t="shared" ca="1" si="323"/>
        <v>1504.7475619899244</v>
      </c>
      <c r="V955" s="4">
        <f t="shared" ca="1" si="324"/>
        <v>0</v>
      </c>
      <c r="W955" s="13">
        <f t="shared" ca="1" si="325"/>
        <v>12083.175000000001</v>
      </c>
      <c r="X955" s="4">
        <f t="shared" ca="1" si="326"/>
        <v>0</v>
      </c>
      <c r="Y955" s="4">
        <f t="shared" si="327"/>
        <v>0</v>
      </c>
      <c r="Z955" s="13">
        <f t="shared" ca="1" si="328"/>
        <v>12083.175000000001</v>
      </c>
      <c r="AA955" s="4">
        <f t="shared" ca="1" si="329"/>
        <v>0</v>
      </c>
    </row>
    <row r="956" spans="1:27">
      <c r="A956">
        <v>3</v>
      </c>
      <c r="B956">
        <v>0</v>
      </c>
      <c r="C956">
        <f t="shared" ca="1" si="308"/>
        <v>8</v>
      </c>
      <c r="D956">
        <f t="shared" ca="1" si="309"/>
        <v>7</v>
      </c>
      <c r="E956">
        <f t="shared" ca="1" si="310"/>
        <v>3</v>
      </c>
      <c r="F956" s="110">
        <f t="shared" ca="1" si="311"/>
        <v>2.1388499999999998E-2</v>
      </c>
      <c r="G956">
        <v>0</v>
      </c>
      <c r="H956">
        <v>1</v>
      </c>
      <c r="I956">
        <v>2</v>
      </c>
      <c r="J956" s="1">
        <f t="shared" ca="1" si="312"/>
        <v>0</v>
      </c>
      <c r="K956" s="1">
        <f t="shared" ca="1" si="313"/>
        <v>0</v>
      </c>
      <c r="L956" s="13">
        <f t="shared" ca="1" si="314"/>
        <v>294</v>
      </c>
      <c r="M956" s="7">
        <f t="shared" ca="1" si="315"/>
        <v>706</v>
      </c>
      <c r="N956" s="26">
        <f t="shared" ca="1" si="316"/>
        <v>3</v>
      </c>
      <c r="O956" s="44">
        <f t="shared" ca="1" si="317"/>
        <v>2.2641455309069398</v>
      </c>
      <c r="P956" s="44">
        <f t="shared" ca="1" si="318"/>
        <v>22.641455309069404</v>
      </c>
      <c r="Q956" s="44">
        <f t="shared" ca="1" si="319"/>
        <v>22.641455309069404</v>
      </c>
      <c r="R956" s="44">
        <f t="shared" ca="1" si="320"/>
        <v>2.2641455309069403</v>
      </c>
      <c r="S956" s="44">
        <f t="shared" ca="1" si="321"/>
        <v>2.2641455309069398</v>
      </c>
      <c r="T956" s="4">
        <f t="shared" ca="1" si="322"/>
        <v>0</v>
      </c>
      <c r="U956" s="120">
        <f t="shared" ca="1" si="323"/>
        <v>1484.7475619899244</v>
      </c>
      <c r="V956" s="4">
        <f t="shared" ca="1" si="324"/>
        <v>0</v>
      </c>
      <c r="W956" s="13">
        <f t="shared" ca="1" si="325"/>
        <v>8055.4500000000007</v>
      </c>
      <c r="X956" s="4">
        <f t="shared" ca="1" si="326"/>
        <v>0</v>
      </c>
      <c r="Y956" s="4">
        <f t="shared" si="327"/>
        <v>0</v>
      </c>
      <c r="Z956" s="13">
        <f t="shared" ca="1" si="328"/>
        <v>8055.4500000000007</v>
      </c>
      <c r="AA956" s="4">
        <f t="shared" ca="1" si="329"/>
        <v>0</v>
      </c>
    </row>
    <row r="957" spans="1:27">
      <c r="A957">
        <v>3</v>
      </c>
      <c r="B957">
        <v>0</v>
      </c>
      <c r="C957">
        <f t="shared" ca="1" si="308"/>
        <v>8</v>
      </c>
      <c r="D957">
        <f t="shared" ca="1" si="309"/>
        <v>7</v>
      </c>
      <c r="E957">
        <f t="shared" ca="1" si="310"/>
        <v>3</v>
      </c>
      <c r="F957" s="110">
        <f t="shared" ca="1" si="311"/>
        <v>2.1388499999999998E-2</v>
      </c>
      <c r="G957">
        <v>0</v>
      </c>
      <c r="H957">
        <v>1</v>
      </c>
      <c r="I957">
        <v>1</v>
      </c>
      <c r="J957" s="1">
        <f t="shared" ca="1" si="312"/>
        <v>0</v>
      </c>
      <c r="K957" s="1">
        <f t="shared" ca="1" si="313"/>
        <v>0</v>
      </c>
      <c r="L957" s="13">
        <f t="shared" ca="1" si="314"/>
        <v>274</v>
      </c>
      <c r="M957" s="7">
        <f t="shared" ca="1" si="315"/>
        <v>726</v>
      </c>
      <c r="N957" s="26">
        <f t="shared" ca="1" si="316"/>
        <v>3</v>
      </c>
      <c r="O957" s="44">
        <f t="shared" ca="1" si="317"/>
        <v>2.2641455309069398</v>
      </c>
      <c r="P957" s="44">
        <f t="shared" ca="1" si="318"/>
        <v>22.641455309069404</v>
      </c>
      <c r="Q957" s="44">
        <f t="shared" ca="1" si="319"/>
        <v>22.641455309069404</v>
      </c>
      <c r="R957" s="44">
        <f t="shared" ca="1" si="320"/>
        <v>2.2641455309069403</v>
      </c>
      <c r="S957" s="44">
        <f t="shared" ca="1" si="321"/>
        <v>2.2641455309069398</v>
      </c>
      <c r="T957" s="4">
        <f t="shared" ca="1" si="322"/>
        <v>0</v>
      </c>
      <c r="U957" s="120">
        <f t="shared" ca="1" si="323"/>
        <v>1464.7475619899244</v>
      </c>
      <c r="V957" s="4">
        <f t="shared" ca="1" si="324"/>
        <v>0</v>
      </c>
      <c r="W957" s="13">
        <f t="shared" ca="1" si="325"/>
        <v>4027.7250000000004</v>
      </c>
      <c r="X957" s="4">
        <f t="shared" ca="1" si="326"/>
        <v>0</v>
      </c>
      <c r="Y957" s="4">
        <f t="shared" si="327"/>
        <v>0</v>
      </c>
      <c r="Z957" s="13">
        <f t="shared" ca="1" si="328"/>
        <v>4027.7250000000004</v>
      </c>
      <c r="AA957" s="4">
        <f t="shared" ca="1" si="329"/>
        <v>0</v>
      </c>
    </row>
    <row r="958" spans="1:27">
      <c r="A958">
        <v>3</v>
      </c>
      <c r="B958">
        <v>0</v>
      </c>
      <c r="C958">
        <f t="shared" ca="1" si="308"/>
        <v>8</v>
      </c>
      <c r="D958">
        <f t="shared" ca="1" si="309"/>
        <v>7</v>
      </c>
      <c r="E958">
        <f t="shared" ca="1" si="310"/>
        <v>3</v>
      </c>
      <c r="F958" s="110">
        <f t="shared" ca="1" si="311"/>
        <v>2.1388499999999998E-2</v>
      </c>
      <c r="G958">
        <v>0</v>
      </c>
      <c r="H958">
        <v>1</v>
      </c>
      <c r="I958">
        <v>0</v>
      </c>
      <c r="J958" s="1">
        <f t="shared" ca="1" si="312"/>
        <v>0</v>
      </c>
      <c r="K958" s="1">
        <f t="shared" ca="1" si="313"/>
        <v>0</v>
      </c>
      <c r="L958" s="13">
        <f t="shared" ca="1" si="314"/>
        <v>254</v>
      </c>
      <c r="M958" s="7">
        <f t="shared" ca="1" si="315"/>
        <v>746</v>
      </c>
      <c r="N958" s="26">
        <f t="shared" ca="1" si="316"/>
        <v>3</v>
      </c>
      <c r="O958" s="44">
        <f t="shared" ca="1" si="317"/>
        <v>2.2641455309069398</v>
      </c>
      <c r="P958" s="44">
        <f t="shared" ca="1" si="318"/>
        <v>22.641455309069404</v>
      </c>
      <c r="Q958" s="44">
        <f t="shared" ca="1" si="319"/>
        <v>22.641455309069404</v>
      </c>
      <c r="R958" s="44">
        <f t="shared" ca="1" si="320"/>
        <v>2.2641455309069403</v>
      </c>
      <c r="S958" s="44">
        <f t="shared" ca="1" si="321"/>
        <v>2.2641455309069398</v>
      </c>
      <c r="T958" s="4">
        <f t="shared" ca="1" si="322"/>
        <v>0</v>
      </c>
      <c r="U958" s="120">
        <f t="shared" ca="1" si="323"/>
        <v>1444.7475619899244</v>
      </c>
      <c r="V958" s="4">
        <f t="shared" ca="1" si="324"/>
        <v>0</v>
      </c>
      <c r="W958" s="13">
        <f t="shared" ca="1" si="325"/>
        <v>0</v>
      </c>
      <c r="X958" s="4">
        <f t="shared" ca="1" si="326"/>
        <v>0</v>
      </c>
      <c r="Y958" s="4">
        <f t="shared" si="327"/>
        <v>0</v>
      </c>
      <c r="Z958" s="13">
        <f t="shared" ca="1" si="328"/>
        <v>0</v>
      </c>
      <c r="AA958" s="4">
        <f t="shared" ca="1" si="329"/>
        <v>0</v>
      </c>
    </row>
    <row r="959" spans="1:27">
      <c r="A959">
        <v>3</v>
      </c>
      <c r="B959">
        <v>0</v>
      </c>
      <c r="C959">
        <f t="shared" ca="1" si="308"/>
        <v>8</v>
      </c>
      <c r="D959">
        <f t="shared" ca="1" si="309"/>
        <v>7</v>
      </c>
      <c r="E959">
        <f t="shared" ca="1" si="310"/>
        <v>3</v>
      </c>
      <c r="F959" s="110">
        <f t="shared" ca="1" si="311"/>
        <v>2.1388499999999998E-2</v>
      </c>
      <c r="G959">
        <v>0</v>
      </c>
      <c r="H959">
        <v>0</v>
      </c>
      <c r="I959">
        <v>7</v>
      </c>
      <c r="J959" s="1">
        <f t="shared" ca="1" si="312"/>
        <v>3.4916864804687496E-2</v>
      </c>
      <c r="K959" s="1">
        <f t="shared" ca="1" si="313"/>
        <v>7.4681936287505847E-4</v>
      </c>
      <c r="L959" s="13">
        <f t="shared" ca="1" si="314"/>
        <v>140</v>
      </c>
      <c r="M959" s="7">
        <f t="shared" ca="1" si="315"/>
        <v>860</v>
      </c>
      <c r="N959" s="26">
        <f t="shared" ca="1" si="316"/>
        <v>4</v>
      </c>
      <c r="O959" s="44">
        <f t="shared" ca="1" si="317"/>
        <v>2.8910364854084887</v>
      </c>
      <c r="P959" s="44">
        <f t="shared" ca="1" si="318"/>
        <v>28.910364854084886</v>
      </c>
      <c r="Q959" s="44">
        <f t="shared" ca="1" si="319"/>
        <v>28.910364854084886</v>
      </c>
      <c r="R959" s="44">
        <f t="shared" ca="1" si="320"/>
        <v>2.8910364854084887</v>
      </c>
      <c r="S959" s="44">
        <f t="shared" ca="1" si="321"/>
        <v>2.8910364854084882</v>
      </c>
      <c r="T959" s="4">
        <f t="shared" ca="1" si="322"/>
        <v>2.1590820260813156E-3</v>
      </c>
      <c r="U959" s="120">
        <f t="shared" ca="1" si="323"/>
        <v>1600.6349838037554</v>
      </c>
      <c r="V959" s="4">
        <f t="shared" ca="1" si="324"/>
        <v>1.1953851987998501</v>
      </c>
      <c r="W959" s="13">
        <f t="shared" ca="1" si="325"/>
        <v>28194.075000000001</v>
      </c>
      <c r="X959" s="4">
        <f t="shared" ca="1" si="326"/>
        <v>21.055881128351615</v>
      </c>
      <c r="Y959" s="4">
        <f t="shared" si="327"/>
        <v>0</v>
      </c>
      <c r="Z959" s="13">
        <f t="shared" ca="1" si="328"/>
        <v>28194.075000000001</v>
      </c>
      <c r="AA959" s="4">
        <f t="shared" ca="1" si="329"/>
        <v>21.055881128351615</v>
      </c>
    </row>
    <row r="960" spans="1:27">
      <c r="A960">
        <v>3</v>
      </c>
      <c r="B960">
        <v>0</v>
      </c>
      <c r="C960">
        <f t="shared" ca="1" si="308"/>
        <v>8</v>
      </c>
      <c r="D960">
        <f t="shared" ca="1" si="309"/>
        <v>7</v>
      </c>
      <c r="E960">
        <f t="shared" ca="1" si="310"/>
        <v>3</v>
      </c>
      <c r="F960" s="110">
        <f t="shared" ca="1" si="311"/>
        <v>2.1388499999999998E-2</v>
      </c>
      <c r="G960">
        <v>0</v>
      </c>
      <c r="H960">
        <v>0</v>
      </c>
      <c r="I960">
        <v>6</v>
      </c>
      <c r="J960" s="1">
        <f t="shared" ca="1" si="312"/>
        <v>1.2864108085937513E-2</v>
      </c>
      <c r="K960" s="1">
        <f t="shared" ca="1" si="313"/>
        <v>2.7514397579607447E-4</v>
      </c>
      <c r="L960" s="13">
        <f t="shared" ca="1" si="314"/>
        <v>120</v>
      </c>
      <c r="M960" s="7">
        <f t="shared" ca="1" si="315"/>
        <v>880</v>
      </c>
      <c r="N960" s="26">
        <f t="shared" ca="1" si="316"/>
        <v>4</v>
      </c>
      <c r="O960" s="44">
        <f t="shared" ca="1" si="317"/>
        <v>2.8910364854084887</v>
      </c>
      <c r="P960" s="44">
        <f t="shared" ca="1" si="318"/>
        <v>28.910364854084886</v>
      </c>
      <c r="Q960" s="44">
        <f t="shared" ca="1" si="319"/>
        <v>28.910364854084886</v>
      </c>
      <c r="R960" s="44">
        <f t="shared" ca="1" si="320"/>
        <v>2.8910364854084887</v>
      </c>
      <c r="S960" s="44">
        <f t="shared" ca="1" si="321"/>
        <v>2.8910364854084882</v>
      </c>
      <c r="T960" s="4">
        <f t="shared" ca="1" si="322"/>
        <v>7.954512727668013E-4</v>
      </c>
      <c r="U960" s="120">
        <f t="shared" ca="1" si="323"/>
        <v>1580.6349838037554</v>
      </c>
      <c r="V960" s="4">
        <f t="shared" ca="1" si="324"/>
        <v>0.43490219372612904</v>
      </c>
      <c r="W960" s="13">
        <f t="shared" ca="1" si="325"/>
        <v>24166.350000000002</v>
      </c>
      <c r="X960" s="4">
        <f t="shared" ca="1" si="326"/>
        <v>6.6492256194794646</v>
      </c>
      <c r="Y960" s="4">
        <f t="shared" si="327"/>
        <v>0</v>
      </c>
      <c r="Z960" s="13">
        <f t="shared" ca="1" si="328"/>
        <v>24166.350000000002</v>
      </c>
      <c r="AA960" s="4">
        <f t="shared" ca="1" si="329"/>
        <v>6.6492256194794646</v>
      </c>
    </row>
    <row r="961" spans="1:27">
      <c r="A961">
        <v>3</v>
      </c>
      <c r="B961">
        <v>0</v>
      </c>
      <c r="C961">
        <f t="shared" ca="1" si="308"/>
        <v>8</v>
      </c>
      <c r="D961">
        <f t="shared" ca="1" si="309"/>
        <v>7</v>
      </c>
      <c r="E961">
        <f t="shared" ca="1" si="310"/>
        <v>3</v>
      </c>
      <c r="F961" s="110">
        <f t="shared" ca="1" si="311"/>
        <v>2.1388499999999998E-2</v>
      </c>
      <c r="G961">
        <v>0</v>
      </c>
      <c r="H961">
        <v>0</v>
      </c>
      <c r="I961">
        <v>5</v>
      </c>
      <c r="J961" s="1">
        <f t="shared" ca="1" si="312"/>
        <v>2.0311749609375038E-3</v>
      </c>
      <c r="K961" s="1">
        <f t="shared" ca="1" si="313"/>
        <v>4.3443785652011795E-5</v>
      </c>
      <c r="L961" s="13">
        <f t="shared" ca="1" si="314"/>
        <v>100</v>
      </c>
      <c r="M961" s="7">
        <f t="shared" ca="1" si="315"/>
        <v>900</v>
      </c>
      <c r="N961" s="26">
        <f t="shared" ca="1" si="316"/>
        <v>4</v>
      </c>
      <c r="O961" s="44">
        <f t="shared" ca="1" si="317"/>
        <v>2.8910364854084887</v>
      </c>
      <c r="P961" s="44">
        <f t="shared" ca="1" si="318"/>
        <v>28.910364854084886</v>
      </c>
      <c r="Q961" s="44">
        <f t="shared" ca="1" si="319"/>
        <v>28.910364854084886</v>
      </c>
      <c r="R961" s="44">
        <f t="shared" ca="1" si="320"/>
        <v>2.8910364854084887</v>
      </c>
      <c r="S961" s="44">
        <f t="shared" ca="1" si="321"/>
        <v>2.8910364854084882</v>
      </c>
      <c r="T961" s="4">
        <f t="shared" ca="1" si="322"/>
        <v>1.255975693842319E-4</v>
      </c>
      <c r="U961" s="120">
        <f t="shared" ca="1" si="323"/>
        <v>1560.6349838037554</v>
      </c>
      <c r="V961" s="4">
        <f t="shared" ca="1" si="324"/>
        <v>6.7799891717401251E-2</v>
      </c>
      <c r="W961" s="13">
        <f t="shared" ca="1" si="325"/>
        <v>20138.625</v>
      </c>
      <c r="X961" s="4">
        <f t="shared" ca="1" si="326"/>
        <v>0.874898107826246</v>
      </c>
      <c r="Y961" s="4">
        <f t="shared" si="327"/>
        <v>0</v>
      </c>
      <c r="Z961" s="13">
        <f t="shared" ca="1" si="328"/>
        <v>20138.625</v>
      </c>
      <c r="AA961" s="4">
        <f t="shared" ca="1" si="329"/>
        <v>0.874898107826246</v>
      </c>
    </row>
    <row r="962" spans="1:27">
      <c r="A962">
        <v>3</v>
      </c>
      <c r="B962">
        <v>0</v>
      </c>
      <c r="C962">
        <f t="shared" ca="1" si="308"/>
        <v>8</v>
      </c>
      <c r="D962">
        <f t="shared" ca="1" si="309"/>
        <v>7</v>
      </c>
      <c r="E962">
        <f t="shared" ca="1" si="310"/>
        <v>3</v>
      </c>
      <c r="F962" s="110">
        <f t="shared" ca="1" si="311"/>
        <v>2.1388499999999998E-2</v>
      </c>
      <c r="G962">
        <v>0</v>
      </c>
      <c r="H962">
        <v>0</v>
      </c>
      <c r="I962">
        <v>4</v>
      </c>
      <c r="J962" s="1">
        <f t="shared" ca="1" si="312"/>
        <v>1.7817324218750047E-4</v>
      </c>
      <c r="K962" s="1">
        <f t="shared" ca="1" si="313"/>
        <v>3.8108583905273537E-6</v>
      </c>
      <c r="L962" s="13">
        <f t="shared" ca="1" si="314"/>
        <v>80</v>
      </c>
      <c r="M962" s="7">
        <f t="shared" ca="1" si="315"/>
        <v>920</v>
      </c>
      <c r="N962" s="26">
        <f t="shared" ca="1" si="316"/>
        <v>4</v>
      </c>
      <c r="O962" s="44">
        <f t="shared" ca="1" si="317"/>
        <v>2.8910364854084887</v>
      </c>
      <c r="P962" s="44">
        <f t="shared" ca="1" si="318"/>
        <v>28.910364854084886</v>
      </c>
      <c r="Q962" s="44">
        <f t="shared" ca="1" si="319"/>
        <v>28.910364854084886</v>
      </c>
      <c r="R962" s="44">
        <f t="shared" ca="1" si="320"/>
        <v>2.8910364854084887</v>
      </c>
      <c r="S962" s="44">
        <f t="shared" ca="1" si="321"/>
        <v>2.8910364854084882</v>
      </c>
      <c r="T962" s="4">
        <f t="shared" ca="1" si="322"/>
        <v>1.1017330647739648E-5</v>
      </c>
      <c r="U962" s="120">
        <f t="shared" ca="1" si="323"/>
        <v>1540.6349838037554</v>
      </c>
      <c r="V962" s="4">
        <f t="shared" ca="1" si="324"/>
        <v>5.8711417547685149E-3</v>
      </c>
      <c r="W962" s="13">
        <f t="shared" ca="1" si="325"/>
        <v>16110.900000000001</v>
      </c>
      <c r="X962" s="4">
        <f t="shared" ca="1" si="326"/>
        <v>6.1396358443947148E-2</v>
      </c>
      <c r="Y962" s="4">
        <f t="shared" si="327"/>
        <v>0</v>
      </c>
      <c r="Z962" s="13">
        <f t="shared" ca="1" si="328"/>
        <v>16110.900000000001</v>
      </c>
      <c r="AA962" s="4">
        <f t="shared" ca="1" si="329"/>
        <v>6.1396358443947148E-2</v>
      </c>
    </row>
    <row r="963" spans="1:27">
      <c r="A963">
        <v>3</v>
      </c>
      <c r="B963">
        <v>0</v>
      </c>
      <c r="C963">
        <f t="shared" ca="1" si="308"/>
        <v>8</v>
      </c>
      <c r="D963">
        <f t="shared" ca="1" si="309"/>
        <v>7</v>
      </c>
      <c r="E963">
        <f t="shared" ca="1" si="310"/>
        <v>3</v>
      </c>
      <c r="F963" s="110">
        <f t="shared" ca="1" si="311"/>
        <v>2.1388499999999998E-2</v>
      </c>
      <c r="G963">
        <v>0</v>
      </c>
      <c r="H963">
        <v>0</v>
      </c>
      <c r="I963">
        <v>3</v>
      </c>
      <c r="J963" s="1">
        <f t="shared" ca="1" si="312"/>
        <v>9.3775390625000315E-6</v>
      </c>
      <c r="K963" s="1">
        <f t="shared" ca="1" si="313"/>
        <v>2.005714942382819E-7</v>
      </c>
      <c r="L963" s="13">
        <f t="shared" ca="1" si="314"/>
        <v>60</v>
      </c>
      <c r="M963" s="7">
        <f t="shared" ca="1" si="315"/>
        <v>940</v>
      </c>
      <c r="N963" s="26">
        <f t="shared" ca="1" si="316"/>
        <v>4</v>
      </c>
      <c r="O963" s="44">
        <f t="shared" ca="1" si="317"/>
        <v>2.8910364854084887</v>
      </c>
      <c r="P963" s="44">
        <f t="shared" ca="1" si="318"/>
        <v>28.910364854084886</v>
      </c>
      <c r="Q963" s="44">
        <f t="shared" ca="1" si="319"/>
        <v>28.910364854084886</v>
      </c>
      <c r="R963" s="44">
        <f t="shared" ca="1" si="320"/>
        <v>2.8910364854084887</v>
      </c>
      <c r="S963" s="44">
        <f t="shared" ca="1" si="321"/>
        <v>2.8910364854084882</v>
      </c>
      <c r="T963" s="4">
        <f t="shared" ca="1" si="322"/>
        <v>5.7985950777577134E-7</v>
      </c>
      <c r="U963" s="120">
        <f t="shared" ca="1" si="323"/>
        <v>1520.6349838037554</v>
      </c>
      <c r="V963" s="4">
        <f t="shared" ca="1" si="324"/>
        <v>3.0499603089252484E-4</v>
      </c>
      <c r="W963" s="13">
        <f t="shared" ca="1" si="325"/>
        <v>12083.175000000001</v>
      </c>
      <c r="X963" s="4">
        <f t="shared" ca="1" si="326"/>
        <v>2.4235404648926522E-3</v>
      </c>
      <c r="Y963" s="4">
        <f t="shared" si="327"/>
        <v>0</v>
      </c>
      <c r="Z963" s="13">
        <f t="shared" ca="1" si="328"/>
        <v>12083.175000000001</v>
      </c>
      <c r="AA963" s="4">
        <f t="shared" ca="1" si="329"/>
        <v>2.4235404648926522E-3</v>
      </c>
    </row>
    <row r="964" spans="1:27">
      <c r="A964">
        <v>3</v>
      </c>
      <c r="B964">
        <v>0</v>
      </c>
      <c r="C964">
        <f t="shared" ca="1" si="308"/>
        <v>8</v>
      </c>
      <c r="D964">
        <f t="shared" ca="1" si="309"/>
        <v>7</v>
      </c>
      <c r="E964">
        <f t="shared" ca="1" si="310"/>
        <v>3</v>
      </c>
      <c r="F964" s="110">
        <f t="shared" ca="1" si="311"/>
        <v>2.1388499999999998E-2</v>
      </c>
      <c r="G964">
        <v>0</v>
      </c>
      <c r="H964">
        <v>0</v>
      </c>
      <c r="I964">
        <v>2</v>
      </c>
      <c r="J964" s="1">
        <f t="shared" ca="1" si="312"/>
        <v>2.961328125000013E-7</v>
      </c>
      <c r="K964" s="1">
        <f t="shared" ca="1" si="313"/>
        <v>6.3338366601562773E-9</v>
      </c>
      <c r="L964" s="13">
        <f t="shared" ca="1" si="314"/>
        <v>40</v>
      </c>
      <c r="M964" s="7">
        <f t="shared" ca="1" si="315"/>
        <v>960</v>
      </c>
      <c r="N964" s="26">
        <f t="shared" ca="1" si="316"/>
        <v>4</v>
      </c>
      <c r="O964" s="44">
        <f t="shared" ca="1" si="317"/>
        <v>2.8910364854084887</v>
      </c>
      <c r="P964" s="44">
        <f t="shared" ca="1" si="318"/>
        <v>28.910364854084886</v>
      </c>
      <c r="Q964" s="44">
        <f t="shared" ca="1" si="319"/>
        <v>28.910364854084886</v>
      </c>
      <c r="R964" s="44">
        <f t="shared" ca="1" si="320"/>
        <v>2.8910364854084887</v>
      </c>
      <c r="S964" s="44">
        <f t="shared" ca="1" si="321"/>
        <v>2.8910364854084882</v>
      </c>
      <c r="T964" s="4">
        <f t="shared" ca="1" si="322"/>
        <v>1.831135287712964E-8</v>
      </c>
      <c r="U964" s="120">
        <f t="shared" ca="1" si="323"/>
        <v>1500.6349838037554</v>
      </c>
      <c r="V964" s="4">
        <f t="shared" ca="1" si="324"/>
        <v>9.5047768739292471E-6</v>
      </c>
      <c r="W964" s="13">
        <f t="shared" ca="1" si="325"/>
        <v>8055.4500000000007</v>
      </c>
      <c r="X964" s="4">
        <f t="shared" ca="1" si="326"/>
        <v>5.1021904524055887E-5</v>
      </c>
      <c r="Y964" s="4">
        <f t="shared" si="327"/>
        <v>0</v>
      </c>
      <c r="Z964" s="13">
        <f t="shared" ca="1" si="328"/>
        <v>8055.4500000000007</v>
      </c>
      <c r="AA964" s="4">
        <f t="shared" ca="1" si="329"/>
        <v>5.1021904524055887E-5</v>
      </c>
    </row>
    <row r="965" spans="1:27">
      <c r="A965">
        <v>3</v>
      </c>
      <c r="B965">
        <v>0</v>
      </c>
      <c r="C965">
        <f t="shared" ca="1" si="308"/>
        <v>8</v>
      </c>
      <c r="D965">
        <f t="shared" ca="1" si="309"/>
        <v>7</v>
      </c>
      <c r="E965">
        <f t="shared" ca="1" si="310"/>
        <v>3</v>
      </c>
      <c r="F965" s="110">
        <f t="shared" ca="1" si="311"/>
        <v>2.1388499999999998E-2</v>
      </c>
      <c r="G965">
        <v>0</v>
      </c>
      <c r="H965">
        <v>0</v>
      </c>
      <c r="I965">
        <v>1</v>
      </c>
      <c r="J965" s="1">
        <f t="shared" ca="1" si="312"/>
        <v>5.1953125000000272E-9</v>
      </c>
      <c r="K965" s="1">
        <f t="shared" ca="1" si="313"/>
        <v>1.1111994140625058E-10</v>
      </c>
      <c r="L965" s="13">
        <f t="shared" ca="1" si="314"/>
        <v>20</v>
      </c>
      <c r="M965" s="7">
        <f t="shared" ca="1" si="315"/>
        <v>980</v>
      </c>
      <c r="N965" s="26">
        <f t="shared" ca="1" si="316"/>
        <v>4</v>
      </c>
      <c r="O965" s="44">
        <f t="shared" ca="1" si="317"/>
        <v>2.8910364854084887</v>
      </c>
      <c r="P965" s="44">
        <f t="shared" ca="1" si="318"/>
        <v>28.910364854084886</v>
      </c>
      <c r="Q965" s="44">
        <f t="shared" ca="1" si="319"/>
        <v>28.910364854084886</v>
      </c>
      <c r="R965" s="44">
        <f t="shared" ca="1" si="320"/>
        <v>2.8910364854084887</v>
      </c>
      <c r="S965" s="44">
        <f t="shared" ca="1" si="321"/>
        <v>2.8910364854084882</v>
      </c>
      <c r="T965" s="4">
        <f t="shared" ca="1" si="322"/>
        <v>3.2125180486192378E-10</v>
      </c>
      <c r="U965" s="120">
        <f t="shared" ca="1" si="323"/>
        <v>1480.6349838037554</v>
      </c>
      <c r="V965" s="4">
        <f t="shared" ca="1" si="324"/>
        <v>1.6452807264431808E-7</v>
      </c>
      <c r="W965" s="13">
        <f t="shared" ca="1" si="325"/>
        <v>4027.7250000000004</v>
      </c>
      <c r="X965" s="4">
        <f t="shared" ca="1" si="326"/>
        <v>4.4756056600049065E-7</v>
      </c>
      <c r="Y965" s="4">
        <f t="shared" si="327"/>
        <v>0</v>
      </c>
      <c r="Z965" s="13">
        <f t="shared" ca="1" si="328"/>
        <v>4027.7250000000004</v>
      </c>
      <c r="AA965" s="4">
        <f t="shared" ca="1" si="329"/>
        <v>4.4756056600049065E-7</v>
      </c>
    </row>
    <row r="966" spans="1:27">
      <c r="A966">
        <v>3</v>
      </c>
      <c r="B966">
        <v>0</v>
      </c>
      <c r="C966">
        <f t="shared" ca="1" si="308"/>
        <v>8</v>
      </c>
      <c r="D966">
        <f t="shared" ca="1" si="309"/>
        <v>7</v>
      </c>
      <c r="E966">
        <f t="shared" ca="1" si="310"/>
        <v>3</v>
      </c>
      <c r="F966" s="110">
        <f t="shared" ca="1" si="311"/>
        <v>2.1388499999999998E-2</v>
      </c>
      <c r="G966">
        <v>0</v>
      </c>
      <c r="H966">
        <v>0</v>
      </c>
      <c r="I966">
        <v>0</v>
      </c>
      <c r="J966" s="1">
        <f t="shared" ca="1" si="312"/>
        <v>3.9062500000000246E-11</v>
      </c>
      <c r="K966" s="1">
        <f t="shared" ca="1" si="313"/>
        <v>8.3548828125000517E-13</v>
      </c>
      <c r="L966" s="13">
        <f t="shared" ca="1" si="314"/>
        <v>0</v>
      </c>
      <c r="M966" s="7">
        <f t="shared" ca="1" si="315"/>
        <v>1000</v>
      </c>
      <c r="N966" s="26">
        <f t="shared" ca="1" si="316"/>
        <v>4</v>
      </c>
      <c r="O966" s="44">
        <f t="shared" ca="1" si="317"/>
        <v>2.8910364854084887</v>
      </c>
      <c r="P966" s="44">
        <f t="shared" ca="1" si="318"/>
        <v>28.910364854084886</v>
      </c>
      <c r="Q966" s="44">
        <f t="shared" ca="1" si="319"/>
        <v>28.910364854084886</v>
      </c>
      <c r="R966" s="44">
        <f t="shared" ca="1" si="320"/>
        <v>2.8910364854084887</v>
      </c>
      <c r="S966" s="44">
        <f t="shared" ca="1" si="321"/>
        <v>2.8910364854084882</v>
      </c>
      <c r="T966" s="4">
        <f t="shared" ca="1" si="322"/>
        <v>2.4154271042249937E-12</v>
      </c>
      <c r="U966" s="120">
        <f t="shared" ca="1" si="323"/>
        <v>1460.6349838037554</v>
      </c>
      <c r="V966" s="4">
        <f t="shared" ca="1" si="324"/>
        <v>1.2203434121518287E-9</v>
      </c>
      <c r="W966" s="13">
        <f t="shared" ca="1" si="325"/>
        <v>0</v>
      </c>
      <c r="X966" s="4">
        <f t="shared" ca="1" si="326"/>
        <v>0</v>
      </c>
      <c r="Y966" s="4">
        <f t="shared" si="327"/>
        <v>0</v>
      </c>
      <c r="Z966" s="13">
        <f t="shared" ca="1" si="328"/>
        <v>0</v>
      </c>
      <c r="AA966" s="4">
        <f t="shared" ca="1" si="329"/>
        <v>0</v>
      </c>
    </row>
    <row r="967" spans="1:27">
      <c r="A967">
        <v>3</v>
      </c>
      <c r="B967">
        <v>1</v>
      </c>
      <c r="C967">
        <f t="shared" ca="1" si="308"/>
        <v>8</v>
      </c>
      <c r="D967">
        <f t="shared" ca="1" si="309"/>
        <v>7</v>
      </c>
      <c r="E967">
        <f t="shared" ca="1" si="310"/>
        <v>3</v>
      </c>
      <c r="F967" s="110">
        <f t="shared" ca="1" si="311"/>
        <v>7.1294999999999996E-3</v>
      </c>
      <c r="G967">
        <v>1</v>
      </c>
      <c r="H967">
        <v>1</v>
      </c>
      <c r="I967">
        <v>7</v>
      </c>
      <c r="J967" s="1">
        <f t="shared" ca="1" si="312"/>
        <v>0</v>
      </c>
      <c r="K967" s="1">
        <f t="shared" ca="1" si="313"/>
        <v>0</v>
      </c>
      <c r="L967" s="13">
        <f t="shared" ca="1" si="314"/>
        <v>648</v>
      </c>
      <c r="M967" s="7">
        <f t="shared" ca="1" si="315"/>
        <v>352</v>
      </c>
      <c r="N967" s="26">
        <f t="shared" ca="1" si="316"/>
        <v>2</v>
      </c>
      <c r="O967" s="44">
        <f t="shared" ca="1" si="317"/>
        <v>1.5942243152407929</v>
      </c>
      <c r="P967" s="44">
        <f t="shared" ca="1" si="318"/>
        <v>15.942243152407926</v>
      </c>
      <c r="Q967" s="44">
        <f t="shared" ca="1" si="319"/>
        <v>15.942243152407926</v>
      </c>
      <c r="R967" s="44">
        <f t="shared" ca="1" si="320"/>
        <v>1.5942243152407927</v>
      </c>
      <c r="S967" s="44">
        <f t="shared" ca="1" si="321"/>
        <v>1.5942243152407927</v>
      </c>
      <c r="T967" s="4">
        <f t="shared" ca="1" si="322"/>
        <v>0</v>
      </c>
      <c r="U967" s="120">
        <f t="shared" ca="1" si="323"/>
        <v>1550.3348669012169</v>
      </c>
      <c r="V967" s="4">
        <f t="shared" ca="1" si="324"/>
        <v>0</v>
      </c>
      <c r="W967" s="13">
        <f t="shared" ca="1" si="325"/>
        <v>32946.790500000003</v>
      </c>
      <c r="X967" s="4">
        <f t="shared" ca="1" si="326"/>
        <v>0</v>
      </c>
      <c r="Y967" s="4">
        <f t="shared" si="327"/>
        <v>0</v>
      </c>
      <c r="Z967" s="13">
        <f t="shared" ca="1" si="328"/>
        <v>32946.790500000003</v>
      </c>
      <c r="AA967" s="4">
        <f t="shared" ca="1" si="329"/>
        <v>0</v>
      </c>
    </row>
    <row r="968" spans="1:27">
      <c r="A968">
        <v>3</v>
      </c>
      <c r="B968">
        <v>1</v>
      </c>
      <c r="C968">
        <f t="shared" ca="1" si="308"/>
        <v>8</v>
      </c>
      <c r="D968">
        <f t="shared" ca="1" si="309"/>
        <v>7</v>
      </c>
      <c r="E968">
        <f t="shared" ca="1" si="310"/>
        <v>3</v>
      </c>
      <c r="F968" s="110">
        <f t="shared" ca="1" si="311"/>
        <v>7.1294999999999996E-3</v>
      </c>
      <c r="G968">
        <v>1</v>
      </c>
      <c r="H968">
        <v>1</v>
      </c>
      <c r="I968">
        <v>6</v>
      </c>
      <c r="J968" s="1">
        <f t="shared" ca="1" si="312"/>
        <v>0</v>
      </c>
      <c r="K968" s="1">
        <f t="shared" ca="1" si="313"/>
        <v>0</v>
      </c>
      <c r="L968" s="13">
        <f t="shared" ca="1" si="314"/>
        <v>628</v>
      </c>
      <c r="M968" s="7">
        <f t="shared" ca="1" si="315"/>
        <v>372</v>
      </c>
      <c r="N968" s="26">
        <f t="shared" ca="1" si="316"/>
        <v>2</v>
      </c>
      <c r="O968" s="44">
        <f t="shared" ca="1" si="317"/>
        <v>1.5942243152407929</v>
      </c>
      <c r="P968" s="44">
        <f t="shared" ca="1" si="318"/>
        <v>15.942243152407926</v>
      </c>
      <c r="Q968" s="44">
        <f t="shared" ca="1" si="319"/>
        <v>15.942243152407926</v>
      </c>
      <c r="R968" s="44">
        <f t="shared" ca="1" si="320"/>
        <v>1.5942243152407927</v>
      </c>
      <c r="S968" s="44">
        <f t="shared" ca="1" si="321"/>
        <v>1.5942243152407927</v>
      </c>
      <c r="T968" s="4">
        <f t="shared" ca="1" si="322"/>
        <v>0</v>
      </c>
      <c r="U968" s="120">
        <f t="shared" ca="1" si="323"/>
        <v>1530.3348669012169</v>
      </c>
      <c r="V968" s="4">
        <f t="shared" ca="1" si="324"/>
        <v>0</v>
      </c>
      <c r="W968" s="13">
        <f t="shared" ca="1" si="325"/>
        <v>28919.065500000004</v>
      </c>
      <c r="X968" s="4">
        <f t="shared" ca="1" si="326"/>
        <v>0</v>
      </c>
      <c r="Y968" s="4">
        <f t="shared" si="327"/>
        <v>0</v>
      </c>
      <c r="Z968" s="13">
        <f t="shared" ca="1" si="328"/>
        <v>28919.065500000004</v>
      </c>
      <c r="AA968" s="4">
        <f t="shared" ca="1" si="329"/>
        <v>0</v>
      </c>
    </row>
    <row r="969" spans="1:27">
      <c r="A969">
        <v>3</v>
      </c>
      <c r="B969">
        <v>1</v>
      </c>
      <c r="C969">
        <f t="shared" ca="1" si="308"/>
        <v>8</v>
      </c>
      <c r="D969">
        <f t="shared" ca="1" si="309"/>
        <v>7</v>
      </c>
      <c r="E969">
        <f t="shared" ca="1" si="310"/>
        <v>3</v>
      </c>
      <c r="F969" s="110">
        <f t="shared" ca="1" si="311"/>
        <v>7.1294999999999996E-3</v>
      </c>
      <c r="G969">
        <v>1</v>
      </c>
      <c r="H969">
        <v>1</v>
      </c>
      <c r="I969">
        <v>5</v>
      </c>
      <c r="J969" s="1">
        <f t="shared" ca="1" si="312"/>
        <v>0</v>
      </c>
      <c r="K969" s="1">
        <f t="shared" ca="1" si="313"/>
        <v>0</v>
      </c>
      <c r="L969" s="13">
        <f t="shared" ca="1" si="314"/>
        <v>608</v>
      </c>
      <c r="M969" s="7">
        <f t="shared" ca="1" si="315"/>
        <v>392</v>
      </c>
      <c r="N969" s="26">
        <f t="shared" ca="1" si="316"/>
        <v>2</v>
      </c>
      <c r="O969" s="44">
        <f t="shared" ca="1" si="317"/>
        <v>1.5942243152407929</v>
      </c>
      <c r="P969" s="44">
        <f t="shared" ca="1" si="318"/>
        <v>15.942243152407926</v>
      </c>
      <c r="Q969" s="44">
        <f t="shared" ca="1" si="319"/>
        <v>15.942243152407926</v>
      </c>
      <c r="R969" s="44">
        <f t="shared" ca="1" si="320"/>
        <v>1.5942243152407927</v>
      </c>
      <c r="S969" s="44">
        <f t="shared" ca="1" si="321"/>
        <v>1.5942243152407927</v>
      </c>
      <c r="T969" s="4">
        <f t="shared" ca="1" si="322"/>
        <v>0</v>
      </c>
      <c r="U969" s="120">
        <f t="shared" ca="1" si="323"/>
        <v>1510.3348669012169</v>
      </c>
      <c r="V969" s="4">
        <f t="shared" ca="1" si="324"/>
        <v>0</v>
      </c>
      <c r="W969" s="13">
        <f t="shared" ca="1" si="325"/>
        <v>24891.340500000002</v>
      </c>
      <c r="X969" s="4">
        <f t="shared" ca="1" si="326"/>
        <v>0</v>
      </c>
      <c r="Y969" s="4">
        <f t="shared" si="327"/>
        <v>0</v>
      </c>
      <c r="Z969" s="13">
        <f t="shared" ca="1" si="328"/>
        <v>24891.340500000002</v>
      </c>
      <c r="AA969" s="4">
        <f t="shared" ca="1" si="329"/>
        <v>0</v>
      </c>
    </row>
    <row r="970" spans="1:27">
      <c r="A970">
        <v>3</v>
      </c>
      <c r="B970">
        <v>1</v>
      </c>
      <c r="C970">
        <f t="shared" ca="1" si="308"/>
        <v>8</v>
      </c>
      <c r="D970">
        <f t="shared" ca="1" si="309"/>
        <v>7</v>
      </c>
      <c r="E970">
        <f t="shared" ca="1" si="310"/>
        <v>3</v>
      </c>
      <c r="F970" s="110">
        <f t="shared" ca="1" si="311"/>
        <v>7.1294999999999996E-3</v>
      </c>
      <c r="G970">
        <v>1</v>
      </c>
      <c r="H970">
        <v>1</v>
      </c>
      <c r="I970">
        <v>4</v>
      </c>
      <c r="J970" s="1">
        <f t="shared" ca="1" si="312"/>
        <v>0</v>
      </c>
      <c r="K970" s="1">
        <f t="shared" ca="1" si="313"/>
        <v>0</v>
      </c>
      <c r="L970" s="13">
        <f t="shared" ca="1" si="314"/>
        <v>588</v>
      </c>
      <c r="M970" s="7">
        <f t="shared" ca="1" si="315"/>
        <v>412</v>
      </c>
      <c r="N970" s="26">
        <f t="shared" ca="1" si="316"/>
        <v>2</v>
      </c>
      <c r="O970" s="44">
        <f t="shared" ca="1" si="317"/>
        <v>1.5942243152407929</v>
      </c>
      <c r="P970" s="44">
        <f t="shared" ca="1" si="318"/>
        <v>15.942243152407926</v>
      </c>
      <c r="Q970" s="44">
        <f t="shared" ca="1" si="319"/>
        <v>15.942243152407926</v>
      </c>
      <c r="R970" s="44">
        <f t="shared" ca="1" si="320"/>
        <v>1.5942243152407927</v>
      </c>
      <c r="S970" s="44">
        <f t="shared" ca="1" si="321"/>
        <v>1.5942243152407927</v>
      </c>
      <c r="T970" s="4">
        <f t="shared" ca="1" si="322"/>
        <v>0</v>
      </c>
      <c r="U970" s="120">
        <f t="shared" ca="1" si="323"/>
        <v>1490.3348669012169</v>
      </c>
      <c r="V970" s="4">
        <f t="shared" ca="1" si="324"/>
        <v>0</v>
      </c>
      <c r="W970" s="13">
        <f t="shared" ca="1" si="325"/>
        <v>20863.615500000004</v>
      </c>
      <c r="X970" s="4">
        <f t="shared" ca="1" si="326"/>
        <v>0</v>
      </c>
      <c r="Y970" s="4">
        <f t="shared" si="327"/>
        <v>0</v>
      </c>
      <c r="Z970" s="13">
        <f t="shared" ca="1" si="328"/>
        <v>20863.615500000004</v>
      </c>
      <c r="AA970" s="4">
        <f t="shared" ca="1" si="329"/>
        <v>0</v>
      </c>
    </row>
    <row r="971" spans="1:27">
      <c r="A971">
        <v>3</v>
      </c>
      <c r="B971">
        <v>1</v>
      </c>
      <c r="C971">
        <f t="shared" ca="1" si="308"/>
        <v>8</v>
      </c>
      <c r="D971">
        <f t="shared" ca="1" si="309"/>
        <v>7</v>
      </c>
      <c r="E971">
        <f t="shared" ca="1" si="310"/>
        <v>3</v>
      </c>
      <c r="F971" s="110">
        <f t="shared" ca="1" si="311"/>
        <v>7.1294999999999996E-3</v>
      </c>
      <c r="G971">
        <v>1</v>
      </c>
      <c r="H971">
        <v>1</v>
      </c>
      <c r="I971">
        <v>3</v>
      </c>
      <c r="J971" s="1">
        <f t="shared" ca="1" si="312"/>
        <v>0</v>
      </c>
      <c r="K971" s="1">
        <f t="shared" ca="1" si="313"/>
        <v>0</v>
      </c>
      <c r="L971" s="13">
        <f t="shared" ca="1" si="314"/>
        <v>568</v>
      </c>
      <c r="M971" s="7">
        <f t="shared" ca="1" si="315"/>
        <v>432</v>
      </c>
      <c r="N971" s="26">
        <f t="shared" ca="1" si="316"/>
        <v>2</v>
      </c>
      <c r="O971" s="44">
        <f t="shared" ca="1" si="317"/>
        <v>1.5942243152407929</v>
      </c>
      <c r="P971" s="44">
        <f t="shared" ca="1" si="318"/>
        <v>15.942243152407926</v>
      </c>
      <c r="Q971" s="44">
        <f t="shared" ca="1" si="319"/>
        <v>15.942243152407926</v>
      </c>
      <c r="R971" s="44">
        <f t="shared" ca="1" si="320"/>
        <v>1.5942243152407927</v>
      </c>
      <c r="S971" s="44">
        <f t="shared" ca="1" si="321"/>
        <v>1.5942243152407927</v>
      </c>
      <c r="T971" s="4">
        <f t="shared" ca="1" si="322"/>
        <v>0</v>
      </c>
      <c r="U971" s="120">
        <f t="shared" ca="1" si="323"/>
        <v>1470.3348669012169</v>
      </c>
      <c r="V971" s="4">
        <f t="shared" ca="1" si="324"/>
        <v>0</v>
      </c>
      <c r="W971" s="13">
        <f t="shared" ca="1" si="325"/>
        <v>16835.890500000001</v>
      </c>
      <c r="X971" s="4">
        <f t="shared" ca="1" si="326"/>
        <v>0</v>
      </c>
      <c r="Y971" s="4">
        <f t="shared" si="327"/>
        <v>0</v>
      </c>
      <c r="Z971" s="13">
        <f t="shared" ca="1" si="328"/>
        <v>16835.890500000001</v>
      </c>
      <c r="AA971" s="4">
        <f t="shared" ca="1" si="329"/>
        <v>0</v>
      </c>
    </row>
    <row r="972" spans="1:27">
      <c r="A972">
        <v>3</v>
      </c>
      <c r="B972">
        <v>1</v>
      </c>
      <c r="C972">
        <f t="shared" ca="1" si="308"/>
        <v>8</v>
      </c>
      <c r="D972">
        <f t="shared" ca="1" si="309"/>
        <v>7</v>
      </c>
      <c r="E972">
        <f t="shared" ca="1" si="310"/>
        <v>3</v>
      </c>
      <c r="F972" s="110">
        <f t="shared" ca="1" si="311"/>
        <v>7.1294999999999996E-3</v>
      </c>
      <c r="G972">
        <v>1</v>
      </c>
      <c r="H972">
        <v>1</v>
      </c>
      <c r="I972">
        <v>2</v>
      </c>
      <c r="J972" s="1">
        <f t="shared" ca="1" si="312"/>
        <v>0</v>
      </c>
      <c r="K972" s="1">
        <f t="shared" ca="1" si="313"/>
        <v>0</v>
      </c>
      <c r="L972" s="13">
        <f t="shared" ca="1" si="314"/>
        <v>548</v>
      </c>
      <c r="M972" s="7">
        <f t="shared" ca="1" si="315"/>
        <v>452</v>
      </c>
      <c r="N972" s="26">
        <f t="shared" ca="1" si="316"/>
        <v>2</v>
      </c>
      <c r="O972" s="44">
        <f t="shared" ca="1" si="317"/>
        <v>1.5942243152407929</v>
      </c>
      <c r="P972" s="44">
        <f t="shared" ca="1" si="318"/>
        <v>15.942243152407926</v>
      </c>
      <c r="Q972" s="44">
        <f t="shared" ca="1" si="319"/>
        <v>15.942243152407926</v>
      </c>
      <c r="R972" s="44">
        <f t="shared" ca="1" si="320"/>
        <v>1.5942243152407927</v>
      </c>
      <c r="S972" s="44">
        <f t="shared" ca="1" si="321"/>
        <v>1.5942243152407927</v>
      </c>
      <c r="T972" s="4">
        <f t="shared" ca="1" si="322"/>
        <v>0</v>
      </c>
      <c r="U972" s="120">
        <f t="shared" ca="1" si="323"/>
        <v>1450.3348669012169</v>
      </c>
      <c r="V972" s="4">
        <f t="shared" ca="1" si="324"/>
        <v>0</v>
      </c>
      <c r="W972" s="13">
        <f t="shared" ca="1" si="325"/>
        <v>12808.165500000003</v>
      </c>
      <c r="X972" s="4">
        <f t="shared" ca="1" si="326"/>
        <v>0</v>
      </c>
      <c r="Y972" s="4">
        <f t="shared" si="327"/>
        <v>0</v>
      </c>
      <c r="Z972" s="13">
        <f t="shared" ca="1" si="328"/>
        <v>12808.165500000003</v>
      </c>
      <c r="AA972" s="4">
        <f t="shared" ca="1" si="329"/>
        <v>0</v>
      </c>
    </row>
    <row r="973" spans="1:27">
      <c r="A973">
        <v>3</v>
      </c>
      <c r="B973">
        <v>1</v>
      </c>
      <c r="C973">
        <f t="shared" ca="1" si="308"/>
        <v>8</v>
      </c>
      <c r="D973">
        <f t="shared" ca="1" si="309"/>
        <v>7</v>
      </c>
      <c r="E973">
        <f t="shared" ca="1" si="310"/>
        <v>3</v>
      </c>
      <c r="F973" s="110">
        <f t="shared" ca="1" si="311"/>
        <v>7.1294999999999996E-3</v>
      </c>
      <c r="G973">
        <v>1</v>
      </c>
      <c r="H973">
        <v>1</v>
      </c>
      <c r="I973">
        <v>1</v>
      </c>
      <c r="J973" s="1">
        <f t="shared" ca="1" si="312"/>
        <v>0</v>
      </c>
      <c r="K973" s="1">
        <f t="shared" ca="1" si="313"/>
        <v>0</v>
      </c>
      <c r="L973" s="13">
        <f t="shared" ca="1" si="314"/>
        <v>528</v>
      </c>
      <c r="M973" s="7">
        <f t="shared" ca="1" si="315"/>
        <v>472</v>
      </c>
      <c r="N973" s="26">
        <f t="shared" ca="1" si="316"/>
        <v>2</v>
      </c>
      <c r="O973" s="44">
        <f t="shared" ca="1" si="317"/>
        <v>1.5942243152407929</v>
      </c>
      <c r="P973" s="44">
        <f t="shared" ca="1" si="318"/>
        <v>15.942243152407926</v>
      </c>
      <c r="Q973" s="44">
        <f t="shared" ca="1" si="319"/>
        <v>15.942243152407926</v>
      </c>
      <c r="R973" s="44">
        <f t="shared" ca="1" si="320"/>
        <v>1.5942243152407927</v>
      </c>
      <c r="S973" s="44">
        <f t="shared" ca="1" si="321"/>
        <v>1.5942243152407927</v>
      </c>
      <c r="T973" s="4">
        <f t="shared" ca="1" si="322"/>
        <v>0</v>
      </c>
      <c r="U973" s="120">
        <f t="shared" ca="1" si="323"/>
        <v>1430.3348669012169</v>
      </c>
      <c r="V973" s="4">
        <f t="shared" ca="1" si="324"/>
        <v>0</v>
      </c>
      <c r="W973" s="13">
        <f t="shared" ca="1" si="325"/>
        <v>8780.4405000000006</v>
      </c>
      <c r="X973" s="4">
        <f t="shared" ca="1" si="326"/>
        <v>0</v>
      </c>
      <c r="Y973" s="4">
        <f t="shared" si="327"/>
        <v>0</v>
      </c>
      <c r="Z973" s="13">
        <f t="shared" ca="1" si="328"/>
        <v>8780.4405000000006</v>
      </c>
      <c r="AA973" s="4">
        <f t="shared" ca="1" si="329"/>
        <v>0</v>
      </c>
    </row>
    <row r="974" spans="1:27">
      <c r="A974">
        <v>3</v>
      </c>
      <c r="B974">
        <v>1</v>
      </c>
      <c r="C974">
        <f t="shared" ca="1" si="308"/>
        <v>8</v>
      </c>
      <c r="D974">
        <f t="shared" ca="1" si="309"/>
        <v>7</v>
      </c>
      <c r="E974">
        <f t="shared" ca="1" si="310"/>
        <v>3</v>
      </c>
      <c r="F974" s="110">
        <f t="shared" ca="1" si="311"/>
        <v>7.1294999999999996E-3</v>
      </c>
      <c r="G974">
        <v>1</v>
      </c>
      <c r="H974">
        <v>1</v>
      </c>
      <c r="I974">
        <v>0</v>
      </c>
      <c r="J974" s="1">
        <f t="shared" ca="1" si="312"/>
        <v>0</v>
      </c>
      <c r="K974" s="1">
        <f t="shared" ca="1" si="313"/>
        <v>0</v>
      </c>
      <c r="L974" s="13">
        <f t="shared" ca="1" si="314"/>
        <v>508</v>
      </c>
      <c r="M974" s="7">
        <f t="shared" ca="1" si="315"/>
        <v>492</v>
      </c>
      <c r="N974" s="26">
        <f t="shared" ca="1" si="316"/>
        <v>2</v>
      </c>
      <c r="O974" s="44">
        <f t="shared" ca="1" si="317"/>
        <v>1.5942243152407929</v>
      </c>
      <c r="P974" s="44">
        <f t="shared" ca="1" si="318"/>
        <v>15.942243152407926</v>
      </c>
      <c r="Q974" s="44">
        <f t="shared" ca="1" si="319"/>
        <v>15.942243152407926</v>
      </c>
      <c r="R974" s="44">
        <f t="shared" ca="1" si="320"/>
        <v>1.5942243152407927</v>
      </c>
      <c r="S974" s="44">
        <f t="shared" ca="1" si="321"/>
        <v>1.5942243152407927</v>
      </c>
      <c r="T974" s="4">
        <f t="shared" ca="1" si="322"/>
        <v>0</v>
      </c>
      <c r="U974" s="120">
        <f t="shared" ca="1" si="323"/>
        <v>1410.3348669012169</v>
      </c>
      <c r="V974" s="4">
        <f t="shared" ca="1" si="324"/>
        <v>0</v>
      </c>
      <c r="W974" s="13">
        <f t="shared" ca="1" si="325"/>
        <v>4752.7155000000012</v>
      </c>
      <c r="X974" s="4">
        <f t="shared" ca="1" si="326"/>
        <v>0</v>
      </c>
      <c r="Y974" s="4">
        <f t="shared" si="327"/>
        <v>0</v>
      </c>
      <c r="Z974" s="13">
        <f t="shared" ca="1" si="328"/>
        <v>4752.7155000000012</v>
      </c>
      <c r="AA974" s="4">
        <f t="shared" ca="1" si="329"/>
        <v>0</v>
      </c>
    </row>
    <row r="975" spans="1:27">
      <c r="A975">
        <v>3</v>
      </c>
      <c r="B975">
        <v>1</v>
      </c>
      <c r="C975">
        <f t="shared" ca="1" si="308"/>
        <v>8</v>
      </c>
      <c r="D975">
        <f t="shared" ca="1" si="309"/>
        <v>7</v>
      </c>
      <c r="E975">
        <f t="shared" ca="1" si="310"/>
        <v>3</v>
      </c>
      <c r="F975" s="110">
        <f t="shared" ca="1" si="311"/>
        <v>7.1294999999999996E-3</v>
      </c>
      <c r="G975">
        <v>1</v>
      </c>
      <c r="H975">
        <v>0</v>
      </c>
      <c r="I975">
        <v>7</v>
      </c>
      <c r="J975" s="1">
        <f t="shared" ca="1" si="312"/>
        <v>0.66342043128906247</v>
      </c>
      <c r="K975" s="1">
        <f t="shared" ca="1" si="313"/>
        <v>4.7298559648753704E-3</v>
      </c>
      <c r="L975" s="13">
        <f t="shared" ca="1" si="314"/>
        <v>394</v>
      </c>
      <c r="M975" s="7">
        <f t="shared" ca="1" si="315"/>
        <v>606</v>
      </c>
      <c r="N975" s="26">
        <f t="shared" ca="1" si="316"/>
        <v>3</v>
      </c>
      <c r="O975" s="44">
        <f t="shared" ca="1" si="317"/>
        <v>2.2641455309069398</v>
      </c>
      <c r="P975" s="44">
        <f t="shared" ca="1" si="318"/>
        <v>22.641455309069404</v>
      </c>
      <c r="Q975" s="44">
        <f t="shared" ca="1" si="319"/>
        <v>22.641455309069404</v>
      </c>
      <c r="R975" s="44">
        <f t="shared" ca="1" si="320"/>
        <v>2.2641455309069403</v>
      </c>
      <c r="S975" s="44">
        <f t="shared" ca="1" si="321"/>
        <v>2.2641455309069398</v>
      </c>
      <c r="T975" s="4">
        <f t="shared" ca="1" si="322"/>
        <v>1.0709082244706101E-2</v>
      </c>
      <c r="U975" s="120">
        <f t="shared" ca="1" si="323"/>
        <v>1584.7475619899244</v>
      </c>
      <c r="V975" s="4">
        <f t="shared" ca="1" si="324"/>
        <v>7.4956277088997449</v>
      </c>
      <c r="W975" s="13">
        <f t="shared" ca="1" si="325"/>
        <v>32946.790500000003</v>
      </c>
      <c r="X975" s="4">
        <f t="shared" ca="1" si="326"/>
        <v>155.8335735699242</v>
      </c>
      <c r="Y975" s="4">
        <f t="shared" si="327"/>
        <v>0</v>
      </c>
      <c r="Z975" s="13">
        <f t="shared" ca="1" si="328"/>
        <v>32946.790500000003</v>
      </c>
      <c r="AA975" s="4">
        <f t="shared" ca="1" si="329"/>
        <v>155.8335735699242</v>
      </c>
    </row>
    <row r="976" spans="1:27">
      <c r="A976">
        <v>3</v>
      </c>
      <c r="B976">
        <v>1</v>
      </c>
      <c r="C976">
        <f t="shared" ca="1" si="308"/>
        <v>8</v>
      </c>
      <c r="D976">
        <f t="shared" ca="1" si="309"/>
        <v>7</v>
      </c>
      <c r="E976">
        <f t="shared" ca="1" si="310"/>
        <v>3</v>
      </c>
      <c r="F976" s="110">
        <f t="shared" ca="1" si="311"/>
        <v>7.1294999999999996E-3</v>
      </c>
      <c r="G976">
        <v>1</v>
      </c>
      <c r="H976">
        <v>0</v>
      </c>
      <c r="I976">
        <v>6</v>
      </c>
      <c r="J976" s="1">
        <f t="shared" ca="1" si="312"/>
        <v>0.24441805363281272</v>
      </c>
      <c r="K976" s="1">
        <f t="shared" ca="1" si="313"/>
        <v>1.7425785133751382E-3</v>
      </c>
      <c r="L976" s="13">
        <f t="shared" ca="1" si="314"/>
        <v>374</v>
      </c>
      <c r="M976" s="7">
        <f t="shared" ca="1" si="315"/>
        <v>626</v>
      </c>
      <c r="N976" s="26">
        <f t="shared" ca="1" si="316"/>
        <v>3</v>
      </c>
      <c r="O976" s="44">
        <f t="shared" ca="1" si="317"/>
        <v>2.2641455309069398</v>
      </c>
      <c r="P976" s="44">
        <f t="shared" ca="1" si="318"/>
        <v>22.641455309069404</v>
      </c>
      <c r="Q976" s="44">
        <f t="shared" ca="1" si="319"/>
        <v>22.641455309069404</v>
      </c>
      <c r="R976" s="44">
        <f t="shared" ca="1" si="320"/>
        <v>2.2641455309069403</v>
      </c>
      <c r="S976" s="44">
        <f t="shared" ca="1" si="321"/>
        <v>2.2641455309069398</v>
      </c>
      <c r="T976" s="4">
        <f t="shared" ca="1" si="322"/>
        <v>3.9454513533127783E-3</v>
      </c>
      <c r="U976" s="120">
        <f t="shared" ca="1" si="323"/>
        <v>1564.7475619899244</v>
      </c>
      <c r="V976" s="4">
        <f t="shared" ca="1" si="324"/>
        <v>2.7266954803797745</v>
      </c>
      <c r="W976" s="13">
        <f t="shared" ca="1" si="325"/>
        <v>28919.065500000004</v>
      </c>
      <c r="X976" s="4">
        <f t="shared" ca="1" si="326"/>
        <v>50.393742167188257</v>
      </c>
      <c r="Y976" s="4">
        <f t="shared" si="327"/>
        <v>0</v>
      </c>
      <c r="Z976" s="13">
        <f t="shared" ca="1" si="328"/>
        <v>28919.065500000004</v>
      </c>
      <c r="AA976" s="4">
        <f t="shared" ca="1" si="329"/>
        <v>50.393742167188257</v>
      </c>
    </row>
    <row r="977" spans="1:27">
      <c r="A977">
        <v>3</v>
      </c>
      <c r="B977">
        <v>1</v>
      </c>
      <c r="C977">
        <f t="shared" ca="1" si="308"/>
        <v>8</v>
      </c>
      <c r="D977">
        <f t="shared" ca="1" si="309"/>
        <v>7</v>
      </c>
      <c r="E977">
        <f t="shared" ca="1" si="310"/>
        <v>3</v>
      </c>
      <c r="F977" s="110">
        <f t="shared" ca="1" si="311"/>
        <v>7.1294999999999996E-3</v>
      </c>
      <c r="G977">
        <v>1</v>
      </c>
      <c r="H977">
        <v>0</v>
      </c>
      <c r="I977">
        <v>5</v>
      </c>
      <c r="J977" s="1">
        <f t="shared" ca="1" si="312"/>
        <v>3.8592324257812567E-2</v>
      </c>
      <c r="K977" s="1">
        <f t="shared" ca="1" si="313"/>
        <v>2.7514397579607468E-4</v>
      </c>
      <c r="L977" s="13">
        <f t="shared" ca="1" si="314"/>
        <v>354</v>
      </c>
      <c r="M977" s="7">
        <f t="shared" ca="1" si="315"/>
        <v>646</v>
      </c>
      <c r="N977" s="26">
        <f t="shared" ca="1" si="316"/>
        <v>3</v>
      </c>
      <c r="O977" s="44">
        <f t="shared" ca="1" si="317"/>
        <v>2.2641455309069398</v>
      </c>
      <c r="P977" s="44">
        <f t="shared" ca="1" si="318"/>
        <v>22.641455309069404</v>
      </c>
      <c r="Q977" s="44">
        <f t="shared" ca="1" si="319"/>
        <v>22.641455309069404</v>
      </c>
      <c r="R977" s="44">
        <f t="shared" ca="1" si="320"/>
        <v>2.2641455309069403</v>
      </c>
      <c r="S977" s="44">
        <f t="shared" ca="1" si="321"/>
        <v>2.2641455309069398</v>
      </c>
      <c r="T977" s="4">
        <f t="shared" ca="1" si="322"/>
        <v>6.2296600315464969E-4</v>
      </c>
      <c r="U977" s="120">
        <f t="shared" ca="1" si="323"/>
        <v>1544.7475619899244</v>
      </c>
      <c r="V977" s="4">
        <f t="shared" ca="1" si="324"/>
        <v>0.42502798580720114</v>
      </c>
      <c r="W977" s="13">
        <f t="shared" ca="1" si="325"/>
        <v>24891.340500000002</v>
      </c>
      <c r="X977" s="4">
        <f t="shared" ca="1" si="326"/>
        <v>6.8487023880638542</v>
      </c>
      <c r="Y977" s="4">
        <f t="shared" si="327"/>
        <v>0</v>
      </c>
      <c r="Z977" s="13">
        <f t="shared" ca="1" si="328"/>
        <v>24891.340500000002</v>
      </c>
      <c r="AA977" s="4">
        <f t="shared" ca="1" si="329"/>
        <v>6.8487023880638542</v>
      </c>
    </row>
    <row r="978" spans="1:27">
      <c r="A978">
        <v>3</v>
      </c>
      <c r="B978">
        <v>1</v>
      </c>
      <c r="C978">
        <f t="shared" ca="1" si="308"/>
        <v>8</v>
      </c>
      <c r="D978">
        <f t="shared" ca="1" si="309"/>
        <v>7</v>
      </c>
      <c r="E978">
        <f t="shared" ca="1" si="310"/>
        <v>3</v>
      </c>
      <c r="F978" s="110">
        <f t="shared" ca="1" si="311"/>
        <v>7.1294999999999996E-3</v>
      </c>
      <c r="G978">
        <v>1</v>
      </c>
      <c r="H978">
        <v>0</v>
      </c>
      <c r="I978">
        <v>4</v>
      </c>
      <c r="J978" s="1">
        <f t="shared" ca="1" si="312"/>
        <v>3.3852916015625085E-3</v>
      </c>
      <c r="K978" s="1">
        <f t="shared" ca="1" si="313"/>
        <v>2.4135436473339901E-5</v>
      </c>
      <c r="L978" s="13">
        <f t="shared" ca="1" si="314"/>
        <v>334</v>
      </c>
      <c r="M978" s="7">
        <f t="shared" ca="1" si="315"/>
        <v>666</v>
      </c>
      <c r="N978" s="26">
        <f t="shared" ca="1" si="316"/>
        <v>3</v>
      </c>
      <c r="O978" s="44">
        <f t="shared" ca="1" si="317"/>
        <v>2.2641455309069398</v>
      </c>
      <c r="P978" s="44">
        <f t="shared" ca="1" si="318"/>
        <v>22.641455309069404</v>
      </c>
      <c r="Q978" s="44">
        <f t="shared" ca="1" si="319"/>
        <v>22.641455309069404</v>
      </c>
      <c r="R978" s="44">
        <f t="shared" ca="1" si="320"/>
        <v>2.2641455309069403</v>
      </c>
      <c r="S978" s="44">
        <f t="shared" ca="1" si="321"/>
        <v>2.2641455309069398</v>
      </c>
      <c r="T978" s="4">
        <f t="shared" ca="1" si="322"/>
        <v>5.4646140627600891E-5</v>
      </c>
      <c r="U978" s="120">
        <f t="shared" ca="1" si="323"/>
        <v>1524.7475619899244</v>
      </c>
      <c r="V978" s="4">
        <f t="shared" ca="1" si="324"/>
        <v>3.6800447920287714E-2</v>
      </c>
      <c r="W978" s="13">
        <f t="shared" ca="1" si="325"/>
        <v>20863.615500000004</v>
      </c>
      <c r="X978" s="4">
        <f t="shared" ca="1" si="326"/>
        <v>0.50355246650443974</v>
      </c>
      <c r="Y978" s="4">
        <f t="shared" si="327"/>
        <v>0</v>
      </c>
      <c r="Z978" s="13">
        <f t="shared" ca="1" si="328"/>
        <v>20863.615500000004</v>
      </c>
      <c r="AA978" s="4">
        <f t="shared" ca="1" si="329"/>
        <v>0.50355246650443974</v>
      </c>
    </row>
    <row r="979" spans="1:27">
      <c r="A979">
        <v>3</v>
      </c>
      <c r="B979">
        <v>1</v>
      </c>
      <c r="C979">
        <f t="shared" ca="1" si="308"/>
        <v>8</v>
      </c>
      <c r="D979">
        <f t="shared" ca="1" si="309"/>
        <v>7</v>
      </c>
      <c r="E979">
        <f t="shared" ca="1" si="310"/>
        <v>3</v>
      </c>
      <c r="F979" s="110">
        <f t="shared" ca="1" si="311"/>
        <v>7.1294999999999996E-3</v>
      </c>
      <c r="G979">
        <v>1</v>
      </c>
      <c r="H979">
        <v>0</v>
      </c>
      <c r="I979">
        <v>3</v>
      </c>
      <c r="J979" s="1">
        <f t="shared" ca="1" si="312"/>
        <v>1.7817324218750058E-4</v>
      </c>
      <c r="K979" s="1">
        <f t="shared" ca="1" si="313"/>
        <v>1.2702861301757854E-6</v>
      </c>
      <c r="L979" s="13">
        <f t="shared" ca="1" si="314"/>
        <v>314</v>
      </c>
      <c r="M979" s="7">
        <f t="shared" ca="1" si="315"/>
        <v>686</v>
      </c>
      <c r="N979" s="26">
        <f t="shared" ca="1" si="316"/>
        <v>3</v>
      </c>
      <c r="O979" s="44">
        <f t="shared" ca="1" si="317"/>
        <v>2.2641455309069398</v>
      </c>
      <c r="P979" s="44">
        <f t="shared" ca="1" si="318"/>
        <v>22.641455309069404</v>
      </c>
      <c r="Q979" s="44">
        <f t="shared" ca="1" si="319"/>
        <v>22.641455309069404</v>
      </c>
      <c r="R979" s="44">
        <f t="shared" ca="1" si="320"/>
        <v>2.2641455309069403</v>
      </c>
      <c r="S979" s="44">
        <f t="shared" ca="1" si="321"/>
        <v>2.2641455309069398</v>
      </c>
      <c r="T979" s="4">
        <f t="shared" ca="1" si="322"/>
        <v>2.8761126646105757E-6</v>
      </c>
      <c r="U979" s="120">
        <f t="shared" ca="1" si="323"/>
        <v>1504.7475619899244</v>
      </c>
      <c r="V979" s="4">
        <f t="shared" ca="1" si="324"/>
        <v>1.9114599574116288E-3</v>
      </c>
      <c r="W979" s="13">
        <f t="shared" ca="1" si="325"/>
        <v>16835.890500000001</v>
      </c>
      <c r="X979" s="4">
        <f t="shared" ca="1" si="326"/>
        <v>2.1386398191308269E-2</v>
      </c>
      <c r="Y979" s="4">
        <f t="shared" si="327"/>
        <v>0</v>
      </c>
      <c r="Z979" s="13">
        <f t="shared" ca="1" si="328"/>
        <v>16835.890500000001</v>
      </c>
      <c r="AA979" s="4">
        <f t="shared" ca="1" si="329"/>
        <v>2.1386398191308269E-2</v>
      </c>
    </row>
    <row r="980" spans="1:27">
      <c r="A980">
        <v>3</v>
      </c>
      <c r="B980">
        <v>1</v>
      </c>
      <c r="C980">
        <f t="shared" ca="1" si="308"/>
        <v>8</v>
      </c>
      <c r="D980">
        <f t="shared" ca="1" si="309"/>
        <v>7</v>
      </c>
      <c r="E980">
        <f t="shared" ca="1" si="310"/>
        <v>3</v>
      </c>
      <c r="F980" s="110">
        <f t="shared" ca="1" si="311"/>
        <v>7.1294999999999996E-3</v>
      </c>
      <c r="G980">
        <v>1</v>
      </c>
      <c r="H980">
        <v>0</v>
      </c>
      <c r="I980">
        <v>2</v>
      </c>
      <c r="J980" s="1">
        <f t="shared" ca="1" si="312"/>
        <v>5.6265234375000243E-6</v>
      </c>
      <c r="K980" s="1">
        <f t="shared" ca="1" si="313"/>
        <v>4.0114298847656423E-8</v>
      </c>
      <c r="L980" s="13">
        <f t="shared" ca="1" si="314"/>
        <v>294</v>
      </c>
      <c r="M980" s="7">
        <f t="shared" ca="1" si="315"/>
        <v>706</v>
      </c>
      <c r="N980" s="26">
        <f t="shared" ca="1" si="316"/>
        <v>3</v>
      </c>
      <c r="O980" s="44">
        <f t="shared" ca="1" si="317"/>
        <v>2.2641455309069398</v>
      </c>
      <c r="P980" s="44">
        <f t="shared" ca="1" si="318"/>
        <v>22.641455309069404</v>
      </c>
      <c r="Q980" s="44">
        <f t="shared" ca="1" si="319"/>
        <v>22.641455309069404</v>
      </c>
      <c r="R980" s="44">
        <f t="shared" ca="1" si="320"/>
        <v>2.2641455309069403</v>
      </c>
      <c r="S980" s="44">
        <f t="shared" ca="1" si="321"/>
        <v>2.2641455309069398</v>
      </c>
      <c r="T980" s="4">
        <f t="shared" ca="1" si="322"/>
        <v>9.082461046138669E-8</v>
      </c>
      <c r="U980" s="120">
        <f t="shared" ca="1" si="323"/>
        <v>1484.7475619899244</v>
      </c>
      <c r="V980" s="4">
        <f t="shared" ca="1" si="324"/>
        <v>5.955960741499311E-5</v>
      </c>
      <c r="W980" s="13">
        <f t="shared" ca="1" si="325"/>
        <v>12808.165500000003</v>
      </c>
      <c r="X980" s="4">
        <f t="shared" ca="1" si="326"/>
        <v>5.1379057855724288E-4</v>
      </c>
      <c r="Y980" s="4">
        <f t="shared" si="327"/>
        <v>0</v>
      </c>
      <c r="Z980" s="13">
        <f t="shared" ca="1" si="328"/>
        <v>12808.165500000003</v>
      </c>
      <c r="AA980" s="4">
        <f t="shared" ca="1" si="329"/>
        <v>5.1379057855724288E-4</v>
      </c>
    </row>
    <row r="981" spans="1:27">
      <c r="A981">
        <v>3</v>
      </c>
      <c r="B981">
        <v>1</v>
      </c>
      <c r="C981">
        <f t="shared" ca="1" si="308"/>
        <v>8</v>
      </c>
      <c r="D981">
        <f t="shared" ca="1" si="309"/>
        <v>7</v>
      </c>
      <c r="E981">
        <f t="shared" ca="1" si="310"/>
        <v>3</v>
      </c>
      <c r="F981" s="110">
        <f t="shared" ca="1" si="311"/>
        <v>7.1294999999999996E-3</v>
      </c>
      <c r="G981">
        <v>1</v>
      </c>
      <c r="H981">
        <v>0</v>
      </c>
      <c r="I981">
        <v>1</v>
      </c>
      <c r="J981" s="1">
        <f t="shared" ca="1" si="312"/>
        <v>9.8710937500000504E-8</v>
      </c>
      <c r="K981" s="1">
        <f t="shared" ca="1" si="313"/>
        <v>7.0375962890625357E-10</v>
      </c>
      <c r="L981" s="13">
        <f t="shared" ca="1" si="314"/>
        <v>274</v>
      </c>
      <c r="M981" s="7">
        <f t="shared" ca="1" si="315"/>
        <v>726</v>
      </c>
      <c r="N981" s="26">
        <f t="shared" ca="1" si="316"/>
        <v>3</v>
      </c>
      <c r="O981" s="44">
        <f t="shared" ca="1" si="317"/>
        <v>2.2641455309069398</v>
      </c>
      <c r="P981" s="44">
        <f t="shared" ca="1" si="318"/>
        <v>22.641455309069404</v>
      </c>
      <c r="Q981" s="44">
        <f t="shared" ca="1" si="319"/>
        <v>22.641455309069404</v>
      </c>
      <c r="R981" s="44">
        <f t="shared" ca="1" si="320"/>
        <v>2.2641455309069403</v>
      </c>
      <c r="S981" s="44">
        <f t="shared" ca="1" si="321"/>
        <v>2.2641455309069398</v>
      </c>
      <c r="T981" s="4">
        <f t="shared" ca="1" si="322"/>
        <v>1.5934142186208204E-9</v>
      </c>
      <c r="U981" s="120">
        <f t="shared" ca="1" si="323"/>
        <v>1464.7475619899244</v>
      </c>
      <c r="V981" s="4">
        <f t="shared" ca="1" si="324"/>
        <v>1.0308302006673688E-6</v>
      </c>
      <c r="W981" s="13">
        <f t="shared" ca="1" si="325"/>
        <v>8780.4405000000006</v>
      </c>
      <c r="X981" s="4">
        <f t="shared" ca="1" si="326"/>
        <v>6.1793195479134396E-6</v>
      </c>
      <c r="Y981" s="4">
        <f t="shared" si="327"/>
        <v>0</v>
      </c>
      <c r="Z981" s="13">
        <f t="shared" ca="1" si="328"/>
        <v>8780.4405000000006</v>
      </c>
      <c r="AA981" s="4">
        <f t="shared" ca="1" si="329"/>
        <v>6.1793195479134396E-6</v>
      </c>
    </row>
    <row r="982" spans="1:27">
      <c r="A982">
        <v>3</v>
      </c>
      <c r="B982">
        <v>1</v>
      </c>
      <c r="C982">
        <f t="shared" ca="1" si="308"/>
        <v>8</v>
      </c>
      <c r="D982">
        <f t="shared" ca="1" si="309"/>
        <v>7</v>
      </c>
      <c r="E982">
        <f t="shared" ca="1" si="310"/>
        <v>3</v>
      </c>
      <c r="F982" s="110">
        <f t="shared" ca="1" si="311"/>
        <v>7.1294999999999996E-3</v>
      </c>
      <c r="G982">
        <v>1</v>
      </c>
      <c r="H982">
        <v>0</v>
      </c>
      <c r="I982">
        <v>0</v>
      </c>
      <c r="J982" s="1">
        <f t="shared" ca="1" si="312"/>
        <v>7.4218750000000458E-10</v>
      </c>
      <c r="K982" s="1">
        <f t="shared" ca="1" si="313"/>
        <v>5.2914257812500323E-12</v>
      </c>
      <c r="L982" s="13">
        <f t="shared" ca="1" si="314"/>
        <v>254</v>
      </c>
      <c r="M982" s="7">
        <f t="shared" ca="1" si="315"/>
        <v>746</v>
      </c>
      <c r="N982" s="26">
        <f t="shared" ca="1" si="316"/>
        <v>3</v>
      </c>
      <c r="O982" s="44">
        <f t="shared" ca="1" si="317"/>
        <v>2.2641455309069398</v>
      </c>
      <c r="P982" s="44">
        <f t="shared" ca="1" si="318"/>
        <v>22.641455309069404</v>
      </c>
      <c r="Q982" s="44">
        <f t="shared" ca="1" si="319"/>
        <v>22.641455309069404</v>
      </c>
      <c r="R982" s="44">
        <f t="shared" ca="1" si="320"/>
        <v>2.2641455309069403</v>
      </c>
      <c r="S982" s="44">
        <f t="shared" ca="1" si="321"/>
        <v>2.2641455309069398</v>
      </c>
      <c r="T982" s="4">
        <f t="shared" ca="1" si="322"/>
        <v>1.1980558034743023E-11</v>
      </c>
      <c r="U982" s="120">
        <f t="shared" ca="1" si="323"/>
        <v>1444.7475619899244</v>
      </c>
      <c r="V982" s="4">
        <f t="shared" ca="1" si="324"/>
        <v>7.6447744969116145E-9</v>
      </c>
      <c r="W982" s="13">
        <f t="shared" ca="1" si="325"/>
        <v>4752.7155000000012</v>
      </c>
      <c r="X982" s="4">
        <f t="shared" ca="1" si="326"/>
        <v>2.5148641327646645E-8</v>
      </c>
      <c r="Y982" s="4">
        <f t="shared" si="327"/>
        <v>0</v>
      </c>
      <c r="Z982" s="13">
        <f t="shared" ca="1" si="328"/>
        <v>4752.7155000000012</v>
      </c>
      <c r="AA982" s="4">
        <f t="shared" ca="1" si="329"/>
        <v>2.5148641327646645E-8</v>
      </c>
    </row>
    <row r="983" spans="1:27">
      <c r="A983">
        <v>3</v>
      </c>
      <c r="B983">
        <v>1</v>
      </c>
      <c r="C983">
        <f t="shared" ca="1" si="308"/>
        <v>8</v>
      </c>
      <c r="D983">
        <f t="shared" ca="1" si="309"/>
        <v>7</v>
      </c>
      <c r="E983">
        <f t="shared" ca="1" si="310"/>
        <v>3</v>
      </c>
      <c r="F983" s="110">
        <f t="shared" ca="1" si="311"/>
        <v>7.1294999999999996E-3</v>
      </c>
      <c r="G983">
        <v>0</v>
      </c>
      <c r="H983">
        <v>1</v>
      </c>
      <c r="I983">
        <v>7</v>
      </c>
      <c r="J983" s="1">
        <f t="shared" ca="1" si="312"/>
        <v>0</v>
      </c>
      <c r="K983" s="1">
        <f t="shared" ca="1" si="313"/>
        <v>0</v>
      </c>
      <c r="L983" s="13">
        <f t="shared" ca="1" si="314"/>
        <v>394</v>
      </c>
      <c r="M983" s="7">
        <f t="shared" ca="1" si="315"/>
        <v>606</v>
      </c>
      <c r="N983" s="26">
        <f t="shared" ca="1" si="316"/>
        <v>3</v>
      </c>
      <c r="O983" s="44">
        <f t="shared" ca="1" si="317"/>
        <v>2.2641455309069398</v>
      </c>
      <c r="P983" s="44">
        <f t="shared" ca="1" si="318"/>
        <v>22.641455309069404</v>
      </c>
      <c r="Q983" s="44">
        <f t="shared" ca="1" si="319"/>
        <v>22.641455309069404</v>
      </c>
      <c r="R983" s="44">
        <f t="shared" ca="1" si="320"/>
        <v>2.2641455309069403</v>
      </c>
      <c r="S983" s="44">
        <f t="shared" ca="1" si="321"/>
        <v>2.2641455309069398</v>
      </c>
      <c r="T983" s="4">
        <f t="shared" ca="1" si="322"/>
        <v>0</v>
      </c>
      <c r="U983" s="120">
        <f t="shared" ca="1" si="323"/>
        <v>1584.7475619899244</v>
      </c>
      <c r="V983" s="4">
        <f t="shared" ca="1" si="324"/>
        <v>0</v>
      </c>
      <c r="W983" s="13">
        <f t="shared" ca="1" si="325"/>
        <v>28194.075000000001</v>
      </c>
      <c r="X983" s="4">
        <f t="shared" ca="1" si="326"/>
        <v>0</v>
      </c>
      <c r="Y983" s="4">
        <f t="shared" si="327"/>
        <v>0</v>
      </c>
      <c r="Z983" s="13">
        <f t="shared" ca="1" si="328"/>
        <v>28194.075000000001</v>
      </c>
      <c r="AA983" s="4">
        <f t="shared" ca="1" si="329"/>
        <v>0</v>
      </c>
    </row>
    <row r="984" spans="1:27">
      <c r="A984">
        <v>3</v>
      </c>
      <c r="B984">
        <v>1</v>
      </c>
      <c r="C984">
        <f t="shared" ca="1" si="308"/>
        <v>8</v>
      </c>
      <c r="D984">
        <f t="shared" ca="1" si="309"/>
        <v>7</v>
      </c>
      <c r="E984">
        <f t="shared" ca="1" si="310"/>
        <v>3</v>
      </c>
      <c r="F984" s="110">
        <f t="shared" ca="1" si="311"/>
        <v>7.1294999999999996E-3</v>
      </c>
      <c r="G984">
        <v>0</v>
      </c>
      <c r="H984">
        <v>1</v>
      </c>
      <c r="I984">
        <v>6</v>
      </c>
      <c r="J984" s="1">
        <f t="shared" ca="1" si="312"/>
        <v>0</v>
      </c>
      <c r="K984" s="1">
        <f t="shared" ca="1" si="313"/>
        <v>0</v>
      </c>
      <c r="L984" s="13">
        <f t="shared" ca="1" si="314"/>
        <v>374</v>
      </c>
      <c r="M984" s="7">
        <f t="shared" ca="1" si="315"/>
        <v>626</v>
      </c>
      <c r="N984" s="26">
        <f t="shared" ca="1" si="316"/>
        <v>3</v>
      </c>
      <c r="O984" s="44">
        <f t="shared" ca="1" si="317"/>
        <v>2.2641455309069398</v>
      </c>
      <c r="P984" s="44">
        <f t="shared" ca="1" si="318"/>
        <v>22.641455309069404</v>
      </c>
      <c r="Q984" s="44">
        <f t="shared" ca="1" si="319"/>
        <v>22.641455309069404</v>
      </c>
      <c r="R984" s="44">
        <f t="shared" ca="1" si="320"/>
        <v>2.2641455309069403</v>
      </c>
      <c r="S984" s="44">
        <f t="shared" ca="1" si="321"/>
        <v>2.2641455309069398</v>
      </c>
      <c r="T984" s="4">
        <f t="shared" ca="1" si="322"/>
        <v>0</v>
      </c>
      <c r="U984" s="120">
        <f t="shared" ca="1" si="323"/>
        <v>1564.7475619899244</v>
      </c>
      <c r="V984" s="4">
        <f t="shared" ca="1" si="324"/>
        <v>0</v>
      </c>
      <c r="W984" s="13">
        <f t="shared" ca="1" si="325"/>
        <v>24166.350000000002</v>
      </c>
      <c r="X984" s="4">
        <f t="shared" ca="1" si="326"/>
        <v>0</v>
      </c>
      <c r="Y984" s="4">
        <f t="shared" si="327"/>
        <v>0</v>
      </c>
      <c r="Z984" s="13">
        <f t="shared" ca="1" si="328"/>
        <v>24166.350000000002</v>
      </c>
      <c r="AA984" s="4">
        <f t="shared" ca="1" si="329"/>
        <v>0</v>
      </c>
    </row>
    <row r="985" spans="1:27">
      <c r="A985">
        <v>3</v>
      </c>
      <c r="B985">
        <v>1</v>
      </c>
      <c r="C985">
        <f t="shared" ca="1" si="308"/>
        <v>8</v>
      </c>
      <c r="D985">
        <f t="shared" ca="1" si="309"/>
        <v>7</v>
      </c>
      <c r="E985">
        <f t="shared" ca="1" si="310"/>
        <v>3</v>
      </c>
      <c r="F985" s="110">
        <f t="shared" ca="1" si="311"/>
        <v>7.1294999999999996E-3</v>
      </c>
      <c r="G985">
        <v>0</v>
      </c>
      <c r="H985">
        <v>1</v>
      </c>
      <c r="I985">
        <v>5</v>
      </c>
      <c r="J985" s="1">
        <f t="shared" ca="1" si="312"/>
        <v>0</v>
      </c>
      <c r="K985" s="1">
        <f t="shared" ca="1" si="313"/>
        <v>0</v>
      </c>
      <c r="L985" s="13">
        <f t="shared" ca="1" si="314"/>
        <v>354</v>
      </c>
      <c r="M985" s="7">
        <f t="shared" ca="1" si="315"/>
        <v>646</v>
      </c>
      <c r="N985" s="26">
        <f t="shared" ca="1" si="316"/>
        <v>3</v>
      </c>
      <c r="O985" s="44">
        <f t="shared" ca="1" si="317"/>
        <v>2.2641455309069398</v>
      </c>
      <c r="P985" s="44">
        <f t="shared" ca="1" si="318"/>
        <v>22.641455309069404</v>
      </c>
      <c r="Q985" s="44">
        <f t="shared" ca="1" si="319"/>
        <v>22.641455309069404</v>
      </c>
      <c r="R985" s="44">
        <f t="shared" ca="1" si="320"/>
        <v>2.2641455309069403</v>
      </c>
      <c r="S985" s="44">
        <f t="shared" ca="1" si="321"/>
        <v>2.2641455309069398</v>
      </c>
      <c r="T985" s="4">
        <f t="shared" ca="1" si="322"/>
        <v>0</v>
      </c>
      <c r="U985" s="120">
        <f t="shared" ca="1" si="323"/>
        <v>1544.7475619899244</v>
      </c>
      <c r="V985" s="4">
        <f t="shared" ca="1" si="324"/>
        <v>0</v>
      </c>
      <c r="W985" s="13">
        <f t="shared" ca="1" si="325"/>
        <v>20138.625</v>
      </c>
      <c r="X985" s="4">
        <f t="shared" ca="1" si="326"/>
        <v>0</v>
      </c>
      <c r="Y985" s="4">
        <f t="shared" si="327"/>
        <v>0</v>
      </c>
      <c r="Z985" s="13">
        <f t="shared" ca="1" si="328"/>
        <v>20138.625</v>
      </c>
      <c r="AA985" s="4">
        <f t="shared" ca="1" si="329"/>
        <v>0</v>
      </c>
    </row>
    <row r="986" spans="1:27">
      <c r="A986">
        <v>3</v>
      </c>
      <c r="B986">
        <v>1</v>
      </c>
      <c r="C986">
        <f t="shared" ca="1" si="308"/>
        <v>8</v>
      </c>
      <c r="D986">
        <f t="shared" ca="1" si="309"/>
        <v>7</v>
      </c>
      <c r="E986">
        <f t="shared" ca="1" si="310"/>
        <v>3</v>
      </c>
      <c r="F986" s="110">
        <f t="shared" ca="1" si="311"/>
        <v>7.1294999999999996E-3</v>
      </c>
      <c r="G986">
        <v>0</v>
      </c>
      <c r="H986">
        <v>1</v>
      </c>
      <c r="I986">
        <v>4</v>
      </c>
      <c r="J986" s="1">
        <f t="shared" ca="1" si="312"/>
        <v>0</v>
      </c>
      <c r="K986" s="1">
        <f t="shared" ca="1" si="313"/>
        <v>0</v>
      </c>
      <c r="L986" s="13">
        <f t="shared" ca="1" si="314"/>
        <v>334</v>
      </c>
      <c r="M986" s="7">
        <f t="shared" ca="1" si="315"/>
        <v>666</v>
      </c>
      <c r="N986" s="26">
        <f t="shared" ca="1" si="316"/>
        <v>3</v>
      </c>
      <c r="O986" s="44">
        <f t="shared" ca="1" si="317"/>
        <v>2.2641455309069398</v>
      </c>
      <c r="P986" s="44">
        <f t="shared" ca="1" si="318"/>
        <v>22.641455309069404</v>
      </c>
      <c r="Q986" s="44">
        <f t="shared" ca="1" si="319"/>
        <v>22.641455309069404</v>
      </c>
      <c r="R986" s="44">
        <f t="shared" ca="1" si="320"/>
        <v>2.2641455309069403</v>
      </c>
      <c r="S986" s="44">
        <f t="shared" ca="1" si="321"/>
        <v>2.2641455309069398</v>
      </c>
      <c r="T986" s="4">
        <f t="shared" ca="1" si="322"/>
        <v>0</v>
      </c>
      <c r="U986" s="120">
        <f t="shared" ca="1" si="323"/>
        <v>1524.7475619899244</v>
      </c>
      <c r="V986" s="4">
        <f t="shared" ca="1" si="324"/>
        <v>0</v>
      </c>
      <c r="W986" s="13">
        <f t="shared" ca="1" si="325"/>
        <v>16110.900000000001</v>
      </c>
      <c r="X986" s="4">
        <f t="shared" ca="1" si="326"/>
        <v>0</v>
      </c>
      <c r="Y986" s="4">
        <f t="shared" si="327"/>
        <v>0</v>
      </c>
      <c r="Z986" s="13">
        <f t="shared" ca="1" si="328"/>
        <v>16110.900000000001</v>
      </c>
      <c r="AA986" s="4">
        <f t="shared" ca="1" si="329"/>
        <v>0</v>
      </c>
    </row>
    <row r="987" spans="1:27">
      <c r="A987">
        <v>3</v>
      </c>
      <c r="B987">
        <v>1</v>
      </c>
      <c r="C987">
        <f t="shared" ca="1" si="308"/>
        <v>8</v>
      </c>
      <c r="D987">
        <f t="shared" ca="1" si="309"/>
        <v>7</v>
      </c>
      <c r="E987">
        <f t="shared" ca="1" si="310"/>
        <v>3</v>
      </c>
      <c r="F987" s="110">
        <f t="shared" ca="1" si="311"/>
        <v>7.1294999999999996E-3</v>
      </c>
      <c r="G987">
        <v>0</v>
      </c>
      <c r="H987">
        <v>1</v>
      </c>
      <c r="I987">
        <v>3</v>
      </c>
      <c r="J987" s="1">
        <f t="shared" ca="1" si="312"/>
        <v>0</v>
      </c>
      <c r="K987" s="1">
        <f t="shared" ca="1" si="313"/>
        <v>0</v>
      </c>
      <c r="L987" s="13">
        <f t="shared" ca="1" si="314"/>
        <v>314</v>
      </c>
      <c r="M987" s="7">
        <f t="shared" ca="1" si="315"/>
        <v>686</v>
      </c>
      <c r="N987" s="26">
        <f t="shared" ca="1" si="316"/>
        <v>3</v>
      </c>
      <c r="O987" s="44">
        <f t="shared" ca="1" si="317"/>
        <v>2.2641455309069398</v>
      </c>
      <c r="P987" s="44">
        <f t="shared" ca="1" si="318"/>
        <v>22.641455309069404</v>
      </c>
      <c r="Q987" s="44">
        <f t="shared" ca="1" si="319"/>
        <v>22.641455309069404</v>
      </c>
      <c r="R987" s="44">
        <f t="shared" ca="1" si="320"/>
        <v>2.2641455309069403</v>
      </c>
      <c r="S987" s="44">
        <f t="shared" ca="1" si="321"/>
        <v>2.2641455309069398</v>
      </c>
      <c r="T987" s="4">
        <f t="shared" ca="1" si="322"/>
        <v>0</v>
      </c>
      <c r="U987" s="120">
        <f t="shared" ca="1" si="323"/>
        <v>1504.7475619899244</v>
      </c>
      <c r="V987" s="4">
        <f t="shared" ca="1" si="324"/>
        <v>0</v>
      </c>
      <c r="W987" s="13">
        <f t="shared" ca="1" si="325"/>
        <v>12083.175000000001</v>
      </c>
      <c r="X987" s="4">
        <f t="shared" ca="1" si="326"/>
        <v>0</v>
      </c>
      <c r="Y987" s="4">
        <f t="shared" si="327"/>
        <v>0</v>
      </c>
      <c r="Z987" s="13">
        <f t="shared" ca="1" si="328"/>
        <v>12083.175000000001</v>
      </c>
      <c r="AA987" s="4">
        <f t="shared" ca="1" si="329"/>
        <v>0</v>
      </c>
    </row>
    <row r="988" spans="1:27">
      <c r="A988">
        <v>3</v>
      </c>
      <c r="B988">
        <v>1</v>
      </c>
      <c r="C988">
        <f t="shared" ca="1" si="308"/>
        <v>8</v>
      </c>
      <c r="D988">
        <f t="shared" ca="1" si="309"/>
        <v>7</v>
      </c>
      <c r="E988">
        <f t="shared" ca="1" si="310"/>
        <v>3</v>
      </c>
      <c r="F988" s="110">
        <f t="shared" ca="1" si="311"/>
        <v>7.1294999999999996E-3</v>
      </c>
      <c r="G988">
        <v>0</v>
      </c>
      <c r="H988">
        <v>1</v>
      </c>
      <c r="I988">
        <v>2</v>
      </c>
      <c r="J988" s="1">
        <f t="shared" ca="1" si="312"/>
        <v>0</v>
      </c>
      <c r="K988" s="1">
        <f t="shared" ca="1" si="313"/>
        <v>0</v>
      </c>
      <c r="L988" s="13">
        <f t="shared" ca="1" si="314"/>
        <v>294</v>
      </c>
      <c r="M988" s="7">
        <f t="shared" ca="1" si="315"/>
        <v>706</v>
      </c>
      <c r="N988" s="26">
        <f t="shared" ca="1" si="316"/>
        <v>3</v>
      </c>
      <c r="O988" s="44">
        <f t="shared" ca="1" si="317"/>
        <v>2.2641455309069398</v>
      </c>
      <c r="P988" s="44">
        <f t="shared" ca="1" si="318"/>
        <v>22.641455309069404</v>
      </c>
      <c r="Q988" s="44">
        <f t="shared" ca="1" si="319"/>
        <v>22.641455309069404</v>
      </c>
      <c r="R988" s="44">
        <f t="shared" ca="1" si="320"/>
        <v>2.2641455309069403</v>
      </c>
      <c r="S988" s="44">
        <f t="shared" ca="1" si="321"/>
        <v>2.2641455309069398</v>
      </c>
      <c r="T988" s="4">
        <f t="shared" ca="1" si="322"/>
        <v>0</v>
      </c>
      <c r="U988" s="120">
        <f t="shared" ca="1" si="323"/>
        <v>1484.7475619899244</v>
      </c>
      <c r="V988" s="4">
        <f t="shared" ca="1" si="324"/>
        <v>0</v>
      </c>
      <c r="W988" s="13">
        <f t="shared" ca="1" si="325"/>
        <v>8055.4500000000007</v>
      </c>
      <c r="X988" s="4">
        <f t="shared" ca="1" si="326"/>
        <v>0</v>
      </c>
      <c r="Y988" s="4">
        <f t="shared" si="327"/>
        <v>0</v>
      </c>
      <c r="Z988" s="13">
        <f t="shared" ca="1" si="328"/>
        <v>8055.4500000000007</v>
      </c>
      <c r="AA988" s="4">
        <f t="shared" ca="1" si="329"/>
        <v>0</v>
      </c>
    </row>
    <row r="989" spans="1:27">
      <c r="A989">
        <v>3</v>
      </c>
      <c r="B989">
        <v>1</v>
      </c>
      <c r="C989">
        <f t="shared" ca="1" si="308"/>
        <v>8</v>
      </c>
      <c r="D989">
        <f t="shared" ca="1" si="309"/>
        <v>7</v>
      </c>
      <c r="E989">
        <f t="shared" ca="1" si="310"/>
        <v>3</v>
      </c>
      <c r="F989" s="110">
        <f t="shared" ca="1" si="311"/>
        <v>7.1294999999999996E-3</v>
      </c>
      <c r="G989">
        <v>0</v>
      </c>
      <c r="H989">
        <v>1</v>
      </c>
      <c r="I989">
        <v>1</v>
      </c>
      <c r="J989" s="1">
        <f t="shared" ca="1" si="312"/>
        <v>0</v>
      </c>
      <c r="K989" s="1">
        <f t="shared" ca="1" si="313"/>
        <v>0</v>
      </c>
      <c r="L989" s="13">
        <f t="shared" ca="1" si="314"/>
        <v>274</v>
      </c>
      <c r="M989" s="7">
        <f t="shared" ca="1" si="315"/>
        <v>726</v>
      </c>
      <c r="N989" s="26">
        <f t="shared" ca="1" si="316"/>
        <v>3</v>
      </c>
      <c r="O989" s="44">
        <f t="shared" ca="1" si="317"/>
        <v>2.2641455309069398</v>
      </c>
      <c r="P989" s="44">
        <f t="shared" ca="1" si="318"/>
        <v>22.641455309069404</v>
      </c>
      <c r="Q989" s="44">
        <f t="shared" ca="1" si="319"/>
        <v>22.641455309069404</v>
      </c>
      <c r="R989" s="44">
        <f t="shared" ca="1" si="320"/>
        <v>2.2641455309069403</v>
      </c>
      <c r="S989" s="44">
        <f t="shared" ca="1" si="321"/>
        <v>2.2641455309069398</v>
      </c>
      <c r="T989" s="4">
        <f t="shared" ca="1" si="322"/>
        <v>0</v>
      </c>
      <c r="U989" s="120">
        <f t="shared" ca="1" si="323"/>
        <v>1464.7475619899244</v>
      </c>
      <c r="V989" s="4">
        <f t="shared" ca="1" si="324"/>
        <v>0</v>
      </c>
      <c r="W989" s="13">
        <f t="shared" ca="1" si="325"/>
        <v>4027.7250000000004</v>
      </c>
      <c r="X989" s="4">
        <f t="shared" ca="1" si="326"/>
        <v>0</v>
      </c>
      <c r="Y989" s="4">
        <f t="shared" si="327"/>
        <v>0</v>
      </c>
      <c r="Z989" s="13">
        <f t="shared" ca="1" si="328"/>
        <v>4027.7250000000004</v>
      </c>
      <c r="AA989" s="4">
        <f t="shared" ca="1" si="329"/>
        <v>0</v>
      </c>
    </row>
    <row r="990" spans="1:27">
      <c r="A990">
        <v>3</v>
      </c>
      <c r="B990">
        <v>1</v>
      </c>
      <c r="C990">
        <f t="shared" ca="1" si="308"/>
        <v>8</v>
      </c>
      <c r="D990">
        <f t="shared" ca="1" si="309"/>
        <v>7</v>
      </c>
      <c r="E990">
        <f t="shared" ca="1" si="310"/>
        <v>3</v>
      </c>
      <c r="F990" s="110">
        <f t="shared" ca="1" si="311"/>
        <v>7.1294999999999996E-3</v>
      </c>
      <c r="G990">
        <v>0</v>
      </c>
      <c r="H990">
        <v>1</v>
      </c>
      <c r="I990">
        <v>0</v>
      </c>
      <c r="J990" s="1">
        <f t="shared" ca="1" si="312"/>
        <v>0</v>
      </c>
      <c r="K990" s="1">
        <f t="shared" ca="1" si="313"/>
        <v>0</v>
      </c>
      <c r="L990" s="13">
        <f t="shared" ca="1" si="314"/>
        <v>254</v>
      </c>
      <c r="M990" s="7">
        <f t="shared" ca="1" si="315"/>
        <v>746</v>
      </c>
      <c r="N990" s="26">
        <f t="shared" ca="1" si="316"/>
        <v>3</v>
      </c>
      <c r="O990" s="44">
        <f t="shared" ca="1" si="317"/>
        <v>2.2641455309069398</v>
      </c>
      <c r="P990" s="44">
        <f t="shared" ca="1" si="318"/>
        <v>22.641455309069404</v>
      </c>
      <c r="Q990" s="44">
        <f t="shared" ca="1" si="319"/>
        <v>22.641455309069404</v>
      </c>
      <c r="R990" s="44">
        <f t="shared" ca="1" si="320"/>
        <v>2.2641455309069403</v>
      </c>
      <c r="S990" s="44">
        <f t="shared" ca="1" si="321"/>
        <v>2.2641455309069398</v>
      </c>
      <c r="T990" s="4">
        <f t="shared" ca="1" si="322"/>
        <v>0</v>
      </c>
      <c r="U990" s="120">
        <f t="shared" ca="1" si="323"/>
        <v>1444.7475619899244</v>
      </c>
      <c r="V990" s="4">
        <f t="shared" ca="1" si="324"/>
        <v>0</v>
      </c>
      <c r="W990" s="13">
        <f t="shared" ca="1" si="325"/>
        <v>0</v>
      </c>
      <c r="X990" s="4">
        <f t="shared" ca="1" si="326"/>
        <v>0</v>
      </c>
      <c r="Y990" s="4">
        <f t="shared" si="327"/>
        <v>0</v>
      </c>
      <c r="Z990" s="13">
        <f t="shared" ca="1" si="328"/>
        <v>0</v>
      </c>
      <c r="AA990" s="4">
        <f t="shared" ca="1" si="329"/>
        <v>0</v>
      </c>
    </row>
    <row r="991" spans="1:27">
      <c r="A991">
        <v>3</v>
      </c>
      <c r="B991">
        <v>1</v>
      </c>
      <c r="C991">
        <f t="shared" ca="1" si="308"/>
        <v>8</v>
      </c>
      <c r="D991">
        <f t="shared" ca="1" si="309"/>
        <v>7</v>
      </c>
      <c r="E991">
        <f t="shared" ca="1" si="310"/>
        <v>3</v>
      </c>
      <c r="F991" s="110">
        <f t="shared" ca="1" si="311"/>
        <v>7.1294999999999996E-3</v>
      </c>
      <c r="G991">
        <v>0</v>
      </c>
      <c r="H991">
        <v>0</v>
      </c>
      <c r="I991">
        <v>7</v>
      </c>
      <c r="J991" s="1">
        <f t="shared" ca="1" si="312"/>
        <v>3.4916864804687496E-2</v>
      </c>
      <c r="K991" s="1">
        <f t="shared" ca="1" si="313"/>
        <v>2.4893978762501951E-4</v>
      </c>
      <c r="L991" s="13">
        <f t="shared" ca="1" si="314"/>
        <v>140</v>
      </c>
      <c r="M991" s="7">
        <f t="shared" ca="1" si="315"/>
        <v>860</v>
      </c>
      <c r="N991" s="26">
        <f t="shared" ca="1" si="316"/>
        <v>4</v>
      </c>
      <c r="O991" s="44">
        <f t="shared" ca="1" si="317"/>
        <v>2.8910364854084887</v>
      </c>
      <c r="P991" s="44">
        <f t="shared" ca="1" si="318"/>
        <v>28.910364854084886</v>
      </c>
      <c r="Q991" s="44">
        <f t="shared" ca="1" si="319"/>
        <v>28.910364854084886</v>
      </c>
      <c r="R991" s="44">
        <f t="shared" ca="1" si="320"/>
        <v>2.8910364854084887</v>
      </c>
      <c r="S991" s="44">
        <f t="shared" ca="1" si="321"/>
        <v>2.8910364854084882</v>
      </c>
      <c r="T991" s="4">
        <f t="shared" ca="1" si="322"/>
        <v>7.1969400869377183E-4</v>
      </c>
      <c r="U991" s="120">
        <f t="shared" ca="1" si="323"/>
        <v>1600.6349838037554</v>
      </c>
      <c r="V991" s="4">
        <f t="shared" ca="1" si="324"/>
        <v>0.39846173293328341</v>
      </c>
      <c r="W991" s="13">
        <f t="shared" ca="1" si="325"/>
        <v>28194.075000000001</v>
      </c>
      <c r="X991" s="4">
        <f t="shared" ca="1" si="326"/>
        <v>7.0186270427838719</v>
      </c>
      <c r="Y991" s="4">
        <f t="shared" si="327"/>
        <v>0</v>
      </c>
      <c r="Z991" s="13">
        <f t="shared" ca="1" si="328"/>
        <v>28194.075000000001</v>
      </c>
      <c r="AA991" s="4">
        <f t="shared" ca="1" si="329"/>
        <v>7.0186270427838719</v>
      </c>
    </row>
    <row r="992" spans="1:27">
      <c r="A992">
        <v>3</v>
      </c>
      <c r="B992">
        <v>1</v>
      </c>
      <c r="C992">
        <f t="shared" ca="1" si="308"/>
        <v>8</v>
      </c>
      <c r="D992">
        <f t="shared" ca="1" si="309"/>
        <v>7</v>
      </c>
      <c r="E992">
        <f t="shared" ca="1" si="310"/>
        <v>3</v>
      </c>
      <c r="F992" s="110">
        <f t="shared" ca="1" si="311"/>
        <v>7.1294999999999996E-3</v>
      </c>
      <c r="G992">
        <v>0</v>
      </c>
      <c r="H992">
        <v>0</v>
      </c>
      <c r="I992">
        <v>6</v>
      </c>
      <c r="J992" s="1">
        <f t="shared" ca="1" si="312"/>
        <v>1.2864108085937513E-2</v>
      </c>
      <c r="K992" s="1">
        <f t="shared" ca="1" si="313"/>
        <v>9.1714658598691489E-5</v>
      </c>
      <c r="L992" s="13">
        <f t="shared" ca="1" si="314"/>
        <v>120</v>
      </c>
      <c r="M992" s="7">
        <f t="shared" ca="1" si="315"/>
        <v>880</v>
      </c>
      <c r="N992" s="26">
        <f t="shared" ca="1" si="316"/>
        <v>4</v>
      </c>
      <c r="O992" s="44">
        <f t="shared" ca="1" si="317"/>
        <v>2.8910364854084887</v>
      </c>
      <c r="P992" s="44">
        <f t="shared" ca="1" si="318"/>
        <v>28.910364854084886</v>
      </c>
      <c r="Q992" s="44">
        <f t="shared" ca="1" si="319"/>
        <v>28.910364854084886</v>
      </c>
      <c r="R992" s="44">
        <f t="shared" ca="1" si="320"/>
        <v>2.8910364854084887</v>
      </c>
      <c r="S992" s="44">
        <f t="shared" ca="1" si="321"/>
        <v>2.8910364854084882</v>
      </c>
      <c r="T992" s="4">
        <f t="shared" ca="1" si="322"/>
        <v>2.6515042425560045E-4</v>
      </c>
      <c r="U992" s="120">
        <f t="shared" ca="1" si="323"/>
        <v>1580.6349838037554</v>
      </c>
      <c r="V992" s="4">
        <f t="shared" ca="1" si="324"/>
        <v>0.14496739790870969</v>
      </c>
      <c r="W992" s="13">
        <f t="shared" ca="1" si="325"/>
        <v>24166.350000000002</v>
      </c>
      <c r="X992" s="4">
        <f t="shared" ca="1" si="326"/>
        <v>2.2164085398264883</v>
      </c>
      <c r="Y992" s="4">
        <f t="shared" si="327"/>
        <v>0</v>
      </c>
      <c r="Z992" s="13">
        <f t="shared" ca="1" si="328"/>
        <v>24166.350000000002</v>
      </c>
      <c r="AA992" s="4">
        <f t="shared" ca="1" si="329"/>
        <v>2.2164085398264883</v>
      </c>
    </row>
    <row r="993" spans="1:27">
      <c r="A993">
        <v>3</v>
      </c>
      <c r="B993">
        <v>1</v>
      </c>
      <c r="C993">
        <f t="shared" ca="1" si="308"/>
        <v>8</v>
      </c>
      <c r="D993">
        <f t="shared" ca="1" si="309"/>
        <v>7</v>
      </c>
      <c r="E993">
        <f t="shared" ca="1" si="310"/>
        <v>3</v>
      </c>
      <c r="F993" s="110">
        <f t="shared" ca="1" si="311"/>
        <v>7.1294999999999996E-3</v>
      </c>
      <c r="G993">
        <v>0</v>
      </c>
      <c r="H993">
        <v>0</v>
      </c>
      <c r="I993">
        <v>5</v>
      </c>
      <c r="J993" s="1">
        <f t="shared" ca="1" si="312"/>
        <v>2.0311749609375038E-3</v>
      </c>
      <c r="K993" s="1">
        <f t="shared" ca="1" si="313"/>
        <v>1.4481261884003933E-5</v>
      </c>
      <c r="L993" s="13">
        <f t="shared" ca="1" si="314"/>
        <v>100</v>
      </c>
      <c r="M993" s="7">
        <f t="shared" ca="1" si="315"/>
        <v>900</v>
      </c>
      <c r="N993" s="26">
        <f t="shared" ca="1" si="316"/>
        <v>4</v>
      </c>
      <c r="O993" s="44">
        <f t="shared" ca="1" si="317"/>
        <v>2.8910364854084887</v>
      </c>
      <c r="P993" s="44">
        <f t="shared" ca="1" si="318"/>
        <v>28.910364854084886</v>
      </c>
      <c r="Q993" s="44">
        <f t="shared" ca="1" si="319"/>
        <v>28.910364854084886</v>
      </c>
      <c r="R993" s="44">
        <f t="shared" ca="1" si="320"/>
        <v>2.8910364854084887</v>
      </c>
      <c r="S993" s="44">
        <f t="shared" ca="1" si="321"/>
        <v>2.8910364854084882</v>
      </c>
      <c r="T993" s="4">
        <f t="shared" ca="1" si="322"/>
        <v>4.1865856461410635E-5</v>
      </c>
      <c r="U993" s="120">
        <f t="shared" ca="1" si="323"/>
        <v>1560.6349838037554</v>
      </c>
      <c r="V993" s="4">
        <f t="shared" ca="1" si="324"/>
        <v>2.2599963905800418E-2</v>
      </c>
      <c r="W993" s="13">
        <f t="shared" ca="1" si="325"/>
        <v>20138.625</v>
      </c>
      <c r="X993" s="4">
        <f t="shared" ca="1" si="326"/>
        <v>0.29163270260874868</v>
      </c>
      <c r="Y993" s="4">
        <f t="shared" si="327"/>
        <v>0</v>
      </c>
      <c r="Z993" s="13">
        <f t="shared" ca="1" si="328"/>
        <v>20138.625</v>
      </c>
      <c r="AA993" s="4">
        <f t="shared" ca="1" si="329"/>
        <v>0.29163270260874868</v>
      </c>
    </row>
    <row r="994" spans="1:27">
      <c r="A994">
        <v>3</v>
      </c>
      <c r="B994">
        <v>1</v>
      </c>
      <c r="C994">
        <f t="shared" ca="1" si="308"/>
        <v>8</v>
      </c>
      <c r="D994">
        <f t="shared" ca="1" si="309"/>
        <v>7</v>
      </c>
      <c r="E994">
        <f t="shared" ca="1" si="310"/>
        <v>3</v>
      </c>
      <c r="F994" s="110">
        <f t="shared" ca="1" si="311"/>
        <v>7.1294999999999996E-3</v>
      </c>
      <c r="G994">
        <v>0</v>
      </c>
      <c r="H994">
        <v>0</v>
      </c>
      <c r="I994">
        <v>4</v>
      </c>
      <c r="J994" s="1">
        <f t="shared" ca="1" si="312"/>
        <v>1.7817324218750047E-4</v>
      </c>
      <c r="K994" s="1">
        <f t="shared" ca="1" si="313"/>
        <v>1.2702861301757846E-6</v>
      </c>
      <c r="L994" s="13">
        <f t="shared" ca="1" si="314"/>
        <v>80</v>
      </c>
      <c r="M994" s="7">
        <f t="shared" ca="1" si="315"/>
        <v>920</v>
      </c>
      <c r="N994" s="26">
        <f t="shared" ca="1" si="316"/>
        <v>4</v>
      </c>
      <c r="O994" s="44">
        <f t="shared" ca="1" si="317"/>
        <v>2.8910364854084887</v>
      </c>
      <c r="P994" s="44">
        <f t="shared" ca="1" si="318"/>
        <v>28.910364854084886</v>
      </c>
      <c r="Q994" s="44">
        <f t="shared" ca="1" si="319"/>
        <v>28.910364854084886</v>
      </c>
      <c r="R994" s="44">
        <f t="shared" ca="1" si="320"/>
        <v>2.8910364854084887</v>
      </c>
      <c r="S994" s="44">
        <f t="shared" ca="1" si="321"/>
        <v>2.8910364854084882</v>
      </c>
      <c r="T994" s="4">
        <f t="shared" ca="1" si="322"/>
        <v>3.6724435492465494E-6</v>
      </c>
      <c r="U994" s="120">
        <f t="shared" ca="1" si="323"/>
        <v>1540.6349838037554</v>
      </c>
      <c r="V994" s="4">
        <f t="shared" ca="1" si="324"/>
        <v>1.9570472515895048E-3</v>
      </c>
      <c r="W994" s="13">
        <f t="shared" ca="1" si="325"/>
        <v>16110.900000000001</v>
      </c>
      <c r="X994" s="4">
        <f t="shared" ca="1" si="326"/>
        <v>2.0465452814649048E-2</v>
      </c>
      <c r="Y994" s="4">
        <f t="shared" si="327"/>
        <v>0</v>
      </c>
      <c r="Z994" s="13">
        <f t="shared" ca="1" si="328"/>
        <v>16110.900000000001</v>
      </c>
      <c r="AA994" s="4">
        <f t="shared" ca="1" si="329"/>
        <v>2.0465452814649048E-2</v>
      </c>
    </row>
    <row r="995" spans="1:27">
      <c r="A995">
        <v>3</v>
      </c>
      <c r="B995">
        <v>1</v>
      </c>
      <c r="C995">
        <f t="shared" ca="1" si="308"/>
        <v>8</v>
      </c>
      <c r="D995">
        <f t="shared" ca="1" si="309"/>
        <v>7</v>
      </c>
      <c r="E995">
        <f t="shared" ca="1" si="310"/>
        <v>3</v>
      </c>
      <c r="F995" s="110">
        <f t="shared" ca="1" si="311"/>
        <v>7.1294999999999996E-3</v>
      </c>
      <c r="G995">
        <v>0</v>
      </c>
      <c r="H995">
        <v>0</v>
      </c>
      <c r="I995">
        <v>3</v>
      </c>
      <c r="J995" s="1">
        <f t="shared" ca="1" si="312"/>
        <v>9.3775390625000315E-6</v>
      </c>
      <c r="K995" s="1">
        <f t="shared" ca="1" si="313"/>
        <v>6.6857164746093977E-8</v>
      </c>
      <c r="L995" s="13">
        <f t="shared" ca="1" si="314"/>
        <v>60</v>
      </c>
      <c r="M995" s="7">
        <f t="shared" ca="1" si="315"/>
        <v>940</v>
      </c>
      <c r="N995" s="26">
        <f t="shared" ca="1" si="316"/>
        <v>4</v>
      </c>
      <c r="O995" s="44">
        <f t="shared" ca="1" si="317"/>
        <v>2.8910364854084887</v>
      </c>
      <c r="P995" s="44">
        <f t="shared" ca="1" si="318"/>
        <v>28.910364854084886</v>
      </c>
      <c r="Q995" s="44">
        <f t="shared" ca="1" si="319"/>
        <v>28.910364854084886</v>
      </c>
      <c r="R995" s="44">
        <f t="shared" ca="1" si="320"/>
        <v>2.8910364854084887</v>
      </c>
      <c r="S995" s="44">
        <f t="shared" ca="1" si="321"/>
        <v>2.8910364854084882</v>
      </c>
      <c r="T995" s="4">
        <f t="shared" ca="1" si="322"/>
        <v>1.9328650259192382E-7</v>
      </c>
      <c r="U995" s="120">
        <f t="shared" ca="1" si="323"/>
        <v>1520.6349838037554</v>
      </c>
      <c r="V995" s="4">
        <f t="shared" ca="1" si="324"/>
        <v>1.0166534363084162E-4</v>
      </c>
      <c r="W995" s="13">
        <f t="shared" ca="1" si="325"/>
        <v>12083.175000000001</v>
      </c>
      <c r="X995" s="4">
        <f t="shared" ca="1" si="326"/>
        <v>8.0784682163088418E-4</v>
      </c>
      <c r="Y995" s="4">
        <f t="shared" si="327"/>
        <v>0</v>
      </c>
      <c r="Z995" s="13">
        <f t="shared" ca="1" si="328"/>
        <v>12083.175000000001</v>
      </c>
      <c r="AA995" s="4">
        <f t="shared" ca="1" si="329"/>
        <v>8.0784682163088418E-4</v>
      </c>
    </row>
    <row r="996" spans="1:27">
      <c r="A996">
        <v>3</v>
      </c>
      <c r="B996">
        <v>1</v>
      </c>
      <c r="C996">
        <f t="shared" ca="1" si="308"/>
        <v>8</v>
      </c>
      <c r="D996">
        <f t="shared" ca="1" si="309"/>
        <v>7</v>
      </c>
      <c r="E996">
        <f t="shared" ca="1" si="310"/>
        <v>3</v>
      </c>
      <c r="F996" s="110">
        <f t="shared" ca="1" si="311"/>
        <v>7.1294999999999996E-3</v>
      </c>
      <c r="G996">
        <v>0</v>
      </c>
      <c r="H996">
        <v>0</v>
      </c>
      <c r="I996">
        <v>2</v>
      </c>
      <c r="J996" s="1">
        <f t="shared" ca="1" si="312"/>
        <v>2.961328125000013E-7</v>
      </c>
      <c r="K996" s="1">
        <f t="shared" ca="1" si="313"/>
        <v>2.111278886718759E-9</v>
      </c>
      <c r="L996" s="13">
        <f t="shared" ca="1" si="314"/>
        <v>40</v>
      </c>
      <c r="M996" s="7">
        <f t="shared" ca="1" si="315"/>
        <v>960</v>
      </c>
      <c r="N996" s="26">
        <f t="shared" ca="1" si="316"/>
        <v>4</v>
      </c>
      <c r="O996" s="44">
        <f t="shared" ca="1" si="317"/>
        <v>2.8910364854084887</v>
      </c>
      <c r="P996" s="44">
        <f t="shared" ca="1" si="318"/>
        <v>28.910364854084886</v>
      </c>
      <c r="Q996" s="44">
        <f t="shared" ca="1" si="319"/>
        <v>28.910364854084886</v>
      </c>
      <c r="R996" s="44">
        <f t="shared" ca="1" si="320"/>
        <v>2.8910364854084887</v>
      </c>
      <c r="S996" s="44">
        <f t="shared" ca="1" si="321"/>
        <v>2.8910364854084882</v>
      </c>
      <c r="T996" s="4">
        <f t="shared" ca="1" si="322"/>
        <v>6.1037842923765466E-9</v>
      </c>
      <c r="U996" s="120">
        <f t="shared" ca="1" si="323"/>
        <v>1500.6349838037554</v>
      </c>
      <c r="V996" s="4">
        <f t="shared" ca="1" si="324"/>
        <v>3.1682589579764154E-6</v>
      </c>
      <c r="W996" s="13">
        <f t="shared" ca="1" si="325"/>
        <v>8055.4500000000007</v>
      </c>
      <c r="X996" s="4">
        <f t="shared" ca="1" si="326"/>
        <v>1.7007301508018627E-5</v>
      </c>
      <c r="Y996" s="4">
        <f t="shared" si="327"/>
        <v>0</v>
      </c>
      <c r="Z996" s="13">
        <f t="shared" ca="1" si="328"/>
        <v>8055.4500000000007</v>
      </c>
      <c r="AA996" s="4">
        <f t="shared" ca="1" si="329"/>
        <v>1.7007301508018627E-5</v>
      </c>
    </row>
    <row r="997" spans="1:27">
      <c r="A997">
        <v>3</v>
      </c>
      <c r="B997">
        <v>1</v>
      </c>
      <c r="C997">
        <f t="shared" ca="1" si="308"/>
        <v>8</v>
      </c>
      <c r="D997">
        <f t="shared" ca="1" si="309"/>
        <v>7</v>
      </c>
      <c r="E997">
        <f t="shared" ca="1" si="310"/>
        <v>3</v>
      </c>
      <c r="F997" s="110">
        <f t="shared" ca="1" si="311"/>
        <v>7.1294999999999996E-3</v>
      </c>
      <c r="G997">
        <v>0</v>
      </c>
      <c r="H997">
        <v>0</v>
      </c>
      <c r="I997">
        <v>1</v>
      </c>
      <c r="J997" s="1">
        <f t="shared" ca="1" si="312"/>
        <v>5.1953125000000272E-9</v>
      </c>
      <c r="K997" s="1">
        <f t="shared" ca="1" si="313"/>
        <v>3.703998046875019E-11</v>
      </c>
      <c r="L997" s="13">
        <f t="shared" ca="1" si="314"/>
        <v>20</v>
      </c>
      <c r="M997" s="7">
        <f t="shared" ca="1" si="315"/>
        <v>980</v>
      </c>
      <c r="N997" s="26">
        <f t="shared" ca="1" si="316"/>
        <v>4</v>
      </c>
      <c r="O997" s="44">
        <f t="shared" ca="1" si="317"/>
        <v>2.8910364854084887</v>
      </c>
      <c r="P997" s="44">
        <f t="shared" ca="1" si="318"/>
        <v>28.910364854084886</v>
      </c>
      <c r="Q997" s="44">
        <f t="shared" ca="1" si="319"/>
        <v>28.910364854084886</v>
      </c>
      <c r="R997" s="44">
        <f t="shared" ca="1" si="320"/>
        <v>2.8910364854084887</v>
      </c>
      <c r="S997" s="44">
        <f t="shared" ca="1" si="321"/>
        <v>2.8910364854084882</v>
      </c>
      <c r="T997" s="4">
        <f t="shared" ca="1" si="322"/>
        <v>1.0708393495397459E-10</v>
      </c>
      <c r="U997" s="120">
        <f t="shared" ca="1" si="323"/>
        <v>1480.6349838037554</v>
      </c>
      <c r="V997" s="4">
        <f t="shared" ca="1" si="324"/>
        <v>5.4842690881439357E-8</v>
      </c>
      <c r="W997" s="13">
        <f t="shared" ca="1" si="325"/>
        <v>4027.7250000000004</v>
      </c>
      <c r="X997" s="4">
        <f t="shared" ca="1" si="326"/>
        <v>1.4918685533349688E-7</v>
      </c>
      <c r="Y997" s="4">
        <f t="shared" si="327"/>
        <v>0</v>
      </c>
      <c r="Z997" s="13">
        <f t="shared" ca="1" si="328"/>
        <v>4027.7250000000004</v>
      </c>
      <c r="AA997" s="4">
        <f t="shared" ca="1" si="329"/>
        <v>1.4918685533349688E-7</v>
      </c>
    </row>
    <row r="998" spans="1:27">
      <c r="A998">
        <v>3</v>
      </c>
      <c r="B998">
        <v>1</v>
      </c>
      <c r="C998">
        <f t="shared" ca="1" si="308"/>
        <v>8</v>
      </c>
      <c r="D998">
        <f t="shared" ca="1" si="309"/>
        <v>7</v>
      </c>
      <c r="E998">
        <f t="shared" ca="1" si="310"/>
        <v>3</v>
      </c>
      <c r="F998" s="110">
        <f t="shared" ca="1" si="311"/>
        <v>7.1294999999999996E-3</v>
      </c>
      <c r="G998">
        <v>0</v>
      </c>
      <c r="H998">
        <v>0</v>
      </c>
      <c r="I998">
        <v>0</v>
      </c>
      <c r="J998" s="1">
        <f t="shared" ca="1" si="312"/>
        <v>3.9062500000000246E-11</v>
      </c>
      <c r="K998" s="1">
        <f t="shared" ca="1" si="313"/>
        <v>2.7849609375000176E-13</v>
      </c>
      <c r="L998" s="13">
        <f t="shared" ca="1" si="314"/>
        <v>0</v>
      </c>
      <c r="M998" s="7">
        <f t="shared" ca="1" si="315"/>
        <v>1000</v>
      </c>
      <c r="N998" s="26">
        <f t="shared" ca="1" si="316"/>
        <v>4</v>
      </c>
      <c r="O998" s="44">
        <f t="shared" ca="1" si="317"/>
        <v>2.8910364854084887</v>
      </c>
      <c r="P998" s="44">
        <f t="shared" ca="1" si="318"/>
        <v>28.910364854084886</v>
      </c>
      <c r="Q998" s="44">
        <f t="shared" ca="1" si="319"/>
        <v>28.910364854084886</v>
      </c>
      <c r="R998" s="44">
        <f t="shared" ca="1" si="320"/>
        <v>2.8910364854084887</v>
      </c>
      <c r="S998" s="44">
        <f t="shared" ca="1" si="321"/>
        <v>2.8910364854084882</v>
      </c>
      <c r="T998" s="4">
        <f t="shared" ca="1" si="322"/>
        <v>8.051423680749979E-13</v>
      </c>
      <c r="U998" s="120">
        <f t="shared" ca="1" si="323"/>
        <v>1460.6349838037554</v>
      </c>
      <c r="V998" s="4">
        <f t="shared" ca="1" si="324"/>
        <v>4.0678113738394296E-10</v>
      </c>
      <c r="W998" s="13">
        <f t="shared" ca="1" si="325"/>
        <v>0</v>
      </c>
      <c r="X998" s="4">
        <f t="shared" ca="1" si="326"/>
        <v>0</v>
      </c>
      <c r="Y998" s="4">
        <f t="shared" si="327"/>
        <v>0</v>
      </c>
      <c r="Z998" s="13">
        <f t="shared" ca="1" si="328"/>
        <v>0</v>
      </c>
      <c r="AA998" s="4">
        <f t="shared" ca="1" si="329"/>
        <v>0</v>
      </c>
    </row>
    <row r="999" spans="1:27">
      <c r="A999">
        <v>3</v>
      </c>
      <c r="B999">
        <v>2</v>
      </c>
      <c r="C999">
        <f t="shared" ref="C999:C1062" ca="1" si="330">MIN(8, 1+$B$543+$B$542+A999+B999)</f>
        <v>8</v>
      </c>
      <c r="D999">
        <f t="shared" ref="D999:D1062" ca="1" si="331">C999-(1+$B$543)</f>
        <v>7</v>
      </c>
      <c r="E999">
        <f t="shared" ref="E999:E1062" ca="1" si="332">MIN(A999, C999-(1+$B$543+$B$542))</f>
        <v>3</v>
      </c>
      <c r="F999" s="110">
        <f t="shared" ref="F999:F1062" ca="1" si="333">IF(A999=3, Set2QA, IF(A999=2, (1-Set2QA)*Set2TA + (1-Set2QA)*(1-Set2TA)*(1-Set2DA)*Set2AM3*Set2AM33, IF(A999=1, (1-Set2QA)*(1-Set2TA)*Set2DA + (1-Set2QA)*(1-Set2TA)*(1-Set2DA)*Set2AM3*Set2AM32, (1-Set2QA)*(1-Set2TA)*(1-Set2DA)*(1-Set2AM3)))) * IF($B$542+$B$543&gt;0, IF(B999=3, Set2QA, IF(B999=2, (1-Set2QA)*Set2TA, IF(B999=1, (1-Set2QA)*(1-Set2TA)*Set2DA, (1-Set2QA)*(1-Set2TA)*(1-Set2DA)))), IF(B999=0, 1, 0))</f>
        <v>5.8199999999999994E-4</v>
      </c>
      <c r="G999">
        <v>1</v>
      </c>
      <c r="H999">
        <v>1</v>
      </c>
      <c r="I999">
        <v>7</v>
      </c>
      <c r="J999" s="1">
        <f t="shared" ref="J999:J1062" ca="1" si="334">POWER(95%,G999)*POWER(5%, 1-G999) * IF($B$543=0, IF(H999=0, 1, 0), POWER(Set2WSHitRate,H999)*POWER(1-Set2WSHitRate, 1-H999)) * IF(I999&lt;=D999, POWER(Set2WSHitRate, I999)*POWER(1-Set2WSHitRate, D999-I999)*COMBIN(D999,I999), 0)</f>
        <v>0</v>
      </c>
      <c r="K999" s="1">
        <f t="shared" ref="K999:K1062" ca="1" si="335">F999*J999</f>
        <v>0</v>
      </c>
      <c r="L999" s="13">
        <f t="shared" ref="L999:L1062" ca="1" si="336">MAX((G999+H999)*Set2WSTP + I999*$B$539, Set2SaveTP)</f>
        <v>648</v>
      </c>
      <c r="M999" s="7">
        <f t="shared" ref="M999:M1062" ca="1" si="337">MAX(Set2MinTP-(L999+Set2Regain), 0)</f>
        <v>352</v>
      </c>
      <c r="N999" s="26">
        <f t="shared" ref="N999:N1062" ca="1" si="338">CEILING(M999/Set2MeleeTP, 1)</f>
        <v>2</v>
      </c>
      <c r="O999" s="44">
        <f t="shared" ref="O999:O1062" ca="1" si="339">VLOOKUP(N999, AvgRoundsSet2, 2)</f>
        <v>1.5942243152407929</v>
      </c>
      <c r="P999" s="44">
        <f t="shared" ref="P999:P1062" ca="1" si="340">VLOOKUP(CEILING(MAX(M999-1, 0)/Set2MeleeTP, 1), AvgRoundsSet2, 2) + VLOOKUP(CEILING(MAX(M999-2, 0)/Set2MeleeTP, 1), AvgRoundsSet2, 2) + VLOOKUP(CEILING(MAX(M999-3, 0)/Set2MeleeTP, 1), AvgRoundsSet2, 2) + VLOOKUP(CEILING(MAX(M999-4, 0)/Set2MeleeTP, 1), AvgRoundsSet2, 2) + VLOOKUP(CEILING(MAX(M999-5, 0)/Set2MeleeTP, 1), AvgRoundsSet2, 2) + VLOOKUP(CEILING(MAX(M999-6, 0)/Set2MeleeTP, 1), AvgRoundsSet2, 2) + VLOOKUP(CEILING(MAX(M999-7, 0)/Set2MeleeTP, 1), AvgRoundsSet2, 2) + VLOOKUP(CEILING(MAX(M999-8, 0)/Set2MeleeTP, 1), AvgRoundsSet2, 2) + VLOOKUP(CEILING(MAX(M999-9, 0)/Set2MeleeTP, 1), AvgRoundsSet2, 2) + VLOOKUP(CEILING(MAX(M999-10, 0)/Set2MeleeTP, 1), AvgRoundsSet2, 2)</f>
        <v>15.942243152407926</v>
      </c>
      <c r="Q999" s="44">
        <f t="shared" ref="Q999:Q1062" ca="1" si="341">VLOOKUP(CEILING(MAX(M999-11, 0)/Set2MeleeTP, 1), AvgRoundsSet2, 2) + VLOOKUP(CEILING(MAX(M999-12, 0)/Set2MeleeTP, 1), AvgRoundsSet2, 2) + VLOOKUP(CEILING(MAX(M999-13, 0)/Set2MeleeTP, 1), AvgRoundsSet2, 2) + VLOOKUP(CEILING(MAX(M999-14, 0)/Set2MeleeTP, 1), AvgRoundsSet2, 2) + VLOOKUP(CEILING(MAX(M999-15, 0)/Set2MeleeTP, 1), AvgRoundsSet2, 2) + VLOOKUP(CEILING(MAX(M999-16, 0)/Set2MeleeTP, 1), AvgRoundsSet2, 2) + VLOOKUP(CEILING(MAX(M999-17, 0)/Set2MeleeTP, 1), AvgRoundsSet2, 2) + VLOOKUP(CEILING(MAX(M999-18, 0)/Set2MeleeTP, 1), AvgRoundsSet2, 2) + VLOOKUP(CEILING(MAX(M999-19, 0)/Set2MeleeTP, 1), AvgRoundsSet2, 2) + VLOOKUP(CEILING(MAX(M999-20, 0)/Set2MeleeTP, 1), AvgRoundsSet2, 2)</f>
        <v>15.942243152407926</v>
      </c>
      <c r="R999" s="44">
        <f t="shared" ref="R999:R1062" ca="1" si="342">(P999+Q999)/20</f>
        <v>1.5942243152407927</v>
      </c>
      <c r="S999" s="44">
        <f t="shared" ref="S999:S1062" ca="1" si="343">R999*Set2ConserveTP + O999*(1-Set2ConserveTP)</f>
        <v>1.5942243152407927</v>
      </c>
      <c r="T999" s="4">
        <f t="shared" ref="T999:T1062" ca="1" si="344">K999*S999</f>
        <v>0</v>
      </c>
      <c r="U999" s="120">
        <f t="shared" ref="U999:U1062" ca="1" si="345">MIN(L999+(S999+Set2OverTP)*AvgHitsPerRound2*Set2MeleeTP + Set2Regain + 10.5*Set2ConserveTP, 3000)</f>
        <v>1550.3348669012169</v>
      </c>
      <c r="V999" s="4">
        <f t="shared" ref="V999:V1062" ca="1" si="346">U999*K999</f>
        <v>0</v>
      </c>
      <c r="W999" s="13">
        <f t="shared" ref="W999:W1062" ca="1" si="347">G999*$K$543*((1-$L$543)*$L$547 + $L$543*$M$547*$M$543)*Set2WSDmg + H999*$K$546*((1-$L$546)*$L$548 + $L$546*$M$548*$M$544) + I999*$K$544*((1-$L$544)*$L$547 + $L$544*$M$547*$M$544) + E999*$K$545*$L$545*$M$543</f>
        <v>32946.790500000003</v>
      </c>
      <c r="X999" s="4">
        <f t="shared" ref="X999:X1062" ca="1" si="348">K999*W999</f>
        <v>0</v>
      </c>
      <c r="Y999" s="4">
        <f t="shared" ref="Y999:Y1062" si="349">IF($B$545=1, (VLOOKUP(C999, IF($B$546=10%,Souleater10,Souleater12), 6, FALSE) * $B$547), 0)</f>
        <v>0</v>
      </c>
      <c r="Z999" s="13">
        <f t="shared" ca="1" si="328"/>
        <v>32946.790500000003</v>
      </c>
      <c r="AA999" s="4">
        <f t="shared" ca="1" si="329"/>
        <v>0</v>
      </c>
    </row>
    <row r="1000" spans="1:27">
      <c r="A1000">
        <v>3</v>
      </c>
      <c r="B1000">
        <v>2</v>
      </c>
      <c r="C1000">
        <f t="shared" ca="1" si="330"/>
        <v>8</v>
      </c>
      <c r="D1000">
        <f t="shared" ca="1" si="331"/>
        <v>7</v>
      </c>
      <c r="E1000">
        <f t="shared" ca="1" si="332"/>
        <v>3</v>
      </c>
      <c r="F1000" s="110">
        <f t="shared" ca="1" si="333"/>
        <v>5.8199999999999994E-4</v>
      </c>
      <c r="G1000">
        <v>1</v>
      </c>
      <c r="H1000">
        <v>1</v>
      </c>
      <c r="I1000">
        <v>6</v>
      </c>
      <c r="J1000" s="1">
        <f t="shared" ca="1" si="334"/>
        <v>0</v>
      </c>
      <c r="K1000" s="1">
        <f t="shared" ca="1" si="335"/>
        <v>0</v>
      </c>
      <c r="L1000" s="13">
        <f t="shared" ca="1" si="336"/>
        <v>628</v>
      </c>
      <c r="M1000" s="7">
        <f t="shared" ca="1" si="337"/>
        <v>372</v>
      </c>
      <c r="N1000" s="26">
        <f t="shared" ca="1" si="338"/>
        <v>2</v>
      </c>
      <c r="O1000" s="44">
        <f t="shared" ca="1" si="339"/>
        <v>1.5942243152407929</v>
      </c>
      <c r="P1000" s="44">
        <f t="shared" ca="1" si="340"/>
        <v>15.942243152407926</v>
      </c>
      <c r="Q1000" s="44">
        <f t="shared" ca="1" si="341"/>
        <v>15.942243152407926</v>
      </c>
      <c r="R1000" s="44">
        <f t="shared" ca="1" si="342"/>
        <v>1.5942243152407927</v>
      </c>
      <c r="S1000" s="44">
        <f t="shared" ca="1" si="343"/>
        <v>1.5942243152407927</v>
      </c>
      <c r="T1000" s="4">
        <f t="shared" ca="1" si="344"/>
        <v>0</v>
      </c>
      <c r="U1000" s="120">
        <f t="shared" ca="1" si="345"/>
        <v>1530.3348669012169</v>
      </c>
      <c r="V1000" s="4">
        <f t="shared" ca="1" si="346"/>
        <v>0</v>
      </c>
      <c r="W1000" s="13">
        <f t="shared" ca="1" si="347"/>
        <v>28919.065500000004</v>
      </c>
      <c r="X1000" s="4">
        <f t="shared" ca="1" si="348"/>
        <v>0</v>
      </c>
      <c r="Y1000" s="4">
        <f t="shared" si="349"/>
        <v>0</v>
      </c>
      <c r="Z1000" s="13">
        <f t="shared" ref="Z1000:Z1062" ca="1" si="350">Y1000+W1000</f>
        <v>28919.065500000004</v>
      </c>
      <c r="AA1000" s="4">
        <f t="shared" ref="AA1000:AA1062" ca="1" si="351">Z1000*K1000</f>
        <v>0</v>
      </c>
    </row>
    <row r="1001" spans="1:27">
      <c r="A1001">
        <v>3</v>
      </c>
      <c r="B1001">
        <v>2</v>
      </c>
      <c r="C1001">
        <f t="shared" ca="1" si="330"/>
        <v>8</v>
      </c>
      <c r="D1001">
        <f t="shared" ca="1" si="331"/>
        <v>7</v>
      </c>
      <c r="E1001">
        <f t="shared" ca="1" si="332"/>
        <v>3</v>
      </c>
      <c r="F1001" s="110">
        <f t="shared" ca="1" si="333"/>
        <v>5.8199999999999994E-4</v>
      </c>
      <c r="G1001">
        <v>1</v>
      </c>
      <c r="H1001">
        <v>1</v>
      </c>
      <c r="I1001">
        <v>5</v>
      </c>
      <c r="J1001" s="1">
        <f t="shared" ca="1" si="334"/>
        <v>0</v>
      </c>
      <c r="K1001" s="1">
        <f t="shared" ca="1" si="335"/>
        <v>0</v>
      </c>
      <c r="L1001" s="13">
        <f t="shared" ca="1" si="336"/>
        <v>608</v>
      </c>
      <c r="M1001" s="7">
        <f t="shared" ca="1" si="337"/>
        <v>392</v>
      </c>
      <c r="N1001" s="26">
        <f t="shared" ca="1" si="338"/>
        <v>2</v>
      </c>
      <c r="O1001" s="44">
        <f t="shared" ca="1" si="339"/>
        <v>1.5942243152407929</v>
      </c>
      <c r="P1001" s="44">
        <f t="shared" ca="1" si="340"/>
        <v>15.942243152407926</v>
      </c>
      <c r="Q1001" s="44">
        <f t="shared" ca="1" si="341"/>
        <v>15.942243152407926</v>
      </c>
      <c r="R1001" s="44">
        <f t="shared" ca="1" si="342"/>
        <v>1.5942243152407927</v>
      </c>
      <c r="S1001" s="44">
        <f t="shared" ca="1" si="343"/>
        <v>1.5942243152407927</v>
      </c>
      <c r="T1001" s="4">
        <f t="shared" ca="1" si="344"/>
        <v>0</v>
      </c>
      <c r="U1001" s="120">
        <f t="shared" ca="1" si="345"/>
        <v>1510.3348669012169</v>
      </c>
      <c r="V1001" s="4">
        <f t="shared" ca="1" si="346"/>
        <v>0</v>
      </c>
      <c r="W1001" s="13">
        <f t="shared" ca="1" si="347"/>
        <v>24891.340500000002</v>
      </c>
      <c r="X1001" s="4">
        <f t="shared" ca="1" si="348"/>
        <v>0</v>
      </c>
      <c r="Y1001" s="4">
        <f t="shared" si="349"/>
        <v>0</v>
      </c>
      <c r="Z1001" s="13">
        <f t="shared" ca="1" si="350"/>
        <v>24891.340500000002</v>
      </c>
      <c r="AA1001" s="4">
        <f t="shared" ca="1" si="351"/>
        <v>0</v>
      </c>
    </row>
    <row r="1002" spans="1:27">
      <c r="A1002">
        <v>3</v>
      </c>
      <c r="B1002">
        <v>2</v>
      </c>
      <c r="C1002">
        <f t="shared" ca="1" si="330"/>
        <v>8</v>
      </c>
      <c r="D1002">
        <f t="shared" ca="1" si="331"/>
        <v>7</v>
      </c>
      <c r="E1002">
        <f t="shared" ca="1" si="332"/>
        <v>3</v>
      </c>
      <c r="F1002" s="110">
        <f t="shared" ca="1" si="333"/>
        <v>5.8199999999999994E-4</v>
      </c>
      <c r="G1002">
        <v>1</v>
      </c>
      <c r="H1002">
        <v>1</v>
      </c>
      <c r="I1002">
        <v>4</v>
      </c>
      <c r="J1002" s="1">
        <f t="shared" ca="1" si="334"/>
        <v>0</v>
      </c>
      <c r="K1002" s="1">
        <f t="shared" ca="1" si="335"/>
        <v>0</v>
      </c>
      <c r="L1002" s="13">
        <f t="shared" ca="1" si="336"/>
        <v>588</v>
      </c>
      <c r="M1002" s="7">
        <f t="shared" ca="1" si="337"/>
        <v>412</v>
      </c>
      <c r="N1002" s="26">
        <f t="shared" ca="1" si="338"/>
        <v>2</v>
      </c>
      <c r="O1002" s="44">
        <f t="shared" ca="1" si="339"/>
        <v>1.5942243152407929</v>
      </c>
      <c r="P1002" s="44">
        <f t="shared" ca="1" si="340"/>
        <v>15.942243152407926</v>
      </c>
      <c r="Q1002" s="44">
        <f t="shared" ca="1" si="341"/>
        <v>15.942243152407926</v>
      </c>
      <c r="R1002" s="44">
        <f t="shared" ca="1" si="342"/>
        <v>1.5942243152407927</v>
      </c>
      <c r="S1002" s="44">
        <f t="shared" ca="1" si="343"/>
        <v>1.5942243152407927</v>
      </c>
      <c r="T1002" s="4">
        <f t="shared" ca="1" si="344"/>
        <v>0</v>
      </c>
      <c r="U1002" s="120">
        <f t="shared" ca="1" si="345"/>
        <v>1490.3348669012169</v>
      </c>
      <c r="V1002" s="4">
        <f t="shared" ca="1" si="346"/>
        <v>0</v>
      </c>
      <c r="W1002" s="13">
        <f t="shared" ca="1" si="347"/>
        <v>20863.615500000004</v>
      </c>
      <c r="X1002" s="4">
        <f t="shared" ca="1" si="348"/>
        <v>0</v>
      </c>
      <c r="Y1002" s="4">
        <f t="shared" si="349"/>
        <v>0</v>
      </c>
      <c r="Z1002" s="13">
        <f t="shared" ca="1" si="350"/>
        <v>20863.615500000004</v>
      </c>
      <c r="AA1002" s="4">
        <f t="shared" ca="1" si="351"/>
        <v>0</v>
      </c>
    </row>
    <row r="1003" spans="1:27">
      <c r="A1003">
        <v>3</v>
      </c>
      <c r="B1003">
        <v>2</v>
      </c>
      <c r="C1003">
        <f t="shared" ca="1" si="330"/>
        <v>8</v>
      </c>
      <c r="D1003">
        <f t="shared" ca="1" si="331"/>
        <v>7</v>
      </c>
      <c r="E1003">
        <f t="shared" ca="1" si="332"/>
        <v>3</v>
      </c>
      <c r="F1003" s="110">
        <f t="shared" ca="1" si="333"/>
        <v>5.8199999999999994E-4</v>
      </c>
      <c r="G1003">
        <v>1</v>
      </c>
      <c r="H1003">
        <v>1</v>
      </c>
      <c r="I1003">
        <v>3</v>
      </c>
      <c r="J1003" s="1">
        <f t="shared" ca="1" si="334"/>
        <v>0</v>
      </c>
      <c r="K1003" s="1">
        <f t="shared" ca="1" si="335"/>
        <v>0</v>
      </c>
      <c r="L1003" s="13">
        <f t="shared" ca="1" si="336"/>
        <v>568</v>
      </c>
      <c r="M1003" s="7">
        <f t="shared" ca="1" si="337"/>
        <v>432</v>
      </c>
      <c r="N1003" s="26">
        <f t="shared" ca="1" si="338"/>
        <v>2</v>
      </c>
      <c r="O1003" s="44">
        <f t="shared" ca="1" si="339"/>
        <v>1.5942243152407929</v>
      </c>
      <c r="P1003" s="44">
        <f t="shared" ca="1" si="340"/>
        <v>15.942243152407926</v>
      </c>
      <c r="Q1003" s="44">
        <f t="shared" ca="1" si="341"/>
        <v>15.942243152407926</v>
      </c>
      <c r="R1003" s="44">
        <f t="shared" ca="1" si="342"/>
        <v>1.5942243152407927</v>
      </c>
      <c r="S1003" s="44">
        <f t="shared" ca="1" si="343"/>
        <v>1.5942243152407927</v>
      </c>
      <c r="T1003" s="4">
        <f t="shared" ca="1" si="344"/>
        <v>0</v>
      </c>
      <c r="U1003" s="120">
        <f t="shared" ca="1" si="345"/>
        <v>1470.3348669012169</v>
      </c>
      <c r="V1003" s="4">
        <f t="shared" ca="1" si="346"/>
        <v>0</v>
      </c>
      <c r="W1003" s="13">
        <f t="shared" ca="1" si="347"/>
        <v>16835.890500000001</v>
      </c>
      <c r="X1003" s="4">
        <f t="shared" ca="1" si="348"/>
        <v>0</v>
      </c>
      <c r="Y1003" s="4">
        <f t="shared" si="349"/>
        <v>0</v>
      </c>
      <c r="Z1003" s="13">
        <f t="shared" ca="1" si="350"/>
        <v>16835.890500000001</v>
      </c>
      <c r="AA1003" s="4">
        <f t="shared" ca="1" si="351"/>
        <v>0</v>
      </c>
    </row>
    <row r="1004" spans="1:27">
      <c r="A1004">
        <v>3</v>
      </c>
      <c r="B1004">
        <v>2</v>
      </c>
      <c r="C1004">
        <f t="shared" ca="1" si="330"/>
        <v>8</v>
      </c>
      <c r="D1004">
        <f t="shared" ca="1" si="331"/>
        <v>7</v>
      </c>
      <c r="E1004">
        <f t="shared" ca="1" si="332"/>
        <v>3</v>
      </c>
      <c r="F1004" s="110">
        <f t="shared" ca="1" si="333"/>
        <v>5.8199999999999994E-4</v>
      </c>
      <c r="G1004">
        <v>1</v>
      </c>
      <c r="H1004">
        <v>1</v>
      </c>
      <c r="I1004">
        <v>2</v>
      </c>
      <c r="J1004" s="1">
        <f t="shared" ca="1" si="334"/>
        <v>0</v>
      </c>
      <c r="K1004" s="1">
        <f t="shared" ca="1" si="335"/>
        <v>0</v>
      </c>
      <c r="L1004" s="13">
        <f t="shared" ca="1" si="336"/>
        <v>548</v>
      </c>
      <c r="M1004" s="7">
        <f t="shared" ca="1" si="337"/>
        <v>452</v>
      </c>
      <c r="N1004" s="26">
        <f t="shared" ca="1" si="338"/>
        <v>2</v>
      </c>
      <c r="O1004" s="44">
        <f t="shared" ca="1" si="339"/>
        <v>1.5942243152407929</v>
      </c>
      <c r="P1004" s="44">
        <f t="shared" ca="1" si="340"/>
        <v>15.942243152407926</v>
      </c>
      <c r="Q1004" s="44">
        <f t="shared" ca="1" si="341"/>
        <v>15.942243152407926</v>
      </c>
      <c r="R1004" s="44">
        <f t="shared" ca="1" si="342"/>
        <v>1.5942243152407927</v>
      </c>
      <c r="S1004" s="44">
        <f t="shared" ca="1" si="343"/>
        <v>1.5942243152407927</v>
      </c>
      <c r="T1004" s="4">
        <f t="shared" ca="1" si="344"/>
        <v>0</v>
      </c>
      <c r="U1004" s="120">
        <f t="shared" ca="1" si="345"/>
        <v>1450.3348669012169</v>
      </c>
      <c r="V1004" s="4">
        <f t="shared" ca="1" si="346"/>
        <v>0</v>
      </c>
      <c r="W1004" s="13">
        <f t="shared" ca="1" si="347"/>
        <v>12808.165500000003</v>
      </c>
      <c r="X1004" s="4">
        <f t="shared" ca="1" si="348"/>
        <v>0</v>
      </c>
      <c r="Y1004" s="4">
        <f t="shared" si="349"/>
        <v>0</v>
      </c>
      <c r="Z1004" s="13">
        <f t="shared" ca="1" si="350"/>
        <v>12808.165500000003</v>
      </c>
      <c r="AA1004" s="4">
        <f t="shared" ca="1" si="351"/>
        <v>0</v>
      </c>
    </row>
    <row r="1005" spans="1:27">
      <c r="A1005">
        <v>3</v>
      </c>
      <c r="B1005">
        <v>2</v>
      </c>
      <c r="C1005">
        <f t="shared" ca="1" si="330"/>
        <v>8</v>
      </c>
      <c r="D1005">
        <f t="shared" ca="1" si="331"/>
        <v>7</v>
      </c>
      <c r="E1005">
        <f t="shared" ca="1" si="332"/>
        <v>3</v>
      </c>
      <c r="F1005" s="110">
        <f t="shared" ca="1" si="333"/>
        <v>5.8199999999999994E-4</v>
      </c>
      <c r="G1005">
        <v>1</v>
      </c>
      <c r="H1005">
        <v>1</v>
      </c>
      <c r="I1005">
        <v>1</v>
      </c>
      <c r="J1005" s="1">
        <f t="shared" ca="1" si="334"/>
        <v>0</v>
      </c>
      <c r="K1005" s="1">
        <f t="shared" ca="1" si="335"/>
        <v>0</v>
      </c>
      <c r="L1005" s="13">
        <f t="shared" ca="1" si="336"/>
        <v>528</v>
      </c>
      <c r="M1005" s="7">
        <f t="shared" ca="1" si="337"/>
        <v>472</v>
      </c>
      <c r="N1005" s="26">
        <f t="shared" ca="1" si="338"/>
        <v>2</v>
      </c>
      <c r="O1005" s="44">
        <f t="shared" ca="1" si="339"/>
        <v>1.5942243152407929</v>
      </c>
      <c r="P1005" s="44">
        <f t="shared" ca="1" si="340"/>
        <v>15.942243152407926</v>
      </c>
      <c r="Q1005" s="44">
        <f t="shared" ca="1" si="341"/>
        <v>15.942243152407926</v>
      </c>
      <c r="R1005" s="44">
        <f t="shared" ca="1" si="342"/>
        <v>1.5942243152407927</v>
      </c>
      <c r="S1005" s="44">
        <f t="shared" ca="1" si="343"/>
        <v>1.5942243152407927</v>
      </c>
      <c r="T1005" s="4">
        <f t="shared" ca="1" si="344"/>
        <v>0</v>
      </c>
      <c r="U1005" s="120">
        <f t="shared" ca="1" si="345"/>
        <v>1430.3348669012169</v>
      </c>
      <c r="V1005" s="4">
        <f t="shared" ca="1" si="346"/>
        <v>0</v>
      </c>
      <c r="W1005" s="13">
        <f t="shared" ca="1" si="347"/>
        <v>8780.4405000000006</v>
      </c>
      <c r="X1005" s="4">
        <f t="shared" ca="1" si="348"/>
        <v>0</v>
      </c>
      <c r="Y1005" s="4">
        <f t="shared" si="349"/>
        <v>0</v>
      </c>
      <c r="Z1005" s="13">
        <f t="shared" ca="1" si="350"/>
        <v>8780.4405000000006</v>
      </c>
      <c r="AA1005" s="4">
        <f t="shared" ca="1" si="351"/>
        <v>0</v>
      </c>
    </row>
    <row r="1006" spans="1:27">
      <c r="A1006">
        <v>3</v>
      </c>
      <c r="B1006">
        <v>2</v>
      </c>
      <c r="C1006">
        <f t="shared" ca="1" si="330"/>
        <v>8</v>
      </c>
      <c r="D1006">
        <f t="shared" ca="1" si="331"/>
        <v>7</v>
      </c>
      <c r="E1006">
        <f t="shared" ca="1" si="332"/>
        <v>3</v>
      </c>
      <c r="F1006" s="110">
        <f t="shared" ca="1" si="333"/>
        <v>5.8199999999999994E-4</v>
      </c>
      <c r="G1006">
        <v>1</v>
      </c>
      <c r="H1006">
        <v>1</v>
      </c>
      <c r="I1006">
        <v>0</v>
      </c>
      <c r="J1006" s="1">
        <f t="shared" ca="1" si="334"/>
        <v>0</v>
      </c>
      <c r="K1006" s="1">
        <f t="shared" ca="1" si="335"/>
        <v>0</v>
      </c>
      <c r="L1006" s="13">
        <f t="shared" ca="1" si="336"/>
        <v>508</v>
      </c>
      <c r="M1006" s="7">
        <f t="shared" ca="1" si="337"/>
        <v>492</v>
      </c>
      <c r="N1006" s="26">
        <f t="shared" ca="1" si="338"/>
        <v>2</v>
      </c>
      <c r="O1006" s="44">
        <f t="shared" ca="1" si="339"/>
        <v>1.5942243152407929</v>
      </c>
      <c r="P1006" s="44">
        <f t="shared" ca="1" si="340"/>
        <v>15.942243152407926</v>
      </c>
      <c r="Q1006" s="44">
        <f t="shared" ca="1" si="341"/>
        <v>15.942243152407926</v>
      </c>
      <c r="R1006" s="44">
        <f t="shared" ca="1" si="342"/>
        <v>1.5942243152407927</v>
      </c>
      <c r="S1006" s="44">
        <f t="shared" ca="1" si="343"/>
        <v>1.5942243152407927</v>
      </c>
      <c r="T1006" s="4">
        <f t="shared" ca="1" si="344"/>
        <v>0</v>
      </c>
      <c r="U1006" s="120">
        <f t="shared" ca="1" si="345"/>
        <v>1410.3348669012169</v>
      </c>
      <c r="V1006" s="4">
        <f t="shared" ca="1" si="346"/>
        <v>0</v>
      </c>
      <c r="W1006" s="13">
        <f t="shared" ca="1" si="347"/>
        <v>4752.7155000000012</v>
      </c>
      <c r="X1006" s="4">
        <f t="shared" ca="1" si="348"/>
        <v>0</v>
      </c>
      <c r="Y1006" s="4">
        <f t="shared" si="349"/>
        <v>0</v>
      </c>
      <c r="Z1006" s="13">
        <f t="shared" ca="1" si="350"/>
        <v>4752.7155000000012</v>
      </c>
      <c r="AA1006" s="4">
        <f t="shared" ca="1" si="351"/>
        <v>0</v>
      </c>
    </row>
    <row r="1007" spans="1:27">
      <c r="A1007">
        <v>3</v>
      </c>
      <c r="B1007">
        <v>2</v>
      </c>
      <c r="C1007">
        <f t="shared" ca="1" si="330"/>
        <v>8</v>
      </c>
      <c r="D1007">
        <f t="shared" ca="1" si="331"/>
        <v>7</v>
      </c>
      <c r="E1007">
        <f t="shared" ca="1" si="332"/>
        <v>3</v>
      </c>
      <c r="F1007" s="110">
        <f t="shared" ca="1" si="333"/>
        <v>5.8199999999999994E-4</v>
      </c>
      <c r="G1007">
        <v>1</v>
      </c>
      <c r="H1007">
        <v>0</v>
      </c>
      <c r="I1007">
        <v>7</v>
      </c>
      <c r="J1007" s="1">
        <f t="shared" ca="1" si="334"/>
        <v>0.66342043128906247</v>
      </c>
      <c r="K1007" s="1">
        <f t="shared" ca="1" si="335"/>
        <v>3.8611069101023433E-4</v>
      </c>
      <c r="L1007" s="13">
        <f t="shared" ca="1" si="336"/>
        <v>394</v>
      </c>
      <c r="M1007" s="7">
        <f t="shared" ca="1" si="337"/>
        <v>606</v>
      </c>
      <c r="N1007" s="26">
        <f t="shared" ca="1" si="338"/>
        <v>3</v>
      </c>
      <c r="O1007" s="44">
        <f t="shared" ca="1" si="339"/>
        <v>2.2641455309069398</v>
      </c>
      <c r="P1007" s="44">
        <f t="shared" ca="1" si="340"/>
        <v>22.641455309069404</v>
      </c>
      <c r="Q1007" s="44">
        <f t="shared" ca="1" si="341"/>
        <v>22.641455309069404</v>
      </c>
      <c r="R1007" s="44">
        <f t="shared" ca="1" si="342"/>
        <v>2.2641455309069403</v>
      </c>
      <c r="S1007" s="44">
        <f t="shared" ca="1" si="343"/>
        <v>2.2641455309069398</v>
      </c>
      <c r="T1007" s="4">
        <f t="shared" ca="1" si="344"/>
        <v>8.7421079548621243E-4</v>
      </c>
      <c r="U1007" s="120">
        <f t="shared" ca="1" si="345"/>
        <v>1584.7475619899244</v>
      </c>
      <c r="V1007" s="4">
        <f t="shared" ca="1" si="346"/>
        <v>0.61188797623671387</v>
      </c>
      <c r="W1007" s="13">
        <f t="shared" ca="1" si="347"/>
        <v>32946.790500000003</v>
      </c>
      <c r="X1007" s="4">
        <f t="shared" ca="1" si="348"/>
        <v>12.721108046524424</v>
      </c>
      <c r="Y1007" s="4">
        <f t="shared" si="349"/>
        <v>0</v>
      </c>
      <c r="Z1007" s="13">
        <f t="shared" ca="1" si="350"/>
        <v>32946.790500000003</v>
      </c>
      <c r="AA1007" s="4">
        <f t="shared" ca="1" si="351"/>
        <v>12.721108046524424</v>
      </c>
    </row>
    <row r="1008" spans="1:27">
      <c r="A1008">
        <v>3</v>
      </c>
      <c r="B1008">
        <v>2</v>
      </c>
      <c r="C1008">
        <f t="shared" ca="1" si="330"/>
        <v>8</v>
      </c>
      <c r="D1008">
        <f t="shared" ca="1" si="331"/>
        <v>7</v>
      </c>
      <c r="E1008">
        <f t="shared" ca="1" si="332"/>
        <v>3</v>
      </c>
      <c r="F1008" s="110">
        <f t="shared" ca="1" si="333"/>
        <v>5.8199999999999994E-4</v>
      </c>
      <c r="G1008">
        <v>1</v>
      </c>
      <c r="H1008">
        <v>0</v>
      </c>
      <c r="I1008">
        <v>6</v>
      </c>
      <c r="J1008" s="1">
        <f t="shared" ca="1" si="334"/>
        <v>0.24441805363281272</v>
      </c>
      <c r="K1008" s="1">
        <f t="shared" ca="1" si="335"/>
        <v>1.4225130721429697E-4</v>
      </c>
      <c r="L1008" s="13">
        <f t="shared" ca="1" si="336"/>
        <v>374</v>
      </c>
      <c r="M1008" s="7">
        <f t="shared" ca="1" si="337"/>
        <v>626</v>
      </c>
      <c r="N1008" s="26">
        <f t="shared" ca="1" si="338"/>
        <v>3</v>
      </c>
      <c r="O1008" s="44">
        <f t="shared" ca="1" si="339"/>
        <v>2.2641455309069398</v>
      </c>
      <c r="P1008" s="44">
        <f t="shared" ca="1" si="340"/>
        <v>22.641455309069404</v>
      </c>
      <c r="Q1008" s="44">
        <f t="shared" ca="1" si="341"/>
        <v>22.641455309069404</v>
      </c>
      <c r="R1008" s="44">
        <f t="shared" ca="1" si="342"/>
        <v>2.2641455309069403</v>
      </c>
      <c r="S1008" s="44">
        <f t="shared" ca="1" si="343"/>
        <v>2.2641455309069398</v>
      </c>
      <c r="T1008" s="4">
        <f t="shared" ca="1" si="344"/>
        <v>3.2207766149492062E-4</v>
      </c>
      <c r="U1008" s="120">
        <f t="shared" ca="1" si="345"/>
        <v>1564.7475619899244</v>
      </c>
      <c r="V1008" s="4">
        <f t="shared" ca="1" si="346"/>
        <v>0.22258738615345094</v>
      </c>
      <c r="W1008" s="13">
        <f t="shared" ca="1" si="347"/>
        <v>28919.065500000004</v>
      </c>
      <c r="X1008" s="4">
        <f t="shared" ca="1" si="348"/>
        <v>4.113774870790877</v>
      </c>
      <c r="Y1008" s="4">
        <f t="shared" si="349"/>
        <v>0</v>
      </c>
      <c r="Z1008" s="13">
        <f t="shared" ca="1" si="350"/>
        <v>28919.065500000004</v>
      </c>
      <c r="AA1008" s="4">
        <f t="shared" ca="1" si="351"/>
        <v>4.113774870790877</v>
      </c>
    </row>
    <row r="1009" spans="1:27">
      <c r="A1009">
        <v>3</v>
      </c>
      <c r="B1009">
        <v>2</v>
      </c>
      <c r="C1009">
        <f t="shared" ca="1" si="330"/>
        <v>8</v>
      </c>
      <c r="D1009">
        <f t="shared" ca="1" si="331"/>
        <v>7</v>
      </c>
      <c r="E1009">
        <f t="shared" ca="1" si="332"/>
        <v>3</v>
      </c>
      <c r="F1009" s="110">
        <f t="shared" ca="1" si="333"/>
        <v>5.8199999999999994E-4</v>
      </c>
      <c r="G1009">
        <v>1</v>
      </c>
      <c r="H1009">
        <v>0</v>
      </c>
      <c r="I1009">
        <v>5</v>
      </c>
      <c r="J1009" s="1">
        <f t="shared" ca="1" si="334"/>
        <v>3.8592324257812567E-2</v>
      </c>
      <c r="K1009" s="1">
        <f t="shared" ca="1" si="335"/>
        <v>2.2460732718046913E-5</v>
      </c>
      <c r="L1009" s="13">
        <f t="shared" ca="1" si="336"/>
        <v>354</v>
      </c>
      <c r="M1009" s="7">
        <f t="shared" ca="1" si="337"/>
        <v>646</v>
      </c>
      <c r="N1009" s="26">
        <f t="shared" ca="1" si="338"/>
        <v>3</v>
      </c>
      <c r="O1009" s="44">
        <f t="shared" ca="1" si="339"/>
        <v>2.2641455309069398</v>
      </c>
      <c r="P1009" s="44">
        <f t="shared" ca="1" si="340"/>
        <v>22.641455309069404</v>
      </c>
      <c r="Q1009" s="44">
        <f t="shared" ca="1" si="341"/>
        <v>22.641455309069404</v>
      </c>
      <c r="R1009" s="44">
        <f t="shared" ca="1" si="342"/>
        <v>2.2641455309069403</v>
      </c>
      <c r="S1009" s="44">
        <f t="shared" ca="1" si="343"/>
        <v>2.2641455309069398</v>
      </c>
      <c r="T1009" s="4">
        <f t="shared" ca="1" si="344"/>
        <v>5.0854367604461199E-5</v>
      </c>
      <c r="U1009" s="120">
        <f t="shared" ca="1" si="345"/>
        <v>1544.7475619899244</v>
      </c>
      <c r="V1009" s="4">
        <f t="shared" ca="1" si="346"/>
        <v>3.4696162106710296E-2</v>
      </c>
      <c r="W1009" s="13">
        <f t="shared" ca="1" si="347"/>
        <v>24891.340500000002</v>
      </c>
      <c r="X1009" s="4">
        <f t="shared" ca="1" si="348"/>
        <v>0.5590777459643963</v>
      </c>
      <c r="Y1009" s="4">
        <f t="shared" si="349"/>
        <v>0</v>
      </c>
      <c r="Z1009" s="13">
        <f t="shared" ca="1" si="350"/>
        <v>24891.340500000002</v>
      </c>
      <c r="AA1009" s="4">
        <f t="shared" ca="1" si="351"/>
        <v>0.5590777459643963</v>
      </c>
    </row>
    <row r="1010" spans="1:27">
      <c r="A1010">
        <v>3</v>
      </c>
      <c r="B1010">
        <v>2</v>
      </c>
      <c r="C1010">
        <f t="shared" ca="1" si="330"/>
        <v>8</v>
      </c>
      <c r="D1010">
        <f t="shared" ca="1" si="331"/>
        <v>7</v>
      </c>
      <c r="E1010">
        <f t="shared" ca="1" si="332"/>
        <v>3</v>
      </c>
      <c r="F1010" s="110">
        <f t="shared" ca="1" si="333"/>
        <v>5.8199999999999994E-4</v>
      </c>
      <c r="G1010">
        <v>1</v>
      </c>
      <c r="H1010">
        <v>0</v>
      </c>
      <c r="I1010">
        <v>4</v>
      </c>
      <c r="J1010" s="1">
        <f t="shared" ca="1" si="334"/>
        <v>3.3852916015625085E-3</v>
      </c>
      <c r="K1010" s="1">
        <f t="shared" ca="1" si="335"/>
        <v>1.9702397121093798E-6</v>
      </c>
      <c r="L1010" s="13">
        <f t="shared" ca="1" si="336"/>
        <v>334</v>
      </c>
      <c r="M1010" s="7">
        <f t="shared" ca="1" si="337"/>
        <v>666</v>
      </c>
      <c r="N1010" s="26">
        <f t="shared" ca="1" si="338"/>
        <v>3</v>
      </c>
      <c r="O1010" s="44">
        <f t="shared" ca="1" si="339"/>
        <v>2.2641455309069398</v>
      </c>
      <c r="P1010" s="44">
        <f t="shared" ca="1" si="340"/>
        <v>22.641455309069404</v>
      </c>
      <c r="Q1010" s="44">
        <f t="shared" ca="1" si="341"/>
        <v>22.641455309069404</v>
      </c>
      <c r="R1010" s="44">
        <f t="shared" ca="1" si="342"/>
        <v>2.2641455309069403</v>
      </c>
      <c r="S1010" s="44">
        <f t="shared" ca="1" si="343"/>
        <v>2.2641455309069398</v>
      </c>
      <c r="T1010" s="4">
        <f t="shared" ca="1" si="344"/>
        <v>4.4609094389878281E-6</v>
      </c>
      <c r="U1010" s="120">
        <f t="shared" ca="1" si="345"/>
        <v>1524.7475619899244</v>
      </c>
      <c r="V1010" s="4">
        <f t="shared" ca="1" si="346"/>
        <v>3.0041181975745072E-3</v>
      </c>
      <c r="W1010" s="13">
        <f t="shared" ca="1" si="347"/>
        <v>20863.615500000004</v>
      </c>
      <c r="X1010" s="4">
        <f t="shared" ca="1" si="348"/>
        <v>4.1106323796280798E-2</v>
      </c>
      <c r="Y1010" s="4">
        <f t="shared" si="349"/>
        <v>0</v>
      </c>
      <c r="Z1010" s="13">
        <f t="shared" ca="1" si="350"/>
        <v>20863.615500000004</v>
      </c>
      <c r="AA1010" s="4">
        <f t="shared" ca="1" si="351"/>
        <v>4.1106323796280798E-2</v>
      </c>
    </row>
    <row r="1011" spans="1:27">
      <c r="A1011">
        <v>3</v>
      </c>
      <c r="B1011">
        <v>2</v>
      </c>
      <c r="C1011">
        <f t="shared" ca="1" si="330"/>
        <v>8</v>
      </c>
      <c r="D1011">
        <f t="shared" ca="1" si="331"/>
        <v>7</v>
      </c>
      <c r="E1011">
        <f t="shared" ca="1" si="332"/>
        <v>3</v>
      </c>
      <c r="F1011" s="110">
        <f t="shared" ca="1" si="333"/>
        <v>5.8199999999999994E-4</v>
      </c>
      <c r="G1011">
        <v>1</v>
      </c>
      <c r="H1011">
        <v>0</v>
      </c>
      <c r="I1011">
        <v>3</v>
      </c>
      <c r="J1011" s="1">
        <f t="shared" ca="1" si="334"/>
        <v>1.7817324218750058E-4</v>
      </c>
      <c r="K1011" s="1">
        <f t="shared" ca="1" si="335"/>
        <v>1.0369682695312533E-7</v>
      </c>
      <c r="L1011" s="13">
        <f t="shared" ca="1" si="336"/>
        <v>314</v>
      </c>
      <c r="M1011" s="7">
        <f t="shared" ca="1" si="337"/>
        <v>686</v>
      </c>
      <c r="N1011" s="26">
        <f t="shared" ca="1" si="338"/>
        <v>3</v>
      </c>
      <c r="O1011" s="44">
        <f t="shared" ca="1" si="339"/>
        <v>2.2641455309069398</v>
      </c>
      <c r="P1011" s="44">
        <f t="shared" ca="1" si="340"/>
        <v>22.641455309069404</v>
      </c>
      <c r="Q1011" s="44">
        <f t="shared" ca="1" si="341"/>
        <v>22.641455309069404</v>
      </c>
      <c r="R1011" s="44">
        <f t="shared" ca="1" si="342"/>
        <v>2.2641455309069403</v>
      </c>
      <c r="S1011" s="44">
        <f t="shared" ca="1" si="343"/>
        <v>2.2641455309069398</v>
      </c>
      <c r="T1011" s="4">
        <f t="shared" ca="1" si="344"/>
        <v>2.3478470731514903E-7</v>
      </c>
      <c r="U1011" s="120">
        <f t="shared" ca="1" si="345"/>
        <v>1504.7475619899244</v>
      </c>
      <c r="V1011" s="4">
        <f t="shared" ca="1" si="346"/>
        <v>1.5603754754380642E-4</v>
      </c>
      <c r="W1011" s="13">
        <f t="shared" ca="1" si="347"/>
        <v>16835.890500000001</v>
      </c>
      <c r="X1011" s="4">
        <f t="shared" ca="1" si="348"/>
        <v>1.7458284237802668E-3</v>
      </c>
      <c r="Y1011" s="4">
        <f t="shared" si="349"/>
        <v>0</v>
      </c>
      <c r="Z1011" s="13">
        <f t="shared" ca="1" si="350"/>
        <v>16835.890500000001</v>
      </c>
      <c r="AA1011" s="4">
        <f t="shared" ca="1" si="351"/>
        <v>1.7458284237802668E-3</v>
      </c>
    </row>
    <row r="1012" spans="1:27">
      <c r="A1012">
        <v>3</v>
      </c>
      <c r="B1012">
        <v>2</v>
      </c>
      <c r="C1012">
        <f t="shared" ca="1" si="330"/>
        <v>8</v>
      </c>
      <c r="D1012">
        <f t="shared" ca="1" si="331"/>
        <v>7</v>
      </c>
      <c r="E1012">
        <f t="shared" ca="1" si="332"/>
        <v>3</v>
      </c>
      <c r="F1012" s="110">
        <f t="shared" ca="1" si="333"/>
        <v>5.8199999999999994E-4</v>
      </c>
      <c r="G1012">
        <v>1</v>
      </c>
      <c r="H1012">
        <v>0</v>
      </c>
      <c r="I1012">
        <v>2</v>
      </c>
      <c r="J1012" s="1">
        <f t="shared" ca="1" si="334"/>
        <v>5.6265234375000243E-6</v>
      </c>
      <c r="K1012" s="1">
        <f t="shared" ca="1" si="335"/>
        <v>3.2746366406250141E-9</v>
      </c>
      <c r="L1012" s="13">
        <f t="shared" ca="1" si="336"/>
        <v>294</v>
      </c>
      <c r="M1012" s="7">
        <f t="shared" ca="1" si="337"/>
        <v>706</v>
      </c>
      <c r="N1012" s="26">
        <f t="shared" ca="1" si="338"/>
        <v>3</v>
      </c>
      <c r="O1012" s="44">
        <f t="shared" ca="1" si="339"/>
        <v>2.2641455309069398</v>
      </c>
      <c r="P1012" s="44">
        <f t="shared" ca="1" si="340"/>
        <v>22.641455309069404</v>
      </c>
      <c r="Q1012" s="44">
        <f t="shared" ca="1" si="341"/>
        <v>22.641455309069404</v>
      </c>
      <c r="R1012" s="44">
        <f t="shared" ca="1" si="342"/>
        <v>2.2641455309069403</v>
      </c>
      <c r="S1012" s="44">
        <f t="shared" ca="1" si="343"/>
        <v>2.2641455309069398</v>
      </c>
      <c r="T1012" s="4">
        <f t="shared" ca="1" si="344"/>
        <v>7.4142539152152405E-9</v>
      </c>
      <c r="U1012" s="120">
        <f t="shared" ca="1" si="345"/>
        <v>1484.7475619899244</v>
      </c>
      <c r="V1012" s="4">
        <f t="shared" ca="1" si="346"/>
        <v>4.8620087685708661E-6</v>
      </c>
      <c r="W1012" s="13">
        <f t="shared" ca="1" si="347"/>
        <v>12808.165500000003</v>
      </c>
      <c r="X1012" s="4">
        <f t="shared" ca="1" si="348"/>
        <v>4.1942088045489213E-5</v>
      </c>
      <c r="Y1012" s="4">
        <f t="shared" si="349"/>
        <v>0</v>
      </c>
      <c r="Z1012" s="13">
        <f t="shared" ca="1" si="350"/>
        <v>12808.165500000003</v>
      </c>
      <c r="AA1012" s="4">
        <f t="shared" ca="1" si="351"/>
        <v>4.1942088045489213E-5</v>
      </c>
    </row>
    <row r="1013" spans="1:27">
      <c r="A1013">
        <v>3</v>
      </c>
      <c r="B1013">
        <v>2</v>
      </c>
      <c r="C1013">
        <f t="shared" ca="1" si="330"/>
        <v>8</v>
      </c>
      <c r="D1013">
        <f t="shared" ca="1" si="331"/>
        <v>7</v>
      </c>
      <c r="E1013">
        <f t="shared" ca="1" si="332"/>
        <v>3</v>
      </c>
      <c r="F1013" s="110">
        <f t="shared" ca="1" si="333"/>
        <v>5.8199999999999994E-4</v>
      </c>
      <c r="G1013">
        <v>1</v>
      </c>
      <c r="H1013">
        <v>0</v>
      </c>
      <c r="I1013">
        <v>1</v>
      </c>
      <c r="J1013" s="1">
        <f t="shared" ca="1" si="334"/>
        <v>9.8710937500000504E-8</v>
      </c>
      <c r="K1013" s="1">
        <f t="shared" ca="1" si="335"/>
        <v>5.7449765625000287E-11</v>
      </c>
      <c r="L1013" s="13">
        <f t="shared" ca="1" si="336"/>
        <v>274</v>
      </c>
      <c r="M1013" s="7">
        <f t="shared" ca="1" si="337"/>
        <v>726</v>
      </c>
      <c r="N1013" s="26">
        <f t="shared" ca="1" si="338"/>
        <v>3</v>
      </c>
      <c r="O1013" s="44">
        <f t="shared" ca="1" si="339"/>
        <v>2.2641455309069398</v>
      </c>
      <c r="P1013" s="44">
        <f t="shared" ca="1" si="340"/>
        <v>22.641455309069404</v>
      </c>
      <c r="Q1013" s="44">
        <f t="shared" ca="1" si="341"/>
        <v>22.641455309069404</v>
      </c>
      <c r="R1013" s="44">
        <f t="shared" ca="1" si="342"/>
        <v>2.2641455309069403</v>
      </c>
      <c r="S1013" s="44">
        <f t="shared" ca="1" si="343"/>
        <v>2.2641455309069398</v>
      </c>
      <c r="T1013" s="4">
        <f t="shared" ca="1" si="344"/>
        <v>1.3007463009149553E-10</v>
      </c>
      <c r="U1013" s="120">
        <f t="shared" ca="1" si="345"/>
        <v>1464.7475619899244</v>
      </c>
      <c r="V1013" s="4">
        <f t="shared" ca="1" si="346"/>
        <v>8.414940413611174E-8</v>
      </c>
      <c r="W1013" s="13">
        <f t="shared" ca="1" si="347"/>
        <v>8780.4405000000006</v>
      </c>
      <c r="X1013" s="4">
        <f t="shared" ca="1" si="348"/>
        <v>5.0443424880926039E-7</v>
      </c>
      <c r="Y1013" s="4">
        <f t="shared" si="349"/>
        <v>0</v>
      </c>
      <c r="Z1013" s="13">
        <f t="shared" ca="1" si="350"/>
        <v>8780.4405000000006</v>
      </c>
      <c r="AA1013" s="4">
        <f t="shared" ca="1" si="351"/>
        <v>5.0443424880926039E-7</v>
      </c>
    </row>
    <row r="1014" spans="1:27">
      <c r="A1014">
        <v>3</v>
      </c>
      <c r="B1014">
        <v>2</v>
      </c>
      <c r="C1014">
        <f t="shared" ca="1" si="330"/>
        <v>8</v>
      </c>
      <c r="D1014">
        <f t="shared" ca="1" si="331"/>
        <v>7</v>
      </c>
      <c r="E1014">
        <f t="shared" ca="1" si="332"/>
        <v>3</v>
      </c>
      <c r="F1014" s="110">
        <f t="shared" ca="1" si="333"/>
        <v>5.8199999999999994E-4</v>
      </c>
      <c r="G1014">
        <v>1</v>
      </c>
      <c r="H1014">
        <v>0</v>
      </c>
      <c r="I1014">
        <v>0</v>
      </c>
      <c r="J1014" s="1">
        <f t="shared" ca="1" si="334"/>
        <v>7.4218750000000458E-10</v>
      </c>
      <c r="K1014" s="1">
        <f t="shared" ca="1" si="335"/>
        <v>4.319531250000026E-13</v>
      </c>
      <c r="L1014" s="13">
        <f t="shared" ca="1" si="336"/>
        <v>254</v>
      </c>
      <c r="M1014" s="7">
        <f t="shared" ca="1" si="337"/>
        <v>746</v>
      </c>
      <c r="N1014" s="26">
        <f t="shared" ca="1" si="338"/>
        <v>3</v>
      </c>
      <c r="O1014" s="44">
        <f t="shared" ca="1" si="339"/>
        <v>2.2641455309069398</v>
      </c>
      <c r="P1014" s="44">
        <f t="shared" ca="1" si="340"/>
        <v>22.641455309069404</v>
      </c>
      <c r="Q1014" s="44">
        <f t="shared" ca="1" si="341"/>
        <v>22.641455309069404</v>
      </c>
      <c r="R1014" s="44">
        <f t="shared" ca="1" si="342"/>
        <v>2.2641455309069403</v>
      </c>
      <c r="S1014" s="44">
        <f t="shared" ca="1" si="343"/>
        <v>2.2641455309069398</v>
      </c>
      <c r="T1014" s="4">
        <f t="shared" ca="1" si="344"/>
        <v>9.7800473753004263E-13</v>
      </c>
      <c r="U1014" s="120">
        <f t="shared" ca="1" si="345"/>
        <v>1444.7475619899244</v>
      </c>
      <c r="V1014" s="4">
        <f t="shared" ca="1" si="346"/>
        <v>6.2406322423768287E-10</v>
      </c>
      <c r="W1014" s="13">
        <f t="shared" ca="1" si="347"/>
        <v>4752.7155000000012</v>
      </c>
      <c r="X1014" s="4">
        <f t="shared" ca="1" si="348"/>
        <v>2.0529503124609504E-9</v>
      </c>
      <c r="Y1014" s="4">
        <f t="shared" si="349"/>
        <v>0</v>
      </c>
      <c r="Z1014" s="13">
        <f t="shared" ca="1" si="350"/>
        <v>4752.7155000000012</v>
      </c>
      <c r="AA1014" s="4">
        <f t="shared" ca="1" si="351"/>
        <v>2.0529503124609504E-9</v>
      </c>
    </row>
    <row r="1015" spans="1:27">
      <c r="A1015">
        <v>3</v>
      </c>
      <c r="B1015">
        <v>2</v>
      </c>
      <c r="C1015">
        <f t="shared" ca="1" si="330"/>
        <v>8</v>
      </c>
      <c r="D1015">
        <f t="shared" ca="1" si="331"/>
        <v>7</v>
      </c>
      <c r="E1015">
        <f t="shared" ca="1" si="332"/>
        <v>3</v>
      </c>
      <c r="F1015" s="110">
        <f t="shared" ca="1" si="333"/>
        <v>5.8199999999999994E-4</v>
      </c>
      <c r="G1015">
        <v>0</v>
      </c>
      <c r="H1015">
        <v>1</v>
      </c>
      <c r="I1015">
        <v>7</v>
      </c>
      <c r="J1015" s="1">
        <f t="shared" ca="1" si="334"/>
        <v>0</v>
      </c>
      <c r="K1015" s="1">
        <f t="shared" ca="1" si="335"/>
        <v>0</v>
      </c>
      <c r="L1015" s="13">
        <f t="shared" ca="1" si="336"/>
        <v>394</v>
      </c>
      <c r="M1015" s="7">
        <f t="shared" ca="1" si="337"/>
        <v>606</v>
      </c>
      <c r="N1015" s="26">
        <f t="shared" ca="1" si="338"/>
        <v>3</v>
      </c>
      <c r="O1015" s="44">
        <f t="shared" ca="1" si="339"/>
        <v>2.2641455309069398</v>
      </c>
      <c r="P1015" s="44">
        <f t="shared" ca="1" si="340"/>
        <v>22.641455309069404</v>
      </c>
      <c r="Q1015" s="44">
        <f t="shared" ca="1" si="341"/>
        <v>22.641455309069404</v>
      </c>
      <c r="R1015" s="44">
        <f t="shared" ca="1" si="342"/>
        <v>2.2641455309069403</v>
      </c>
      <c r="S1015" s="44">
        <f t="shared" ca="1" si="343"/>
        <v>2.2641455309069398</v>
      </c>
      <c r="T1015" s="4">
        <f t="shared" ca="1" si="344"/>
        <v>0</v>
      </c>
      <c r="U1015" s="120">
        <f t="shared" ca="1" si="345"/>
        <v>1584.7475619899244</v>
      </c>
      <c r="V1015" s="4">
        <f t="shared" ca="1" si="346"/>
        <v>0</v>
      </c>
      <c r="W1015" s="13">
        <f t="shared" ca="1" si="347"/>
        <v>28194.075000000001</v>
      </c>
      <c r="X1015" s="4">
        <f t="shared" ca="1" si="348"/>
        <v>0</v>
      </c>
      <c r="Y1015" s="4">
        <f t="shared" si="349"/>
        <v>0</v>
      </c>
      <c r="Z1015" s="13">
        <f t="shared" ca="1" si="350"/>
        <v>28194.075000000001</v>
      </c>
      <c r="AA1015" s="4">
        <f t="shared" ca="1" si="351"/>
        <v>0</v>
      </c>
    </row>
    <row r="1016" spans="1:27">
      <c r="A1016">
        <v>3</v>
      </c>
      <c r="B1016">
        <v>2</v>
      </c>
      <c r="C1016">
        <f t="shared" ca="1" si="330"/>
        <v>8</v>
      </c>
      <c r="D1016">
        <f t="shared" ca="1" si="331"/>
        <v>7</v>
      </c>
      <c r="E1016">
        <f t="shared" ca="1" si="332"/>
        <v>3</v>
      </c>
      <c r="F1016" s="110">
        <f t="shared" ca="1" si="333"/>
        <v>5.8199999999999994E-4</v>
      </c>
      <c r="G1016">
        <v>0</v>
      </c>
      <c r="H1016">
        <v>1</v>
      </c>
      <c r="I1016">
        <v>6</v>
      </c>
      <c r="J1016" s="1">
        <f t="shared" ca="1" si="334"/>
        <v>0</v>
      </c>
      <c r="K1016" s="1">
        <f t="shared" ca="1" si="335"/>
        <v>0</v>
      </c>
      <c r="L1016" s="13">
        <f t="shared" ca="1" si="336"/>
        <v>374</v>
      </c>
      <c r="M1016" s="7">
        <f t="shared" ca="1" si="337"/>
        <v>626</v>
      </c>
      <c r="N1016" s="26">
        <f t="shared" ca="1" si="338"/>
        <v>3</v>
      </c>
      <c r="O1016" s="44">
        <f t="shared" ca="1" si="339"/>
        <v>2.2641455309069398</v>
      </c>
      <c r="P1016" s="44">
        <f t="shared" ca="1" si="340"/>
        <v>22.641455309069404</v>
      </c>
      <c r="Q1016" s="44">
        <f t="shared" ca="1" si="341"/>
        <v>22.641455309069404</v>
      </c>
      <c r="R1016" s="44">
        <f t="shared" ca="1" si="342"/>
        <v>2.2641455309069403</v>
      </c>
      <c r="S1016" s="44">
        <f t="shared" ca="1" si="343"/>
        <v>2.2641455309069398</v>
      </c>
      <c r="T1016" s="4">
        <f t="shared" ca="1" si="344"/>
        <v>0</v>
      </c>
      <c r="U1016" s="120">
        <f t="shared" ca="1" si="345"/>
        <v>1564.7475619899244</v>
      </c>
      <c r="V1016" s="4">
        <f t="shared" ca="1" si="346"/>
        <v>0</v>
      </c>
      <c r="W1016" s="13">
        <f t="shared" ca="1" si="347"/>
        <v>24166.350000000002</v>
      </c>
      <c r="X1016" s="4">
        <f t="shared" ca="1" si="348"/>
        <v>0</v>
      </c>
      <c r="Y1016" s="4">
        <f t="shared" si="349"/>
        <v>0</v>
      </c>
      <c r="Z1016" s="13">
        <f t="shared" ca="1" si="350"/>
        <v>24166.350000000002</v>
      </c>
      <c r="AA1016" s="4">
        <f t="shared" ca="1" si="351"/>
        <v>0</v>
      </c>
    </row>
    <row r="1017" spans="1:27">
      <c r="A1017">
        <v>3</v>
      </c>
      <c r="B1017">
        <v>2</v>
      </c>
      <c r="C1017">
        <f t="shared" ca="1" si="330"/>
        <v>8</v>
      </c>
      <c r="D1017">
        <f t="shared" ca="1" si="331"/>
        <v>7</v>
      </c>
      <c r="E1017">
        <f t="shared" ca="1" si="332"/>
        <v>3</v>
      </c>
      <c r="F1017" s="110">
        <f t="shared" ca="1" si="333"/>
        <v>5.8199999999999994E-4</v>
      </c>
      <c r="G1017">
        <v>0</v>
      </c>
      <c r="H1017">
        <v>1</v>
      </c>
      <c r="I1017">
        <v>5</v>
      </c>
      <c r="J1017" s="1">
        <f t="shared" ca="1" si="334"/>
        <v>0</v>
      </c>
      <c r="K1017" s="1">
        <f t="shared" ca="1" si="335"/>
        <v>0</v>
      </c>
      <c r="L1017" s="13">
        <f t="shared" ca="1" si="336"/>
        <v>354</v>
      </c>
      <c r="M1017" s="7">
        <f t="shared" ca="1" si="337"/>
        <v>646</v>
      </c>
      <c r="N1017" s="26">
        <f t="shared" ca="1" si="338"/>
        <v>3</v>
      </c>
      <c r="O1017" s="44">
        <f t="shared" ca="1" si="339"/>
        <v>2.2641455309069398</v>
      </c>
      <c r="P1017" s="44">
        <f t="shared" ca="1" si="340"/>
        <v>22.641455309069404</v>
      </c>
      <c r="Q1017" s="44">
        <f t="shared" ca="1" si="341"/>
        <v>22.641455309069404</v>
      </c>
      <c r="R1017" s="44">
        <f t="shared" ca="1" si="342"/>
        <v>2.2641455309069403</v>
      </c>
      <c r="S1017" s="44">
        <f t="shared" ca="1" si="343"/>
        <v>2.2641455309069398</v>
      </c>
      <c r="T1017" s="4">
        <f t="shared" ca="1" si="344"/>
        <v>0</v>
      </c>
      <c r="U1017" s="120">
        <f t="shared" ca="1" si="345"/>
        <v>1544.7475619899244</v>
      </c>
      <c r="V1017" s="4">
        <f t="shared" ca="1" si="346"/>
        <v>0</v>
      </c>
      <c r="W1017" s="13">
        <f t="shared" ca="1" si="347"/>
        <v>20138.625</v>
      </c>
      <c r="X1017" s="4">
        <f t="shared" ca="1" si="348"/>
        <v>0</v>
      </c>
      <c r="Y1017" s="4">
        <f t="shared" si="349"/>
        <v>0</v>
      </c>
      <c r="Z1017" s="13">
        <f t="shared" ca="1" si="350"/>
        <v>20138.625</v>
      </c>
      <c r="AA1017" s="4">
        <f t="shared" ca="1" si="351"/>
        <v>0</v>
      </c>
    </row>
    <row r="1018" spans="1:27">
      <c r="A1018">
        <v>3</v>
      </c>
      <c r="B1018">
        <v>2</v>
      </c>
      <c r="C1018">
        <f t="shared" ca="1" si="330"/>
        <v>8</v>
      </c>
      <c r="D1018">
        <f t="shared" ca="1" si="331"/>
        <v>7</v>
      </c>
      <c r="E1018">
        <f t="shared" ca="1" si="332"/>
        <v>3</v>
      </c>
      <c r="F1018" s="110">
        <f t="shared" ca="1" si="333"/>
        <v>5.8199999999999994E-4</v>
      </c>
      <c r="G1018">
        <v>0</v>
      </c>
      <c r="H1018">
        <v>1</v>
      </c>
      <c r="I1018">
        <v>4</v>
      </c>
      <c r="J1018" s="1">
        <f t="shared" ca="1" si="334"/>
        <v>0</v>
      </c>
      <c r="K1018" s="1">
        <f t="shared" ca="1" si="335"/>
        <v>0</v>
      </c>
      <c r="L1018" s="13">
        <f t="shared" ca="1" si="336"/>
        <v>334</v>
      </c>
      <c r="M1018" s="7">
        <f t="shared" ca="1" si="337"/>
        <v>666</v>
      </c>
      <c r="N1018" s="26">
        <f t="shared" ca="1" si="338"/>
        <v>3</v>
      </c>
      <c r="O1018" s="44">
        <f t="shared" ca="1" si="339"/>
        <v>2.2641455309069398</v>
      </c>
      <c r="P1018" s="44">
        <f t="shared" ca="1" si="340"/>
        <v>22.641455309069404</v>
      </c>
      <c r="Q1018" s="44">
        <f t="shared" ca="1" si="341"/>
        <v>22.641455309069404</v>
      </c>
      <c r="R1018" s="44">
        <f t="shared" ca="1" si="342"/>
        <v>2.2641455309069403</v>
      </c>
      <c r="S1018" s="44">
        <f t="shared" ca="1" si="343"/>
        <v>2.2641455309069398</v>
      </c>
      <c r="T1018" s="4">
        <f t="shared" ca="1" si="344"/>
        <v>0</v>
      </c>
      <c r="U1018" s="120">
        <f t="shared" ca="1" si="345"/>
        <v>1524.7475619899244</v>
      </c>
      <c r="V1018" s="4">
        <f t="shared" ca="1" si="346"/>
        <v>0</v>
      </c>
      <c r="W1018" s="13">
        <f t="shared" ca="1" si="347"/>
        <v>16110.900000000001</v>
      </c>
      <c r="X1018" s="4">
        <f t="shared" ca="1" si="348"/>
        <v>0</v>
      </c>
      <c r="Y1018" s="4">
        <f t="shared" si="349"/>
        <v>0</v>
      </c>
      <c r="Z1018" s="13">
        <f t="shared" ca="1" si="350"/>
        <v>16110.900000000001</v>
      </c>
      <c r="AA1018" s="4">
        <f t="shared" ca="1" si="351"/>
        <v>0</v>
      </c>
    </row>
    <row r="1019" spans="1:27">
      <c r="A1019">
        <v>3</v>
      </c>
      <c r="B1019">
        <v>2</v>
      </c>
      <c r="C1019">
        <f t="shared" ca="1" si="330"/>
        <v>8</v>
      </c>
      <c r="D1019">
        <f t="shared" ca="1" si="331"/>
        <v>7</v>
      </c>
      <c r="E1019">
        <f t="shared" ca="1" si="332"/>
        <v>3</v>
      </c>
      <c r="F1019" s="110">
        <f t="shared" ca="1" si="333"/>
        <v>5.8199999999999994E-4</v>
      </c>
      <c r="G1019">
        <v>0</v>
      </c>
      <c r="H1019">
        <v>1</v>
      </c>
      <c r="I1019">
        <v>3</v>
      </c>
      <c r="J1019" s="1">
        <f t="shared" ca="1" si="334"/>
        <v>0</v>
      </c>
      <c r="K1019" s="1">
        <f t="shared" ca="1" si="335"/>
        <v>0</v>
      </c>
      <c r="L1019" s="13">
        <f t="shared" ca="1" si="336"/>
        <v>314</v>
      </c>
      <c r="M1019" s="7">
        <f t="shared" ca="1" si="337"/>
        <v>686</v>
      </c>
      <c r="N1019" s="26">
        <f t="shared" ca="1" si="338"/>
        <v>3</v>
      </c>
      <c r="O1019" s="44">
        <f t="shared" ca="1" si="339"/>
        <v>2.2641455309069398</v>
      </c>
      <c r="P1019" s="44">
        <f t="shared" ca="1" si="340"/>
        <v>22.641455309069404</v>
      </c>
      <c r="Q1019" s="44">
        <f t="shared" ca="1" si="341"/>
        <v>22.641455309069404</v>
      </c>
      <c r="R1019" s="44">
        <f t="shared" ca="1" si="342"/>
        <v>2.2641455309069403</v>
      </c>
      <c r="S1019" s="44">
        <f t="shared" ca="1" si="343"/>
        <v>2.2641455309069398</v>
      </c>
      <c r="T1019" s="4">
        <f t="shared" ca="1" si="344"/>
        <v>0</v>
      </c>
      <c r="U1019" s="120">
        <f t="shared" ca="1" si="345"/>
        <v>1504.7475619899244</v>
      </c>
      <c r="V1019" s="4">
        <f t="shared" ca="1" si="346"/>
        <v>0</v>
      </c>
      <c r="W1019" s="13">
        <f t="shared" ca="1" si="347"/>
        <v>12083.175000000001</v>
      </c>
      <c r="X1019" s="4">
        <f t="shared" ca="1" si="348"/>
        <v>0</v>
      </c>
      <c r="Y1019" s="4">
        <f t="shared" si="349"/>
        <v>0</v>
      </c>
      <c r="Z1019" s="13">
        <f t="shared" ca="1" si="350"/>
        <v>12083.175000000001</v>
      </c>
      <c r="AA1019" s="4">
        <f t="shared" ca="1" si="351"/>
        <v>0</v>
      </c>
    </row>
    <row r="1020" spans="1:27">
      <c r="A1020">
        <v>3</v>
      </c>
      <c r="B1020">
        <v>2</v>
      </c>
      <c r="C1020">
        <f t="shared" ca="1" si="330"/>
        <v>8</v>
      </c>
      <c r="D1020">
        <f t="shared" ca="1" si="331"/>
        <v>7</v>
      </c>
      <c r="E1020">
        <f t="shared" ca="1" si="332"/>
        <v>3</v>
      </c>
      <c r="F1020" s="110">
        <f t="shared" ca="1" si="333"/>
        <v>5.8199999999999994E-4</v>
      </c>
      <c r="G1020">
        <v>0</v>
      </c>
      <c r="H1020">
        <v>1</v>
      </c>
      <c r="I1020">
        <v>2</v>
      </c>
      <c r="J1020" s="1">
        <f t="shared" ca="1" si="334"/>
        <v>0</v>
      </c>
      <c r="K1020" s="1">
        <f t="shared" ca="1" si="335"/>
        <v>0</v>
      </c>
      <c r="L1020" s="13">
        <f t="shared" ca="1" si="336"/>
        <v>294</v>
      </c>
      <c r="M1020" s="7">
        <f t="shared" ca="1" si="337"/>
        <v>706</v>
      </c>
      <c r="N1020" s="26">
        <f t="shared" ca="1" si="338"/>
        <v>3</v>
      </c>
      <c r="O1020" s="44">
        <f t="shared" ca="1" si="339"/>
        <v>2.2641455309069398</v>
      </c>
      <c r="P1020" s="44">
        <f t="shared" ca="1" si="340"/>
        <v>22.641455309069404</v>
      </c>
      <c r="Q1020" s="44">
        <f t="shared" ca="1" si="341"/>
        <v>22.641455309069404</v>
      </c>
      <c r="R1020" s="44">
        <f t="shared" ca="1" si="342"/>
        <v>2.2641455309069403</v>
      </c>
      <c r="S1020" s="44">
        <f t="shared" ca="1" si="343"/>
        <v>2.2641455309069398</v>
      </c>
      <c r="T1020" s="4">
        <f t="shared" ca="1" si="344"/>
        <v>0</v>
      </c>
      <c r="U1020" s="120">
        <f t="shared" ca="1" si="345"/>
        <v>1484.7475619899244</v>
      </c>
      <c r="V1020" s="4">
        <f t="shared" ca="1" si="346"/>
        <v>0</v>
      </c>
      <c r="W1020" s="13">
        <f t="shared" ca="1" si="347"/>
        <v>8055.4500000000007</v>
      </c>
      <c r="X1020" s="4">
        <f t="shared" ca="1" si="348"/>
        <v>0</v>
      </c>
      <c r="Y1020" s="4">
        <f t="shared" si="349"/>
        <v>0</v>
      </c>
      <c r="Z1020" s="13">
        <f t="shared" ca="1" si="350"/>
        <v>8055.4500000000007</v>
      </c>
      <c r="AA1020" s="4">
        <f t="shared" ca="1" si="351"/>
        <v>0</v>
      </c>
    </row>
    <row r="1021" spans="1:27">
      <c r="A1021">
        <v>3</v>
      </c>
      <c r="B1021">
        <v>2</v>
      </c>
      <c r="C1021">
        <f t="shared" ca="1" si="330"/>
        <v>8</v>
      </c>
      <c r="D1021">
        <f t="shared" ca="1" si="331"/>
        <v>7</v>
      </c>
      <c r="E1021">
        <f t="shared" ca="1" si="332"/>
        <v>3</v>
      </c>
      <c r="F1021" s="110">
        <f t="shared" ca="1" si="333"/>
        <v>5.8199999999999994E-4</v>
      </c>
      <c r="G1021">
        <v>0</v>
      </c>
      <c r="H1021">
        <v>1</v>
      </c>
      <c r="I1021">
        <v>1</v>
      </c>
      <c r="J1021" s="1">
        <f t="shared" ca="1" si="334"/>
        <v>0</v>
      </c>
      <c r="K1021" s="1">
        <f t="shared" ca="1" si="335"/>
        <v>0</v>
      </c>
      <c r="L1021" s="13">
        <f t="shared" ca="1" si="336"/>
        <v>274</v>
      </c>
      <c r="M1021" s="7">
        <f t="shared" ca="1" si="337"/>
        <v>726</v>
      </c>
      <c r="N1021" s="26">
        <f t="shared" ca="1" si="338"/>
        <v>3</v>
      </c>
      <c r="O1021" s="44">
        <f t="shared" ca="1" si="339"/>
        <v>2.2641455309069398</v>
      </c>
      <c r="P1021" s="44">
        <f t="shared" ca="1" si="340"/>
        <v>22.641455309069404</v>
      </c>
      <c r="Q1021" s="44">
        <f t="shared" ca="1" si="341"/>
        <v>22.641455309069404</v>
      </c>
      <c r="R1021" s="44">
        <f t="shared" ca="1" si="342"/>
        <v>2.2641455309069403</v>
      </c>
      <c r="S1021" s="44">
        <f t="shared" ca="1" si="343"/>
        <v>2.2641455309069398</v>
      </c>
      <c r="T1021" s="4">
        <f t="shared" ca="1" si="344"/>
        <v>0</v>
      </c>
      <c r="U1021" s="120">
        <f t="shared" ca="1" si="345"/>
        <v>1464.7475619899244</v>
      </c>
      <c r="V1021" s="4">
        <f t="shared" ca="1" si="346"/>
        <v>0</v>
      </c>
      <c r="W1021" s="13">
        <f t="shared" ca="1" si="347"/>
        <v>4027.7250000000004</v>
      </c>
      <c r="X1021" s="4">
        <f t="shared" ca="1" si="348"/>
        <v>0</v>
      </c>
      <c r="Y1021" s="4">
        <f t="shared" si="349"/>
        <v>0</v>
      </c>
      <c r="Z1021" s="13">
        <f t="shared" ca="1" si="350"/>
        <v>4027.7250000000004</v>
      </c>
      <c r="AA1021" s="4">
        <f t="shared" ca="1" si="351"/>
        <v>0</v>
      </c>
    </row>
    <row r="1022" spans="1:27">
      <c r="A1022">
        <v>3</v>
      </c>
      <c r="B1022">
        <v>2</v>
      </c>
      <c r="C1022">
        <f t="shared" ca="1" si="330"/>
        <v>8</v>
      </c>
      <c r="D1022">
        <f t="shared" ca="1" si="331"/>
        <v>7</v>
      </c>
      <c r="E1022">
        <f t="shared" ca="1" si="332"/>
        <v>3</v>
      </c>
      <c r="F1022" s="110">
        <f t="shared" ca="1" si="333"/>
        <v>5.8199999999999994E-4</v>
      </c>
      <c r="G1022">
        <v>0</v>
      </c>
      <c r="H1022">
        <v>1</v>
      </c>
      <c r="I1022">
        <v>0</v>
      </c>
      <c r="J1022" s="1">
        <f t="shared" ca="1" si="334"/>
        <v>0</v>
      </c>
      <c r="K1022" s="1">
        <f t="shared" ca="1" si="335"/>
        <v>0</v>
      </c>
      <c r="L1022" s="13">
        <f t="shared" ca="1" si="336"/>
        <v>254</v>
      </c>
      <c r="M1022" s="7">
        <f t="shared" ca="1" si="337"/>
        <v>746</v>
      </c>
      <c r="N1022" s="26">
        <f t="shared" ca="1" si="338"/>
        <v>3</v>
      </c>
      <c r="O1022" s="44">
        <f t="shared" ca="1" si="339"/>
        <v>2.2641455309069398</v>
      </c>
      <c r="P1022" s="44">
        <f t="shared" ca="1" si="340"/>
        <v>22.641455309069404</v>
      </c>
      <c r="Q1022" s="44">
        <f t="shared" ca="1" si="341"/>
        <v>22.641455309069404</v>
      </c>
      <c r="R1022" s="44">
        <f t="shared" ca="1" si="342"/>
        <v>2.2641455309069403</v>
      </c>
      <c r="S1022" s="44">
        <f t="shared" ca="1" si="343"/>
        <v>2.2641455309069398</v>
      </c>
      <c r="T1022" s="4">
        <f t="shared" ca="1" si="344"/>
        <v>0</v>
      </c>
      <c r="U1022" s="120">
        <f t="shared" ca="1" si="345"/>
        <v>1444.7475619899244</v>
      </c>
      <c r="V1022" s="4">
        <f t="shared" ca="1" si="346"/>
        <v>0</v>
      </c>
      <c r="W1022" s="13">
        <f t="shared" ca="1" si="347"/>
        <v>0</v>
      </c>
      <c r="X1022" s="4">
        <f t="shared" ca="1" si="348"/>
        <v>0</v>
      </c>
      <c r="Y1022" s="4">
        <f t="shared" si="349"/>
        <v>0</v>
      </c>
      <c r="Z1022" s="13">
        <f t="shared" ca="1" si="350"/>
        <v>0</v>
      </c>
      <c r="AA1022" s="4">
        <f t="shared" ca="1" si="351"/>
        <v>0</v>
      </c>
    </row>
    <row r="1023" spans="1:27">
      <c r="A1023">
        <v>3</v>
      </c>
      <c r="B1023">
        <v>2</v>
      </c>
      <c r="C1023">
        <f t="shared" ca="1" si="330"/>
        <v>8</v>
      </c>
      <c r="D1023">
        <f t="shared" ca="1" si="331"/>
        <v>7</v>
      </c>
      <c r="E1023">
        <f t="shared" ca="1" si="332"/>
        <v>3</v>
      </c>
      <c r="F1023" s="110">
        <f t="shared" ca="1" si="333"/>
        <v>5.8199999999999994E-4</v>
      </c>
      <c r="G1023">
        <v>0</v>
      </c>
      <c r="H1023">
        <v>0</v>
      </c>
      <c r="I1023">
        <v>7</v>
      </c>
      <c r="J1023" s="1">
        <f t="shared" ca="1" si="334"/>
        <v>3.4916864804687496E-2</v>
      </c>
      <c r="K1023" s="1">
        <f t="shared" ca="1" si="335"/>
        <v>2.032161531632812E-5</v>
      </c>
      <c r="L1023" s="13">
        <f t="shared" ca="1" si="336"/>
        <v>140</v>
      </c>
      <c r="M1023" s="7">
        <f t="shared" ca="1" si="337"/>
        <v>860</v>
      </c>
      <c r="N1023" s="26">
        <f t="shared" ca="1" si="338"/>
        <v>4</v>
      </c>
      <c r="O1023" s="44">
        <f t="shared" ca="1" si="339"/>
        <v>2.8910364854084887</v>
      </c>
      <c r="P1023" s="44">
        <f t="shared" ca="1" si="340"/>
        <v>28.910364854084886</v>
      </c>
      <c r="Q1023" s="44">
        <f t="shared" ca="1" si="341"/>
        <v>28.910364854084886</v>
      </c>
      <c r="R1023" s="44">
        <f t="shared" ca="1" si="342"/>
        <v>2.8910364854084887</v>
      </c>
      <c r="S1023" s="44">
        <f t="shared" ca="1" si="343"/>
        <v>2.8910364854084882</v>
      </c>
      <c r="T1023" s="4">
        <f t="shared" ca="1" si="344"/>
        <v>5.8750531321940551E-5</v>
      </c>
      <c r="U1023" s="120">
        <f t="shared" ca="1" si="345"/>
        <v>1600.6349838037554</v>
      </c>
      <c r="V1023" s="4">
        <f t="shared" ca="1" si="346"/>
        <v>3.2527488402717006E-2</v>
      </c>
      <c r="W1023" s="13">
        <f t="shared" ca="1" si="347"/>
        <v>28194.075000000001</v>
      </c>
      <c r="X1023" s="4">
        <f t="shared" ca="1" si="348"/>
        <v>0.57294914634970373</v>
      </c>
      <c r="Y1023" s="4">
        <f t="shared" si="349"/>
        <v>0</v>
      </c>
      <c r="Z1023" s="13">
        <f t="shared" ca="1" si="350"/>
        <v>28194.075000000001</v>
      </c>
      <c r="AA1023" s="4">
        <f t="shared" ca="1" si="351"/>
        <v>0.57294914634970373</v>
      </c>
    </row>
    <row r="1024" spans="1:27">
      <c r="A1024">
        <v>3</v>
      </c>
      <c r="B1024">
        <v>2</v>
      </c>
      <c r="C1024">
        <f t="shared" ca="1" si="330"/>
        <v>8</v>
      </c>
      <c r="D1024">
        <f t="shared" ca="1" si="331"/>
        <v>7</v>
      </c>
      <c r="E1024">
        <f t="shared" ca="1" si="332"/>
        <v>3</v>
      </c>
      <c r="F1024" s="110">
        <f t="shared" ca="1" si="333"/>
        <v>5.8199999999999994E-4</v>
      </c>
      <c r="G1024">
        <v>0</v>
      </c>
      <c r="H1024">
        <v>0</v>
      </c>
      <c r="I1024">
        <v>6</v>
      </c>
      <c r="J1024" s="1">
        <f t="shared" ca="1" si="334"/>
        <v>1.2864108085937513E-2</v>
      </c>
      <c r="K1024" s="1">
        <f t="shared" ca="1" si="335"/>
        <v>7.4869109060156318E-6</v>
      </c>
      <c r="L1024" s="13">
        <f t="shared" ca="1" si="336"/>
        <v>120</v>
      </c>
      <c r="M1024" s="7">
        <f t="shared" ca="1" si="337"/>
        <v>880</v>
      </c>
      <c r="N1024" s="26">
        <f t="shared" ca="1" si="338"/>
        <v>4</v>
      </c>
      <c r="O1024" s="44">
        <f t="shared" ca="1" si="339"/>
        <v>2.8910364854084887</v>
      </c>
      <c r="P1024" s="44">
        <f t="shared" ca="1" si="340"/>
        <v>28.910364854084886</v>
      </c>
      <c r="Q1024" s="44">
        <f t="shared" ca="1" si="341"/>
        <v>28.910364854084886</v>
      </c>
      <c r="R1024" s="44">
        <f t="shared" ca="1" si="342"/>
        <v>2.8910364854084887</v>
      </c>
      <c r="S1024" s="44">
        <f t="shared" ca="1" si="343"/>
        <v>2.8910364854084882</v>
      </c>
      <c r="T1024" s="4">
        <f t="shared" ca="1" si="344"/>
        <v>2.1644932592293912E-5</v>
      </c>
      <c r="U1024" s="120">
        <f t="shared" ca="1" si="345"/>
        <v>1580.6349838037554</v>
      </c>
      <c r="V1024" s="4">
        <f t="shared" ca="1" si="346"/>
        <v>1.1834073298670178E-2</v>
      </c>
      <c r="W1024" s="13">
        <f t="shared" ca="1" si="347"/>
        <v>24166.350000000002</v>
      </c>
      <c r="X1024" s="4">
        <f t="shared" ca="1" si="348"/>
        <v>0.18093130937359089</v>
      </c>
      <c r="Y1024" s="4">
        <f t="shared" si="349"/>
        <v>0</v>
      </c>
      <c r="Z1024" s="13">
        <f t="shared" ca="1" si="350"/>
        <v>24166.350000000002</v>
      </c>
      <c r="AA1024" s="4">
        <f t="shared" ca="1" si="351"/>
        <v>0.18093130937359089</v>
      </c>
    </row>
    <row r="1025" spans="1:27">
      <c r="A1025">
        <v>3</v>
      </c>
      <c r="B1025">
        <v>2</v>
      </c>
      <c r="C1025">
        <f t="shared" ca="1" si="330"/>
        <v>8</v>
      </c>
      <c r="D1025">
        <f t="shared" ca="1" si="331"/>
        <v>7</v>
      </c>
      <c r="E1025">
        <f t="shared" ca="1" si="332"/>
        <v>3</v>
      </c>
      <c r="F1025" s="110">
        <f t="shared" ca="1" si="333"/>
        <v>5.8199999999999994E-4</v>
      </c>
      <c r="G1025">
        <v>0</v>
      </c>
      <c r="H1025">
        <v>0</v>
      </c>
      <c r="I1025">
        <v>5</v>
      </c>
      <c r="J1025" s="1">
        <f t="shared" ca="1" si="334"/>
        <v>2.0311749609375038E-3</v>
      </c>
      <c r="K1025" s="1">
        <f t="shared" ca="1" si="335"/>
        <v>1.1821438272656271E-6</v>
      </c>
      <c r="L1025" s="13">
        <f t="shared" ca="1" si="336"/>
        <v>100</v>
      </c>
      <c r="M1025" s="7">
        <f t="shared" ca="1" si="337"/>
        <v>900</v>
      </c>
      <c r="N1025" s="26">
        <f t="shared" ca="1" si="338"/>
        <v>4</v>
      </c>
      <c r="O1025" s="44">
        <f t="shared" ca="1" si="339"/>
        <v>2.8910364854084887</v>
      </c>
      <c r="P1025" s="44">
        <f t="shared" ca="1" si="340"/>
        <v>28.910364854084886</v>
      </c>
      <c r="Q1025" s="44">
        <f t="shared" ca="1" si="341"/>
        <v>28.910364854084886</v>
      </c>
      <c r="R1025" s="44">
        <f t="shared" ca="1" si="342"/>
        <v>2.8910364854084887</v>
      </c>
      <c r="S1025" s="44">
        <f t="shared" ca="1" si="343"/>
        <v>2.8910364854084882</v>
      </c>
      <c r="T1025" s="4">
        <f t="shared" ca="1" si="344"/>
        <v>3.4176209356253576E-6</v>
      </c>
      <c r="U1025" s="120">
        <f t="shared" ca="1" si="345"/>
        <v>1560.6349838037554</v>
      </c>
      <c r="V1025" s="4">
        <f t="shared" ca="1" si="346"/>
        <v>1.8448950127184015E-3</v>
      </c>
      <c r="W1025" s="13">
        <f t="shared" ca="1" si="347"/>
        <v>20138.625</v>
      </c>
      <c r="X1025" s="4">
        <f t="shared" ca="1" si="348"/>
        <v>2.380675123336724E-2</v>
      </c>
      <c r="Y1025" s="4">
        <f t="shared" si="349"/>
        <v>0</v>
      </c>
      <c r="Z1025" s="13">
        <f t="shared" ca="1" si="350"/>
        <v>20138.625</v>
      </c>
      <c r="AA1025" s="4">
        <f t="shared" ca="1" si="351"/>
        <v>2.380675123336724E-2</v>
      </c>
    </row>
    <row r="1026" spans="1:27">
      <c r="A1026">
        <v>3</v>
      </c>
      <c r="B1026">
        <v>2</v>
      </c>
      <c r="C1026">
        <f t="shared" ca="1" si="330"/>
        <v>8</v>
      </c>
      <c r="D1026">
        <f t="shared" ca="1" si="331"/>
        <v>7</v>
      </c>
      <c r="E1026">
        <f t="shared" ca="1" si="332"/>
        <v>3</v>
      </c>
      <c r="F1026" s="110">
        <f t="shared" ca="1" si="333"/>
        <v>5.8199999999999994E-4</v>
      </c>
      <c r="G1026">
        <v>0</v>
      </c>
      <c r="H1026">
        <v>0</v>
      </c>
      <c r="I1026">
        <v>4</v>
      </c>
      <c r="J1026" s="1">
        <f t="shared" ca="1" si="334"/>
        <v>1.7817324218750047E-4</v>
      </c>
      <c r="K1026" s="1">
        <f t="shared" ca="1" si="335"/>
        <v>1.0369682695312526E-7</v>
      </c>
      <c r="L1026" s="13">
        <f t="shared" ca="1" si="336"/>
        <v>80</v>
      </c>
      <c r="M1026" s="7">
        <f t="shared" ca="1" si="337"/>
        <v>920</v>
      </c>
      <c r="N1026" s="26">
        <f t="shared" ca="1" si="338"/>
        <v>4</v>
      </c>
      <c r="O1026" s="44">
        <f t="shared" ca="1" si="339"/>
        <v>2.8910364854084887</v>
      </c>
      <c r="P1026" s="44">
        <f t="shared" ca="1" si="340"/>
        <v>28.910364854084886</v>
      </c>
      <c r="Q1026" s="44">
        <f t="shared" ca="1" si="341"/>
        <v>28.910364854084886</v>
      </c>
      <c r="R1026" s="44">
        <f t="shared" ca="1" si="342"/>
        <v>2.8910364854084887</v>
      </c>
      <c r="S1026" s="44">
        <f t="shared" ca="1" si="343"/>
        <v>2.8910364854084882</v>
      </c>
      <c r="T1026" s="4">
        <f t="shared" ca="1" si="344"/>
        <v>2.9979131014257544E-7</v>
      </c>
      <c r="U1026" s="120">
        <f t="shared" ca="1" si="345"/>
        <v>1540.6349838037554</v>
      </c>
      <c r="V1026" s="4">
        <f t="shared" ca="1" si="346"/>
        <v>1.5975895931342896E-4</v>
      </c>
      <c r="W1026" s="13">
        <f t="shared" ca="1" si="347"/>
        <v>16110.900000000001</v>
      </c>
      <c r="X1026" s="4">
        <f t="shared" ca="1" si="348"/>
        <v>1.670649209359106E-3</v>
      </c>
      <c r="Y1026" s="4">
        <f t="shared" si="349"/>
        <v>0</v>
      </c>
      <c r="Z1026" s="13">
        <f t="shared" ca="1" si="350"/>
        <v>16110.900000000001</v>
      </c>
      <c r="AA1026" s="4">
        <f t="shared" ca="1" si="351"/>
        <v>1.670649209359106E-3</v>
      </c>
    </row>
    <row r="1027" spans="1:27">
      <c r="A1027">
        <v>3</v>
      </c>
      <c r="B1027">
        <v>2</v>
      </c>
      <c r="C1027">
        <f t="shared" ca="1" si="330"/>
        <v>8</v>
      </c>
      <c r="D1027">
        <f t="shared" ca="1" si="331"/>
        <v>7</v>
      </c>
      <c r="E1027">
        <f t="shared" ca="1" si="332"/>
        <v>3</v>
      </c>
      <c r="F1027" s="110">
        <f t="shared" ca="1" si="333"/>
        <v>5.8199999999999994E-4</v>
      </c>
      <c r="G1027">
        <v>0</v>
      </c>
      <c r="H1027">
        <v>0</v>
      </c>
      <c r="I1027">
        <v>3</v>
      </c>
      <c r="J1027" s="1">
        <f t="shared" ca="1" si="334"/>
        <v>9.3775390625000315E-6</v>
      </c>
      <c r="K1027" s="1">
        <f t="shared" ca="1" si="335"/>
        <v>5.4577277343750182E-9</v>
      </c>
      <c r="L1027" s="13">
        <f t="shared" ca="1" si="336"/>
        <v>60</v>
      </c>
      <c r="M1027" s="7">
        <f t="shared" ca="1" si="337"/>
        <v>940</v>
      </c>
      <c r="N1027" s="26">
        <f t="shared" ca="1" si="338"/>
        <v>4</v>
      </c>
      <c r="O1027" s="44">
        <f t="shared" ca="1" si="339"/>
        <v>2.8910364854084887</v>
      </c>
      <c r="P1027" s="44">
        <f t="shared" ca="1" si="340"/>
        <v>28.910364854084886</v>
      </c>
      <c r="Q1027" s="44">
        <f t="shared" ca="1" si="341"/>
        <v>28.910364854084886</v>
      </c>
      <c r="R1027" s="44">
        <f t="shared" ca="1" si="342"/>
        <v>2.8910364854084887</v>
      </c>
      <c r="S1027" s="44">
        <f t="shared" ca="1" si="343"/>
        <v>2.8910364854084882</v>
      </c>
      <c r="T1027" s="4">
        <f t="shared" ca="1" si="344"/>
        <v>1.5778490007503985E-8</v>
      </c>
      <c r="U1027" s="120">
        <f t="shared" ca="1" si="345"/>
        <v>1520.6349838037554</v>
      </c>
      <c r="V1027" s="4">
        <f t="shared" ca="1" si="346"/>
        <v>8.2992117249666618E-6</v>
      </c>
      <c r="W1027" s="13">
        <f t="shared" ca="1" si="347"/>
        <v>12083.175000000001</v>
      </c>
      <c r="X1027" s="4">
        <f t="shared" ca="1" si="348"/>
        <v>6.5946679316806862E-5</v>
      </c>
      <c r="Y1027" s="4">
        <f t="shared" si="349"/>
        <v>0</v>
      </c>
      <c r="Z1027" s="13">
        <f t="shared" ca="1" si="350"/>
        <v>12083.175000000001</v>
      </c>
      <c r="AA1027" s="4">
        <f t="shared" ca="1" si="351"/>
        <v>6.5946679316806862E-5</v>
      </c>
    </row>
    <row r="1028" spans="1:27">
      <c r="A1028">
        <v>3</v>
      </c>
      <c r="B1028">
        <v>2</v>
      </c>
      <c r="C1028">
        <f t="shared" ca="1" si="330"/>
        <v>8</v>
      </c>
      <c r="D1028">
        <f t="shared" ca="1" si="331"/>
        <v>7</v>
      </c>
      <c r="E1028">
        <f t="shared" ca="1" si="332"/>
        <v>3</v>
      </c>
      <c r="F1028" s="110">
        <f t="shared" ca="1" si="333"/>
        <v>5.8199999999999994E-4</v>
      </c>
      <c r="G1028">
        <v>0</v>
      </c>
      <c r="H1028">
        <v>0</v>
      </c>
      <c r="I1028">
        <v>2</v>
      </c>
      <c r="J1028" s="1">
        <f t="shared" ca="1" si="334"/>
        <v>2.961328125000013E-7</v>
      </c>
      <c r="K1028" s="1">
        <f t="shared" ca="1" si="335"/>
        <v>1.7234929687500074E-10</v>
      </c>
      <c r="L1028" s="13">
        <f t="shared" ca="1" si="336"/>
        <v>40</v>
      </c>
      <c r="M1028" s="7">
        <f t="shared" ca="1" si="337"/>
        <v>960</v>
      </c>
      <c r="N1028" s="26">
        <f t="shared" ca="1" si="338"/>
        <v>4</v>
      </c>
      <c r="O1028" s="44">
        <f t="shared" ca="1" si="339"/>
        <v>2.8910364854084887</v>
      </c>
      <c r="P1028" s="44">
        <f t="shared" ca="1" si="340"/>
        <v>28.910364854084886</v>
      </c>
      <c r="Q1028" s="44">
        <f t="shared" ca="1" si="341"/>
        <v>28.910364854084886</v>
      </c>
      <c r="R1028" s="44">
        <f t="shared" ca="1" si="342"/>
        <v>2.8910364854084887</v>
      </c>
      <c r="S1028" s="44">
        <f t="shared" ca="1" si="343"/>
        <v>2.8910364854084882</v>
      </c>
      <c r="T1028" s="4">
        <f t="shared" ca="1" si="344"/>
        <v>4.9826810550012623E-10</v>
      </c>
      <c r="U1028" s="120">
        <f t="shared" ca="1" si="345"/>
        <v>1500.6349838037554</v>
      </c>
      <c r="V1028" s="4">
        <f t="shared" ca="1" si="346"/>
        <v>2.5863338432460534E-7</v>
      </c>
      <c r="W1028" s="13">
        <f t="shared" ca="1" si="347"/>
        <v>8055.4500000000007</v>
      </c>
      <c r="X1028" s="4">
        <f t="shared" ca="1" si="348"/>
        <v>1.3883511435117248E-6</v>
      </c>
      <c r="Y1028" s="4">
        <f t="shared" si="349"/>
        <v>0</v>
      </c>
      <c r="Z1028" s="13">
        <f t="shared" ca="1" si="350"/>
        <v>8055.4500000000007</v>
      </c>
      <c r="AA1028" s="4">
        <f t="shared" ca="1" si="351"/>
        <v>1.3883511435117248E-6</v>
      </c>
    </row>
    <row r="1029" spans="1:27">
      <c r="A1029">
        <v>3</v>
      </c>
      <c r="B1029">
        <v>2</v>
      </c>
      <c r="C1029">
        <f t="shared" ca="1" si="330"/>
        <v>8</v>
      </c>
      <c r="D1029">
        <f t="shared" ca="1" si="331"/>
        <v>7</v>
      </c>
      <c r="E1029">
        <f t="shared" ca="1" si="332"/>
        <v>3</v>
      </c>
      <c r="F1029" s="110">
        <f t="shared" ca="1" si="333"/>
        <v>5.8199999999999994E-4</v>
      </c>
      <c r="G1029">
        <v>0</v>
      </c>
      <c r="H1029">
        <v>0</v>
      </c>
      <c r="I1029">
        <v>1</v>
      </c>
      <c r="J1029" s="1">
        <f t="shared" ca="1" si="334"/>
        <v>5.1953125000000272E-9</v>
      </c>
      <c r="K1029" s="1">
        <f t="shared" ca="1" si="335"/>
        <v>3.0236718750000154E-12</v>
      </c>
      <c r="L1029" s="13">
        <f t="shared" ca="1" si="336"/>
        <v>20</v>
      </c>
      <c r="M1029" s="7">
        <f t="shared" ca="1" si="337"/>
        <v>980</v>
      </c>
      <c r="N1029" s="26">
        <f t="shared" ca="1" si="338"/>
        <v>4</v>
      </c>
      <c r="O1029" s="44">
        <f t="shared" ca="1" si="339"/>
        <v>2.8910364854084887</v>
      </c>
      <c r="P1029" s="44">
        <f t="shared" ca="1" si="340"/>
        <v>28.910364854084886</v>
      </c>
      <c r="Q1029" s="44">
        <f t="shared" ca="1" si="341"/>
        <v>28.910364854084886</v>
      </c>
      <c r="R1029" s="44">
        <f t="shared" ca="1" si="342"/>
        <v>2.8910364854084887</v>
      </c>
      <c r="S1029" s="44">
        <f t="shared" ca="1" si="343"/>
        <v>2.8910364854084882</v>
      </c>
      <c r="T1029" s="4">
        <f t="shared" ca="1" si="344"/>
        <v>8.7415457105285382E-12</v>
      </c>
      <c r="U1029" s="120">
        <f t="shared" ca="1" si="345"/>
        <v>1480.6349838037554</v>
      </c>
      <c r="V1029" s="4">
        <f t="shared" ca="1" si="346"/>
        <v>4.4769543576685182E-9</v>
      </c>
      <c r="W1029" s="13">
        <f t="shared" ca="1" si="347"/>
        <v>4027.7250000000004</v>
      </c>
      <c r="X1029" s="4">
        <f t="shared" ca="1" si="348"/>
        <v>1.2178518802734439E-8</v>
      </c>
      <c r="Y1029" s="4">
        <f t="shared" si="349"/>
        <v>0</v>
      </c>
      <c r="Z1029" s="13">
        <f t="shared" ca="1" si="350"/>
        <v>4027.7250000000004</v>
      </c>
      <c r="AA1029" s="4">
        <f t="shared" ca="1" si="351"/>
        <v>1.2178518802734439E-8</v>
      </c>
    </row>
    <row r="1030" spans="1:27">
      <c r="A1030">
        <v>3</v>
      </c>
      <c r="B1030">
        <v>2</v>
      </c>
      <c r="C1030">
        <f t="shared" ca="1" si="330"/>
        <v>8</v>
      </c>
      <c r="D1030">
        <f t="shared" ca="1" si="331"/>
        <v>7</v>
      </c>
      <c r="E1030">
        <f t="shared" ca="1" si="332"/>
        <v>3</v>
      </c>
      <c r="F1030" s="110">
        <f t="shared" ca="1" si="333"/>
        <v>5.8199999999999994E-4</v>
      </c>
      <c r="G1030">
        <v>0</v>
      </c>
      <c r="H1030">
        <v>0</v>
      </c>
      <c r="I1030">
        <v>0</v>
      </c>
      <c r="J1030" s="1">
        <f t="shared" ca="1" si="334"/>
        <v>3.9062500000000246E-11</v>
      </c>
      <c r="K1030" s="1">
        <f t="shared" ca="1" si="335"/>
        <v>2.2734375000000141E-14</v>
      </c>
      <c r="L1030" s="13">
        <f t="shared" ca="1" si="336"/>
        <v>0</v>
      </c>
      <c r="M1030" s="7">
        <f t="shared" ca="1" si="337"/>
        <v>1000</v>
      </c>
      <c r="N1030" s="26">
        <f t="shared" ca="1" si="338"/>
        <v>4</v>
      </c>
      <c r="O1030" s="44">
        <f t="shared" ca="1" si="339"/>
        <v>2.8910364854084887</v>
      </c>
      <c r="P1030" s="44">
        <f t="shared" ca="1" si="340"/>
        <v>28.910364854084886</v>
      </c>
      <c r="Q1030" s="44">
        <f t="shared" ca="1" si="341"/>
        <v>28.910364854084886</v>
      </c>
      <c r="R1030" s="44">
        <f t="shared" ca="1" si="342"/>
        <v>2.8910364854084887</v>
      </c>
      <c r="S1030" s="44">
        <f t="shared" ca="1" si="343"/>
        <v>2.8910364854084882</v>
      </c>
      <c r="T1030" s="4">
        <f t="shared" ca="1" si="344"/>
        <v>6.5725907597959014E-14</v>
      </c>
      <c r="U1030" s="120">
        <f t="shared" ca="1" si="345"/>
        <v>1460.6349838037554</v>
      </c>
      <c r="V1030" s="4">
        <f t="shared" ca="1" si="346"/>
        <v>3.320662345991371E-11</v>
      </c>
      <c r="W1030" s="13">
        <f t="shared" ca="1" si="347"/>
        <v>0</v>
      </c>
      <c r="X1030" s="4">
        <f t="shared" ca="1" si="348"/>
        <v>0</v>
      </c>
      <c r="Y1030" s="4">
        <f t="shared" si="349"/>
        <v>0</v>
      </c>
      <c r="Z1030" s="13">
        <f t="shared" ca="1" si="350"/>
        <v>0</v>
      </c>
      <c r="AA1030" s="4">
        <f t="shared" ca="1" si="351"/>
        <v>0</v>
      </c>
    </row>
    <row r="1031" spans="1:27">
      <c r="A1031">
        <v>3</v>
      </c>
      <c r="B1031">
        <v>3</v>
      </c>
      <c r="C1031">
        <f t="shared" ca="1" si="330"/>
        <v>8</v>
      </c>
      <c r="D1031">
        <f t="shared" ca="1" si="331"/>
        <v>7</v>
      </c>
      <c r="E1031">
        <f t="shared" ca="1" si="332"/>
        <v>3</v>
      </c>
      <c r="F1031" s="110">
        <f t="shared" ca="1" si="333"/>
        <v>8.9999999999999998E-4</v>
      </c>
      <c r="G1031">
        <v>1</v>
      </c>
      <c r="H1031">
        <v>1</v>
      </c>
      <c r="I1031">
        <v>7</v>
      </c>
      <c r="J1031" s="1">
        <f t="shared" ca="1" si="334"/>
        <v>0</v>
      </c>
      <c r="K1031" s="1">
        <f t="shared" ca="1" si="335"/>
        <v>0</v>
      </c>
      <c r="L1031" s="13">
        <f t="shared" ca="1" si="336"/>
        <v>648</v>
      </c>
      <c r="M1031" s="7">
        <f t="shared" ca="1" si="337"/>
        <v>352</v>
      </c>
      <c r="N1031" s="26">
        <f t="shared" ca="1" si="338"/>
        <v>2</v>
      </c>
      <c r="O1031" s="44">
        <f t="shared" ca="1" si="339"/>
        <v>1.5942243152407929</v>
      </c>
      <c r="P1031" s="44">
        <f t="shared" ca="1" si="340"/>
        <v>15.942243152407926</v>
      </c>
      <c r="Q1031" s="44">
        <f t="shared" ca="1" si="341"/>
        <v>15.942243152407926</v>
      </c>
      <c r="R1031" s="44">
        <f t="shared" ca="1" si="342"/>
        <v>1.5942243152407927</v>
      </c>
      <c r="S1031" s="44">
        <f t="shared" ca="1" si="343"/>
        <v>1.5942243152407927</v>
      </c>
      <c r="T1031" s="4">
        <f t="shared" ca="1" si="344"/>
        <v>0</v>
      </c>
      <c r="U1031" s="120">
        <f t="shared" ca="1" si="345"/>
        <v>1550.3348669012169</v>
      </c>
      <c r="V1031" s="4">
        <f t="shared" ca="1" si="346"/>
        <v>0</v>
      </c>
      <c r="W1031" s="13">
        <f t="shared" ca="1" si="347"/>
        <v>32946.790500000003</v>
      </c>
      <c r="X1031" s="4">
        <f t="shared" ca="1" si="348"/>
        <v>0</v>
      </c>
      <c r="Y1031" s="4">
        <f t="shared" si="349"/>
        <v>0</v>
      </c>
      <c r="Z1031" s="13">
        <f t="shared" ca="1" si="350"/>
        <v>32946.790500000003</v>
      </c>
      <c r="AA1031" s="4">
        <f t="shared" ca="1" si="351"/>
        <v>0</v>
      </c>
    </row>
    <row r="1032" spans="1:27">
      <c r="A1032">
        <v>3</v>
      </c>
      <c r="B1032">
        <v>3</v>
      </c>
      <c r="C1032">
        <f t="shared" ca="1" si="330"/>
        <v>8</v>
      </c>
      <c r="D1032">
        <f t="shared" ca="1" si="331"/>
        <v>7</v>
      </c>
      <c r="E1032">
        <f t="shared" ca="1" si="332"/>
        <v>3</v>
      </c>
      <c r="F1032" s="110">
        <f t="shared" ca="1" si="333"/>
        <v>8.9999999999999998E-4</v>
      </c>
      <c r="G1032">
        <v>1</v>
      </c>
      <c r="H1032">
        <v>1</v>
      </c>
      <c r="I1032">
        <v>6</v>
      </c>
      <c r="J1032" s="1">
        <f t="shared" ca="1" si="334"/>
        <v>0</v>
      </c>
      <c r="K1032" s="1">
        <f t="shared" ca="1" si="335"/>
        <v>0</v>
      </c>
      <c r="L1032" s="13">
        <f t="shared" ca="1" si="336"/>
        <v>628</v>
      </c>
      <c r="M1032" s="7">
        <f t="shared" ca="1" si="337"/>
        <v>372</v>
      </c>
      <c r="N1032" s="26">
        <f t="shared" ca="1" si="338"/>
        <v>2</v>
      </c>
      <c r="O1032" s="44">
        <f t="shared" ca="1" si="339"/>
        <v>1.5942243152407929</v>
      </c>
      <c r="P1032" s="44">
        <f t="shared" ca="1" si="340"/>
        <v>15.942243152407926</v>
      </c>
      <c r="Q1032" s="44">
        <f t="shared" ca="1" si="341"/>
        <v>15.942243152407926</v>
      </c>
      <c r="R1032" s="44">
        <f t="shared" ca="1" si="342"/>
        <v>1.5942243152407927</v>
      </c>
      <c r="S1032" s="44">
        <f t="shared" ca="1" si="343"/>
        <v>1.5942243152407927</v>
      </c>
      <c r="T1032" s="4">
        <f t="shared" ca="1" si="344"/>
        <v>0</v>
      </c>
      <c r="U1032" s="120">
        <f t="shared" ca="1" si="345"/>
        <v>1530.3348669012169</v>
      </c>
      <c r="V1032" s="4">
        <f t="shared" ca="1" si="346"/>
        <v>0</v>
      </c>
      <c r="W1032" s="13">
        <f t="shared" ca="1" si="347"/>
        <v>28919.065500000004</v>
      </c>
      <c r="X1032" s="4">
        <f t="shared" ca="1" si="348"/>
        <v>0</v>
      </c>
      <c r="Y1032" s="4">
        <f t="shared" si="349"/>
        <v>0</v>
      </c>
      <c r="Z1032" s="13">
        <f t="shared" ca="1" si="350"/>
        <v>28919.065500000004</v>
      </c>
      <c r="AA1032" s="4">
        <f t="shared" ca="1" si="351"/>
        <v>0</v>
      </c>
    </row>
    <row r="1033" spans="1:27">
      <c r="A1033">
        <v>3</v>
      </c>
      <c r="B1033">
        <v>3</v>
      </c>
      <c r="C1033">
        <f t="shared" ca="1" si="330"/>
        <v>8</v>
      </c>
      <c r="D1033">
        <f t="shared" ca="1" si="331"/>
        <v>7</v>
      </c>
      <c r="E1033">
        <f t="shared" ca="1" si="332"/>
        <v>3</v>
      </c>
      <c r="F1033" s="110">
        <f t="shared" ca="1" si="333"/>
        <v>8.9999999999999998E-4</v>
      </c>
      <c r="G1033">
        <v>1</v>
      </c>
      <c r="H1033">
        <v>1</v>
      </c>
      <c r="I1033">
        <v>5</v>
      </c>
      <c r="J1033" s="1">
        <f t="shared" ca="1" si="334"/>
        <v>0</v>
      </c>
      <c r="K1033" s="1">
        <f t="shared" ca="1" si="335"/>
        <v>0</v>
      </c>
      <c r="L1033" s="13">
        <f t="shared" ca="1" si="336"/>
        <v>608</v>
      </c>
      <c r="M1033" s="7">
        <f t="shared" ca="1" si="337"/>
        <v>392</v>
      </c>
      <c r="N1033" s="26">
        <f t="shared" ca="1" si="338"/>
        <v>2</v>
      </c>
      <c r="O1033" s="44">
        <f t="shared" ca="1" si="339"/>
        <v>1.5942243152407929</v>
      </c>
      <c r="P1033" s="44">
        <f t="shared" ca="1" si="340"/>
        <v>15.942243152407926</v>
      </c>
      <c r="Q1033" s="44">
        <f t="shared" ca="1" si="341"/>
        <v>15.942243152407926</v>
      </c>
      <c r="R1033" s="44">
        <f t="shared" ca="1" si="342"/>
        <v>1.5942243152407927</v>
      </c>
      <c r="S1033" s="44">
        <f t="shared" ca="1" si="343"/>
        <v>1.5942243152407927</v>
      </c>
      <c r="T1033" s="4">
        <f t="shared" ca="1" si="344"/>
        <v>0</v>
      </c>
      <c r="U1033" s="120">
        <f t="shared" ca="1" si="345"/>
        <v>1510.3348669012169</v>
      </c>
      <c r="V1033" s="4">
        <f t="shared" ca="1" si="346"/>
        <v>0</v>
      </c>
      <c r="W1033" s="13">
        <f t="shared" ca="1" si="347"/>
        <v>24891.340500000002</v>
      </c>
      <c r="X1033" s="4">
        <f t="shared" ca="1" si="348"/>
        <v>0</v>
      </c>
      <c r="Y1033" s="4">
        <f t="shared" si="349"/>
        <v>0</v>
      </c>
      <c r="Z1033" s="13">
        <f t="shared" ca="1" si="350"/>
        <v>24891.340500000002</v>
      </c>
      <c r="AA1033" s="4">
        <f t="shared" ca="1" si="351"/>
        <v>0</v>
      </c>
    </row>
    <row r="1034" spans="1:27">
      <c r="A1034">
        <v>3</v>
      </c>
      <c r="B1034">
        <v>3</v>
      </c>
      <c r="C1034">
        <f t="shared" ca="1" si="330"/>
        <v>8</v>
      </c>
      <c r="D1034">
        <f t="shared" ca="1" si="331"/>
        <v>7</v>
      </c>
      <c r="E1034">
        <f t="shared" ca="1" si="332"/>
        <v>3</v>
      </c>
      <c r="F1034" s="110">
        <f t="shared" ca="1" si="333"/>
        <v>8.9999999999999998E-4</v>
      </c>
      <c r="G1034">
        <v>1</v>
      </c>
      <c r="H1034">
        <v>1</v>
      </c>
      <c r="I1034">
        <v>4</v>
      </c>
      <c r="J1034" s="1">
        <f t="shared" ca="1" si="334"/>
        <v>0</v>
      </c>
      <c r="K1034" s="1">
        <f t="shared" ca="1" si="335"/>
        <v>0</v>
      </c>
      <c r="L1034" s="13">
        <f t="shared" ca="1" si="336"/>
        <v>588</v>
      </c>
      <c r="M1034" s="7">
        <f t="shared" ca="1" si="337"/>
        <v>412</v>
      </c>
      <c r="N1034" s="26">
        <f t="shared" ca="1" si="338"/>
        <v>2</v>
      </c>
      <c r="O1034" s="44">
        <f t="shared" ca="1" si="339"/>
        <v>1.5942243152407929</v>
      </c>
      <c r="P1034" s="44">
        <f t="shared" ca="1" si="340"/>
        <v>15.942243152407926</v>
      </c>
      <c r="Q1034" s="44">
        <f t="shared" ca="1" si="341"/>
        <v>15.942243152407926</v>
      </c>
      <c r="R1034" s="44">
        <f t="shared" ca="1" si="342"/>
        <v>1.5942243152407927</v>
      </c>
      <c r="S1034" s="44">
        <f t="shared" ca="1" si="343"/>
        <v>1.5942243152407927</v>
      </c>
      <c r="T1034" s="4">
        <f t="shared" ca="1" si="344"/>
        <v>0</v>
      </c>
      <c r="U1034" s="120">
        <f t="shared" ca="1" si="345"/>
        <v>1490.3348669012169</v>
      </c>
      <c r="V1034" s="4">
        <f t="shared" ca="1" si="346"/>
        <v>0</v>
      </c>
      <c r="W1034" s="13">
        <f t="shared" ca="1" si="347"/>
        <v>20863.615500000004</v>
      </c>
      <c r="X1034" s="4">
        <f t="shared" ca="1" si="348"/>
        <v>0</v>
      </c>
      <c r="Y1034" s="4">
        <f t="shared" si="349"/>
        <v>0</v>
      </c>
      <c r="Z1034" s="13">
        <f t="shared" ca="1" si="350"/>
        <v>20863.615500000004</v>
      </c>
      <c r="AA1034" s="4">
        <f t="shared" ca="1" si="351"/>
        <v>0</v>
      </c>
    </row>
    <row r="1035" spans="1:27">
      <c r="A1035">
        <v>3</v>
      </c>
      <c r="B1035">
        <v>3</v>
      </c>
      <c r="C1035">
        <f t="shared" ca="1" si="330"/>
        <v>8</v>
      </c>
      <c r="D1035">
        <f t="shared" ca="1" si="331"/>
        <v>7</v>
      </c>
      <c r="E1035">
        <f t="shared" ca="1" si="332"/>
        <v>3</v>
      </c>
      <c r="F1035" s="110">
        <f t="shared" ca="1" si="333"/>
        <v>8.9999999999999998E-4</v>
      </c>
      <c r="G1035">
        <v>1</v>
      </c>
      <c r="H1035">
        <v>1</v>
      </c>
      <c r="I1035">
        <v>3</v>
      </c>
      <c r="J1035" s="1">
        <f t="shared" ca="1" si="334"/>
        <v>0</v>
      </c>
      <c r="K1035" s="1">
        <f t="shared" ca="1" si="335"/>
        <v>0</v>
      </c>
      <c r="L1035" s="13">
        <f t="shared" ca="1" si="336"/>
        <v>568</v>
      </c>
      <c r="M1035" s="7">
        <f t="shared" ca="1" si="337"/>
        <v>432</v>
      </c>
      <c r="N1035" s="26">
        <f t="shared" ca="1" si="338"/>
        <v>2</v>
      </c>
      <c r="O1035" s="44">
        <f t="shared" ca="1" si="339"/>
        <v>1.5942243152407929</v>
      </c>
      <c r="P1035" s="44">
        <f t="shared" ca="1" si="340"/>
        <v>15.942243152407926</v>
      </c>
      <c r="Q1035" s="44">
        <f t="shared" ca="1" si="341"/>
        <v>15.942243152407926</v>
      </c>
      <c r="R1035" s="44">
        <f t="shared" ca="1" si="342"/>
        <v>1.5942243152407927</v>
      </c>
      <c r="S1035" s="44">
        <f t="shared" ca="1" si="343"/>
        <v>1.5942243152407927</v>
      </c>
      <c r="T1035" s="4">
        <f t="shared" ca="1" si="344"/>
        <v>0</v>
      </c>
      <c r="U1035" s="120">
        <f t="shared" ca="1" si="345"/>
        <v>1470.3348669012169</v>
      </c>
      <c r="V1035" s="4">
        <f t="shared" ca="1" si="346"/>
        <v>0</v>
      </c>
      <c r="W1035" s="13">
        <f t="shared" ca="1" si="347"/>
        <v>16835.890500000001</v>
      </c>
      <c r="X1035" s="4">
        <f t="shared" ca="1" si="348"/>
        <v>0</v>
      </c>
      <c r="Y1035" s="4">
        <f t="shared" si="349"/>
        <v>0</v>
      </c>
      <c r="Z1035" s="13">
        <f t="shared" ca="1" si="350"/>
        <v>16835.890500000001</v>
      </c>
      <c r="AA1035" s="4">
        <f t="shared" ca="1" si="351"/>
        <v>0</v>
      </c>
    </row>
    <row r="1036" spans="1:27">
      <c r="A1036">
        <v>3</v>
      </c>
      <c r="B1036">
        <v>3</v>
      </c>
      <c r="C1036">
        <f t="shared" ca="1" si="330"/>
        <v>8</v>
      </c>
      <c r="D1036">
        <f t="shared" ca="1" si="331"/>
        <v>7</v>
      </c>
      <c r="E1036">
        <f t="shared" ca="1" si="332"/>
        <v>3</v>
      </c>
      <c r="F1036" s="110">
        <f t="shared" ca="1" si="333"/>
        <v>8.9999999999999998E-4</v>
      </c>
      <c r="G1036">
        <v>1</v>
      </c>
      <c r="H1036">
        <v>1</v>
      </c>
      <c r="I1036">
        <v>2</v>
      </c>
      <c r="J1036" s="1">
        <f t="shared" ca="1" si="334"/>
        <v>0</v>
      </c>
      <c r="K1036" s="1">
        <f t="shared" ca="1" si="335"/>
        <v>0</v>
      </c>
      <c r="L1036" s="13">
        <f t="shared" ca="1" si="336"/>
        <v>548</v>
      </c>
      <c r="M1036" s="7">
        <f t="shared" ca="1" si="337"/>
        <v>452</v>
      </c>
      <c r="N1036" s="26">
        <f t="shared" ca="1" si="338"/>
        <v>2</v>
      </c>
      <c r="O1036" s="44">
        <f t="shared" ca="1" si="339"/>
        <v>1.5942243152407929</v>
      </c>
      <c r="P1036" s="44">
        <f t="shared" ca="1" si="340"/>
        <v>15.942243152407926</v>
      </c>
      <c r="Q1036" s="44">
        <f t="shared" ca="1" si="341"/>
        <v>15.942243152407926</v>
      </c>
      <c r="R1036" s="44">
        <f t="shared" ca="1" si="342"/>
        <v>1.5942243152407927</v>
      </c>
      <c r="S1036" s="44">
        <f t="shared" ca="1" si="343"/>
        <v>1.5942243152407927</v>
      </c>
      <c r="T1036" s="4">
        <f t="shared" ca="1" si="344"/>
        <v>0</v>
      </c>
      <c r="U1036" s="120">
        <f t="shared" ca="1" si="345"/>
        <v>1450.3348669012169</v>
      </c>
      <c r="V1036" s="4">
        <f t="shared" ca="1" si="346"/>
        <v>0</v>
      </c>
      <c r="W1036" s="13">
        <f t="shared" ca="1" si="347"/>
        <v>12808.165500000003</v>
      </c>
      <c r="X1036" s="4">
        <f t="shared" ca="1" si="348"/>
        <v>0</v>
      </c>
      <c r="Y1036" s="4">
        <f t="shared" si="349"/>
        <v>0</v>
      </c>
      <c r="Z1036" s="13">
        <f t="shared" ca="1" si="350"/>
        <v>12808.165500000003</v>
      </c>
      <c r="AA1036" s="4">
        <f t="shared" ca="1" si="351"/>
        <v>0</v>
      </c>
    </row>
    <row r="1037" spans="1:27">
      <c r="A1037">
        <v>3</v>
      </c>
      <c r="B1037">
        <v>3</v>
      </c>
      <c r="C1037">
        <f t="shared" ca="1" si="330"/>
        <v>8</v>
      </c>
      <c r="D1037">
        <f t="shared" ca="1" si="331"/>
        <v>7</v>
      </c>
      <c r="E1037">
        <f t="shared" ca="1" si="332"/>
        <v>3</v>
      </c>
      <c r="F1037" s="110">
        <f t="shared" ca="1" si="333"/>
        <v>8.9999999999999998E-4</v>
      </c>
      <c r="G1037">
        <v>1</v>
      </c>
      <c r="H1037">
        <v>1</v>
      </c>
      <c r="I1037">
        <v>1</v>
      </c>
      <c r="J1037" s="1">
        <f t="shared" ca="1" si="334"/>
        <v>0</v>
      </c>
      <c r="K1037" s="1">
        <f t="shared" ca="1" si="335"/>
        <v>0</v>
      </c>
      <c r="L1037" s="13">
        <f t="shared" ca="1" si="336"/>
        <v>528</v>
      </c>
      <c r="M1037" s="7">
        <f t="shared" ca="1" si="337"/>
        <v>472</v>
      </c>
      <c r="N1037" s="26">
        <f t="shared" ca="1" si="338"/>
        <v>2</v>
      </c>
      <c r="O1037" s="44">
        <f t="shared" ca="1" si="339"/>
        <v>1.5942243152407929</v>
      </c>
      <c r="P1037" s="44">
        <f t="shared" ca="1" si="340"/>
        <v>15.942243152407926</v>
      </c>
      <c r="Q1037" s="44">
        <f t="shared" ca="1" si="341"/>
        <v>15.942243152407926</v>
      </c>
      <c r="R1037" s="44">
        <f t="shared" ca="1" si="342"/>
        <v>1.5942243152407927</v>
      </c>
      <c r="S1037" s="44">
        <f t="shared" ca="1" si="343"/>
        <v>1.5942243152407927</v>
      </c>
      <c r="T1037" s="4">
        <f t="shared" ca="1" si="344"/>
        <v>0</v>
      </c>
      <c r="U1037" s="120">
        <f t="shared" ca="1" si="345"/>
        <v>1430.3348669012169</v>
      </c>
      <c r="V1037" s="4">
        <f t="shared" ca="1" si="346"/>
        <v>0</v>
      </c>
      <c r="W1037" s="13">
        <f t="shared" ca="1" si="347"/>
        <v>8780.4405000000006</v>
      </c>
      <c r="X1037" s="4">
        <f t="shared" ca="1" si="348"/>
        <v>0</v>
      </c>
      <c r="Y1037" s="4">
        <f t="shared" si="349"/>
        <v>0</v>
      </c>
      <c r="Z1037" s="13">
        <f t="shared" ca="1" si="350"/>
        <v>8780.4405000000006</v>
      </c>
      <c r="AA1037" s="4">
        <f t="shared" ca="1" si="351"/>
        <v>0</v>
      </c>
    </row>
    <row r="1038" spans="1:27">
      <c r="A1038">
        <v>3</v>
      </c>
      <c r="B1038">
        <v>3</v>
      </c>
      <c r="C1038">
        <f t="shared" ca="1" si="330"/>
        <v>8</v>
      </c>
      <c r="D1038">
        <f t="shared" ca="1" si="331"/>
        <v>7</v>
      </c>
      <c r="E1038">
        <f t="shared" ca="1" si="332"/>
        <v>3</v>
      </c>
      <c r="F1038" s="110">
        <f t="shared" ca="1" si="333"/>
        <v>8.9999999999999998E-4</v>
      </c>
      <c r="G1038">
        <v>1</v>
      </c>
      <c r="H1038">
        <v>1</v>
      </c>
      <c r="I1038">
        <v>0</v>
      </c>
      <c r="J1038" s="1">
        <f t="shared" ca="1" si="334"/>
        <v>0</v>
      </c>
      <c r="K1038" s="1">
        <f t="shared" ca="1" si="335"/>
        <v>0</v>
      </c>
      <c r="L1038" s="13">
        <f t="shared" ca="1" si="336"/>
        <v>508</v>
      </c>
      <c r="M1038" s="7">
        <f t="shared" ca="1" si="337"/>
        <v>492</v>
      </c>
      <c r="N1038" s="26">
        <f t="shared" ca="1" si="338"/>
        <v>2</v>
      </c>
      <c r="O1038" s="44">
        <f t="shared" ca="1" si="339"/>
        <v>1.5942243152407929</v>
      </c>
      <c r="P1038" s="44">
        <f t="shared" ca="1" si="340"/>
        <v>15.942243152407926</v>
      </c>
      <c r="Q1038" s="44">
        <f t="shared" ca="1" si="341"/>
        <v>15.942243152407926</v>
      </c>
      <c r="R1038" s="44">
        <f t="shared" ca="1" si="342"/>
        <v>1.5942243152407927</v>
      </c>
      <c r="S1038" s="44">
        <f t="shared" ca="1" si="343"/>
        <v>1.5942243152407927</v>
      </c>
      <c r="T1038" s="4">
        <f t="shared" ca="1" si="344"/>
        <v>0</v>
      </c>
      <c r="U1038" s="120">
        <f t="shared" ca="1" si="345"/>
        <v>1410.3348669012169</v>
      </c>
      <c r="V1038" s="4">
        <f t="shared" ca="1" si="346"/>
        <v>0</v>
      </c>
      <c r="W1038" s="13">
        <f t="shared" ca="1" si="347"/>
        <v>4752.7155000000012</v>
      </c>
      <c r="X1038" s="4">
        <f t="shared" ca="1" si="348"/>
        <v>0</v>
      </c>
      <c r="Y1038" s="4">
        <f t="shared" si="349"/>
        <v>0</v>
      </c>
      <c r="Z1038" s="13">
        <f t="shared" ca="1" si="350"/>
        <v>4752.7155000000012</v>
      </c>
      <c r="AA1038" s="4">
        <f t="shared" ca="1" si="351"/>
        <v>0</v>
      </c>
    </row>
    <row r="1039" spans="1:27">
      <c r="A1039">
        <v>3</v>
      </c>
      <c r="B1039">
        <v>3</v>
      </c>
      <c r="C1039">
        <f t="shared" ca="1" si="330"/>
        <v>8</v>
      </c>
      <c r="D1039">
        <f t="shared" ca="1" si="331"/>
        <v>7</v>
      </c>
      <c r="E1039">
        <f t="shared" ca="1" si="332"/>
        <v>3</v>
      </c>
      <c r="F1039" s="110">
        <f t="shared" ca="1" si="333"/>
        <v>8.9999999999999998E-4</v>
      </c>
      <c r="G1039">
        <v>1</v>
      </c>
      <c r="H1039">
        <v>0</v>
      </c>
      <c r="I1039">
        <v>7</v>
      </c>
      <c r="J1039" s="1">
        <f t="shared" ca="1" si="334"/>
        <v>0.66342043128906247</v>
      </c>
      <c r="K1039" s="1">
        <f t="shared" ca="1" si="335"/>
        <v>5.9707838816015616E-4</v>
      </c>
      <c r="L1039" s="13">
        <f t="shared" ca="1" si="336"/>
        <v>394</v>
      </c>
      <c r="M1039" s="7">
        <f t="shared" ca="1" si="337"/>
        <v>606</v>
      </c>
      <c r="N1039" s="26">
        <f t="shared" ca="1" si="338"/>
        <v>3</v>
      </c>
      <c r="O1039" s="44">
        <f t="shared" ca="1" si="339"/>
        <v>2.2641455309069398</v>
      </c>
      <c r="P1039" s="44">
        <f t="shared" ca="1" si="340"/>
        <v>22.641455309069404</v>
      </c>
      <c r="Q1039" s="44">
        <f t="shared" ca="1" si="341"/>
        <v>22.641455309069404</v>
      </c>
      <c r="R1039" s="44">
        <f t="shared" ca="1" si="342"/>
        <v>2.2641455309069403</v>
      </c>
      <c r="S1039" s="44">
        <f t="shared" ca="1" si="343"/>
        <v>2.2641455309069398</v>
      </c>
      <c r="T1039" s="4">
        <f t="shared" ca="1" si="344"/>
        <v>1.3518723641539367E-3</v>
      </c>
      <c r="U1039" s="120">
        <f t="shared" ca="1" si="345"/>
        <v>1584.7475619899244</v>
      </c>
      <c r="V1039" s="4">
        <f t="shared" ca="1" si="346"/>
        <v>0.94621851995368123</v>
      </c>
      <c r="W1039" s="13">
        <f t="shared" ca="1" si="347"/>
        <v>32946.790500000003</v>
      </c>
      <c r="X1039" s="4">
        <f t="shared" ca="1" si="348"/>
        <v>19.671816566790348</v>
      </c>
      <c r="Y1039" s="4">
        <f t="shared" si="349"/>
        <v>0</v>
      </c>
      <c r="Z1039" s="13">
        <f t="shared" ca="1" si="350"/>
        <v>32946.790500000003</v>
      </c>
      <c r="AA1039" s="4">
        <f t="shared" ca="1" si="351"/>
        <v>19.671816566790348</v>
      </c>
    </row>
    <row r="1040" spans="1:27">
      <c r="A1040">
        <v>3</v>
      </c>
      <c r="B1040">
        <v>3</v>
      </c>
      <c r="C1040">
        <f t="shared" ca="1" si="330"/>
        <v>8</v>
      </c>
      <c r="D1040">
        <f t="shared" ca="1" si="331"/>
        <v>7</v>
      </c>
      <c r="E1040">
        <f t="shared" ca="1" si="332"/>
        <v>3</v>
      </c>
      <c r="F1040" s="110">
        <f t="shared" ca="1" si="333"/>
        <v>8.9999999999999998E-4</v>
      </c>
      <c r="G1040">
        <v>1</v>
      </c>
      <c r="H1040">
        <v>0</v>
      </c>
      <c r="I1040">
        <v>6</v>
      </c>
      <c r="J1040" s="1">
        <f t="shared" ca="1" si="334"/>
        <v>0.24441805363281272</v>
      </c>
      <c r="K1040" s="1">
        <f t="shared" ca="1" si="335"/>
        <v>2.1997624826953143E-4</v>
      </c>
      <c r="L1040" s="13">
        <f t="shared" ca="1" si="336"/>
        <v>374</v>
      </c>
      <c r="M1040" s="7">
        <f t="shared" ca="1" si="337"/>
        <v>626</v>
      </c>
      <c r="N1040" s="26">
        <f t="shared" ca="1" si="338"/>
        <v>3</v>
      </c>
      <c r="O1040" s="44">
        <f t="shared" ca="1" si="339"/>
        <v>2.2641455309069398</v>
      </c>
      <c r="P1040" s="44">
        <f t="shared" ca="1" si="340"/>
        <v>22.641455309069404</v>
      </c>
      <c r="Q1040" s="44">
        <f t="shared" ca="1" si="341"/>
        <v>22.641455309069404</v>
      </c>
      <c r="R1040" s="44">
        <f t="shared" ca="1" si="342"/>
        <v>2.2641455309069403</v>
      </c>
      <c r="S1040" s="44">
        <f t="shared" ca="1" si="343"/>
        <v>2.2641455309069398</v>
      </c>
      <c r="T1040" s="4">
        <f t="shared" ca="1" si="344"/>
        <v>4.98058239425135E-4</v>
      </c>
      <c r="U1040" s="120">
        <f t="shared" ca="1" si="345"/>
        <v>1564.7475619899244</v>
      </c>
      <c r="V1040" s="4">
        <f t="shared" ca="1" si="346"/>
        <v>0.34420729817543966</v>
      </c>
      <c r="W1040" s="13">
        <f t="shared" ca="1" si="347"/>
        <v>28919.065500000004</v>
      </c>
      <c r="X1040" s="4">
        <f t="shared" ca="1" si="348"/>
        <v>6.3615075321508421</v>
      </c>
      <c r="Y1040" s="4">
        <f t="shared" si="349"/>
        <v>0</v>
      </c>
      <c r="Z1040" s="13">
        <f t="shared" ca="1" si="350"/>
        <v>28919.065500000004</v>
      </c>
      <c r="AA1040" s="4">
        <f t="shared" ca="1" si="351"/>
        <v>6.3615075321508421</v>
      </c>
    </row>
    <row r="1041" spans="1:27">
      <c r="A1041">
        <v>3</v>
      </c>
      <c r="B1041">
        <v>3</v>
      </c>
      <c r="C1041">
        <f t="shared" ca="1" si="330"/>
        <v>8</v>
      </c>
      <c r="D1041">
        <f t="shared" ca="1" si="331"/>
        <v>7</v>
      </c>
      <c r="E1041">
        <f t="shared" ca="1" si="332"/>
        <v>3</v>
      </c>
      <c r="F1041" s="110">
        <f t="shared" ca="1" si="333"/>
        <v>8.9999999999999998E-4</v>
      </c>
      <c r="G1041">
        <v>1</v>
      </c>
      <c r="H1041">
        <v>0</v>
      </c>
      <c r="I1041">
        <v>5</v>
      </c>
      <c r="J1041" s="1">
        <f t="shared" ca="1" si="334"/>
        <v>3.8592324257812567E-2</v>
      </c>
      <c r="K1041" s="1">
        <f t="shared" ca="1" si="335"/>
        <v>3.4733091832031313E-5</v>
      </c>
      <c r="L1041" s="13">
        <f t="shared" ca="1" si="336"/>
        <v>354</v>
      </c>
      <c r="M1041" s="7">
        <f t="shared" ca="1" si="337"/>
        <v>646</v>
      </c>
      <c r="N1041" s="26">
        <f t="shared" ca="1" si="338"/>
        <v>3</v>
      </c>
      <c r="O1041" s="44">
        <f t="shared" ca="1" si="339"/>
        <v>2.2641455309069398</v>
      </c>
      <c r="P1041" s="44">
        <f t="shared" ca="1" si="340"/>
        <v>22.641455309069404</v>
      </c>
      <c r="Q1041" s="44">
        <f t="shared" ca="1" si="341"/>
        <v>22.641455309069404</v>
      </c>
      <c r="R1041" s="44">
        <f t="shared" ca="1" si="342"/>
        <v>2.2641455309069403</v>
      </c>
      <c r="S1041" s="44">
        <f t="shared" ca="1" si="343"/>
        <v>2.2641455309069398</v>
      </c>
      <c r="T1041" s="4">
        <f t="shared" ca="1" si="344"/>
        <v>7.8640774646074031E-5</v>
      </c>
      <c r="U1041" s="120">
        <f t="shared" ca="1" si="345"/>
        <v>1544.7475619899244</v>
      </c>
      <c r="V1041" s="4">
        <f t="shared" ca="1" si="346"/>
        <v>5.3653858927902524E-2</v>
      </c>
      <c r="W1041" s="13">
        <f t="shared" ca="1" si="347"/>
        <v>24891.340500000002</v>
      </c>
      <c r="X1041" s="4">
        <f t="shared" ca="1" si="348"/>
        <v>0.86455321540886032</v>
      </c>
      <c r="Y1041" s="4">
        <f t="shared" si="349"/>
        <v>0</v>
      </c>
      <c r="Z1041" s="13">
        <f t="shared" ca="1" si="350"/>
        <v>24891.340500000002</v>
      </c>
      <c r="AA1041" s="4">
        <f t="shared" ca="1" si="351"/>
        <v>0.86455321540886032</v>
      </c>
    </row>
    <row r="1042" spans="1:27">
      <c r="A1042">
        <v>3</v>
      </c>
      <c r="B1042">
        <v>3</v>
      </c>
      <c r="C1042">
        <f t="shared" ca="1" si="330"/>
        <v>8</v>
      </c>
      <c r="D1042">
        <f t="shared" ca="1" si="331"/>
        <v>7</v>
      </c>
      <c r="E1042">
        <f t="shared" ca="1" si="332"/>
        <v>3</v>
      </c>
      <c r="F1042" s="110">
        <f t="shared" ca="1" si="333"/>
        <v>8.9999999999999998E-4</v>
      </c>
      <c r="G1042">
        <v>1</v>
      </c>
      <c r="H1042">
        <v>0</v>
      </c>
      <c r="I1042">
        <v>4</v>
      </c>
      <c r="J1042" s="1">
        <f t="shared" ca="1" si="334"/>
        <v>3.3852916015625085E-3</v>
      </c>
      <c r="K1042" s="1">
        <f t="shared" ca="1" si="335"/>
        <v>3.0467624414062576E-6</v>
      </c>
      <c r="L1042" s="13">
        <f t="shared" ca="1" si="336"/>
        <v>334</v>
      </c>
      <c r="M1042" s="7">
        <f t="shared" ca="1" si="337"/>
        <v>666</v>
      </c>
      <c r="N1042" s="26">
        <f t="shared" ca="1" si="338"/>
        <v>3</v>
      </c>
      <c r="O1042" s="44">
        <f t="shared" ca="1" si="339"/>
        <v>2.2641455309069398</v>
      </c>
      <c r="P1042" s="44">
        <f t="shared" ca="1" si="340"/>
        <v>22.641455309069404</v>
      </c>
      <c r="Q1042" s="44">
        <f t="shared" ca="1" si="341"/>
        <v>22.641455309069404</v>
      </c>
      <c r="R1042" s="44">
        <f t="shared" ca="1" si="342"/>
        <v>2.2641455309069403</v>
      </c>
      <c r="S1042" s="44">
        <f t="shared" ca="1" si="343"/>
        <v>2.2641455309069398</v>
      </c>
      <c r="T1042" s="4">
        <f t="shared" ca="1" si="344"/>
        <v>6.8983135654450951E-6</v>
      </c>
      <c r="U1042" s="120">
        <f t="shared" ca="1" si="345"/>
        <v>1524.7475619899244</v>
      </c>
      <c r="V1042" s="4">
        <f t="shared" ca="1" si="346"/>
        <v>4.6455436044966613E-3</v>
      </c>
      <c r="W1042" s="13">
        <f t="shared" ca="1" si="347"/>
        <v>20863.615500000004</v>
      </c>
      <c r="X1042" s="4">
        <f t="shared" ca="1" si="348"/>
        <v>6.3566480097341449E-2</v>
      </c>
      <c r="Y1042" s="4">
        <f t="shared" si="349"/>
        <v>0</v>
      </c>
      <c r="Z1042" s="13">
        <f t="shared" ca="1" si="350"/>
        <v>20863.615500000004</v>
      </c>
      <c r="AA1042" s="4">
        <f t="shared" ca="1" si="351"/>
        <v>6.3566480097341449E-2</v>
      </c>
    </row>
    <row r="1043" spans="1:27">
      <c r="A1043">
        <v>3</v>
      </c>
      <c r="B1043">
        <v>3</v>
      </c>
      <c r="C1043">
        <f t="shared" ca="1" si="330"/>
        <v>8</v>
      </c>
      <c r="D1043">
        <f t="shared" ca="1" si="331"/>
        <v>7</v>
      </c>
      <c r="E1043">
        <f t="shared" ca="1" si="332"/>
        <v>3</v>
      </c>
      <c r="F1043" s="110">
        <f t="shared" ca="1" si="333"/>
        <v>8.9999999999999998E-4</v>
      </c>
      <c r="G1043">
        <v>1</v>
      </c>
      <c r="H1043">
        <v>0</v>
      </c>
      <c r="I1043">
        <v>3</v>
      </c>
      <c r="J1043" s="1">
        <f t="shared" ca="1" si="334"/>
        <v>1.7817324218750058E-4</v>
      </c>
      <c r="K1043" s="1">
        <f t="shared" ca="1" si="335"/>
        <v>1.6035591796875052E-7</v>
      </c>
      <c r="L1043" s="13">
        <f t="shared" ca="1" si="336"/>
        <v>314</v>
      </c>
      <c r="M1043" s="7">
        <f t="shared" ca="1" si="337"/>
        <v>686</v>
      </c>
      <c r="N1043" s="26">
        <f t="shared" ca="1" si="338"/>
        <v>3</v>
      </c>
      <c r="O1043" s="44">
        <f t="shared" ca="1" si="339"/>
        <v>2.2641455309069398</v>
      </c>
      <c r="P1043" s="44">
        <f t="shared" ca="1" si="340"/>
        <v>22.641455309069404</v>
      </c>
      <c r="Q1043" s="44">
        <f t="shared" ca="1" si="341"/>
        <v>22.641455309069404</v>
      </c>
      <c r="R1043" s="44">
        <f t="shared" ca="1" si="342"/>
        <v>2.2641455309069403</v>
      </c>
      <c r="S1043" s="44">
        <f t="shared" ca="1" si="343"/>
        <v>2.2641455309069398</v>
      </c>
      <c r="T1043" s="4">
        <f t="shared" ca="1" si="344"/>
        <v>3.6306913502342636E-7</v>
      </c>
      <c r="U1043" s="120">
        <f t="shared" ca="1" si="345"/>
        <v>1504.7475619899244</v>
      </c>
      <c r="V1043" s="4">
        <f t="shared" ca="1" si="346"/>
        <v>2.4129517661413365E-4</v>
      </c>
      <c r="W1043" s="13">
        <f t="shared" ca="1" si="347"/>
        <v>16835.890500000001</v>
      </c>
      <c r="X1043" s="4">
        <f t="shared" ca="1" si="348"/>
        <v>2.6997346759488664E-3</v>
      </c>
      <c r="Y1043" s="4">
        <f t="shared" si="349"/>
        <v>0</v>
      </c>
      <c r="Z1043" s="13">
        <f t="shared" ca="1" si="350"/>
        <v>16835.890500000001</v>
      </c>
      <c r="AA1043" s="4">
        <f t="shared" ca="1" si="351"/>
        <v>2.6997346759488664E-3</v>
      </c>
    </row>
    <row r="1044" spans="1:27">
      <c r="A1044">
        <v>3</v>
      </c>
      <c r="B1044">
        <v>3</v>
      </c>
      <c r="C1044">
        <f t="shared" ca="1" si="330"/>
        <v>8</v>
      </c>
      <c r="D1044">
        <f t="shared" ca="1" si="331"/>
        <v>7</v>
      </c>
      <c r="E1044">
        <f t="shared" ca="1" si="332"/>
        <v>3</v>
      </c>
      <c r="F1044" s="110">
        <f t="shared" ca="1" si="333"/>
        <v>8.9999999999999998E-4</v>
      </c>
      <c r="G1044">
        <v>1</v>
      </c>
      <c r="H1044">
        <v>0</v>
      </c>
      <c r="I1044">
        <v>2</v>
      </c>
      <c r="J1044" s="1">
        <f t="shared" ca="1" si="334"/>
        <v>5.6265234375000243E-6</v>
      </c>
      <c r="K1044" s="1">
        <f t="shared" ca="1" si="335"/>
        <v>5.063871093750022E-9</v>
      </c>
      <c r="L1044" s="13">
        <f t="shared" ca="1" si="336"/>
        <v>294</v>
      </c>
      <c r="M1044" s="7">
        <f t="shared" ca="1" si="337"/>
        <v>706</v>
      </c>
      <c r="N1044" s="26">
        <f t="shared" ca="1" si="338"/>
        <v>3</v>
      </c>
      <c r="O1044" s="44">
        <f t="shared" ca="1" si="339"/>
        <v>2.2641455309069398</v>
      </c>
      <c r="P1044" s="44">
        <f t="shared" ca="1" si="340"/>
        <v>22.641455309069404</v>
      </c>
      <c r="Q1044" s="44">
        <f t="shared" ca="1" si="341"/>
        <v>22.641455309069404</v>
      </c>
      <c r="R1044" s="44">
        <f t="shared" ca="1" si="342"/>
        <v>2.2641455309069403</v>
      </c>
      <c r="S1044" s="44">
        <f t="shared" ca="1" si="343"/>
        <v>2.2641455309069398</v>
      </c>
      <c r="T1044" s="4">
        <f t="shared" ca="1" si="344"/>
        <v>1.1465341106002949E-8</v>
      </c>
      <c r="U1044" s="120">
        <f t="shared" ca="1" si="345"/>
        <v>1484.7475619899244</v>
      </c>
      <c r="V1044" s="4">
        <f t="shared" ca="1" si="346"/>
        <v>7.5185702606765968E-6</v>
      </c>
      <c r="W1044" s="13">
        <f t="shared" ca="1" si="347"/>
        <v>12808.165500000003</v>
      </c>
      <c r="X1044" s="4">
        <f t="shared" ca="1" si="348"/>
        <v>6.4858899039416313E-5</v>
      </c>
      <c r="Y1044" s="4">
        <f t="shared" si="349"/>
        <v>0</v>
      </c>
      <c r="Z1044" s="13">
        <f t="shared" ca="1" si="350"/>
        <v>12808.165500000003</v>
      </c>
      <c r="AA1044" s="4">
        <f t="shared" ca="1" si="351"/>
        <v>6.4858899039416313E-5</v>
      </c>
    </row>
    <row r="1045" spans="1:27">
      <c r="A1045">
        <v>3</v>
      </c>
      <c r="B1045">
        <v>3</v>
      </c>
      <c r="C1045">
        <f t="shared" ca="1" si="330"/>
        <v>8</v>
      </c>
      <c r="D1045">
        <f t="shared" ca="1" si="331"/>
        <v>7</v>
      </c>
      <c r="E1045">
        <f t="shared" ca="1" si="332"/>
        <v>3</v>
      </c>
      <c r="F1045" s="110">
        <f t="shared" ca="1" si="333"/>
        <v>8.9999999999999998E-4</v>
      </c>
      <c r="G1045">
        <v>1</v>
      </c>
      <c r="H1045">
        <v>0</v>
      </c>
      <c r="I1045">
        <v>1</v>
      </c>
      <c r="J1045" s="1">
        <f t="shared" ca="1" si="334"/>
        <v>9.8710937500000504E-8</v>
      </c>
      <c r="K1045" s="1">
        <f t="shared" ca="1" si="335"/>
        <v>8.8839843750000455E-11</v>
      </c>
      <c r="L1045" s="13">
        <f t="shared" ca="1" si="336"/>
        <v>274</v>
      </c>
      <c r="M1045" s="7">
        <f t="shared" ca="1" si="337"/>
        <v>726</v>
      </c>
      <c r="N1045" s="26">
        <f t="shared" ca="1" si="338"/>
        <v>3</v>
      </c>
      <c r="O1045" s="44">
        <f t="shared" ca="1" si="339"/>
        <v>2.2641455309069398</v>
      </c>
      <c r="P1045" s="44">
        <f t="shared" ca="1" si="340"/>
        <v>22.641455309069404</v>
      </c>
      <c r="Q1045" s="44">
        <f t="shared" ca="1" si="341"/>
        <v>22.641455309069404</v>
      </c>
      <c r="R1045" s="44">
        <f t="shared" ca="1" si="342"/>
        <v>2.2641455309069403</v>
      </c>
      <c r="S1045" s="44">
        <f t="shared" ca="1" si="343"/>
        <v>2.2641455309069398</v>
      </c>
      <c r="T1045" s="4">
        <f t="shared" ca="1" si="344"/>
        <v>2.0114633519303437E-10</v>
      </c>
      <c r="U1045" s="120">
        <f t="shared" ca="1" si="345"/>
        <v>1464.7475619899244</v>
      </c>
      <c r="V1045" s="4">
        <f t="shared" ca="1" si="346"/>
        <v>1.3012794454037898E-7</v>
      </c>
      <c r="W1045" s="13">
        <f t="shared" ca="1" si="347"/>
        <v>8780.4405000000006</v>
      </c>
      <c r="X1045" s="4">
        <f t="shared" ca="1" si="348"/>
        <v>7.8005296207617589E-7</v>
      </c>
      <c r="Y1045" s="4">
        <f t="shared" si="349"/>
        <v>0</v>
      </c>
      <c r="Z1045" s="13">
        <f t="shared" ca="1" si="350"/>
        <v>8780.4405000000006</v>
      </c>
      <c r="AA1045" s="4">
        <f t="shared" ca="1" si="351"/>
        <v>7.8005296207617589E-7</v>
      </c>
    </row>
    <row r="1046" spans="1:27">
      <c r="A1046">
        <v>3</v>
      </c>
      <c r="B1046">
        <v>3</v>
      </c>
      <c r="C1046">
        <f t="shared" ca="1" si="330"/>
        <v>8</v>
      </c>
      <c r="D1046">
        <f t="shared" ca="1" si="331"/>
        <v>7</v>
      </c>
      <c r="E1046">
        <f t="shared" ca="1" si="332"/>
        <v>3</v>
      </c>
      <c r="F1046" s="110">
        <f t="shared" ca="1" si="333"/>
        <v>8.9999999999999998E-4</v>
      </c>
      <c r="G1046">
        <v>1</v>
      </c>
      <c r="H1046">
        <v>0</v>
      </c>
      <c r="I1046">
        <v>0</v>
      </c>
      <c r="J1046" s="1">
        <f t="shared" ca="1" si="334"/>
        <v>7.4218750000000458E-10</v>
      </c>
      <c r="K1046" s="1">
        <f t="shared" ca="1" si="335"/>
        <v>6.6796875000000405E-13</v>
      </c>
      <c r="L1046" s="13">
        <f t="shared" ca="1" si="336"/>
        <v>254</v>
      </c>
      <c r="M1046" s="7">
        <f t="shared" ca="1" si="337"/>
        <v>746</v>
      </c>
      <c r="N1046" s="26">
        <f t="shared" ca="1" si="338"/>
        <v>3</v>
      </c>
      <c r="O1046" s="44">
        <f t="shared" ca="1" si="339"/>
        <v>2.2641455309069398</v>
      </c>
      <c r="P1046" s="44">
        <f t="shared" ca="1" si="340"/>
        <v>22.641455309069404</v>
      </c>
      <c r="Q1046" s="44">
        <f t="shared" ca="1" si="341"/>
        <v>22.641455309069404</v>
      </c>
      <c r="R1046" s="44">
        <f t="shared" ca="1" si="342"/>
        <v>2.2641455309069403</v>
      </c>
      <c r="S1046" s="44">
        <f t="shared" ca="1" si="343"/>
        <v>2.2641455309069398</v>
      </c>
      <c r="T1046" s="4">
        <f t="shared" ca="1" si="344"/>
        <v>1.5123784600980042E-12</v>
      </c>
      <c r="U1046" s="120">
        <f t="shared" ca="1" si="345"/>
        <v>1444.7475619899244</v>
      </c>
      <c r="V1046" s="4">
        <f t="shared" ca="1" si="346"/>
        <v>9.6504622304796307E-10</v>
      </c>
      <c r="W1046" s="13">
        <f t="shared" ca="1" si="347"/>
        <v>4752.7155000000012</v>
      </c>
      <c r="X1046" s="4">
        <f t="shared" ca="1" si="348"/>
        <v>3.1746654316406452E-9</v>
      </c>
      <c r="Y1046" s="4">
        <f t="shared" si="349"/>
        <v>0</v>
      </c>
      <c r="Z1046" s="13">
        <f t="shared" ca="1" si="350"/>
        <v>4752.7155000000012</v>
      </c>
      <c r="AA1046" s="4">
        <f t="shared" ca="1" si="351"/>
        <v>3.1746654316406452E-9</v>
      </c>
    </row>
    <row r="1047" spans="1:27">
      <c r="A1047">
        <v>3</v>
      </c>
      <c r="B1047">
        <v>3</v>
      </c>
      <c r="C1047">
        <f t="shared" ca="1" si="330"/>
        <v>8</v>
      </c>
      <c r="D1047">
        <f t="shared" ca="1" si="331"/>
        <v>7</v>
      </c>
      <c r="E1047">
        <f t="shared" ca="1" si="332"/>
        <v>3</v>
      </c>
      <c r="F1047" s="110">
        <f t="shared" ca="1" si="333"/>
        <v>8.9999999999999998E-4</v>
      </c>
      <c r="G1047">
        <v>0</v>
      </c>
      <c r="H1047">
        <v>1</v>
      </c>
      <c r="I1047">
        <v>7</v>
      </c>
      <c r="J1047" s="1">
        <f t="shared" ca="1" si="334"/>
        <v>0</v>
      </c>
      <c r="K1047" s="1">
        <f t="shared" ca="1" si="335"/>
        <v>0</v>
      </c>
      <c r="L1047" s="13">
        <f t="shared" ca="1" si="336"/>
        <v>394</v>
      </c>
      <c r="M1047" s="7">
        <f t="shared" ca="1" si="337"/>
        <v>606</v>
      </c>
      <c r="N1047" s="26">
        <f t="shared" ca="1" si="338"/>
        <v>3</v>
      </c>
      <c r="O1047" s="44">
        <f t="shared" ca="1" si="339"/>
        <v>2.2641455309069398</v>
      </c>
      <c r="P1047" s="44">
        <f t="shared" ca="1" si="340"/>
        <v>22.641455309069404</v>
      </c>
      <c r="Q1047" s="44">
        <f t="shared" ca="1" si="341"/>
        <v>22.641455309069404</v>
      </c>
      <c r="R1047" s="44">
        <f t="shared" ca="1" si="342"/>
        <v>2.2641455309069403</v>
      </c>
      <c r="S1047" s="44">
        <f t="shared" ca="1" si="343"/>
        <v>2.2641455309069398</v>
      </c>
      <c r="T1047" s="4">
        <f t="shared" ca="1" si="344"/>
        <v>0</v>
      </c>
      <c r="U1047" s="120">
        <f t="shared" ca="1" si="345"/>
        <v>1584.7475619899244</v>
      </c>
      <c r="V1047" s="4">
        <f t="shared" ca="1" si="346"/>
        <v>0</v>
      </c>
      <c r="W1047" s="13">
        <f t="shared" ca="1" si="347"/>
        <v>28194.075000000001</v>
      </c>
      <c r="X1047" s="4">
        <f t="shared" ca="1" si="348"/>
        <v>0</v>
      </c>
      <c r="Y1047" s="4">
        <f t="shared" si="349"/>
        <v>0</v>
      </c>
      <c r="Z1047" s="13">
        <f t="shared" ca="1" si="350"/>
        <v>28194.075000000001</v>
      </c>
      <c r="AA1047" s="4">
        <f t="shared" ca="1" si="351"/>
        <v>0</v>
      </c>
    </row>
    <row r="1048" spans="1:27">
      <c r="A1048">
        <v>3</v>
      </c>
      <c r="B1048">
        <v>3</v>
      </c>
      <c r="C1048">
        <f t="shared" ca="1" si="330"/>
        <v>8</v>
      </c>
      <c r="D1048">
        <f t="shared" ca="1" si="331"/>
        <v>7</v>
      </c>
      <c r="E1048">
        <f t="shared" ca="1" si="332"/>
        <v>3</v>
      </c>
      <c r="F1048" s="110">
        <f t="shared" ca="1" si="333"/>
        <v>8.9999999999999998E-4</v>
      </c>
      <c r="G1048">
        <v>0</v>
      </c>
      <c r="H1048">
        <v>1</v>
      </c>
      <c r="I1048">
        <v>6</v>
      </c>
      <c r="J1048" s="1">
        <f t="shared" ca="1" si="334"/>
        <v>0</v>
      </c>
      <c r="K1048" s="1">
        <f t="shared" ca="1" si="335"/>
        <v>0</v>
      </c>
      <c r="L1048" s="13">
        <f t="shared" ca="1" si="336"/>
        <v>374</v>
      </c>
      <c r="M1048" s="7">
        <f t="shared" ca="1" si="337"/>
        <v>626</v>
      </c>
      <c r="N1048" s="26">
        <f t="shared" ca="1" si="338"/>
        <v>3</v>
      </c>
      <c r="O1048" s="44">
        <f t="shared" ca="1" si="339"/>
        <v>2.2641455309069398</v>
      </c>
      <c r="P1048" s="44">
        <f t="shared" ca="1" si="340"/>
        <v>22.641455309069404</v>
      </c>
      <c r="Q1048" s="44">
        <f t="shared" ca="1" si="341"/>
        <v>22.641455309069404</v>
      </c>
      <c r="R1048" s="44">
        <f t="shared" ca="1" si="342"/>
        <v>2.2641455309069403</v>
      </c>
      <c r="S1048" s="44">
        <f t="shared" ca="1" si="343"/>
        <v>2.2641455309069398</v>
      </c>
      <c r="T1048" s="4">
        <f t="shared" ca="1" si="344"/>
        <v>0</v>
      </c>
      <c r="U1048" s="120">
        <f t="shared" ca="1" si="345"/>
        <v>1564.7475619899244</v>
      </c>
      <c r="V1048" s="4">
        <f t="shared" ca="1" si="346"/>
        <v>0</v>
      </c>
      <c r="W1048" s="13">
        <f t="shared" ca="1" si="347"/>
        <v>24166.350000000002</v>
      </c>
      <c r="X1048" s="4">
        <f t="shared" ca="1" si="348"/>
        <v>0</v>
      </c>
      <c r="Y1048" s="4">
        <f t="shared" si="349"/>
        <v>0</v>
      </c>
      <c r="Z1048" s="13">
        <f t="shared" ca="1" si="350"/>
        <v>24166.350000000002</v>
      </c>
      <c r="AA1048" s="4">
        <f t="shared" ca="1" si="351"/>
        <v>0</v>
      </c>
    </row>
    <row r="1049" spans="1:27">
      <c r="A1049">
        <v>3</v>
      </c>
      <c r="B1049">
        <v>3</v>
      </c>
      <c r="C1049">
        <f t="shared" ca="1" si="330"/>
        <v>8</v>
      </c>
      <c r="D1049">
        <f t="shared" ca="1" si="331"/>
        <v>7</v>
      </c>
      <c r="E1049">
        <f t="shared" ca="1" si="332"/>
        <v>3</v>
      </c>
      <c r="F1049" s="110">
        <f t="shared" ca="1" si="333"/>
        <v>8.9999999999999998E-4</v>
      </c>
      <c r="G1049">
        <v>0</v>
      </c>
      <c r="H1049">
        <v>1</v>
      </c>
      <c r="I1049">
        <v>5</v>
      </c>
      <c r="J1049" s="1">
        <f t="shared" ca="1" si="334"/>
        <v>0</v>
      </c>
      <c r="K1049" s="1">
        <f t="shared" ca="1" si="335"/>
        <v>0</v>
      </c>
      <c r="L1049" s="13">
        <f t="shared" ca="1" si="336"/>
        <v>354</v>
      </c>
      <c r="M1049" s="7">
        <f t="shared" ca="1" si="337"/>
        <v>646</v>
      </c>
      <c r="N1049" s="26">
        <f t="shared" ca="1" si="338"/>
        <v>3</v>
      </c>
      <c r="O1049" s="44">
        <f t="shared" ca="1" si="339"/>
        <v>2.2641455309069398</v>
      </c>
      <c r="P1049" s="44">
        <f t="shared" ca="1" si="340"/>
        <v>22.641455309069404</v>
      </c>
      <c r="Q1049" s="44">
        <f t="shared" ca="1" si="341"/>
        <v>22.641455309069404</v>
      </c>
      <c r="R1049" s="44">
        <f t="shared" ca="1" si="342"/>
        <v>2.2641455309069403</v>
      </c>
      <c r="S1049" s="44">
        <f t="shared" ca="1" si="343"/>
        <v>2.2641455309069398</v>
      </c>
      <c r="T1049" s="4">
        <f t="shared" ca="1" si="344"/>
        <v>0</v>
      </c>
      <c r="U1049" s="120">
        <f t="shared" ca="1" si="345"/>
        <v>1544.7475619899244</v>
      </c>
      <c r="V1049" s="4">
        <f t="shared" ca="1" si="346"/>
        <v>0</v>
      </c>
      <c r="W1049" s="13">
        <f t="shared" ca="1" si="347"/>
        <v>20138.625</v>
      </c>
      <c r="X1049" s="4">
        <f t="shared" ca="1" si="348"/>
        <v>0</v>
      </c>
      <c r="Y1049" s="4">
        <f t="shared" si="349"/>
        <v>0</v>
      </c>
      <c r="Z1049" s="13">
        <f t="shared" ca="1" si="350"/>
        <v>20138.625</v>
      </c>
      <c r="AA1049" s="4">
        <f t="shared" ca="1" si="351"/>
        <v>0</v>
      </c>
    </row>
    <row r="1050" spans="1:27">
      <c r="A1050">
        <v>3</v>
      </c>
      <c r="B1050">
        <v>3</v>
      </c>
      <c r="C1050">
        <f t="shared" ca="1" si="330"/>
        <v>8</v>
      </c>
      <c r="D1050">
        <f t="shared" ca="1" si="331"/>
        <v>7</v>
      </c>
      <c r="E1050">
        <f t="shared" ca="1" si="332"/>
        <v>3</v>
      </c>
      <c r="F1050" s="110">
        <f t="shared" ca="1" si="333"/>
        <v>8.9999999999999998E-4</v>
      </c>
      <c r="G1050">
        <v>0</v>
      </c>
      <c r="H1050">
        <v>1</v>
      </c>
      <c r="I1050">
        <v>4</v>
      </c>
      <c r="J1050" s="1">
        <f t="shared" ca="1" si="334"/>
        <v>0</v>
      </c>
      <c r="K1050" s="1">
        <f t="shared" ca="1" si="335"/>
        <v>0</v>
      </c>
      <c r="L1050" s="13">
        <f t="shared" ca="1" si="336"/>
        <v>334</v>
      </c>
      <c r="M1050" s="7">
        <f t="shared" ca="1" si="337"/>
        <v>666</v>
      </c>
      <c r="N1050" s="26">
        <f t="shared" ca="1" si="338"/>
        <v>3</v>
      </c>
      <c r="O1050" s="44">
        <f t="shared" ca="1" si="339"/>
        <v>2.2641455309069398</v>
      </c>
      <c r="P1050" s="44">
        <f t="shared" ca="1" si="340"/>
        <v>22.641455309069404</v>
      </c>
      <c r="Q1050" s="44">
        <f t="shared" ca="1" si="341"/>
        <v>22.641455309069404</v>
      </c>
      <c r="R1050" s="44">
        <f t="shared" ca="1" si="342"/>
        <v>2.2641455309069403</v>
      </c>
      <c r="S1050" s="44">
        <f t="shared" ca="1" si="343"/>
        <v>2.2641455309069398</v>
      </c>
      <c r="T1050" s="4">
        <f t="shared" ca="1" si="344"/>
        <v>0</v>
      </c>
      <c r="U1050" s="120">
        <f t="shared" ca="1" si="345"/>
        <v>1524.7475619899244</v>
      </c>
      <c r="V1050" s="4">
        <f t="shared" ca="1" si="346"/>
        <v>0</v>
      </c>
      <c r="W1050" s="13">
        <f t="shared" ca="1" si="347"/>
        <v>16110.900000000001</v>
      </c>
      <c r="X1050" s="4">
        <f t="shared" ca="1" si="348"/>
        <v>0</v>
      </c>
      <c r="Y1050" s="4">
        <f t="shared" si="349"/>
        <v>0</v>
      </c>
      <c r="Z1050" s="13">
        <f t="shared" ca="1" si="350"/>
        <v>16110.900000000001</v>
      </c>
      <c r="AA1050" s="4">
        <f t="shared" ca="1" si="351"/>
        <v>0</v>
      </c>
    </row>
    <row r="1051" spans="1:27">
      <c r="A1051">
        <v>3</v>
      </c>
      <c r="B1051">
        <v>3</v>
      </c>
      <c r="C1051">
        <f t="shared" ca="1" si="330"/>
        <v>8</v>
      </c>
      <c r="D1051">
        <f t="shared" ca="1" si="331"/>
        <v>7</v>
      </c>
      <c r="E1051">
        <f t="shared" ca="1" si="332"/>
        <v>3</v>
      </c>
      <c r="F1051" s="110">
        <f t="shared" ca="1" si="333"/>
        <v>8.9999999999999998E-4</v>
      </c>
      <c r="G1051">
        <v>0</v>
      </c>
      <c r="H1051">
        <v>1</v>
      </c>
      <c r="I1051">
        <v>3</v>
      </c>
      <c r="J1051" s="1">
        <f t="shared" ca="1" si="334"/>
        <v>0</v>
      </c>
      <c r="K1051" s="1">
        <f t="shared" ca="1" si="335"/>
        <v>0</v>
      </c>
      <c r="L1051" s="13">
        <f t="shared" ca="1" si="336"/>
        <v>314</v>
      </c>
      <c r="M1051" s="7">
        <f t="shared" ca="1" si="337"/>
        <v>686</v>
      </c>
      <c r="N1051" s="26">
        <f t="shared" ca="1" si="338"/>
        <v>3</v>
      </c>
      <c r="O1051" s="44">
        <f t="shared" ca="1" si="339"/>
        <v>2.2641455309069398</v>
      </c>
      <c r="P1051" s="44">
        <f t="shared" ca="1" si="340"/>
        <v>22.641455309069404</v>
      </c>
      <c r="Q1051" s="44">
        <f t="shared" ca="1" si="341"/>
        <v>22.641455309069404</v>
      </c>
      <c r="R1051" s="44">
        <f t="shared" ca="1" si="342"/>
        <v>2.2641455309069403</v>
      </c>
      <c r="S1051" s="44">
        <f t="shared" ca="1" si="343"/>
        <v>2.2641455309069398</v>
      </c>
      <c r="T1051" s="4">
        <f t="shared" ca="1" si="344"/>
        <v>0</v>
      </c>
      <c r="U1051" s="120">
        <f t="shared" ca="1" si="345"/>
        <v>1504.7475619899244</v>
      </c>
      <c r="V1051" s="4">
        <f t="shared" ca="1" si="346"/>
        <v>0</v>
      </c>
      <c r="W1051" s="13">
        <f t="shared" ca="1" si="347"/>
        <v>12083.175000000001</v>
      </c>
      <c r="X1051" s="4">
        <f t="shared" ca="1" si="348"/>
        <v>0</v>
      </c>
      <c r="Y1051" s="4">
        <f t="shared" si="349"/>
        <v>0</v>
      </c>
      <c r="Z1051" s="13">
        <f t="shared" ca="1" si="350"/>
        <v>12083.175000000001</v>
      </c>
      <c r="AA1051" s="4">
        <f t="shared" ca="1" si="351"/>
        <v>0</v>
      </c>
    </row>
    <row r="1052" spans="1:27">
      <c r="A1052">
        <v>3</v>
      </c>
      <c r="B1052">
        <v>3</v>
      </c>
      <c r="C1052">
        <f t="shared" ca="1" si="330"/>
        <v>8</v>
      </c>
      <c r="D1052">
        <f t="shared" ca="1" si="331"/>
        <v>7</v>
      </c>
      <c r="E1052">
        <f t="shared" ca="1" si="332"/>
        <v>3</v>
      </c>
      <c r="F1052" s="110">
        <f t="shared" ca="1" si="333"/>
        <v>8.9999999999999998E-4</v>
      </c>
      <c r="G1052">
        <v>0</v>
      </c>
      <c r="H1052">
        <v>1</v>
      </c>
      <c r="I1052">
        <v>2</v>
      </c>
      <c r="J1052" s="1">
        <f t="shared" ca="1" si="334"/>
        <v>0</v>
      </c>
      <c r="K1052" s="1">
        <f t="shared" ca="1" si="335"/>
        <v>0</v>
      </c>
      <c r="L1052" s="13">
        <f t="shared" ca="1" si="336"/>
        <v>294</v>
      </c>
      <c r="M1052" s="7">
        <f t="shared" ca="1" si="337"/>
        <v>706</v>
      </c>
      <c r="N1052" s="26">
        <f t="shared" ca="1" si="338"/>
        <v>3</v>
      </c>
      <c r="O1052" s="44">
        <f t="shared" ca="1" si="339"/>
        <v>2.2641455309069398</v>
      </c>
      <c r="P1052" s="44">
        <f t="shared" ca="1" si="340"/>
        <v>22.641455309069404</v>
      </c>
      <c r="Q1052" s="44">
        <f t="shared" ca="1" si="341"/>
        <v>22.641455309069404</v>
      </c>
      <c r="R1052" s="44">
        <f t="shared" ca="1" si="342"/>
        <v>2.2641455309069403</v>
      </c>
      <c r="S1052" s="44">
        <f t="shared" ca="1" si="343"/>
        <v>2.2641455309069398</v>
      </c>
      <c r="T1052" s="4">
        <f t="shared" ca="1" si="344"/>
        <v>0</v>
      </c>
      <c r="U1052" s="120">
        <f t="shared" ca="1" si="345"/>
        <v>1484.7475619899244</v>
      </c>
      <c r="V1052" s="4">
        <f t="shared" ca="1" si="346"/>
        <v>0</v>
      </c>
      <c r="W1052" s="13">
        <f t="shared" ca="1" si="347"/>
        <v>8055.4500000000007</v>
      </c>
      <c r="X1052" s="4">
        <f t="shared" ca="1" si="348"/>
        <v>0</v>
      </c>
      <c r="Y1052" s="4">
        <f t="shared" si="349"/>
        <v>0</v>
      </c>
      <c r="Z1052" s="13">
        <f t="shared" ca="1" si="350"/>
        <v>8055.4500000000007</v>
      </c>
      <c r="AA1052" s="4">
        <f t="shared" ca="1" si="351"/>
        <v>0</v>
      </c>
    </row>
    <row r="1053" spans="1:27">
      <c r="A1053">
        <v>3</v>
      </c>
      <c r="B1053">
        <v>3</v>
      </c>
      <c r="C1053">
        <f t="shared" ca="1" si="330"/>
        <v>8</v>
      </c>
      <c r="D1053">
        <f t="shared" ca="1" si="331"/>
        <v>7</v>
      </c>
      <c r="E1053">
        <f t="shared" ca="1" si="332"/>
        <v>3</v>
      </c>
      <c r="F1053" s="110">
        <f t="shared" ca="1" si="333"/>
        <v>8.9999999999999998E-4</v>
      </c>
      <c r="G1053">
        <v>0</v>
      </c>
      <c r="H1053">
        <v>1</v>
      </c>
      <c r="I1053">
        <v>1</v>
      </c>
      <c r="J1053" s="1">
        <f t="shared" ca="1" si="334"/>
        <v>0</v>
      </c>
      <c r="K1053" s="1">
        <f t="shared" ca="1" si="335"/>
        <v>0</v>
      </c>
      <c r="L1053" s="13">
        <f t="shared" ca="1" si="336"/>
        <v>274</v>
      </c>
      <c r="M1053" s="7">
        <f t="shared" ca="1" si="337"/>
        <v>726</v>
      </c>
      <c r="N1053" s="26">
        <f t="shared" ca="1" si="338"/>
        <v>3</v>
      </c>
      <c r="O1053" s="44">
        <f t="shared" ca="1" si="339"/>
        <v>2.2641455309069398</v>
      </c>
      <c r="P1053" s="44">
        <f t="shared" ca="1" si="340"/>
        <v>22.641455309069404</v>
      </c>
      <c r="Q1053" s="44">
        <f t="shared" ca="1" si="341"/>
        <v>22.641455309069404</v>
      </c>
      <c r="R1053" s="44">
        <f t="shared" ca="1" si="342"/>
        <v>2.2641455309069403</v>
      </c>
      <c r="S1053" s="44">
        <f t="shared" ca="1" si="343"/>
        <v>2.2641455309069398</v>
      </c>
      <c r="T1053" s="4">
        <f t="shared" ca="1" si="344"/>
        <v>0</v>
      </c>
      <c r="U1053" s="120">
        <f t="shared" ca="1" si="345"/>
        <v>1464.7475619899244</v>
      </c>
      <c r="V1053" s="4">
        <f t="shared" ca="1" si="346"/>
        <v>0</v>
      </c>
      <c r="W1053" s="13">
        <f t="shared" ca="1" si="347"/>
        <v>4027.7250000000004</v>
      </c>
      <c r="X1053" s="4">
        <f t="shared" ca="1" si="348"/>
        <v>0</v>
      </c>
      <c r="Y1053" s="4">
        <f t="shared" si="349"/>
        <v>0</v>
      </c>
      <c r="Z1053" s="13">
        <f t="shared" ca="1" si="350"/>
        <v>4027.7250000000004</v>
      </c>
      <c r="AA1053" s="4">
        <f t="shared" ca="1" si="351"/>
        <v>0</v>
      </c>
    </row>
    <row r="1054" spans="1:27">
      <c r="A1054">
        <v>3</v>
      </c>
      <c r="B1054">
        <v>3</v>
      </c>
      <c r="C1054">
        <f t="shared" ca="1" si="330"/>
        <v>8</v>
      </c>
      <c r="D1054">
        <f t="shared" ca="1" si="331"/>
        <v>7</v>
      </c>
      <c r="E1054">
        <f t="shared" ca="1" si="332"/>
        <v>3</v>
      </c>
      <c r="F1054" s="110">
        <f t="shared" ca="1" si="333"/>
        <v>8.9999999999999998E-4</v>
      </c>
      <c r="G1054">
        <v>0</v>
      </c>
      <c r="H1054">
        <v>1</v>
      </c>
      <c r="I1054">
        <v>0</v>
      </c>
      <c r="J1054" s="1">
        <f t="shared" ca="1" si="334"/>
        <v>0</v>
      </c>
      <c r="K1054" s="1">
        <f t="shared" ca="1" si="335"/>
        <v>0</v>
      </c>
      <c r="L1054" s="13">
        <f t="shared" ca="1" si="336"/>
        <v>254</v>
      </c>
      <c r="M1054" s="7">
        <f t="shared" ca="1" si="337"/>
        <v>746</v>
      </c>
      <c r="N1054" s="26">
        <f t="shared" ca="1" si="338"/>
        <v>3</v>
      </c>
      <c r="O1054" s="44">
        <f t="shared" ca="1" si="339"/>
        <v>2.2641455309069398</v>
      </c>
      <c r="P1054" s="44">
        <f t="shared" ca="1" si="340"/>
        <v>22.641455309069404</v>
      </c>
      <c r="Q1054" s="44">
        <f t="shared" ca="1" si="341"/>
        <v>22.641455309069404</v>
      </c>
      <c r="R1054" s="44">
        <f t="shared" ca="1" si="342"/>
        <v>2.2641455309069403</v>
      </c>
      <c r="S1054" s="44">
        <f t="shared" ca="1" si="343"/>
        <v>2.2641455309069398</v>
      </c>
      <c r="T1054" s="4">
        <f t="shared" ca="1" si="344"/>
        <v>0</v>
      </c>
      <c r="U1054" s="120">
        <f t="shared" ca="1" si="345"/>
        <v>1444.7475619899244</v>
      </c>
      <c r="V1054" s="4">
        <f t="shared" ca="1" si="346"/>
        <v>0</v>
      </c>
      <c r="W1054" s="13">
        <f t="shared" ca="1" si="347"/>
        <v>0</v>
      </c>
      <c r="X1054" s="4">
        <f t="shared" ca="1" si="348"/>
        <v>0</v>
      </c>
      <c r="Y1054" s="4">
        <f t="shared" si="349"/>
        <v>0</v>
      </c>
      <c r="Z1054" s="13">
        <f t="shared" ca="1" si="350"/>
        <v>0</v>
      </c>
      <c r="AA1054" s="4">
        <f t="shared" ca="1" si="351"/>
        <v>0</v>
      </c>
    </row>
    <row r="1055" spans="1:27">
      <c r="A1055">
        <v>3</v>
      </c>
      <c r="B1055">
        <v>3</v>
      </c>
      <c r="C1055">
        <f t="shared" ca="1" si="330"/>
        <v>8</v>
      </c>
      <c r="D1055">
        <f t="shared" ca="1" si="331"/>
        <v>7</v>
      </c>
      <c r="E1055">
        <f t="shared" ca="1" si="332"/>
        <v>3</v>
      </c>
      <c r="F1055" s="110">
        <f t="shared" ca="1" si="333"/>
        <v>8.9999999999999998E-4</v>
      </c>
      <c r="G1055">
        <v>0</v>
      </c>
      <c r="H1055">
        <v>0</v>
      </c>
      <c r="I1055">
        <v>7</v>
      </c>
      <c r="J1055" s="1">
        <f t="shared" ca="1" si="334"/>
        <v>3.4916864804687496E-2</v>
      </c>
      <c r="K1055" s="1">
        <f t="shared" ca="1" si="335"/>
        <v>3.1425178324218745E-5</v>
      </c>
      <c r="L1055" s="13">
        <f t="shared" ca="1" si="336"/>
        <v>140</v>
      </c>
      <c r="M1055" s="7">
        <f t="shared" ca="1" si="337"/>
        <v>860</v>
      </c>
      <c r="N1055" s="26">
        <f t="shared" ca="1" si="338"/>
        <v>4</v>
      </c>
      <c r="O1055" s="44">
        <f t="shared" ca="1" si="339"/>
        <v>2.8910364854084887</v>
      </c>
      <c r="P1055" s="44">
        <f t="shared" ca="1" si="340"/>
        <v>28.910364854084886</v>
      </c>
      <c r="Q1055" s="44">
        <f t="shared" ca="1" si="341"/>
        <v>28.910364854084886</v>
      </c>
      <c r="R1055" s="44">
        <f t="shared" ca="1" si="342"/>
        <v>2.8910364854084887</v>
      </c>
      <c r="S1055" s="44">
        <f t="shared" ca="1" si="343"/>
        <v>2.8910364854084882</v>
      </c>
      <c r="T1055" s="4">
        <f t="shared" ca="1" si="344"/>
        <v>9.0851337095784366E-5</v>
      </c>
      <c r="U1055" s="120">
        <f t="shared" ca="1" si="345"/>
        <v>1600.6349838037554</v>
      </c>
      <c r="V1055" s="4">
        <f t="shared" ca="1" si="346"/>
        <v>5.0300239798015997E-2</v>
      </c>
      <c r="W1055" s="13">
        <f t="shared" ca="1" si="347"/>
        <v>28194.075000000001</v>
      </c>
      <c r="X1055" s="4">
        <f t="shared" ca="1" si="348"/>
        <v>0.88600383456139764</v>
      </c>
      <c r="Y1055" s="4">
        <f t="shared" si="349"/>
        <v>0</v>
      </c>
      <c r="Z1055" s="13">
        <f t="shared" ca="1" si="350"/>
        <v>28194.075000000001</v>
      </c>
      <c r="AA1055" s="4">
        <f t="shared" ca="1" si="351"/>
        <v>0.88600383456139764</v>
      </c>
    </row>
    <row r="1056" spans="1:27">
      <c r="A1056">
        <v>3</v>
      </c>
      <c r="B1056">
        <v>3</v>
      </c>
      <c r="C1056">
        <f t="shared" ca="1" si="330"/>
        <v>8</v>
      </c>
      <c r="D1056">
        <f t="shared" ca="1" si="331"/>
        <v>7</v>
      </c>
      <c r="E1056">
        <f t="shared" ca="1" si="332"/>
        <v>3</v>
      </c>
      <c r="F1056" s="110">
        <f t="shared" ca="1" si="333"/>
        <v>8.9999999999999998E-4</v>
      </c>
      <c r="G1056">
        <v>0</v>
      </c>
      <c r="H1056">
        <v>0</v>
      </c>
      <c r="I1056">
        <v>6</v>
      </c>
      <c r="J1056" s="1">
        <f t="shared" ca="1" si="334"/>
        <v>1.2864108085937513E-2</v>
      </c>
      <c r="K1056" s="1">
        <f t="shared" ca="1" si="335"/>
        <v>1.1577697277343762E-5</v>
      </c>
      <c r="L1056" s="13">
        <f t="shared" ca="1" si="336"/>
        <v>120</v>
      </c>
      <c r="M1056" s="7">
        <f t="shared" ca="1" si="337"/>
        <v>880</v>
      </c>
      <c r="N1056" s="26">
        <f t="shared" ca="1" si="338"/>
        <v>4</v>
      </c>
      <c r="O1056" s="44">
        <f t="shared" ca="1" si="339"/>
        <v>2.8910364854084887</v>
      </c>
      <c r="P1056" s="44">
        <f t="shared" ca="1" si="340"/>
        <v>28.910364854084886</v>
      </c>
      <c r="Q1056" s="44">
        <f t="shared" ca="1" si="341"/>
        <v>28.910364854084886</v>
      </c>
      <c r="R1056" s="44">
        <f t="shared" ca="1" si="342"/>
        <v>2.8910364854084887</v>
      </c>
      <c r="S1056" s="44">
        <f t="shared" ca="1" si="343"/>
        <v>2.8910364854084882</v>
      </c>
      <c r="T1056" s="4">
        <f t="shared" ca="1" si="344"/>
        <v>3.3471545245815334E-5</v>
      </c>
      <c r="U1056" s="120">
        <f t="shared" ca="1" si="345"/>
        <v>1580.6349838037554</v>
      </c>
      <c r="V1056" s="4">
        <f t="shared" ca="1" si="346"/>
        <v>1.8300113348459039E-2</v>
      </c>
      <c r="W1056" s="13">
        <f t="shared" ca="1" si="347"/>
        <v>24166.350000000002</v>
      </c>
      <c r="X1056" s="4">
        <f t="shared" ca="1" si="348"/>
        <v>0.27979068459833645</v>
      </c>
      <c r="Y1056" s="4">
        <f t="shared" si="349"/>
        <v>0</v>
      </c>
      <c r="Z1056" s="13">
        <f t="shared" ca="1" si="350"/>
        <v>24166.350000000002</v>
      </c>
      <c r="AA1056" s="4">
        <f t="shared" ca="1" si="351"/>
        <v>0.27979068459833645</v>
      </c>
    </row>
    <row r="1057" spans="1:27">
      <c r="A1057">
        <v>3</v>
      </c>
      <c r="B1057">
        <v>3</v>
      </c>
      <c r="C1057">
        <f t="shared" ca="1" si="330"/>
        <v>8</v>
      </c>
      <c r="D1057">
        <f t="shared" ca="1" si="331"/>
        <v>7</v>
      </c>
      <c r="E1057">
        <f t="shared" ca="1" si="332"/>
        <v>3</v>
      </c>
      <c r="F1057" s="110">
        <f t="shared" ca="1" si="333"/>
        <v>8.9999999999999998E-4</v>
      </c>
      <c r="G1057">
        <v>0</v>
      </c>
      <c r="H1057">
        <v>0</v>
      </c>
      <c r="I1057">
        <v>5</v>
      </c>
      <c r="J1057" s="1">
        <f t="shared" ca="1" si="334"/>
        <v>2.0311749609375038E-3</v>
      </c>
      <c r="K1057" s="1">
        <f t="shared" ca="1" si="335"/>
        <v>1.8280574648437534E-6</v>
      </c>
      <c r="L1057" s="13">
        <f t="shared" ca="1" si="336"/>
        <v>100</v>
      </c>
      <c r="M1057" s="7">
        <f t="shared" ca="1" si="337"/>
        <v>900</v>
      </c>
      <c r="N1057" s="26">
        <f t="shared" ca="1" si="338"/>
        <v>4</v>
      </c>
      <c r="O1057" s="44">
        <f t="shared" ca="1" si="339"/>
        <v>2.8910364854084887</v>
      </c>
      <c r="P1057" s="44">
        <f t="shared" ca="1" si="340"/>
        <v>28.910364854084886</v>
      </c>
      <c r="Q1057" s="44">
        <f t="shared" ca="1" si="341"/>
        <v>28.910364854084886</v>
      </c>
      <c r="R1057" s="44">
        <f t="shared" ca="1" si="342"/>
        <v>2.8910364854084887</v>
      </c>
      <c r="S1057" s="44">
        <f t="shared" ca="1" si="343"/>
        <v>2.8910364854084882</v>
      </c>
      <c r="T1057" s="4">
        <f t="shared" ca="1" si="344"/>
        <v>5.2849808282866357E-6</v>
      </c>
      <c r="U1057" s="120">
        <f t="shared" ca="1" si="345"/>
        <v>1560.6349838037554</v>
      </c>
      <c r="V1057" s="4">
        <f t="shared" ca="1" si="346"/>
        <v>2.8529304320387655E-3</v>
      </c>
      <c r="W1057" s="13">
        <f t="shared" ca="1" si="347"/>
        <v>20138.625</v>
      </c>
      <c r="X1057" s="4">
        <f t="shared" ca="1" si="348"/>
        <v>3.6814563762939033E-2</v>
      </c>
      <c r="Y1057" s="4">
        <f t="shared" si="349"/>
        <v>0</v>
      </c>
      <c r="Z1057" s="13">
        <f t="shared" ca="1" si="350"/>
        <v>20138.625</v>
      </c>
      <c r="AA1057" s="4">
        <f t="shared" ca="1" si="351"/>
        <v>3.6814563762939033E-2</v>
      </c>
    </row>
    <row r="1058" spans="1:27">
      <c r="A1058">
        <v>3</v>
      </c>
      <c r="B1058">
        <v>3</v>
      </c>
      <c r="C1058">
        <f t="shared" ca="1" si="330"/>
        <v>8</v>
      </c>
      <c r="D1058">
        <f t="shared" ca="1" si="331"/>
        <v>7</v>
      </c>
      <c r="E1058">
        <f t="shared" ca="1" si="332"/>
        <v>3</v>
      </c>
      <c r="F1058" s="110">
        <f t="shared" ca="1" si="333"/>
        <v>8.9999999999999998E-4</v>
      </c>
      <c r="G1058">
        <v>0</v>
      </c>
      <c r="H1058">
        <v>0</v>
      </c>
      <c r="I1058">
        <v>4</v>
      </c>
      <c r="J1058" s="1">
        <f t="shared" ca="1" si="334"/>
        <v>1.7817324218750047E-4</v>
      </c>
      <c r="K1058" s="1">
        <f t="shared" ca="1" si="335"/>
        <v>1.6035591796875042E-7</v>
      </c>
      <c r="L1058" s="13">
        <f t="shared" ca="1" si="336"/>
        <v>80</v>
      </c>
      <c r="M1058" s="7">
        <f t="shared" ca="1" si="337"/>
        <v>920</v>
      </c>
      <c r="N1058" s="26">
        <f t="shared" ca="1" si="338"/>
        <v>4</v>
      </c>
      <c r="O1058" s="44">
        <f t="shared" ca="1" si="339"/>
        <v>2.8910364854084887</v>
      </c>
      <c r="P1058" s="44">
        <f t="shared" ca="1" si="340"/>
        <v>28.910364854084886</v>
      </c>
      <c r="Q1058" s="44">
        <f t="shared" ca="1" si="341"/>
        <v>28.910364854084886</v>
      </c>
      <c r="R1058" s="44">
        <f t="shared" ca="1" si="342"/>
        <v>2.8910364854084887</v>
      </c>
      <c r="S1058" s="44">
        <f t="shared" ca="1" si="343"/>
        <v>2.8910364854084882</v>
      </c>
      <c r="T1058" s="4">
        <f t="shared" ca="1" si="344"/>
        <v>4.6359480949882804E-7</v>
      </c>
      <c r="U1058" s="120">
        <f t="shared" ca="1" si="345"/>
        <v>1540.6349838037554</v>
      </c>
      <c r="V1058" s="4">
        <f t="shared" ca="1" si="346"/>
        <v>2.4704993708262211E-4</v>
      </c>
      <c r="W1058" s="13">
        <f t="shared" ca="1" si="347"/>
        <v>16110.900000000001</v>
      </c>
      <c r="X1058" s="4">
        <f t="shared" ca="1" si="348"/>
        <v>2.5834781588027415E-3</v>
      </c>
      <c r="Y1058" s="4">
        <f t="shared" si="349"/>
        <v>0</v>
      </c>
      <c r="Z1058" s="13">
        <f t="shared" ca="1" si="350"/>
        <v>16110.900000000001</v>
      </c>
      <c r="AA1058" s="4">
        <f t="shared" ca="1" si="351"/>
        <v>2.5834781588027415E-3</v>
      </c>
    </row>
    <row r="1059" spans="1:27">
      <c r="A1059">
        <v>3</v>
      </c>
      <c r="B1059">
        <v>3</v>
      </c>
      <c r="C1059">
        <f t="shared" ca="1" si="330"/>
        <v>8</v>
      </c>
      <c r="D1059">
        <f t="shared" ca="1" si="331"/>
        <v>7</v>
      </c>
      <c r="E1059">
        <f t="shared" ca="1" si="332"/>
        <v>3</v>
      </c>
      <c r="F1059" s="110">
        <f t="shared" ca="1" si="333"/>
        <v>8.9999999999999998E-4</v>
      </c>
      <c r="G1059">
        <v>0</v>
      </c>
      <c r="H1059">
        <v>0</v>
      </c>
      <c r="I1059">
        <v>3</v>
      </c>
      <c r="J1059" s="1">
        <f t="shared" ca="1" si="334"/>
        <v>9.3775390625000315E-6</v>
      </c>
      <c r="K1059" s="1">
        <f t="shared" ca="1" si="335"/>
        <v>8.4397851562500278E-9</v>
      </c>
      <c r="L1059" s="13">
        <f t="shared" ca="1" si="336"/>
        <v>60</v>
      </c>
      <c r="M1059" s="7">
        <f t="shared" ca="1" si="337"/>
        <v>940</v>
      </c>
      <c r="N1059" s="26">
        <f t="shared" ca="1" si="338"/>
        <v>4</v>
      </c>
      <c r="O1059" s="44">
        <f t="shared" ca="1" si="339"/>
        <v>2.8910364854084887</v>
      </c>
      <c r="P1059" s="44">
        <f t="shared" ca="1" si="340"/>
        <v>28.910364854084886</v>
      </c>
      <c r="Q1059" s="44">
        <f t="shared" ca="1" si="341"/>
        <v>28.910364854084886</v>
      </c>
      <c r="R1059" s="44">
        <f t="shared" ca="1" si="342"/>
        <v>2.8910364854084887</v>
      </c>
      <c r="S1059" s="44">
        <f t="shared" ca="1" si="343"/>
        <v>2.8910364854084882</v>
      </c>
      <c r="T1059" s="4">
        <f t="shared" ca="1" si="344"/>
        <v>2.4399726815727809E-8</v>
      </c>
      <c r="U1059" s="120">
        <f t="shared" ca="1" si="345"/>
        <v>1520.6349838037554</v>
      </c>
      <c r="V1059" s="4">
        <f t="shared" ca="1" si="346"/>
        <v>1.2833832564381436E-5</v>
      </c>
      <c r="W1059" s="13">
        <f t="shared" ca="1" si="347"/>
        <v>12083.175000000001</v>
      </c>
      <c r="X1059" s="4">
        <f t="shared" ca="1" si="348"/>
        <v>1.0197940100537144E-4</v>
      </c>
      <c r="Y1059" s="4">
        <f t="shared" si="349"/>
        <v>0</v>
      </c>
      <c r="Z1059" s="13">
        <f t="shared" ca="1" si="350"/>
        <v>12083.175000000001</v>
      </c>
      <c r="AA1059" s="4">
        <f t="shared" ca="1" si="351"/>
        <v>1.0197940100537144E-4</v>
      </c>
    </row>
    <row r="1060" spans="1:27">
      <c r="A1060">
        <v>3</v>
      </c>
      <c r="B1060">
        <v>3</v>
      </c>
      <c r="C1060">
        <f t="shared" ca="1" si="330"/>
        <v>8</v>
      </c>
      <c r="D1060">
        <f t="shared" ca="1" si="331"/>
        <v>7</v>
      </c>
      <c r="E1060">
        <f t="shared" ca="1" si="332"/>
        <v>3</v>
      </c>
      <c r="F1060" s="110">
        <f t="shared" ca="1" si="333"/>
        <v>8.9999999999999998E-4</v>
      </c>
      <c r="G1060">
        <v>0</v>
      </c>
      <c r="H1060">
        <v>0</v>
      </c>
      <c r="I1060">
        <v>2</v>
      </c>
      <c r="J1060" s="1">
        <f t="shared" ca="1" si="334"/>
        <v>2.961328125000013E-7</v>
      </c>
      <c r="K1060" s="1">
        <f t="shared" ca="1" si="335"/>
        <v>2.6651953125000117E-10</v>
      </c>
      <c r="L1060" s="13">
        <f t="shared" ca="1" si="336"/>
        <v>40</v>
      </c>
      <c r="M1060" s="7">
        <f t="shared" ca="1" si="337"/>
        <v>960</v>
      </c>
      <c r="N1060" s="26">
        <f t="shared" ca="1" si="338"/>
        <v>4</v>
      </c>
      <c r="O1060" s="44">
        <f t="shared" ca="1" si="339"/>
        <v>2.8910364854084887</v>
      </c>
      <c r="P1060" s="44">
        <f t="shared" ca="1" si="340"/>
        <v>28.910364854084886</v>
      </c>
      <c r="Q1060" s="44">
        <f t="shared" ca="1" si="341"/>
        <v>28.910364854084886</v>
      </c>
      <c r="R1060" s="44">
        <f t="shared" ca="1" si="342"/>
        <v>2.8910364854084887</v>
      </c>
      <c r="S1060" s="44">
        <f t="shared" ca="1" si="343"/>
        <v>2.8910364854084882</v>
      </c>
      <c r="T1060" s="4">
        <f t="shared" ca="1" si="344"/>
        <v>7.7051768891772112E-10</v>
      </c>
      <c r="U1060" s="120">
        <f t="shared" ca="1" si="345"/>
        <v>1500.6349838037554</v>
      </c>
      <c r="V1060" s="4">
        <f t="shared" ca="1" si="346"/>
        <v>3.9994853246072997E-7</v>
      </c>
      <c r="W1060" s="13">
        <f t="shared" ca="1" si="347"/>
        <v>8055.4500000000007</v>
      </c>
      <c r="X1060" s="4">
        <f t="shared" ca="1" si="348"/>
        <v>2.1469347580078222E-6</v>
      </c>
      <c r="Y1060" s="4">
        <f t="shared" si="349"/>
        <v>0</v>
      </c>
      <c r="Z1060" s="13">
        <f t="shared" ca="1" si="350"/>
        <v>8055.4500000000007</v>
      </c>
      <c r="AA1060" s="4">
        <f t="shared" ca="1" si="351"/>
        <v>2.1469347580078222E-6</v>
      </c>
    </row>
    <row r="1061" spans="1:27">
      <c r="A1061">
        <v>3</v>
      </c>
      <c r="B1061">
        <v>3</v>
      </c>
      <c r="C1061">
        <f t="shared" ca="1" si="330"/>
        <v>8</v>
      </c>
      <c r="D1061">
        <f t="shared" ca="1" si="331"/>
        <v>7</v>
      </c>
      <c r="E1061">
        <f t="shared" ca="1" si="332"/>
        <v>3</v>
      </c>
      <c r="F1061" s="110">
        <f t="shared" ca="1" si="333"/>
        <v>8.9999999999999998E-4</v>
      </c>
      <c r="G1061">
        <v>0</v>
      </c>
      <c r="H1061">
        <v>0</v>
      </c>
      <c r="I1061">
        <v>1</v>
      </c>
      <c r="J1061" s="1">
        <f t="shared" ca="1" si="334"/>
        <v>5.1953125000000272E-9</v>
      </c>
      <c r="K1061" s="1">
        <f t="shared" ca="1" si="335"/>
        <v>4.6757812500000246E-12</v>
      </c>
      <c r="L1061" s="13">
        <f t="shared" ca="1" si="336"/>
        <v>20</v>
      </c>
      <c r="M1061" s="7">
        <f t="shared" ca="1" si="337"/>
        <v>980</v>
      </c>
      <c r="N1061" s="26">
        <f t="shared" ca="1" si="338"/>
        <v>4</v>
      </c>
      <c r="O1061" s="44">
        <f t="shared" ca="1" si="339"/>
        <v>2.8910364854084887</v>
      </c>
      <c r="P1061" s="44">
        <f t="shared" ca="1" si="340"/>
        <v>28.910364854084886</v>
      </c>
      <c r="Q1061" s="44">
        <f t="shared" ca="1" si="341"/>
        <v>28.910364854084886</v>
      </c>
      <c r="R1061" s="44">
        <f t="shared" ca="1" si="342"/>
        <v>2.8910364854084887</v>
      </c>
      <c r="S1061" s="44">
        <f t="shared" ca="1" si="343"/>
        <v>2.8910364854084882</v>
      </c>
      <c r="T1061" s="4">
        <f t="shared" ca="1" si="344"/>
        <v>1.3517854191538979E-11</v>
      </c>
      <c r="U1061" s="120">
        <f t="shared" ca="1" si="345"/>
        <v>1480.6349838037554</v>
      </c>
      <c r="V1061" s="4">
        <f t="shared" ca="1" si="346"/>
        <v>6.9231252953636895E-9</v>
      </c>
      <c r="W1061" s="13">
        <f t="shared" ca="1" si="347"/>
        <v>4027.7250000000004</v>
      </c>
      <c r="X1061" s="4">
        <f t="shared" ca="1" si="348"/>
        <v>1.8832761035156351E-8</v>
      </c>
      <c r="Y1061" s="4">
        <f t="shared" si="349"/>
        <v>0</v>
      </c>
      <c r="Z1061" s="13">
        <f t="shared" ca="1" si="350"/>
        <v>4027.7250000000004</v>
      </c>
      <c r="AA1061" s="4">
        <f t="shared" ca="1" si="351"/>
        <v>1.8832761035156351E-8</v>
      </c>
    </row>
    <row r="1062" spans="1:27">
      <c r="A1062">
        <v>3</v>
      </c>
      <c r="B1062">
        <v>3</v>
      </c>
      <c r="C1062">
        <f t="shared" ca="1" si="330"/>
        <v>8</v>
      </c>
      <c r="D1062">
        <f t="shared" ca="1" si="331"/>
        <v>7</v>
      </c>
      <c r="E1062">
        <f t="shared" ca="1" si="332"/>
        <v>3</v>
      </c>
      <c r="F1062" s="110">
        <f t="shared" ca="1" si="333"/>
        <v>8.9999999999999998E-4</v>
      </c>
      <c r="G1062">
        <v>0</v>
      </c>
      <c r="H1062">
        <v>0</v>
      </c>
      <c r="I1062">
        <v>0</v>
      </c>
      <c r="J1062" s="1">
        <f t="shared" ca="1" si="334"/>
        <v>3.9062500000000246E-11</v>
      </c>
      <c r="K1062" s="1">
        <f t="shared" ca="1" si="335"/>
        <v>3.5156250000000219E-14</v>
      </c>
      <c r="L1062" s="13">
        <f t="shared" ca="1" si="336"/>
        <v>0</v>
      </c>
      <c r="M1062" s="7">
        <f t="shared" ca="1" si="337"/>
        <v>1000</v>
      </c>
      <c r="N1062" s="26">
        <f t="shared" ca="1" si="338"/>
        <v>4</v>
      </c>
      <c r="O1062" s="44">
        <f t="shared" ca="1" si="339"/>
        <v>2.8910364854084887</v>
      </c>
      <c r="P1062" s="44">
        <f t="shared" ca="1" si="340"/>
        <v>28.910364854084886</v>
      </c>
      <c r="Q1062" s="44">
        <f t="shared" ca="1" si="341"/>
        <v>28.910364854084886</v>
      </c>
      <c r="R1062" s="44">
        <f t="shared" ca="1" si="342"/>
        <v>2.8910364854084887</v>
      </c>
      <c r="S1062" s="44">
        <f t="shared" ca="1" si="343"/>
        <v>2.8910364854084882</v>
      </c>
      <c r="T1062" s="4">
        <f t="shared" ca="1" si="344"/>
        <v>1.0163800144014279E-13</v>
      </c>
      <c r="U1062" s="120">
        <f t="shared" ca="1" si="345"/>
        <v>1460.6349838037554</v>
      </c>
      <c r="V1062" s="4">
        <f t="shared" ca="1" si="346"/>
        <v>5.1350448649351097E-11</v>
      </c>
      <c r="W1062" s="13">
        <f t="shared" ca="1" si="347"/>
        <v>0</v>
      </c>
      <c r="X1062" s="4">
        <f t="shared" ca="1" si="348"/>
        <v>0</v>
      </c>
      <c r="Y1062" s="4">
        <f t="shared" si="349"/>
        <v>0</v>
      </c>
      <c r="Z1062" s="13">
        <f t="shared" ca="1" si="350"/>
        <v>0</v>
      </c>
      <c r="AA1062" s="4">
        <f t="shared" ca="1" si="351"/>
        <v>0</v>
      </c>
    </row>
    <row r="1064" spans="1:27">
      <c r="J1064" s="2" t="s">
        <v>406</v>
      </c>
      <c r="K1064" s="27">
        <f ca="1">SUM(K551:K1062)</f>
        <v>0.99999999999999978</v>
      </c>
      <c r="O1064" s="26"/>
      <c r="P1064" s="26"/>
      <c r="Q1064" s="26"/>
      <c r="R1064" s="26"/>
      <c r="S1064" s="26" t="s">
        <v>407</v>
      </c>
      <c r="T1064" s="4">
        <f ca="1">SUM(T551:T1062)</f>
        <v>2.295490078632016</v>
      </c>
      <c r="U1064" t="s">
        <v>159</v>
      </c>
      <c r="V1064" s="4">
        <f ca="1">SUM(V551:V1062)</f>
        <v>1535.0934292406175</v>
      </c>
      <c r="W1064" t="s">
        <v>106</v>
      </c>
      <c r="X1064" s="4">
        <f ca="1">SUM(X551:X1062)</f>
        <v>22549.51971855179</v>
      </c>
      <c r="Z1064" t="s">
        <v>427</v>
      </c>
      <c r="AA1064" s="4">
        <f ca="1">SUM(AA551:AA1062)</f>
        <v>22549.51971855179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15" enableFormatConditionsCalculation="0">
    <tabColor indexed="52"/>
  </sheetPr>
  <dimension ref="A1:U112"/>
  <sheetViews>
    <sheetView workbookViewId="0">
      <selection activeCell="R13" sqref="R13"/>
    </sheetView>
  </sheetViews>
  <sheetFormatPr defaultRowHeight="12.75"/>
  <cols>
    <col min="1" max="1" width="15.140625" style="88" customWidth="1"/>
    <col min="2" max="4" width="9.140625" style="88"/>
    <col min="5" max="5" width="9.28515625" style="88" bestFit="1" customWidth="1"/>
    <col min="6" max="16" width="9.140625" style="88"/>
    <col min="17" max="17" width="13.7109375" style="88" customWidth="1"/>
    <col min="18" max="18" width="10.28515625" style="88" customWidth="1"/>
    <col min="19" max="19" width="9.140625" style="88"/>
    <col min="20" max="20" width="13.7109375" style="88" customWidth="1"/>
    <col min="21" max="21" width="10.140625" style="88" customWidth="1"/>
    <col min="22" max="16384" width="9.140625" style="88"/>
  </cols>
  <sheetData>
    <row r="1" spans="1:21">
      <c r="A1" s="88" t="s">
        <v>153</v>
      </c>
    </row>
    <row r="2" spans="1:21">
      <c r="Q2" s="106" t="s">
        <v>153</v>
      </c>
      <c r="T2" s="106" t="s">
        <v>157</v>
      </c>
    </row>
    <row r="3" spans="1:21">
      <c r="A3" s="88" t="s">
        <v>50</v>
      </c>
      <c r="B3" s="89">
        <f ca="1">Data!B114</f>
        <v>0.95</v>
      </c>
      <c r="D3" s="90" t="s">
        <v>186</v>
      </c>
      <c r="E3" s="90"/>
      <c r="F3" s="90"/>
      <c r="G3" s="90"/>
      <c r="H3" s="90"/>
      <c r="I3" s="90"/>
      <c r="R3" s="88" t="s">
        <v>52</v>
      </c>
      <c r="U3" s="88" t="s">
        <v>52</v>
      </c>
    </row>
    <row r="4" spans="1:21">
      <c r="A4" s="88" t="s">
        <v>44</v>
      </c>
      <c r="B4" s="91">
        <f ca="1">Data!B182</f>
        <v>0.43</v>
      </c>
      <c r="D4" s="88" t="s">
        <v>45</v>
      </c>
      <c r="E4" s="88" t="s">
        <v>46</v>
      </c>
      <c r="F4" s="92">
        <v>0</v>
      </c>
      <c r="G4" s="92">
        <v>1</v>
      </c>
      <c r="H4" s="92">
        <v>2</v>
      </c>
      <c r="I4" s="93">
        <v>3</v>
      </c>
      <c r="J4" s="93">
        <v>4</v>
      </c>
      <c r="K4" s="93">
        <v>5</v>
      </c>
      <c r="L4" s="93">
        <v>6</v>
      </c>
      <c r="M4" s="93">
        <v>7</v>
      </c>
      <c r="N4" s="93">
        <v>8</v>
      </c>
      <c r="Q4" s="94"/>
      <c r="R4" s="94"/>
      <c r="T4" s="94"/>
      <c r="U4" s="94"/>
    </row>
    <row r="5" spans="1:21">
      <c r="A5" s="88" t="s">
        <v>154</v>
      </c>
      <c r="B5" s="91">
        <f ca="1">Data!B183</f>
        <v>0.06</v>
      </c>
      <c r="D5" s="88">
        <v>0</v>
      </c>
      <c r="E5" s="95">
        <v>0</v>
      </c>
      <c r="F5" s="96">
        <f t="shared" ref="F5:N5" ca="1" si="0">IF($D5&gt;=F$4, POWER($B$3, F$4) * POWER((1-$B$3), $D5-F$4) * COMBIN($D5,F$4) * $E5, 0)</f>
        <v>0</v>
      </c>
      <c r="G5" s="96">
        <f t="shared" si="0"/>
        <v>0</v>
      </c>
      <c r="H5" s="96">
        <f t="shared" si="0"/>
        <v>0</v>
      </c>
      <c r="I5" s="96">
        <f t="shared" si="0"/>
        <v>0</v>
      </c>
      <c r="J5" s="96">
        <f t="shared" si="0"/>
        <v>0</v>
      </c>
      <c r="K5" s="96">
        <f t="shared" si="0"/>
        <v>0</v>
      </c>
      <c r="L5" s="96">
        <f t="shared" si="0"/>
        <v>0</v>
      </c>
      <c r="M5" s="96">
        <f t="shared" si="0"/>
        <v>0</v>
      </c>
      <c r="N5" s="96">
        <f t="shared" si="0"/>
        <v>0</v>
      </c>
      <c r="R5" s="97">
        <v>0</v>
      </c>
      <c r="U5" s="97">
        <v>0</v>
      </c>
    </row>
    <row r="6" spans="1:21">
      <c r="A6" s="88" t="s">
        <v>379</v>
      </c>
      <c r="B6" s="91">
        <f ca="1">Data!B184</f>
        <v>0.05</v>
      </c>
      <c r="D6" s="88">
        <v>1</v>
      </c>
      <c r="E6" s="134">
        <f ca="1">(1-B6)*(1-B5)*(1-B4)*(1-B8)*(1-B7)*(1-B25)</f>
        <v>0.50900999999999996</v>
      </c>
      <c r="F6" s="96">
        <f ca="1">IF($D6&gt;=F$4, POWER($B$3, F$4) * POWER((1-$B$3), $D6-F$4) * COMBIN($D6,F$4) * $E6, 0) * (1 - B28*B29*(1-E19))</f>
        <v>2.5450500000000022E-2</v>
      </c>
      <c r="G6" s="96">
        <f ca="1">IF($D6&gt;=G$4, POWER($B$3, G$4) * POWER((1-$B$3), $D6-G$4) * COMBIN($D6,G$4) * $E6, 0) + IF($D6&gt;=F$4, POWER($B$3, F$4) * POWER((1-$B$3), $D6-F$4) * COMBIN($D6,F$4) * $E6, 0) * B28 * B29 * (1-E19)</f>
        <v>0.48355949999999992</v>
      </c>
      <c r="H6" s="96">
        <f t="shared" ref="H6:N13" si="1">IF($D6&gt;=H$4, POWER($B$3, H$4) * POWER((1-$B$3), $D6-H$4) * COMBIN($D6,H$4) * $E6, 0)</f>
        <v>0</v>
      </c>
      <c r="I6" s="96">
        <f t="shared" si="1"/>
        <v>0</v>
      </c>
      <c r="J6" s="96">
        <f t="shared" si="1"/>
        <v>0</v>
      </c>
      <c r="K6" s="96">
        <f t="shared" si="1"/>
        <v>0</v>
      </c>
      <c r="L6" s="96">
        <f t="shared" si="1"/>
        <v>0</v>
      </c>
      <c r="M6" s="96">
        <f t="shared" si="1"/>
        <v>0</v>
      </c>
      <c r="N6" s="96">
        <f t="shared" si="1"/>
        <v>0</v>
      </c>
      <c r="R6" s="88">
        <v>0</v>
      </c>
      <c r="U6" s="88">
        <v>0</v>
      </c>
    </row>
    <row r="7" spans="1:21">
      <c r="A7" s="88" t="s">
        <v>449</v>
      </c>
      <c r="B7" s="91">
        <v>0</v>
      </c>
      <c r="D7" s="88">
        <v>2</v>
      </c>
      <c r="E7" s="134">
        <f ca="1">(1-B6)*(1-B5)*(1-B7)*(B4) + (1-B6)*(1-B5)*(1-B4)*(1-B7)*(B8)*(B9) + (1-B6)*(1-B5)*(1-B4)*(1-B7)*(1-B8)*(B25)*(B26) + (1-B6)*(1-B5)*(1-B4)*(1-B8)*(1-B25)*(B7)</f>
        <v>0.38398999999999994</v>
      </c>
      <c r="F7" s="96">
        <f t="shared" ref="F7:G13" ca="1" si="2">IF($D7&gt;=F$4, POWER($B$3, F$4) * POWER((1-$B$3), $D7-F$4) * COMBIN($D7,F$4) * $E7, 0)</f>
        <v>9.5997500000000158E-4</v>
      </c>
      <c r="G7" s="96">
        <f t="shared" ca="1" si="2"/>
        <v>3.6479050000000027E-2</v>
      </c>
      <c r="H7" s="96">
        <f t="shared" ca="1" si="1"/>
        <v>0.34655097499999993</v>
      </c>
      <c r="I7" s="96">
        <f t="shared" si="1"/>
        <v>0</v>
      </c>
      <c r="J7" s="96">
        <f t="shared" si="1"/>
        <v>0</v>
      </c>
      <c r="K7" s="96">
        <f t="shared" si="1"/>
        <v>0</v>
      </c>
      <c r="L7" s="96">
        <f t="shared" si="1"/>
        <v>0</v>
      </c>
      <c r="M7" s="96">
        <f t="shared" si="1"/>
        <v>0</v>
      </c>
      <c r="N7" s="96">
        <f t="shared" si="1"/>
        <v>0</v>
      </c>
      <c r="R7" s="88">
        <v>0</v>
      </c>
      <c r="U7" s="88">
        <v>0</v>
      </c>
    </row>
    <row r="8" spans="1:21">
      <c r="A8" s="88" t="s">
        <v>450</v>
      </c>
      <c r="B8" s="91">
        <f ca="1">IF(ISBLANK(Gear!$B$3), 0, VLOOKUP(Gear!$B$3, INDIRECT(Gear!A3), MATCH("OAx", StatHeader, 0), 0))</f>
        <v>0</v>
      </c>
      <c r="D8" s="88">
        <v>3</v>
      </c>
      <c r="E8" s="134">
        <f ca="1">(1-B6)*(1-B7)*(B5) + (1-B6)*(1-B5)*(1-B4)*(1-B7)*(B8)*(B10) + (1-B6)*(1-B5)*(1-B4)*(1-B7)*(1-B8)*(B25)*(B27) + (1-B6)*(1-B5)*(B7)*(B4) + (1-B6)*(1-B5)*(1-B4)*(B7)*(B8)*(B9) + (1-B6)*(1-B5)*(1-B4)*(B7)*(B25)*(B26)</f>
        <v>5.6999999999999995E-2</v>
      </c>
      <c r="F8" s="96">
        <f t="shared" ca="1" si="2"/>
        <v>7.1250000000000182E-6</v>
      </c>
      <c r="G8" s="96">
        <f t="shared" ca="1" si="2"/>
        <v>4.0612500000000062E-4</v>
      </c>
      <c r="H8" s="96">
        <f t="shared" ca="1" si="1"/>
        <v>7.7163750000000071E-3</v>
      </c>
      <c r="I8" s="96">
        <f t="shared" ca="1" si="1"/>
        <v>4.8870374999999987E-2</v>
      </c>
      <c r="J8" s="96">
        <f t="shared" si="1"/>
        <v>0</v>
      </c>
      <c r="K8" s="96">
        <f t="shared" si="1"/>
        <v>0</v>
      </c>
      <c r="L8" s="96">
        <f t="shared" si="1"/>
        <v>0</v>
      </c>
      <c r="M8" s="96">
        <f t="shared" si="1"/>
        <v>0</v>
      </c>
      <c r="N8" s="96">
        <f t="shared" si="1"/>
        <v>0</v>
      </c>
      <c r="R8" s="88">
        <v>0</v>
      </c>
      <c r="U8" s="88">
        <v>0</v>
      </c>
    </row>
    <row r="9" spans="1:21">
      <c r="A9" s="88" t="s">
        <v>439</v>
      </c>
      <c r="B9" s="91">
        <f ca="1">IF(ISBLANK(Gear!$B$3), 0, VLOOKUP(Gear!$B$3, INDIRECT(Gear!A3), MATCH(A9, StatHeader, 0), 0))</f>
        <v>0</v>
      </c>
      <c r="D9" s="88">
        <v>4</v>
      </c>
      <c r="E9" s="134">
        <f ca="1">(B6)*(1-B7) + (1-B6)*(B7)*(B5) + (1-B6)*(1-B5)*(1-B4)*(1-B7)*(B8)*(B11) + (1-B6)*(1-B5)*(1-B4)*(B7)*(B25)*(B27) + (1-B6)*(1-B5)*(1-B4)*(B7)*(B8)*(B10)</f>
        <v>0.05</v>
      </c>
      <c r="F9" s="96">
        <f t="shared" ca="1" si="2"/>
        <v>3.1250000000000114E-7</v>
      </c>
      <c r="G9" s="96">
        <f t="shared" ca="1" si="2"/>
        <v>2.3750000000000062E-5</v>
      </c>
      <c r="H9" s="96">
        <f t="shared" ca="1" si="1"/>
        <v>6.7687500000000126E-4</v>
      </c>
      <c r="I9" s="96">
        <f t="shared" ca="1" si="1"/>
        <v>8.5737500000000067E-3</v>
      </c>
      <c r="J9" s="96">
        <f t="shared" ca="1" si="1"/>
        <v>4.0725312499999999E-2</v>
      </c>
      <c r="K9" s="96">
        <f t="shared" si="1"/>
        <v>0</v>
      </c>
      <c r="L9" s="96">
        <f t="shared" si="1"/>
        <v>0</v>
      </c>
      <c r="M9" s="96">
        <f t="shared" si="1"/>
        <v>0</v>
      </c>
      <c r="N9" s="96">
        <f t="shared" si="1"/>
        <v>0</v>
      </c>
      <c r="R9" s="88">
        <v>0</v>
      </c>
      <c r="U9" s="88">
        <v>0</v>
      </c>
    </row>
    <row r="10" spans="1:21">
      <c r="A10" s="88" t="s">
        <v>440</v>
      </c>
      <c r="B10" s="91">
        <f ca="1">IF(ISBLANK(Gear!$B$3), 0, VLOOKUP(Gear!$B$3, INDIRECT(Gear!A3), MATCH(A10, StatHeader, 0), 0))</f>
        <v>0</v>
      </c>
      <c r="D10" s="88">
        <v>5</v>
      </c>
      <c r="E10" s="135">
        <f ca="1">(1-B6)*(1-B5)*(1-B4)*(1-B7)*(B8)*(B12) + (1-B6)*(1-B5)*(1-B4)*(B7)*(B8)*(B11) + (B6)*(B7)</f>
        <v>0</v>
      </c>
      <c r="F10" s="96">
        <f t="shared" ca="1" si="2"/>
        <v>0</v>
      </c>
      <c r="G10" s="96">
        <f t="shared" ca="1" si="2"/>
        <v>0</v>
      </c>
      <c r="H10" s="96">
        <f t="shared" ca="1" si="1"/>
        <v>0</v>
      </c>
      <c r="I10" s="96">
        <f t="shared" ca="1" si="1"/>
        <v>0</v>
      </c>
      <c r="J10" s="96">
        <f t="shared" ca="1" si="1"/>
        <v>0</v>
      </c>
      <c r="K10" s="96">
        <f t="shared" ca="1" si="1"/>
        <v>0</v>
      </c>
      <c r="L10" s="96">
        <f t="shared" si="1"/>
        <v>0</v>
      </c>
      <c r="M10" s="96">
        <f t="shared" si="1"/>
        <v>0</v>
      </c>
      <c r="N10" s="96">
        <f t="shared" si="1"/>
        <v>0</v>
      </c>
      <c r="R10" s="88">
        <v>0</v>
      </c>
      <c r="U10" s="88">
        <v>0</v>
      </c>
    </row>
    <row r="11" spans="1:21">
      <c r="A11" s="88" t="s">
        <v>441</v>
      </c>
      <c r="B11" s="91">
        <f ca="1">IF(ISBLANK(Gear!$B$3), 0, VLOOKUP(Gear!$B$3, INDIRECT(Gear!A3), MATCH(A11, StatHeader, 0), 0))</f>
        <v>0</v>
      </c>
      <c r="D11" s="90">
        <v>6</v>
      </c>
      <c r="E11" s="135">
        <f ca="1">(1-B6)*(1-B5)*(1-B4)*(1-B7)*(B8)*(B13) + (1-B6)*(1-B5)*(1-B4)*(B7)*(B8)*(B12)</f>
        <v>0</v>
      </c>
      <c r="F11" s="96">
        <f t="shared" ca="1" si="2"/>
        <v>0</v>
      </c>
      <c r="G11" s="96">
        <f t="shared" ca="1" si="2"/>
        <v>0</v>
      </c>
      <c r="H11" s="96">
        <f t="shared" ca="1" si="1"/>
        <v>0</v>
      </c>
      <c r="I11" s="96">
        <f t="shared" ca="1" si="1"/>
        <v>0</v>
      </c>
      <c r="J11" s="96">
        <f t="shared" ca="1" si="1"/>
        <v>0</v>
      </c>
      <c r="K11" s="96">
        <f t="shared" ca="1" si="1"/>
        <v>0</v>
      </c>
      <c r="L11" s="96">
        <f t="shared" ca="1" si="1"/>
        <v>0</v>
      </c>
      <c r="M11" s="96">
        <f t="shared" si="1"/>
        <v>0</v>
      </c>
      <c r="N11" s="96">
        <f t="shared" si="1"/>
        <v>0</v>
      </c>
      <c r="Q11" s="88" t="s">
        <v>47</v>
      </c>
      <c r="R11" s="88">
        <v>0</v>
      </c>
      <c r="T11" s="88" t="s">
        <v>47</v>
      </c>
      <c r="U11" s="88">
        <v>0</v>
      </c>
    </row>
    <row r="12" spans="1:21">
      <c r="A12" s="88" t="s">
        <v>442</v>
      </c>
      <c r="B12" s="91">
        <f ca="1">IF(ISBLANK(Gear!$B$3), 0, VLOOKUP(Gear!$B$3, INDIRECT(Gear!A3), MATCH(A12, StatHeader, 0), 0))</f>
        <v>0</v>
      </c>
      <c r="D12" s="100">
        <v>7</v>
      </c>
      <c r="E12" s="134">
        <f ca="1">(1-B6)*(1-B5)*(1-B4)*(1-B7)*(B8)*(B14) + (1-B6)*(1-B5)*(1-B4)*(B7)*(B8)*(B13)</f>
        <v>0</v>
      </c>
      <c r="F12" s="96">
        <f t="shared" ca="1" si="2"/>
        <v>0</v>
      </c>
      <c r="G12" s="96">
        <f t="shared" ca="1" si="2"/>
        <v>0</v>
      </c>
      <c r="H12" s="96">
        <f t="shared" ca="1" si="1"/>
        <v>0</v>
      </c>
      <c r="I12" s="96">
        <f t="shared" ca="1" si="1"/>
        <v>0</v>
      </c>
      <c r="J12" s="96">
        <f t="shared" ca="1" si="1"/>
        <v>0</v>
      </c>
      <c r="K12" s="96">
        <f t="shared" ca="1" si="1"/>
        <v>0</v>
      </c>
      <c r="L12" s="96">
        <f t="shared" ca="1" si="1"/>
        <v>0</v>
      </c>
      <c r="M12" s="96">
        <f t="shared" ca="1" si="1"/>
        <v>0</v>
      </c>
      <c r="N12" s="96">
        <f t="shared" si="1"/>
        <v>0</v>
      </c>
      <c r="O12" s="90"/>
      <c r="P12" s="90"/>
      <c r="Q12" s="88">
        <v>0</v>
      </c>
      <c r="R12" s="88">
        <v>0</v>
      </c>
      <c r="T12" s="88">
        <v>0</v>
      </c>
      <c r="U12" s="88">
        <v>0</v>
      </c>
    </row>
    <row r="13" spans="1:21">
      <c r="A13" s="88" t="s">
        <v>443</v>
      </c>
      <c r="B13" s="91">
        <f ca="1">IF(ISBLANK(Gear!$B$3), 0, VLOOKUP(Gear!$B$3, INDIRECT(Gear!A3), MATCH(A13, StatHeader, 0), 0))</f>
        <v>0</v>
      </c>
      <c r="D13" s="100">
        <v>8</v>
      </c>
      <c r="E13" s="134">
        <f ca="1">(1-B6)*(1-B5)*(1-B4)*(B8)*(B15) + (1-B6)*(1-B5)*(1-B4)*(B7)*(B8)*(B14)</f>
        <v>0</v>
      </c>
      <c r="F13" s="101">
        <f t="shared" ca="1" si="2"/>
        <v>0</v>
      </c>
      <c r="G13" s="102">
        <f t="shared" ca="1" si="2"/>
        <v>0</v>
      </c>
      <c r="H13" s="102">
        <f t="shared" ca="1" si="1"/>
        <v>0</v>
      </c>
      <c r="I13" s="102">
        <f t="shared" ca="1" si="1"/>
        <v>0</v>
      </c>
      <c r="J13" s="102">
        <f t="shared" ca="1" si="1"/>
        <v>0</v>
      </c>
      <c r="K13" s="102">
        <f t="shared" ca="1" si="1"/>
        <v>0</v>
      </c>
      <c r="L13" s="102">
        <f t="shared" ca="1" si="1"/>
        <v>0</v>
      </c>
      <c r="M13" s="102">
        <f t="shared" ca="1" si="1"/>
        <v>0</v>
      </c>
      <c r="N13" s="102">
        <f t="shared" ca="1" si="1"/>
        <v>0</v>
      </c>
      <c r="O13" s="90"/>
      <c r="P13" s="90"/>
      <c r="Q13" s="88">
        <v>1</v>
      </c>
      <c r="R13" s="103">
        <f t="shared" ref="R13:R76" ca="1" si="3">(1+R12*$F$37+R11*$G$37+R10*$H$37+R9*$I$37+R8*$J$37+R7*$K$37+R6*$L$37+R5*$M$37)/(1-$E$37)</f>
        <v>1.027134756112694</v>
      </c>
      <c r="T13" s="88">
        <v>1</v>
      </c>
      <c r="U13" s="103">
        <f t="shared" ref="U13:U76" ca="1" si="4">(1+U12*$F$77+U11*$G$77+U10*$H$77+U9*$I$77+U8*$J$77+U7*$K$77+U6*$L$77+U5*$M$77)/(1-$E$77)</f>
        <v>1.0280305508577057</v>
      </c>
    </row>
    <row r="14" spans="1:21">
      <c r="A14" s="88" t="s">
        <v>444</v>
      </c>
      <c r="B14" s="91">
        <f ca="1">IF(ISBLANK(Gear!$B$3), 0, VLOOKUP(Gear!$B$3, INDIRECT(Gear!A3), MATCH(A14, StatHeader, 0), 0))</f>
        <v>0</v>
      </c>
      <c r="E14" s="91">
        <f ca="1">SUM(E5:E13)</f>
        <v>1</v>
      </c>
      <c r="O14" s="96"/>
      <c r="P14" s="96"/>
      <c r="Q14" s="88">
        <v>2</v>
      </c>
      <c r="R14" s="103">
        <f t="shared" ca="1" si="3"/>
        <v>1.5762319669595739</v>
      </c>
      <c r="T14" s="88">
        <v>2</v>
      </c>
      <c r="U14" s="103">
        <f t="shared" ca="1" si="4"/>
        <v>1.5942243152407929</v>
      </c>
    </row>
    <row r="15" spans="1:21">
      <c r="A15" s="88" t="s">
        <v>445</v>
      </c>
      <c r="B15" s="91">
        <f ca="1">IF(ISBLANK(Gear!$B$3), 0, VLOOKUP(Gear!$B$3, INDIRECT(Gear!A3), MATCH(A15, StatHeader, 0), 0))</f>
        <v>0</v>
      </c>
      <c r="E15" s="88" t="s">
        <v>155</v>
      </c>
      <c r="F15" s="104">
        <f t="shared" ref="F15:N15" ca="1" si="5">SUM(F5:F13)</f>
        <v>2.6417912500000022E-2</v>
      </c>
      <c r="G15" s="104">
        <f t="shared" ca="1" si="5"/>
        <v>0.52046842500000001</v>
      </c>
      <c r="H15" s="104">
        <f t="shared" ca="1" si="5"/>
        <v>0.35494422499999995</v>
      </c>
      <c r="I15" s="104">
        <f t="shared" ca="1" si="5"/>
        <v>5.7444124999999992E-2</v>
      </c>
      <c r="J15" s="104">
        <f t="shared" ca="1" si="5"/>
        <v>4.0725312499999999E-2</v>
      </c>
      <c r="K15" s="104">
        <f t="shared" ca="1" si="5"/>
        <v>0</v>
      </c>
      <c r="L15" s="104">
        <f t="shared" ca="1" si="5"/>
        <v>0</v>
      </c>
      <c r="M15" s="104">
        <f t="shared" ca="1" si="5"/>
        <v>0</v>
      </c>
      <c r="N15" s="104">
        <f t="shared" ca="1" si="5"/>
        <v>0</v>
      </c>
      <c r="O15" s="96">
        <f ca="1">SUM(F15:N15)</f>
        <v>1</v>
      </c>
      <c r="P15" s="90"/>
      <c r="Q15" s="88">
        <v>3</v>
      </c>
      <c r="R15" s="103">
        <f t="shared" ca="1" si="3"/>
        <v>2.2442427272544552</v>
      </c>
      <c r="T15" s="88">
        <v>3</v>
      </c>
      <c r="U15" s="103">
        <f t="shared" ca="1" si="4"/>
        <v>2.2641455309069398</v>
      </c>
    </row>
    <row r="16" spans="1:21">
      <c r="A16" s="88" t="s">
        <v>635</v>
      </c>
      <c r="B16" s="159">
        <f ca="1">Data!B174</f>
        <v>0.2</v>
      </c>
      <c r="E16" s="96" t="s">
        <v>156</v>
      </c>
      <c r="F16" s="105">
        <f ca="1">F4*F15+G4*G15+H4*H15+I4*I15+J15*J4+K15*K4+L15*L4+M15*M4+N15*N4</f>
        <v>1.5655904999999999</v>
      </c>
      <c r="G16" s="96"/>
      <c r="H16" s="96"/>
      <c r="I16" s="96"/>
      <c r="O16" s="90"/>
      <c r="P16" s="90"/>
      <c r="Q16" s="88">
        <v>4</v>
      </c>
      <c r="R16" s="103">
        <f t="shared" ca="1" si="3"/>
        <v>2.8621467101781541</v>
      </c>
      <c r="T16" s="88">
        <v>4</v>
      </c>
      <c r="U16" s="103">
        <f t="shared" ca="1" si="4"/>
        <v>2.8910364854084887</v>
      </c>
    </row>
    <row r="17" spans="1:21">
      <c r="A17" s="88" t="s">
        <v>451</v>
      </c>
      <c r="B17" s="91">
        <f ca="1">IF(AND(Setup!$B$35="Axe", Data!$G$23&gt;0), IF(ISBLANK(Gear!$B$4), 0, VLOOKUP(Gear!$B$4, INDIRECT(Gear!A4), MATCH("OAx", StatHeader, 0), 0)), 0)</f>
        <v>0</v>
      </c>
      <c r="Q17" s="88">
        <v>5</v>
      </c>
      <c r="R17" s="103">
        <f t="shared" ca="1" si="3"/>
        <v>3.5113768832193069</v>
      </c>
      <c r="T17" s="88">
        <v>5</v>
      </c>
      <c r="U17" s="103">
        <f t="shared" ca="1" si="4"/>
        <v>3.5461258978903336</v>
      </c>
    </row>
    <row r="18" spans="1:21">
      <c r="A18" s="88" t="s">
        <v>439</v>
      </c>
      <c r="B18" s="91">
        <f ca="1">IF(AND(Setup!$B$35="Axe", Data!$G$23&gt;0), IF(ISBLANK(Gear!$B$4), 0, VLOOKUP(Gear!$B$4, INDIRECT(Gear!A4), MATCH(A18, StatHeader, 0), 0)), 0)</f>
        <v>0</v>
      </c>
      <c r="Q18" s="88">
        <v>6</v>
      </c>
      <c r="R18" s="103">
        <f t="shared" ca="1" si="3"/>
        <v>4.1461058013279333</v>
      </c>
      <c r="T18" s="88">
        <v>6</v>
      </c>
      <c r="U18" s="103">
        <f t="shared" ca="1" si="4"/>
        <v>4.1885472375410924</v>
      </c>
    </row>
    <row r="19" spans="1:21">
      <c r="A19" s="88" t="s">
        <v>440</v>
      </c>
      <c r="B19" s="91">
        <f ca="1">IF(AND(Setup!$B$35="Axe", Data!$G$23&gt;0), IF(ISBLANK(Gear!$B$4), 0, VLOOKUP(Gear!$B$4, INDIRECT(Gear!A4), MATCH(A19, StatHeader, 0), 0)), 0)</f>
        <v>0</v>
      </c>
      <c r="D19" s="90" t="s">
        <v>187</v>
      </c>
      <c r="E19" s="90">
        <f ca="1">IF(Data!G23&gt;0, 1, 0)</f>
        <v>0</v>
      </c>
      <c r="F19" s="90"/>
      <c r="G19" s="90"/>
      <c r="H19" s="90"/>
      <c r="I19" s="90"/>
      <c r="J19" s="90"/>
      <c r="Q19" s="88">
        <v>7</v>
      </c>
      <c r="R19" s="103">
        <f t="shared" ca="1" si="3"/>
        <v>4.7865209954150965</v>
      </c>
      <c r="T19" s="88">
        <v>7</v>
      </c>
      <c r="U19" s="103">
        <f t="shared" ca="1" si="4"/>
        <v>4.8356153562080486</v>
      </c>
    </row>
    <row r="20" spans="1:21">
      <c r="A20" s="88" t="s">
        <v>441</v>
      </c>
      <c r="B20" s="91">
        <f ca="1">IF(AND(Setup!$B$35="Axe", Data!$G$23&gt;0), IF(ISBLANK(Gear!$B$4), 0, VLOOKUP(Gear!$B$4, INDIRECT(Gear!A4), MATCH(A20, StatHeader, 0), 0)), 0)</f>
        <v>0</v>
      </c>
      <c r="D20" s="88" t="s">
        <v>45</v>
      </c>
      <c r="E20" s="88" t="s">
        <v>46</v>
      </c>
      <c r="F20" s="92">
        <v>0</v>
      </c>
      <c r="G20" s="92">
        <v>1</v>
      </c>
      <c r="H20" s="92">
        <v>2</v>
      </c>
      <c r="I20" s="93">
        <v>3</v>
      </c>
      <c r="J20" s="93">
        <v>4</v>
      </c>
      <c r="K20" s="93">
        <v>5</v>
      </c>
      <c r="L20" s="93">
        <v>6</v>
      </c>
      <c r="M20" s="93">
        <v>7</v>
      </c>
      <c r="N20" s="93">
        <v>8</v>
      </c>
      <c r="O20" s="90"/>
      <c r="Q20" s="88">
        <v>8</v>
      </c>
      <c r="R20" s="103">
        <f t="shared" ca="1" si="3"/>
        <v>5.424441568650046</v>
      </c>
      <c r="T20" s="88">
        <v>8</v>
      </c>
      <c r="U20" s="103">
        <f t="shared" ca="1" si="4"/>
        <v>5.4806938320684644</v>
      </c>
    </row>
    <row r="21" spans="1:21">
      <c r="A21" s="88" t="s">
        <v>442</v>
      </c>
      <c r="B21" s="91">
        <f ca="1">IF(AND(Setup!$B$35="Axe", Data!$G$23&gt;0), IF(ISBLANK(Gear!$B$4), 0, VLOOKUP(Gear!$B$4, INDIRECT(Gear!A4), MATCH(A21, StatHeader, 0), 0)), 0)</f>
        <v>0</v>
      </c>
      <c r="D21" s="88">
        <v>0</v>
      </c>
      <c r="E21" s="95">
        <f ca="1">IF(E19=0, 100%, 0)</f>
        <v>1</v>
      </c>
      <c r="F21" s="96">
        <f ca="1">IF($D21&gt;=F$20, POWER($B$16, F$20) * POWER((1-$B$16), $D21-F$20) * COMBIN($D21,F$20) * $E21, 0)</f>
        <v>1</v>
      </c>
      <c r="G21" s="96">
        <f t="shared" ref="G21:N29" si="6">IF($D21&gt;=G$20, POWER($B$16, G$20) * POWER((1-$B$16), $D21-G$20) * COMBIN($D21,G$20) * $E21, 0)</f>
        <v>0</v>
      </c>
      <c r="H21" s="96">
        <f t="shared" si="6"/>
        <v>0</v>
      </c>
      <c r="I21" s="96">
        <f t="shared" si="6"/>
        <v>0</v>
      </c>
      <c r="J21" s="96">
        <f t="shared" si="6"/>
        <v>0</v>
      </c>
      <c r="K21" s="96">
        <f t="shared" si="6"/>
        <v>0</v>
      </c>
      <c r="L21" s="96">
        <f t="shared" si="6"/>
        <v>0</v>
      </c>
      <c r="M21" s="96">
        <f t="shared" si="6"/>
        <v>0</v>
      </c>
      <c r="N21" s="96">
        <f t="shared" si="6"/>
        <v>0</v>
      </c>
      <c r="O21" s="90"/>
      <c r="Q21" s="88">
        <v>9</v>
      </c>
      <c r="R21" s="103">
        <f t="shared" ca="1" si="3"/>
        <v>6.0635563877840424</v>
      </c>
      <c r="T21" s="88">
        <v>9</v>
      </c>
      <c r="U21" s="103">
        <f t="shared" ca="1" si="4"/>
        <v>6.1267275575412912</v>
      </c>
    </row>
    <row r="22" spans="1:21">
      <c r="A22" s="88" t="s">
        <v>443</v>
      </c>
      <c r="B22" s="91">
        <f ca="1">IF(AND(Setup!$B$35="Axe", Data!$G$23&gt;0), IF(ISBLANK(Gear!$B$4), 0, VLOOKUP(Gear!$B$4, INDIRECT(Gear!A4), MATCH(A22, StatHeader, 0), 0)), 0)</f>
        <v>0</v>
      </c>
      <c r="D22" s="88">
        <v>1</v>
      </c>
      <c r="E22" s="98">
        <f ca="1">IF(E19=1, (1-B6)*(1-B5)*(1-B4)*(1-B17), 0)</f>
        <v>0</v>
      </c>
      <c r="F22" s="96">
        <f t="shared" ref="F22:F29" ca="1" si="7">IF($D22&gt;=F$20, POWER($B$16, F$20) * POWER((1-$B$16), $D22-F$20) * COMBIN($D22,F$20) * $E22, 0)</f>
        <v>0</v>
      </c>
      <c r="G22" s="96">
        <f t="shared" ca="1" si="6"/>
        <v>0</v>
      </c>
      <c r="H22" s="96">
        <f t="shared" si="6"/>
        <v>0</v>
      </c>
      <c r="I22" s="96">
        <f t="shared" si="6"/>
        <v>0</v>
      </c>
      <c r="J22" s="96">
        <f t="shared" si="6"/>
        <v>0</v>
      </c>
      <c r="K22" s="96">
        <f t="shared" si="6"/>
        <v>0</v>
      </c>
      <c r="L22" s="96">
        <f t="shared" si="6"/>
        <v>0</v>
      </c>
      <c r="M22" s="96">
        <f t="shared" si="6"/>
        <v>0</v>
      </c>
      <c r="N22" s="96">
        <f t="shared" si="6"/>
        <v>0</v>
      </c>
      <c r="O22" s="90"/>
      <c r="Q22" s="88">
        <v>10</v>
      </c>
      <c r="R22" s="103">
        <f t="shared" ca="1" si="3"/>
        <v>6.702129075976675</v>
      </c>
      <c r="T22" s="88">
        <v>10</v>
      </c>
      <c r="U22" s="103">
        <f t="shared" ca="1" si="4"/>
        <v>6.7723383936736266</v>
      </c>
    </row>
    <row r="23" spans="1:21">
      <c r="A23" s="88" t="s">
        <v>444</v>
      </c>
      <c r="B23" s="91">
        <f ca="1">IF(AND(Setup!$B$35="Axe", Data!$G$23&gt;0), IF(ISBLANK(Gear!$B$4), 0, VLOOKUP(Gear!$B$4, INDIRECT(Gear!A4), MATCH(A23, StatHeader, 0), 0)), 0)</f>
        <v>0</v>
      </c>
      <c r="D23" s="88">
        <v>2</v>
      </c>
      <c r="E23" s="98">
        <f ca="1">IF(E19=1, (1-B6)*(1-B5)*(1-B4)*(B17)*(B18) + (1-B6)*(1-B5)*B4, 0)</f>
        <v>0</v>
      </c>
      <c r="F23" s="96">
        <f t="shared" ca="1" si="7"/>
        <v>0</v>
      </c>
      <c r="G23" s="96">
        <f t="shared" ca="1" si="6"/>
        <v>0</v>
      </c>
      <c r="H23" s="96">
        <f t="shared" ca="1" si="6"/>
        <v>0</v>
      </c>
      <c r="I23" s="96">
        <f t="shared" si="6"/>
        <v>0</v>
      </c>
      <c r="J23" s="96">
        <f t="shared" si="6"/>
        <v>0</v>
      </c>
      <c r="K23" s="96">
        <f t="shared" si="6"/>
        <v>0</v>
      </c>
      <c r="L23" s="96">
        <f t="shared" si="6"/>
        <v>0</v>
      </c>
      <c r="M23" s="96">
        <f t="shared" si="6"/>
        <v>0</v>
      </c>
      <c r="N23" s="96">
        <f t="shared" si="6"/>
        <v>0</v>
      </c>
      <c r="O23" s="90"/>
      <c r="Q23" s="88">
        <v>11</v>
      </c>
      <c r="R23" s="103">
        <f t="shared" ca="1" si="3"/>
        <v>7.340938007938556</v>
      </c>
      <c r="T23" s="88">
        <v>11</v>
      </c>
      <c r="U23" s="103">
        <f t="shared" ca="1" si="4"/>
        <v>7.4181261055880379</v>
      </c>
    </row>
    <row r="24" spans="1:21">
      <c r="A24" s="88" t="s">
        <v>445</v>
      </c>
      <c r="B24" s="91">
        <f ca="1">IF(AND(Setup!$B$35="Axe", Data!$G$23&gt;0), IF(ISBLANK(Gear!$B$4), 0, VLOOKUP(Gear!$B$4, INDIRECT(Gear!A4), MATCH(A24, StatHeader, 0), 0)), 0)</f>
        <v>0</v>
      </c>
      <c r="D24" s="88">
        <v>3</v>
      </c>
      <c r="E24" s="98">
        <f ca="1">IF(E19=1, (1-B6)*(1-B5)*(1-B4)*(B17)*(B19) + (1-B6)*(B5), 0)</f>
        <v>0</v>
      </c>
      <c r="F24" s="96">
        <f t="shared" ca="1" si="7"/>
        <v>0</v>
      </c>
      <c r="G24" s="96">
        <f t="shared" ca="1" si="6"/>
        <v>0</v>
      </c>
      <c r="H24" s="96">
        <f t="shared" ca="1" si="6"/>
        <v>0</v>
      </c>
      <c r="I24" s="96">
        <f t="shared" ca="1" si="6"/>
        <v>0</v>
      </c>
      <c r="J24" s="96">
        <f t="shared" si="6"/>
        <v>0</v>
      </c>
      <c r="K24" s="96">
        <f t="shared" si="6"/>
        <v>0</v>
      </c>
      <c r="L24" s="96">
        <f t="shared" si="6"/>
        <v>0</v>
      </c>
      <c r="M24" s="96">
        <f t="shared" si="6"/>
        <v>0</v>
      </c>
      <c r="N24" s="96">
        <f t="shared" si="6"/>
        <v>0</v>
      </c>
      <c r="O24" s="90"/>
      <c r="Q24" s="88">
        <v>12</v>
      </c>
      <c r="R24" s="103">
        <f t="shared" ca="1" si="3"/>
        <v>7.9796416990289005</v>
      </c>
      <c r="T24" s="88">
        <v>12</v>
      </c>
      <c r="U24" s="103">
        <f t="shared" ca="1" si="4"/>
        <v>8.0638370422637351</v>
      </c>
    </row>
    <row r="25" spans="1:21">
      <c r="A25" s="106" t="s">
        <v>547</v>
      </c>
      <c r="B25" s="91">
        <f ca="1">IF(Setup!B$40=1, IF(ISBLANK(Gear!$B$3), 0, VLOOKUP(Gear!$B$3, INDIRECT(Gear!A3), MATCH(A25, StatHeader, 0), 0)), 0)</f>
        <v>0</v>
      </c>
      <c r="D25" s="88">
        <v>4</v>
      </c>
      <c r="E25" s="98">
        <f ca="1">IF(E19=1, (1-B6)*(1-B5)*(1-B4)*(B17)*(B20) + (B6), 0)</f>
        <v>0</v>
      </c>
      <c r="F25" s="96">
        <f t="shared" ca="1" si="7"/>
        <v>0</v>
      </c>
      <c r="G25" s="96">
        <f t="shared" ca="1" si="6"/>
        <v>0</v>
      </c>
      <c r="H25" s="96">
        <f t="shared" ca="1" si="6"/>
        <v>0</v>
      </c>
      <c r="I25" s="96">
        <f t="shared" ca="1" si="6"/>
        <v>0</v>
      </c>
      <c r="J25" s="96">
        <f t="shared" ca="1" si="6"/>
        <v>0</v>
      </c>
      <c r="K25" s="96">
        <f t="shared" si="6"/>
        <v>0</v>
      </c>
      <c r="L25" s="96">
        <f t="shared" si="6"/>
        <v>0</v>
      </c>
      <c r="M25" s="96">
        <f t="shared" si="6"/>
        <v>0</v>
      </c>
      <c r="N25" s="96">
        <f t="shared" si="6"/>
        <v>0</v>
      </c>
      <c r="O25" s="90"/>
      <c r="Q25" s="88">
        <v>13</v>
      </c>
      <c r="R25" s="103">
        <f t="shared" ca="1" si="3"/>
        <v>8.6183932264664893</v>
      </c>
      <c r="T25" s="88">
        <v>13</v>
      </c>
      <c r="U25" s="103">
        <f t="shared" ca="1" si="4"/>
        <v>8.7095823243102437</v>
      </c>
    </row>
    <row r="26" spans="1:21">
      <c r="A26" s="106" t="s">
        <v>548</v>
      </c>
      <c r="B26" s="91">
        <f ca="1">IF(Setup!B$40=1, IF(ISBLANK(Gear!$B$3), 0, VLOOKUP(Gear!$B$3, INDIRECT(Gear!A3), MATCH(A26, StatHeader, 0), 0)), 0)</f>
        <v>0</v>
      </c>
      <c r="D26" s="88">
        <v>5</v>
      </c>
      <c r="E26" s="99">
        <f ca="1">IF(E19=1, (1-B6)*(1-B5)*(1-B4)*(B17)*(B21), 0)</f>
        <v>0</v>
      </c>
      <c r="F26" s="96">
        <f t="shared" ca="1" si="7"/>
        <v>0</v>
      </c>
      <c r="G26" s="96">
        <f t="shared" ca="1" si="6"/>
        <v>0</v>
      </c>
      <c r="H26" s="96">
        <f t="shared" ca="1" si="6"/>
        <v>0</v>
      </c>
      <c r="I26" s="96">
        <f t="shared" ca="1" si="6"/>
        <v>0</v>
      </c>
      <c r="J26" s="96">
        <f t="shared" ca="1" si="6"/>
        <v>0</v>
      </c>
      <c r="K26" s="96">
        <f t="shared" ca="1" si="6"/>
        <v>0</v>
      </c>
      <c r="L26" s="96">
        <f t="shared" si="6"/>
        <v>0</v>
      </c>
      <c r="M26" s="96">
        <f t="shared" si="6"/>
        <v>0</v>
      </c>
      <c r="N26" s="96">
        <f t="shared" si="6"/>
        <v>0</v>
      </c>
      <c r="O26" s="90"/>
      <c r="Q26" s="108">
        <v>14</v>
      </c>
      <c r="R26" s="103">
        <f t="shared" ca="1" si="3"/>
        <v>9.257123220058153</v>
      </c>
      <c r="T26" s="108">
        <v>14</v>
      </c>
      <c r="U26" s="103">
        <f t="shared" ca="1" si="4"/>
        <v>9.3553125199105001</v>
      </c>
    </row>
    <row r="27" spans="1:21">
      <c r="A27" s="106" t="s">
        <v>549</v>
      </c>
      <c r="B27" s="91">
        <f ca="1">IF(Setup!B$40=1, IF(ISBLANK(Gear!$B$3), 0, VLOOKUP(Gear!$B$3, INDIRECT(Gear!A3), MATCH(A27, StatHeader, 0), 0)), 0)</f>
        <v>0</v>
      </c>
      <c r="D27" s="109">
        <v>6</v>
      </c>
      <c r="E27" s="99">
        <f ca="1">IF(E19=1, (1-B6)*(1-B5)*(1-B4)*(B17)*(B22), 0)</f>
        <v>0</v>
      </c>
      <c r="F27" s="96">
        <f t="shared" ca="1" si="7"/>
        <v>0</v>
      </c>
      <c r="G27" s="96">
        <f t="shared" ca="1" si="6"/>
        <v>0</v>
      </c>
      <c r="H27" s="96">
        <f t="shared" ca="1" si="6"/>
        <v>0</v>
      </c>
      <c r="I27" s="96">
        <f t="shared" ca="1" si="6"/>
        <v>0</v>
      </c>
      <c r="J27" s="96">
        <f t="shared" ca="1" si="6"/>
        <v>0</v>
      </c>
      <c r="K27" s="96">
        <f t="shared" ca="1" si="6"/>
        <v>0</v>
      </c>
      <c r="L27" s="96">
        <f t="shared" ca="1" si="6"/>
        <v>0</v>
      </c>
      <c r="M27" s="96">
        <f t="shared" si="6"/>
        <v>0</v>
      </c>
      <c r="N27" s="96">
        <f t="shared" si="6"/>
        <v>0</v>
      </c>
      <c r="O27" s="90"/>
      <c r="Q27" s="88">
        <v>15</v>
      </c>
      <c r="R27" s="103">
        <f t="shared" ca="1" si="3"/>
        <v>9.8958628144631362</v>
      </c>
      <c r="T27" s="88">
        <v>15</v>
      </c>
      <c r="U27" s="103">
        <f t="shared" ca="1" si="4"/>
        <v>10.001049241172797</v>
      </c>
    </row>
    <row r="28" spans="1:21">
      <c r="A28" s="106" t="s">
        <v>452</v>
      </c>
      <c r="B28" s="91">
        <f ca="1">Data!B185</f>
        <v>0</v>
      </c>
      <c r="D28" s="88">
        <v>7</v>
      </c>
      <c r="E28" s="99">
        <f ca="1">IF(E19=1, (1-B6)*(1-B5)*(1-B4)*(B17)*(B23), 0)</f>
        <v>0</v>
      </c>
      <c r="F28" s="96">
        <f t="shared" ca="1" si="7"/>
        <v>0</v>
      </c>
      <c r="G28" s="96">
        <f t="shared" ca="1" si="6"/>
        <v>0</v>
      </c>
      <c r="H28" s="96">
        <f t="shared" ca="1" si="6"/>
        <v>0</v>
      </c>
      <c r="I28" s="96">
        <f t="shared" ca="1" si="6"/>
        <v>0</v>
      </c>
      <c r="J28" s="96">
        <f t="shared" ca="1" si="6"/>
        <v>0</v>
      </c>
      <c r="K28" s="96">
        <f t="shared" ca="1" si="6"/>
        <v>0</v>
      </c>
      <c r="L28" s="96">
        <f t="shared" ca="1" si="6"/>
        <v>0</v>
      </c>
      <c r="M28" s="96">
        <f t="shared" ca="1" si="6"/>
        <v>0</v>
      </c>
      <c r="N28" s="96">
        <f t="shared" si="6"/>
        <v>0</v>
      </c>
      <c r="O28" s="90"/>
      <c r="Q28" s="88">
        <v>16</v>
      </c>
      <c r="R28" s="103">
        <f t="shared" ca="1" si="3"/>
        <v>10.534598110879909</v>
      </c>
      <c r="T28" s="88">
        <v>16</v>
      </c>
      <c r="U28" s="103">
        <f t="shared" ca="1" si="4"/>
        <v>10.646783115428068</v>
      </c>
    </row>
    <row r="29" spans="1:21">
      <c r="A29" s="106" t="s">
        <v>453</v>
      </c>
      <c r="B29" s="107">
        <f ca="1">Data!B115</f>
        <v>0.95</v>
      </c>
      <c r="D29" s="88">
        <v>8</v>
      </c>
      <c r="E29" s="99">
        <f ca="1">IF(E19=1, (1-B6)*(1-B5)*(1-B4)*(B17)*(B24), 0)</f>
        <v>0</v>
      </c>
      <c r="F29" s="101">
        <f t="shared" ca="1" si="7"/>
        <v>0</v>
      </c>
      <c r="G29" s="102">
        <f t="shared" ca="1" si="6"/>
        <v>0</v>
      </c>
      <c r="H29" s="102">
        <f t="shared" ca="1" si="6"/>
        <v>0</v>
      </c>
      <c r="I29" s="102">
        <f t="shared" ca="1" si="6"/>
        <v>0</v>
      </c>
      <c r="J29" s="102">
        <f t="shared" ca="1" si="6"/>
        <v>0</v>
      </c>
      <c r="K29" s="102">
        <f t="shared" ca="1" si="6"/>
        <v>0</v>
      </c>
      <c r="L29" s="102">
        <f t="shared" ca="1" si="6"/>
        <v>0</v>
      </c>
      <c r="M29" s="102">
        <f t="shared" ca="1" si="6"/>
        <v>0</v>
      </c>
      <c r="N29" s="102">
        <f t="shared" ca="1" si="6"/>
        <v>0</v>
      </c>
      <c r="O29" s="90"/>
      <c r="Q29" s="88">
        <v>17</v>
      </c>
      <c r="R29" s="103">
        <f t="shared" ca="1" si="3"/>
        <v>11.173335340306096</v>
      </c>
      <c r="T29" s="88">
        <v>17</v>
      </c>
      <c r="U29" s="103">
        <f t="shared" ca="1" si="4"/>
        <v>11.292518241729498</v>
      </c>
    </row>
    <row r="30" spans="1:21">
      <c r="E30" s="91">
        <f ca="1">SUM(E21:E29)</f>
        <v>1</v>
      </c>
      <c r="O30" s="90"/>
      <c r="Q30" s="88">
        <v>18</v>
      </c>
      <c r="R30" s="103">
        <f t="shared" ca="1" si="3"/>
        <v>11.812071701867083</v>
      </c>
      <c r="T30" s="88">
        <v>18</v>
      </c>
      <c r="U30" s="103">
        <f t="shared" ca="1" si="4"/>
        <v>11.938252819670717</v>
      </c>
    </row>
    <row r="31" spans="1:21">
      <c r="E31" s="88" t="s">
        <v>155</v>
      </c>
      <c r="F31" s="104">
        <f t="shared" ref="F31:N31" ca="1" si="8">SUM(F21:F29)</f>
        <v>1</v>
      </c>
      <c r="G31" s="104">
        <f t="shared" ca="1" si="8"/>
        <v>0</v>
      </c>
      <c r="H31" s="104">
        <f t="shared" ca="1" si="8"/>
        <v>0</v>
      </c>
      <c r="I31" s="104">
        <f t="shared" ca="1" si="8"/>
        <v>0</v>
      </c>
      <c r="J31" s="104">
        <f t="shared" ca="1" si="8"/>
        <v>0</v>
      </c>
      <c r="K31" s="104">
        <f t="shared" ca="1" si="8"/>
        <v>0</v>
      </c>
      <c r="L31" s="104">
        <f t="shared" ca="1" si="8"/>
        <v>0</v>
      </c>
      <c r="M31" s="104">
        <f t="shared" ca="1" si="8"/>
        <v>0</v>
      </c>
      <c r="N31" s="104">
        <f t="shared" ca="1" si="8"/>
        <v>0</v>
      </c>
      <c r="O31" s="96">
        <f ca="1">SUM(F31:N31)</f>
        <v>1</v>
      </c>
      <c r="Q31" s="88">
        <v>19</v>
      </c>
      <c r="R31" s="103">
        <f t="shared" ca="1" si="3"/>
        <v>12.450808452215057</v>
      </c>
      <c r="T31" s="88">
        <v>19</v>
      </c>
      <c r="U31" s="103">
        <f t="shared" ca="1" si="4"/>
        <v>12.583987636796879</v>
      </c>
    </row>
    <row r="32" spans="1:21">
      <c r="E32" s="88" t="s">
        <v>156</v>
      </c>
      <c r="F32" s="105">
        <f ca="1">F20*F31+G20*G31+H20*H31+I20*I31+J31*J20+K31*K20+L31*L20+M31*M20+N31*N20</f>
        <v>0</v>
      </c>
      <c r="I32" s="90"/>
      <c r="J32" s="90"/>
      <c r="K32" s="96"/>
      <c r="O32" s="96"/>
      <c r="P32" s="110"/>
      <c r="Q32" s="88">
        <v>20</v>
      </c>
      <c r="R32" s="103">
        <f t="shared" ca="1" si="3"/>
        <v>13.089545028269283</v>
      </c>
      <c r="T32" s="88">
        <v>20</v>
      </c>
      <c r="U32" s="103">
        <f t="shared" ca="1" si="4"/>
        <v>13.229722349392496</v>
      </c>
    </row>
    <row r="33" spans="1:21">
      <c r="K33" s="96"/>
      <c r="O33" s="90"/>
      <c r="Q33" s="88">
        <v>21</v>
      </c>
      <c r="R33" s="103">
        <f t="shared" ca="1" si="3"/>
        <v>13.728281682541835</v>
      </c>
      <c r="T33" s="88">
        <v>21</v>
      </c>
      <c r="U33" s="103">
        <f t="shared" ca="1" si="4"/>
        <v>13.875457107767156</v>
      </c>
    </row>
    <row r="34" spans="1:21">
      <c r="Q34" s="88">
        <v>22</v>
      </c>
      <c r="R34" s="103">
        <f t="shared" ca="1" si="3"/>
        <v>14.367018301722386</v>
      </c>
      <c r="T34" s="88">
        <v>22</v>
      </c>
      <c r="U34" s="103">
        <f t="shared" ca="1" si="4"/>
        <v>14.521191846111268</v>
      </c>
    </row>
    <row r="35" spans="1:21">
      <c r="D35" s="90" t="s">
        <v>188</v>
      </c>
      <c r="E35" s="90"/>
      <c r="F35" s="96"/>
      <c r="G35" s="96"/>
      <c r="H35" s="96"/>
      <c r="I35" s="96"/>
      <c r="J35" s="96"/>
      <c r="K35" s="96"/>
      <c r="L35" s="96"/>
      <c r="M35" s="96"/>
      <c r="N35" s="96"/>
      <c r="Q35" s="88">
        <v>23</v>
      </c>
      <c r="R35" s="103">
        <f t="shared" ca="1" si="3"/>
        <v>15.00575493663883</v>
      </c>
      <c r="T35" s="88">
        <v>23</v>
      </c>
      <c r="U35" s="103">
        <f t="shared" ca="1" si="4"/>
        <v>15.166926593210276</v>
      </c>
    </row>
    <row r="36" spans="1:21">
      <c r="D36" s="90" t="s">
        <v>189</v>
      </c>
      <c r="E36" s="111">
        <v>0</v>
      </c>
      <c r="F36" s="90">
        <v>1</v>
      </c>
      <c r="G36" s="90">
        <v>2</v>
      </c>
      <c r="H36" s="100">
        <v>3</v>
      </c>
      <c r="I36" s="100">
        <v>4</v>
      </c>
      <c r="J36" s="100">
        <v>5</v>
      </c>
      <c r="K36" s="100">
        <v>6</v>
      </c>
      <c r="L36" s="100">
        <v>7</v>
      </c>
      <c r="M36" s="100">
        <v>8</v>
      </c>
      <c r="N36" s="88" t="s">
        <v>7</v>
      </c>
      <c r="Q36" s="88">
        <v>24</v>
      </c>
      <c r="R36" s="103">
        <f t="shared" ca="1" si="3"/>
        <v>15.644491564498189</v>
      </c>
      <c r="T36" s="88">
        <v>24</v>
      </c>
      <c r="U36" s="103">
        <f t="shared" ca="1" si="4"/>
        <v>15.812661336481078</v>
      </c>
    </row>
    <row r="37" spans="1:21">
      <c r="D37" s="90" t="s">
        <v>190</v>
      </c>
      <c r="E37" s="96">
        <f ca="1">F15*F31</f>
        <v>2.6417912500000022E-2</v>
      </c>
      <c r="F37" s="96">
        <f ca="1">F15*G31+G15*F31</f>
        <v>0.52046842500000001</v>
      </c>
      <c r="G37" s="96">
        <f ca="1">F15*H31+G15*G31+H15*F31</f>
        <v>0.35494422499999995</v>
      </c>
      <c r="H37" s="96">
        <f ca="1">F15*I31+G15*H31+H15*G31+I15*F31</f>
        <v>5.7444124999999992E-2</v>
      </c>
      <c r="I37" s="96">
        <f ca="1">F15*J31+G15*I31+H15*H31+I15*G31+J15*F31</f>
        <v>4.0725312499999999E-2</v>
      </c>
      <c r="J37" s="96">
        <f ca="1">F15*K31+G15*J31+H15*I31+I15*H31+J15*G31+K15*F31</f>
        <v>0</v>
      </c>
      <c r="K37" s="96">
        <f ca="1">F15*L31+G15*K31+H15*J31+I15*I31+J15*H31+K15*G31+L15*F31</f>
        <v>0</v>
      </c>
      <c r="L37" s="110">
        <f ca="1">F15*M31+G15*L31+H15*K31+I15*J31+J15*I31+K15*H31+L15*G31+M15*F31</f>
        <v>0</v>
      </c>
      <c r="M37" s="96">
        <f ca="1">F15*N31+G15*M31+H15*L31+I15*K31+J15*J31+K15*I31+L15*H31+M15*G31+N15*F31+G15*N31+H15*M31+I15*L31+J15*K31+K15*J31+L15*I31+M15*H31+N15*G31+H15*N31+I15*M31+J15*L31+K15*K31+L15*J31+M15*I31+N15*H31+I15*N31+J15*M31+K15*L31+L15*K31+M15*J31+N15*I31+J15*N31+K15*M31+L15*L31+M15*K31+N15*J31+K15*N31+L15*M31+M15*L31+N15*K31+L15*N31+M15*M31+N15*L31+M15*N31+N15*M31+N15*N31</f>
        <v>0</v>
      </c>
      <c r="N37" s="96">
        <f ca="1">SUM(E37:M37)</f>
        <v>1</v>
      </c>
      <c r="Q37" s="88">
        <v>25</v>
      </c>
      <c r="R37" s="103">
        <f t="shared" ca="1" si="3"/>
        <v>16.283228195523186</v>
      </c>
      <c r="T37" s="88">
        <v>25</v>
      </c>
      <c r="U37" s="103">
        <f t="shared" ca="1" si="4"/>
        <v>16.458396081426745</v>
      </c>
    </row>
    <row r="38" spans="1:21">
      <c r="D38" s="100" t="s">
        <v>156</v>
      </c>
      <c r="E38" s="103">
        <f ca="1">E36*E37+F36*F37+G36*G37+H36*H37+I36*I37+J36*J37+K36*K37+L36*L37+M36*M37</f>
        <v>1.5655904999999999</v>
      </c>
      <c r="Q38" s="88">
        <v>26</v>
      </c>
      <c r="R38" s="103">
        <f t="shared" ca="1" si="3"/>
        <v>16.921964825128217</v>
      </c>
      <c r="T38" s="88">
        <v>26</v>
      </c>
      <c r="U38" s="103">
        <f t="shared" ca="1" si="4"/>
        <v>17.104130825639796</v>
      </c>
    </row>
    <row r="39" spans="1:21">
      <c r="D39" s="90"/>
      <c r="E39" s="96"/>
      <c r="F39" s="90"/>
      <c r="G39" s="90"/>
      <c r="H39" s="90"/>
      <c r="Q39" s="88">
        <v>27</v>
      </c>
      <c r="R39" s="103">
        <f t="shared" ca="1" si="3"/>
        <v>17.560701455370111</v>
      </c>
      <c r="T39" s="88">
        <v>27</v>
      </c>
      <c r="U39" s="103">
        <f t="shared" ca="1" si="4"/>
        <v>17.749865570173217</v>
      </c>
    </row>
    <row r="40" spans="1:21">
      <c r="D40" s="90"/>
      <c r="E40" s="90"/>
      <c r="F40" s="96"/>
      <c r="G40" s="96"/>
      <c r="H40" s="90"/>
      <c r="Q40" s="88">
        <v>28</v>
      </c>
      <c r="R40" s="103">
        <f t="shared" ca="1" si="3"/>
        <v>18.199438085326367</v>
      </c>
      <c r="T40" s="88">
        <v>28</v>
      </c>
      <c r="U40" s="103">
        <f t="shared" ca="1" si="4"/>
        <v>18.395600314566529</v>
      </c>
    </row>
    <row r="41" spans="1:21">
      <c r="A41" s="88" t="s">
        <v>157</v>
      </c>
      <c r="Q41" s="88">
        <v>29</v>
      </c>
      <c r="R41" s="103">
        <f t="shared" ca="1" si="3"/>
        <v>18.838174715410744</v>
      </c>
      <c r="T41" s="88">
        <v>29</v>
      </c>
      <c r="U41" s="103">
        <f t="shared" ca="1" si="4"/>
        <v>19.041335059021122</v>
      </c>
    </row>
    <row r="42" spans="1:21">
      <c r="Q42" s="88">
        <v>30</v>
      </c>
      <c r="R42" s="103">
        <f t="shared" ca="1" si="3"/>
        <v>19.476911345437649</v>
      </c>
      <c r="T42" s="88">
        <v>30</v>
      </c>
      <c r="U42" s="103">
        <f t="shared" ca="1" si="4"/>
        <v>19.687069803448914</v>
      </c>
    </row>
    <row r="43" spans="1:21">
      <c r="A43" s="88" t="s">
        <v>50</v>
      </c>
      <c r="B43" s="89">
        <f ca="1">Data!C114</f>
        <v>0.95</v>
      </c>
      <c r="D43" s="90" t="s">
        <v>186</v>
      </c>
      <c r="E43" s="90"/>
      <c r="F43" s="90"/>
      <c r="G43" s="90"/>
      <c r="H43" s="90"/>
      <c r="I43" s="90"/>
      <c r="Q43" s="88">
        <v>31</v>
      </c>
      <c r="R43" s="103">
        <f t="shared" ca="1" si="3"/>
        <v>20.115647975490333</v>
      </c>
      <c r="T43" s="88">
        <v>31</v>
      </c>
      <c r="U43" s="103">
        <f t="shared" ca="1" si="4"/>
        <v>20.332804547888426</v>
      </c>
    </row>
    <row r="44" spans="1:21">
      <c r="A44" s="88" t="s">
        <v>44</v>
      </c>
      <c r="B44" s="91">
        <f ca="1">Data!C182</f>
        <v>0.41000000000000003</v>
      </c>
      <c r="D44" s="88" t="s">
        <v>45</v>
      </c>
      <c r="E44" s="88" t="s">
        <v>46</v>
      </c>
      <c r="F44" s="92">
        <v>0</v>
      </c>
      <c r="G44" s="92">
        <v>1</v>
      </c>
      <c r="H44" s="92">
        <v>2</v>
      </c>
      <c r="I44" s="93">
        <v>3</v>
      </c>
      <c r="J44" s="93">
        <v>4</v>
      </c>
      <c r="K44" s="93">
        <v>5</v>
      </c>
      <c r="L44" s="93">
        <v>6</v>
      </c>
      <c r="M44" s="93">
        <v>7</v>
      </c>
      <c r="N44" s="93">
        <v>8</v>
      </c>
      <c r="Q44" s="88">
        <v>32</v>
      </c>
      <c r="R44" s="103">
        <f t="shared" ca="1" si="3"/>
        <v>20.754384605531452</v>
      </c>
      <c r="T44" s="88">
        <v>32</v>
      </c>
      <c r="U44" s="103">
        <f t="shared" ca="1" si="4"/>
        <v>20.978539292322814</v>
      </c>
    </row>
    <row r="45" spans="1:21">
      <c r="A45" s="88" t="s">
        <v>154</v>
      </c>
      <c r="B45" s="91">
        <f ca="1">Data!C183</f>
        <v>0.06</v>
      </c>
      <c r="D45" s="88">
        <v>0</v>
      </c>
      <c r="E45" s="95">
        <v>0</v>
      </c>
      <c r="F45" s="96">
        <f t="shared" ref="F45:N45" ca="1" si="9">IF($D45&gt;=F$44, POWER($B$43, F$44) * POWER((1-$B$43), $D45-F$44) * COMBIN($D45,F$44) * $E45, 0)</f>
        <v>0</v>
      </c>
      <c r="G45" s="96">
        <f t="shared" si="9"/>
        <v>0</v>
      </c>
      <c r="H45" s="96">
        <f t="shared" si="9"/>
        <v>0</v>
      </c>
      <c r="I45" s="96">
        <f t="shared" si="9"/>
        <v>0</v>
      </c>
      <c r="J45" s="96">
        <f t="shared" si="9"/>
        <v>0</v>
      </c>
      <c r="K45" s="96">
        <f t="shared" si="9"/>
        <v>0</v>
      </c>
      <c r="L45" s="96">
        <f t="shared" si="9"/>
        <v>0</v>
      </c>
      <c r="M45" s="96">
        <f t="shared" si="9"/>
        <v>0</v>
      </c>
      <c r="N45" s="96">
        <f t="shared" si="9"/>
        <v>0</v>
      </c>
      <c r="Q45" s="88">
        <v>33</v>
      </c>
      <c r="R45" s="103">
        <f t="shared" ca="1" si="3"/>
        <v>21.393121235577759</v>
      </c>
      <c r="T45" s="88">
        <v>33</v>
      </c>
      <c r="U45" s="103">
        <f t="shared" ca="1" si="4"/>
        <v>21.624274036759445</v>
      </c>
    </row>
    <row r="46" spans="1:21">
      <c r="A46" s="88" t="s">
        <v>379</v>
      </c>
      <c r="B46" s="91">
        <f ca="1">Data!C184</f>
        <v>0.05</v>
      </c>
      <c r="D46" s="88">
        <v>1</v>
      </c>
      <c r="E46" s="134">
        <f ca="1">(1-B46)*(1-B45)*(1-B44)*(1-B48)*(1-B47)*(1-B65)</f>
        <v>0.52686999999999995</v>
      </c>
      <c r="F46" s="96">
        <f ca="1">IF($D46&gt;=F$44, POWER($B$43, F$44) * POWER((1-$B$43), $D46-F$44) * COMBIN($D46,F$44) * $E46, 0) * (1 - B68*B69*(1-E59))</f>
        <v>2.634350000000002E-2</v>
      </c>
      <c r="G46" s="96">
        <f ca="1">IF($D46&gt;=G$44, POWER($B$43, G$44) * POWER((1-$B$43), $D46-G$44) * COMBIN($D46,G$44) * $E46, 0) + IF($D46&gt;=F$44, POWER($B$43, F$44) * POWER((1-$B$43), $D46-F$44) * COMBIN($D46,F$44) * $E46, 0) * B68 * B69 * (1-E59)</f>
        <v>0.50052649999999987</v>
      </c>
      <c r="H46" s="96">
        <f t="shared" ref="H46:N53" si="10">IF($D46&gt;=H$44, POWER($B$43, H$44) * POWER((1-$B$43), $D46-H$44) * COMBIN($D46,H$44) * $E46, 0)</f>
        <v>0</v>
      </c>
      <c r="I46" s="96">
        <f t="shared" si="10"/>
        <v>0</v>
      </c>
      <c r="J46" s="96">
        <f t="shared" si="10"/>
        <v>0</v>
      </c>
      <c r="K46" s="96">
        <f t="shared" si="10"/>
        <v>0</v>
      </c>
      <c r="L46" s="96">
        <f t="shared" si="10"/>
        <v>0</v>
      </c>
      <c r="M46" s="96">
        <f t="shared" si="10"/>
        <v>0</v>
      </c>
      <c r="N46" s="96">
        <f t="shared" si="10"/>
        <v>0</v>
      </c>
      <c r="Q46" s="88">
        <v>34</v>
      </c>
      <c r="R46" s="103">
        <f t="shared" ca="1" si="3"/>
        <v>22.031857865621742</v>
      </c>
      <c r="T46" s="88">
        <v>34</v>
      </c>
      <c r="U46" s="103">
        <f t="shared" ca="1" si="4"/>
        <v>22.270008781195088</v>
      </c>
    </row>
    <row r="47" spans="1:21">
      <c r="A47" s="88" t="s">
        <v>449</v>
      </c>
      <c r="B47" s="91">
        <v>0</v>
      </c>
      <c r="D47" s="88">
        <v>2</v>
      </c>
      <c r="E47" s="134">
        <f ca="1">(1-B46)*(1-B45)*(1-B47)*(B44) + (1-B46)*(1-B45)*(1-B44)*(1-B47)*(B48)*(B49) + (1-B46)*(1-B45)*(1-B44)*(1-B47)*(1-B48)*(B65)*(B66) + (1-B46)*(1-B45)*(1-B44)*(1-B48)*(1-B65)*(B47)</f>
        <v>0.36613000000000001</v>
      </c>
      <c r="F47" s="96">
        <f t="shared" ref="F47:G53" ca="1" si="11">IF($D47&gt;=F$44, POWER($B$43, F$44) * POWER((1-$B$43), $D47-F$44) * COMBIN($D47,F$44) * $E47, 0)</f>
        <v>9.1532500000000166E-4</v>
      </c>
      <c r="G47" s="96">
        <f t="shared" ca="1" si="11"/>
        <v>3.4782350000000031E-2</v>
      </c>
      <c r="H47" s="96">
        <f t="shared" ca="1" si="10"/>
        <v>0.33043232499999997</v>
      </c>
      <c r="I47" s="96">
        <f t="shared" si="10"/>
        <v>0</v>
      </c>
      <c r="J47" s="96">
        <f t="shared" si="10"/>
        <v>0</v>
      </c>
      <c r="K47" s="96">
        <f t="shared" si="10"/>
        <v>0</v>
      </c>
      <c r="L47" s="96">
        <f t="shared" si="10"/>
        <v>0</v>
      </c>
      <c r="M47" s="96">
        <f t="shared" si="10"/>
        <v>0</v>
      </c>
      <c r="N47" s="96">
        <f t="shared" si="10"/>
        <v>0</v>
      </c>
      <c r="Q47" s="88">
        <v>35</v>
      </c>
      <c r="R47" s="103">
        <f t="shared" ca="1" si="3"/>
        <v>22.670594495666769</v>
      </c>
      <c r="T47" s="88">
        <v>35</v>
      </c>
      <c r="U47" s="103">
        <f t="shared" ca="1" si="4"/>
        <v>22.915743525631164</v>
      </c>
    </row>
    <row r="48" spans="1:21">
      <c r="A48" s="88" t="s">
        <v>450</v>
      </c>
      <c r="B48" s="91">
        <f ca="1">IF(ISBLANK(Gear!$AB$3), 0, VLOOKUP(Gear!$AB$3, INDIRECT(Gear!AA3), MATCH("OAx", StatHeader, 0), 0))</f>
        <v>0</v>
      </c>
      <c r="D48" s="88">
        <v>3</v>
      </c>
      <c r="E48" s="134">
        <f ca="1">(1-B46)*(1-B47)*(B45) + (1-B46)*(1-B45)*(1-B44)*(1-B47)*(B48)*(B50) + (1-B46)*(1-B45)*(1-B44)*(1-B47)*(1-B48)*(B65)*(B67) + (1-B46)*(1-B45)*(B47)*(B44) + (1-B46)*(1-B45)*(1-B44)*(B47)*(B48)*(B49) + (1-B46)*(1-B45)*(1-B44)*(B47)*(B65)*(B66)</f>
        <v>5.6999999999999995E-2</v>
      </c>
      <c r="F48" s="96">
        <f t="shared" ca="1" si="11"/>
        <v>7.1250000000000182E-6</v>
      </c>
      <c r="G48" s="96">
        <f t="shared" ca="1" si="11"/>
        <v>4.0612500000000062E-4</v>
      </c>
      <c r="H48" s="96">
        <f t="shared" ca="1" si="10"/>
        <v>7.7163750000000071E-3</v>
      </c>
      <c r="I48" s="96">
        <f t="shared" ca="1" si="10"/>
        <v>4.8870374999999987E-2</v>
      </c>
      <c r="J48" s="96">
        <f t="shared" si="10"/>
        <v>0</v>
      </c>
      <c r="K48" s="96">
        <f t="shared" si="10"/>
        <v>0</v>
      </c>
      <c r="L48" s="96">
        <f t="shared" si="10"/>
        <v>0</v>
      </c>
      <c r="M48" s="96">
        <f t="shared" si="10"/>
        <v>0</v>
      </c>
      <c r="N48" s="96">
        <f t="shared" si="10"/>
        <v>0</v>
      </c>
      <c r="Q48" s="88">
        <v>36</v>
      </c>
      <c r="R48" s="103">
        <f t="shared" ca="1" si="3"/>
        <v>23.309331125711324</v>
      </c>
      <c r="T48" s="88">
        <v>36</v>
      </c>
      <c r="U48" s="103">
        <f t="shared" ca="1" si="4"/>
        <v>23.561478270067052</v>
      </c>
    </row>
    <row r="49" spans="1:21">
      <c r="A49" s="88" t="s">
        <v>439</v>
      </c>
      <c r="B49" s="91">
        <f ca="1">IF(ISBLANK(Gear!$AB$3), 0, VLOOKUP(Gear!$AB$3, INDIRECT(Gear!AA3), MATCH(A49, StatHeader, 0), 0))</f>
        <v>0</v>
      </c>
      <c r="D49" s="88">
        <v>4</v>
      </c>
      <c r="E49" s="134">
        <f ca="1">(B46)*(1-B47) + (1-B46)*(B47)*(B45) + (1-B46)*(1-B45)*(1-B44)*(1-B47)*(B48)*(B51) + (1-B46)*(1-B45)*(1-B44)*(B47)*(B65)*(B67) + (1-B46)*(1-B45)*(1-B44)*(B47)*(B48)*(B50)</f>
        <v>0.05</v>
      </c>
      <c r="F49" s="96">
        <f t="shared" ca="1" si="11"/>
        <v>3.1250000000000114E-7</v>
      </c>
      <c r="G49" s="96">
        <f t="shared" ca="1" si="11"/>
        <v>2.3750000000000062E-5</v>
      </c>
      <c r="H49" s="96">
        <f t="shared" ca="1" si="10"/>
        <v>6.7687500000000126E-4</v>
      </c>
      <c r="I49" s="96">
        <f t="shared" ca="1" si="10"/>
        <v>8.5737500000000067E-3</v>
      </c>
      <c r="J49" s="96">
        <f t="shared" ca="1" si="10"/>
        <v>4.0725312499999999E-2</v>
      </c>
      <c r="K49" s="96">
        <f t="shared" si="10"/>
        <v>0</v>
      </c>
      <c r="L49" s="96">
        <f t="shared" si="10"/>
        <v>0</v>
      </c>
      <c r="M49" s="96">
        <f t="shared" si="10"/>
        <v>0</v>
      </c>
      <c r="N49" s="96">
        <f t="shared" si="10"/>
        <v>0</v>
      </c>
      <c r="Q49" s="88">
        <v>37</v>
      </c>
      <c r="R49" s="103">
        <f t="shared" ca="1" si="3"/>
        <v>23.948067755756089</v>
      </c>
      <c r="T49" s="88">
        <v>37</v>
      </c>
      <c r="U49" s="103">
        <f t="shared" ca="1" si="4"/>
        <v>24.207213014503019</v>
      </c>
    </row>
    <row r="50" spans="1:21">
      <c r="A50" s="88" t="s">
        <v>440</v>
      </c>
      <c r="B50" s="91">
        <f ca="1">IF(ISBLANK(Gear!$AB$3), 0, VLOOKUP(Gear!$AB$3, INDIRECT(Gear!AA3), MATCH(A50, StatHeader, 0), 0))</f>
        <v>0</v>
      </c>
      <c r="D50" s="88">
        <v>5</v>
      </c>
      <c r="E50" s="135">
        <f ca="1">(1-B46)*(1-B45)*(1-B44)*(1-B47)*(B48)*(B52) + (1-B46)*(1-B45)*(1-B44)*(B47)*(B48)*(B51) + (B46)*(B47)</f>
        <v>0</v>
      </c>
      <c r="F50" s="96">
        <f t="shared" ca="1" si="11"/>
        <v>0</v>
      </c>
      <c r="G50" s="96">
        <f t="shared" ca="1" si="11"/>
        <v>0</v>
      </c>
      <c r="H50" s="96">
        <f t="shared" ca="1" si="10"/>
        <v>0</v>
      </c>
      <c r="I50" s="96">
        <f t="shared" ca="1" si="10"/>
        <v>0</v>
      </c>
      <c r="J50" s="96">
        <f t="shared" ca="1" si="10"/>
        <v>0</v>
      </c>
      <c r="K50" s="96">
        <f t="shared" ca="1" si="10"/>
        <v>0</v>
      </c>
      <c r="L50" s="96">
        <f t="shared" si="10"/>
        <v>0</v>
      </c>
      <c r="M50" s="96">
        <f t="shared" si="10"/>
        <v>0</v>
      </c>
      <c r="N50" s="96">
        <f t="shared" si="10"/>
        <v>0</v>
      </c>
      <c r="Q50" s="88">
        <v>38</v>
      </c>
      <c r="R50" s="103">
        <f t="shared" ca="1" si="3"/>
        <v>24.586804385800761</v>
      </c>
      <c r="T50" s="88">
        <v>38</v>
      </c>
      <c r="U50" s="103">
        <f t="shared" ca="1" si="4"/>
        <v>24.852947758938953</v>
      </c>
    </row>
    <row r="51" spans="1:21">
      <c r="A51" s="88" t="s">
        <v>441</v>
      </c>
      <c r="B51" s="91">
        <f ca="1">IF(ISBLANK(Gear!$AB$3), 0, VLOOKUP(Gear!$AB$3, INDIRECT(Gear!AA3), MATCH(A51, StatHeader, 0), 0))</f>
        <v>0</v>
      </c>
      <c r="D51" s="90">
        <v>6</v>
      </c>
      <c r="E51" s="135">
        <f ca="1">(1-B46)*(1-B45)*(1-B44)*(1-B47)*(B48)*(B53) + (1-B46)*(1-B45)*(1-B44)*(B47)*(B48)*(B52)</f>
        <v>0</v>
      </c>
      <c r="F51" s="96">
        <f t="shared" ca="1" si="11"/>
        <v>0</v>
      </c>
      <c r="G51" s="96">
        <f t="shared" ca="1" si="11"/>
        <v>0</v>
      </c>
      <c r="H51" s="96">
        <f t="shared" ca="1" si="10"/>
        <v>0</v>
      </c>
      <c r="I51" s="96">
        <f t="shared" ca="1" si="10"/>
        <v>0</v>
      </c>
      <c r="J51" s="96">
        <f t="shared" ca="1" si="10"/>
        <v>0</v>
      </c>
      <c r="K51" s="96">
        <f t="shared" ca="1" si="10"/>
        <v>0</v>
      </c>
      <c r="L51" s="96">
        <f t="shared" ca="1" si="10"/>
        <v>0</v>
      </c>
      <c r="M51" s="96">
        <f t="shared" si="10"/>
        <v>0</v>
      </c>
      <c r="N51" s="96">
        <f t="shared" si="10"/>
        <v>0</v>
      </c>
      <c r="Q51" s="88">
        <v>39</v>
      </c>
      <c r="R51" s="103">
        <f t="shared" ca="1" si="3"/>
        <v>25.225541015845476</v>
      </c>
      <c r="T51" s="88">
        <v>39</v>
      </c>
      <c r="U51" s="103">
        <f t="shared" ca="1" si="4"/>
        <v>25.498682503374901</v>
      </c>
    </row>
    <row r="52" spans="1:21">
      <c r="A52" s="88" t="s">
        <v>442</v>
      </c>
      <c r="B52" s="91">
        <f ca="1">IF(ISBLANK(Gear!$AB$3), 0, VLOOKUP(Gear!$AB$3, INDIRECT(Gear!AA3), MATCH(A52, StatHeader, 0), 0))</f>
        <v>0</v>
      </c>
      <c r="D52" s="100">
        <v>7</v>
      </c>
      <c r="E52" s="134">
        <f ca="1">(1-B46)*(1-B45)*(1-B44)*(1-B47)*(B48)*(B54) + (1-B46)*(1-B45)*(1-B44)*(B47)*(B48)*(B53)</f>
        <v>0</v>
      </c>
      <c r="F52" s="96">
        <f t="shared" ca="1" si="11"/>
        <v>0</v>
      </c>
      <c r="G52" s="96">
        <f t="shared" ca="1" si="11"/>
        <v>0</v>
      </c>
      <c r="H52" s="96">
        <f t="shared" ca="1" si="10"/>
        <v>0</v>
      </c>
      <c r="I52" s="96">
        <f t="shared" ca="1" si="10"/>
        <v>0</v>
      </c>
      <c r="J52" s="96">
        <f t="shared" ca="1" si="10"/>
        <v>0</v>
      </c>
      <c r="K52" s="96">
        <f t="shared" ca="1" si="10"/>
        <v>0</v>
      </c>
      <c r="L52" s="96">
        <f t="shared" ca="1" si="10"/>
        <v>0</v>
      </c>
      <c r="M52" s="96">
        <f t="shared" ca="1" si="10"/>
        <v>0</v>
      </c>
      <c r="N52" s="96">
        <f t="shared" si="10"/>
        <v>0</v>
      </c>
      <c r="O52" s="90"/>
      <c r="P52" s="90"/>
      <c r="Q52" s="88">
        <v>40</v>
      </c>
      <c r="R52" s="103">
        <f t="shared" ca="1" si="3"/>
        <v>25.864277645890169</v>
      </c>
      <c r="T52" s="88">
        <v>40</v>
      </c>
      <c r="U52" s="103">
        <f t="shared" ca="1" si="4"/>
        <v>26.144417247810839</v>
      </c>
    </row>
    <row r="53" spans="1:21">
      <c r="A53" s="88" t="s">
        <v>443</v>
      </c>
      <c r="B53" s="91">
        <f ca="1">IF(ISBLANK(Gear!$AB$3), 0, VLOOKUP(Gear!$AB$3, INDIRECT(Gear!AA3), MATCH(A53, StatHeader, 0), 0))</f>
        <v>0</v>
      </c>
      <c r="D53" s="100">
        <v>8</v>
      </c>
      <c r="E53" s="134">
        <f ca="1">(1-B46)*(1-B45)*(1-B44)*(B48)*(B55) + (1-B46)*(1-B45)*(1-B44)*(B47)*(B48)*(B54)</f>
        <v>0</v>
      </c>
      <c r="F53" s="101">
        <f t="shared" ca="1" si="11"/>
        <v>0</v>
      </c>
      <c r="G53" s="102">
        <f t="shared" ca="1" si="11"/>
        <v>0</v>
      </c>
      <c r="H53" s="102">
        <f t="shared" ca="1" si="10"/>
        <v>0</v>
      </c>
      <c r="I53" s="102">
        <f t="shared" ca="1" si="10"/>
        <v>0</v>
      </c>
      <c r="J53" s="102">
        <f t="shared" ca="1" si="10"/>
        <v>0</v>
      </c>
      <c r="K53" s="102">
        <f t="shared" ca="1" si="10"/>
        <v>0</v>
      </c>
      <c r="L53" s="102">
        <f t="shared" ca="1" si="10"/>
        <v>0</v>
      </c>
      <c r="M53" s="102">
        <f t="shared" ca="1" si="10"/>
        <v>0</v>
      </c>
      <c r="N53" s="102">
        <f t="shared" ca="1" si="10"/>
        <v>0</v>
      </c>
      <c r="O53" s="90"/>
      <c r="P53" s="90"/>
      <c r="Q53" s="88">
        <v>41</v>
      </c>
      <c r="R53" s="103">
        <f t="shared" ca="1" si="3"/>
        <v>26.503014275934877</v>
      </c>
      <c r="T53" s="88">
        <v>41</v>
      </c>
      <c r="U53" s="103">
        <f t="shared" ca="1" si="4"/>
        <v>26.790151992246788</v>
      </c>
    </row>
    <row r="54" spans="1:21">
      <c r="A54" s="88" t="s">
        <v>444</v>
      </c>
      <c r="B54" s="91">
        <f ca="1">IF(ISBLANK(Gear!$AB$3), 0, VLOOKUP(Gear!$AB$3, INDIRECT(Gear!AA3), MATCH(A54, StatHeader, 0), 0))</f>
        <v>0</v>
      </c>
      <c r="E54" s="91">
        <f ca="1">SUM(E45:E53)</f>
        <v>1</v>
      </c>
      <c r="O54" s="96"/>
      <c r="P54" s="96"/>
      <c r="Q54" s="88">
        <v>42</v>
      </c>
      <c r="R54" s="103">
        <f t="shared" ca="1" si="3"/>
        <v>27.141750905979574</v>
      </c>
      <c r="T54" s="88">
        <v>42</v>
      </c>
      <c r="U54" s="103">
        <f t="shared" ca="1" si="4"/>
        <v>27.435886736682733</v>
      </c>
    </row>
    <row r="55" spans="1:21">
      <c r="A55" s="88" t="s">
        <v>445</v>
      </c>
      <c r="B55" s="91">
        <f ca="1">IF(ISBLANK(Gear!$AB$3), 0, VLOOKUP(Gear!$AB$3, INDIRECT(Gear!AA3), MATCH(A55, StatHeader, 0), 0))</f>
        <v>0</v>
      </c>
      <c r="E55" s="88" t="s">
        <v>155</v>
      </c>
      <c r="F55" s="104">
        <f t="shared" ref="F55:N55" ca="1" si="12">SUM(F45:F53)</f>
        <v>2.726626250000002E-2</v>
      </c>
      <c r="G55" s="104">
        <f t="shared" ca="1" si="12"/>
        <v>0.53573872499999997</v>
      </c>
      <c r="H55" s="104">
        <f t="shared" ca="1" si="12"/>
        <v>0.33882557499999999</v>
      </c>
      <c r="I55" s="104">
        <f t="shared" ca="1" si="12"/>
        <v>5.7444124999999992E-2</v>
      </c>
      <c r="J55" s="104">
        <f t="shared" ca="1" si="12"/>
        <v>4.0725312499999999E-2</v>
      </c>
      <c r="K55" s="104">
        <f t="shared" ca="1" si="12"/>
        <v>0</v>
      </c>
      <c r="L55" s="104">
        <f t="shared" ca="1" si="12"/>
        <v>0</v>
      </c>
      <c r="M55" s="104">
        <f t="shared" ca="1" si="12"/>
        <v>0</v>
      </c>
      <c r="N55" s="104">
        <f t="shared" ca="1" si="12"/>
        <v>0</v>
      </c>
      <c r="O55" s="96">
        <f ca="1">SUM(F55:N55)</f>
        <v>0.99999999999999989</v>
      </c>
      <c r="P55" s="90"/>
      <c r="Q55" s="88">
        <v>43</v>
      </c>
      <c r="R55" s="103">
        <f t="shared" ca="1" si="3"/>
        <v>27.780487536024278</v>
      </c>
      <c r="T55" s="88">
        <v>43</v>
      </c>
      <c r="U55" s="103">
        <f t="shared" ca="1" si="4"/>
        <v>28.081621481118678</v>
      </c>
    </row>
    <row r="56" spans="1:21">
      <c r="A56" s="88" t="s">
        <v>635</v>
      </c>
      <c r="B56" s="159">
        <f ca="1">Data!C174</f>
        <v>0.2</v>
      </c>
      <c r="E56" s="96" t="s">
        <v>156</v>
      </c>
      <c r="F56" s="105">
        <f ca="1">F44*F55+G44*G55+H44*H55+I44*I55+J55*J44+K55*K44+L55*L44+M55*M44+N55*N44</f>
        <v>1.5486234999999997</v>
      </c>
      <c r="G56" s="96"/>
      <c r="H56" s="96"/>
      <c r="I56" s="96"/>
      <c r="O56" s="90"/>
      <c r="P56" s="90"/>
      <c r="Q56" s="88">
        <v>44</v>
      </c>
      <c r="R56" s="103">
        <f t="shared" ca="1" si="3"/>
        <v>28.419224166068979</v>
      </c>
      <c r="T56" s="88">
        <v>44</v>
      </c>
      <c r="U56" s="103">
        <f t="shared" ca="1" si="4"/>
        <v>28.727356225554622</v>
      </c>
    </row>
    <row r="57" spans="1:21">
      <c r="A57" s="88" t="s">
        <v>451</v>
      </c>
      <c r="B57" s="91">
        <f ca="1">IF(AND(Setup!$C$35="Axe", Data!$H$23&gt;0), IF(ISBLANK(Gear!$AB$4), 0, VLOOKUP(Gear!$AB$4, INDIRECT(Gear!AA4), MATCH("OAx", StatHeader, 0), 0)), 0)</f>
        <v>0</v>
      </c>
      <c r="Q57" s="88">
        <v>45</v>
      </c>
      <c r="R57" s="103">
        <f t="shared" ca="1" si="3"/>
        <v>29.057960796113679</v>
      </c>
      <c r="T57" s="88">
        <v>45</v>
      </c>
      <c r="U57" s="103">
        <f t="shared" ca="1" si="4"/>
        <v>29.373090969990567</v>
      </c>
    </row>
    <row r="58" spans="1:21">
      <c r="A58" s="88" t="s">
        <v>439</v>
      </c>
      <c r="B58" s="91">
        <f ca="1">IF(AND(Setup!$C$35="Axe", Data!$H$23&gt;0), IF(ISBLANK(Gear!$AB$4), 0, VLOOKUP(Gear!$AB$4, INDIRECT(Gear!AA4), MATCH(A58, StatHeader, 0), 0)), 0)</f>
        <v>0</v>
      </c>
      <c r="Q58" s="88">
        <v>46</v>
      </c>
      <c r="R58" s="103">
        <f t="shared" ca="1" si="3"/>
        <v>29.696697426158384</v>
      </c>
      <c r="T58" s="88">
        <v>46</v>
      </c>
      <c r="U58" s="103">
        <f t="shared" ca="1" si="4"/>
        <v>30.018825714426509</v>
      </c>
    </row>
    <row r="59" spans="1:21">
      <c r="A59" s="88" t="s">
        <v>440</v>
      </c>
      <c r="B59" s="91">
        <f ca="1">IF(AND(Setup!$C$35="Axe", Data!$H$23&gt;0), IF(ISBLANK(Gear!$AB$4), 0, VLOOKUP(Gear!$AB$4, INDIRECT(Gear!AA4), MATCH(A59, StatHeader, 0), 0)), 0)</f>
        <v>0</v>
      </c>
      <c r="D59" s="90" t="s">
        <v>187</v>
      </c>
      <c r="E59" s="90">
        <f ca="1">IF(Data!H23&gt;0, 1, 0)</f>
        <v>0</v>
      </c>
      <c r="F59" s="90"/>
      <c r="G59" s="90"/>
      <c r="H59" s="90"/>
      <c r="I59" s="90"/>
      <c r="J59" s="90"/>
      <c r="Q59" s="88">
        <v>47</v>
      </c>
      <c r="R59" s="103">
        <f t="shared" ca="1" si="3"/>
        <v>30.335434056203084</v>
      </c>
      <c r="T59" s="88">
        <v>47</v>
      </c>
      <c r="U59" s="103">
        <f t="shared" ca="1" si="4"/>
        <v>30.664560458862457</v>
      </c>
    </row>
    <row r="60" spans="1:21">
      <c r="A60" s="88" t="s">
        <v>441</v>
      </c>
      <c r="B60" s="91">
        <f ca="1">IF(AND(Setup!$C$35="Axe", Data!$H$23&gt;0), IF(ISBLANK(Gear!$AB$4), 0, VLOOKUP(Gear!$AB$4, INDIRECT(Gear!AA4), MATCH(A60, StatHeader, 0), 0)), 0)</f>
        <v>0</v>
      </c>
      <c r="D60" s="88" t="s">
        <v>45</v>
      </c>
      <c r="E60" s="88" t="s">
        <v>46</v>
      </c>
      <c r="F60" s="92">
        <v>0</v>
      </c>
      <c r="G60" s="92">
        <v>1</v>
      </c>
      <c r="H60" s="92">
        <v>2</v>
      </c>
      <c r="I60" s="93">
        <v>3</v>
      </c>
      <c r="J60" s="93">
        <v>4</v>
      </c>
      <c r="K60" s="93">
        <v>5</v>
      </c>
      <c r="L60" s="93">
        <v>6</v>
      </c>
      <c r="M60" s="93">
        <v>7</v>
      </c>
      <c r="N60" s="93">
        <v>8</v>
      </c>
      <c r="O60" s="90"/>
      <c r="Q60" s="88">
        <v>48</v>
      </c>
      <c r="R60" s="103">
        <f t="shared" ca="1" si="3"/>
        <v>30.974170686247785</v>
      </c>
      <c r="T60" s="88">
        <v>48</v>
      </c>
      <c r="U60" s="103">
        <f t="shared" ca="1" si="4"/>
        <v>31.310295203298399</v>
      </c>
    </row>
    <row r="61" spans="1:21">
      <c r="A61" s="88" t="s">
        <v>442</v>
      </c>
      <c r="B61" s="91">
        <f ca="1">IF(AND(Setup!$C$35="Axe", Data!$H$23&gt;0), IF(ISBLANK(Gear!$AB$4), 0, VLOOKUP(Gear!$AB$4, INDIRECT(Gear!AA4), MATCH(A61, StatHeader, 0), 0)), 0)</f>
        <v>0</v>
      </c>
      <c r="D61" s="88">
        <v>0</v>
      </c>
      <c r="E61" s="95">
        <f ca="1">IF(E59=0, 100%, 0)</f>
        <v>1</v>
      </c>
      <c r="F61" s="96">
        <f ca="1">IF($D61&gt;=F$60, POWER($B$56, F$60) * POWER((1-$B$56), $D61-F$60) * COMBIN($D61,F$60) * $E61, 0)</f>
        <v>1</v>
      </c>
      <c r="G61" s="96">
        <f t="shared" ref="G61:N69" si="13">IF($D61&gt;=G$60, POWER($B$56, G$60) * POWER((1-$B$56), $D61-G$60) * COMBIN($D61,G$60) * $E61, 0)</f>
        <v>0</v>
      </c>
      <c r="H61" s="96">
        <f t="shared" si="13"/>
        <v>0</v>
      </c>
      <c r="I61" s="96">
        <f t="shared" si="13"/>
        <v>0</v>
      </c>
      <c r="J61" s="96">
        <f t="shared" si="13"/>
        <v>0</v>
      </c>
      <c r="K61" s="96">
        <f t="shared" si="13"/>
        <v>0</v>
      </c>
      <c r="L61" s="96">
        <f t="shared" si="13"/>
        <v>0</v>
      </c>
      <c r="M61" s="96">
        <f t="shared" si="13"/>
        <v>0</v>
      </c>
      <c r="N61" s="96">
        <f t="shared" si="13"/>
        <v>0</v>
      </c>
      <c r="O61" s="90"/>
      <c r="Q61" s="88">
        <v>49</v>
      </c>
      <c r="R61" s="103">
        <f t="shared" ca="1" si="3"/>
        <v>31.612907316292485</v>
      </c>
      <c r="T61" s="88">
        <v>49</v>
      </c>
      <c r="U61" s="103">
        <f t="shared" ca="1" si="4"/>
        <v>31.95602994773434</v>
      </c>
    </row>
    <row r="62" spans="1:21">
      <c r="A62" s="88" t="s">
        <v>443</v>
      </c>
      <c r="B62" s="91">
        <f ca="1">IF(AND(Setup!$C$35="Axe", Data!$H$23&gt;0), IF(ISBLANK(Gear!$AB$4), 0, VLOOKUP(Gear!$AB$4, INDIRECT(Gear!AA4), MATCH(A62, StatHeader, 0), 0)), 0)</f>
        <v>0</v>
      </c>
      <c r="D62" s="88">
        <v>1</v>
      </c>
      <c r="E62" s="98">
        <f ca="1">IF(E59=1, (1-B46)*(1-B45)*(1-B44)*(1-B57), 0)</f>
        <v>0</v>
      </c>
      <c r="F62" s="96">
        <f t="shared" ref="F62:F69" ca="1" si="14">IF($D62&gt;=F$60, POWER($B$56, F$60) * POWER((1-$B$56), $D62-F$60) * COMBIN($D62,F$60) * $E62, 0)</f>
        <v>0</v>
      </c>
      <c r="G62" s="96">
        <f t="shared" ca="1" si="13"/>
        <v>0</v>
      </c>
      <c r="H62" s="96">
        <f t="shared" si="13"/>
        <v>0</v>
      </c>
      <c r="I62" s="96">
        <f t="shared" si="13"/>
        <v>0</v>
      </c>
      <c r="J62" s="96">
        <f t="shared" si="13"/>
        <v>0</v>
      </c>
      <c r="K62" s="96">
        <f t="shared" si="13"/>
        <v>0</v>
      </c>
      <c r="L62" s="96">
        <f t="shared" si="13"/>
        <v>0</v>
      </c>
      <c r="M62" s="96">
        <f t="shared" si="13"/>
        <v>0</v>
      </c>
      <c r="N62" s="96">
        <f t="shared" si="13"/>
        <v>0</v>
      </c>
      <c r="O62" s="90"/>
      <c r="Q62" s="88">
        <v>50</v>
      </c>
      <c r="R62" s="103">
        <f t="shared" ca="1" si="3"/>
        <v>32.251643946337182</v>
      </c>
      <c r="T62" s="88">
        <v>50</v>
      </c>
      <c r="U62" s="103">
        <f t="shared" ca="1" si="4"/>
        <v>32.601764692170285</v>
      </c>
    </row>
    <row r="63" spans="1:21">
      <c r="A63" s="88" t="s">
        <v>444</v>
      </c>
      <c r="B63" s="91">
        <f ca="1">IF(AND(Setup!$C$35="Axe", Data!$H$23&gt;0), IF(ISBLANK(Gear!$AB$4), 0, VLOOKUP(Gear!$AB$4, INDIRECT(Gear!AA4), MATCH(A63, StatHeader, 0), 0)), 0)</f>
        <v>0</v>
      </c>
      <c r="D63" s="88">
        <v>2</v>
      </c>
      <c r="E63" s="98">
        <f ca="1">IF(E59=1, (1-B46)*(1-B45)*(1-B44)*(B57)*(B58) + (1-B46)*(1-B45)*B44, 0)</f>
        <v>0</v>
      </c>
      <c r="F63" s="96">
        <f t="shared" ca="1" si="14"/>
        <v>0</v>
      </c>
      <c r="G63" s="96">
        <f t="shared" ca="1" si="13"/>
        <v>0</v>
      </c>
      <c r="H63" s="96">
        <f t="shared" ca="1" si="13"/>
        <v>0</v>
      </c>
      <c r="I63" s="96">
        <f t="shared" si="13"/>
        <v>0</v>
      </c>
      <c r="J63" s="96">
        <f t="shared" si="13"/>
        <v>0</v>
      </c>
      <c r="K63" s="96">
        <f t="shared" si="13"/>
        <v>0</v>
      </c>
      <c r="L63" s="96">
        <f t="shared" si="13"/>
        <v>0</v>
      </c>
      <c r="M63" s="96">
        <f t="shared" si="13"/>
        <v>0</v>
      </c>
      <c r="N63" s="96">
        <f t="shared" si="13"/>
        <v>0</v>
      </c>
      <c r="O63" s="90"/>
      <c r="Q63" s="88">
        <v>51</v>
      </c>
      <c r="R63" s="103">
        <f t="shared" ca="1" si="3"/>
        <v>32.890380576381887</v>
      </c>
      <c r="T63" s="88">
        <v>51</v>
      </c>
      <c r="U63" s="103">
        <f t="shared" ca="1" si="4"/>
        <v>33.247499436606226</v>
      </c>
    </row>
    <row r="64" spans="1:21">
      <c r="A64" s="88" t="s">
        <v>445</v>
      </c>
      <c r="B64" s="91">
        <f ca="1">IF(AND(Setup!$C$35="Axe", Data!$H$23&gt;0), IF(ISBLANK(Gear!$AB$4), 0, VLOOKUP(Gear!$AB$4, INDIRECT(Gear!AA4), MATCH(A64, StatHeader, 0), 0)), 0)</f>
        <v>0</v>
      </c>
      <c r="D64" s="88">
        <v>3</v>
      </c>
      <c r="E64" s="98">
        <f ca="1">IF(E59=1, (1-B46)*(1-B45)*(1-B44)*(B57)*(B59) + (1-B46)*(B45), 0)</f>
        <v>0</v>
      </c>
      <c r="F64" s="96">
        <f t="shared" ca="1" si="14"/>
        <v>0</v>
      </c>
      <c r="G64" s="96">
        <f t="shared" ca="1" si="13"/>
        <v>0</v>
      </c>
      <c r="H64" s="96">
        <f t="shared" ca="1" si="13"/>
        <v>0</v>
      </c>
      <c r="I64" s="96">
        <f t="shared" ca="1" si="13"/>
        <v>0</v>
      </c>
      <c r="J64" s="96">
        <f t="shared" si="13"/>
        <v>0</v>
      </c>
      <c r="K64" s="96">
        <f t="shared" si="13"/>
        <v>0</v>
      </c>
      <c r="L64" s="96">
        <f t="shared" si="13"/>
        <v>0</v>
      </c>
      <c r="M64" s="96">
        <f t="shared" si="13"/>
        <v>0</v>
      </c>
      <c r="N64" s="96">
        <f t="shared" si="13"/>
        <v>0</v>
      </c>
      <c r="O64" s="90"/>
      <c r="Q64" s="88">
        <v>52</v>
      </c>
      <c r="R64" s="103">
        <f t="shared" ca="1" si="3"/>
        <v>33.529117206426591</v>
      </c>
      <c r="T64" s="88">
        <v>52</v>
      </c>
      <c r="U64" s="103">
        <f t="shared" ca="1" si="4"/>
        <v>33.893234181042175</v>
      </c>
    </row>
    <row r="65" spans="1:21">
      <c r="A65" s="106" t="s">
        <v>547</v>
      </c>
      <c r="B65" s="91">
        <f ca="1">IF(Setup!C$40=1, IF(ISBLANK(Gear!$AB$3), 0, VLOOKUP(Gear!$AB$3, INDIRECT(Gear!AA3), MATCH(A65, StatHeader, 0), 0)), 0)</f>
        <v>0</v>
      </c>
      <c r="D65" s="88">
        <v>4</v>
      </c>
      <c r="E65" s="98">
        <f ca="1">IF(E59=1, (1-B46)*(1-B45)*(1-B44)*(B57)*(B60) + (B46), 0)</f>
        <v>0</v>
      </c>
      <c r="F65" s="96">
        <f t="shared" ca="1" si="14"/>
        <v>0</v>
      </c>
      <c r="G65" s="96">
        <f t="shared" ca="1" si="13"/>
        <v>0</v>
      </c>
      <c r="H65" s="96">
        <f t="shared" ca="1" si="13"/>
        <v>0</v>
      </c>
      <c r="I65" s="96">
        <f t="shared" ca="1" si="13"/>
        <v>0</v>
      </c>
      <c r="J65" s="96">
        <f t="shared" ca="1" si="13"/>
        <v>0</v>
      </c>
      <c r="K65" s="96">
        <f t="shared" si="13"/>
        <v>0</v>
      </c>
      <c r="L65" s="96">
        <f t="shared" si="13"/>
        <v>0</v>
      </c>
      <c r="M65" s="96">
        <f t="shared" si="13"/>
        <v>0</v>
      </c>
      <c r="N65" s="96">
        <f t="shared" si="13"/>
        <v>0</v>
      </c>
      <c r="O65" s="90"/>
      <c r="Q65" s="88">
        <v>53</v>
      </c>
      <c r="R65" s="103">
        <f t="shared" ca="1" si="3"/>
        <v>34.167853836471295</v>
      </c>
      <c r="T65" s="88">
        <v>53</v>
      </c>
      <c r="U65" s="103">
        <f t="shared" ca="1" si="4"/>
        <v>34.538968925478123</v>
      </c>
    </row>
    <row r="66" spans="1:21">
      <c r="A66" s="106" t="s">
        <v>548</v>
      </c>
      <c r="B66" s="91">
        <f ca="1">IF(Setup!C$40=1, IF(ISBLANK(Gear!$AB$3), 0, VLOOKUP(Gear!$AB$3, INDIRECT(Gear!AA3), MATCH(A66, StatHeader, 0), 0)), 0)</f>
        <v>0</v>
      </c>
      <c r="D66" s="88">
        <v>5</v>
      </c>
      <c r="E66" s="99">
        <f ca="1">IF(E59=1, (1-B46)*(1-B45)*(1-B44)*(B57)*(B61), 0)</f>
        <v>0</v>
      </c>
      <c r="F66" s="96">
        <f t="shared" ca="1" si="14"/>
        <v>0</v>
      </c>
      <c r="G66" s="96">
        <f t="shared" ca="1" si="13"/>
        <v>0</v>
      </c>
      <c r="H66" s="96">
        <f t="shared" ca="1" si="13"/>
        <v>0</v>
      </c>
      <c r="I66" s="96">
        <f t="shared" ca="1" si="13"/>
        <v>0</v>
      </c>
      <c r="J66" s="96">
        <f t="shared" ca="1" si="13"/>
        <v>0</v>
      </c>
      <c r="K66" s="96">
        <f t="shared" ca="1" si="13"/>
        <v>0</v>
      </c>
      <c r="L66" s="96">
        <f t="shared" si="13"/>
        <v>0</v>
      </c>
      <c r="M66" s="96">
        <f t="shared" si="13"/>
        <v>0</v>
      </c>
      <c r="N66" s="96">
        <f t="shared" si="13"/>
        <v>0</v>
      </c>
      <c r="O66" s="90"/>
      <c r="Q66" s="88">
        <v>54</v>
      </c>
      <c r="R66" s="103">
        <f t="shared" ca="1" si="3"/>
        <v>34.806590466515992</v>
      </c>
      <c r="T66" s="88">
        <v>54</v>
      </c>
      <c r="U66" s="103">
        <f t="shared" ca="1" si="4"/>
        <v>35.184703669914057</v>
      </c>
    </row>
    <row r="67" spans="1:21">
      <c r="A67" s="106" t="s">
        <v>549</v>
      </c>
      <c r="B67" s="91">
        <f ca="1">IF(Setup!C$40=1, IF(ISBLANK(Gear!$AB$3), 0, VLOOKUP(Gear!$AB$3, INDIRECT(Gear!AA3), MATCH(A67, StatHeader, 0), 0)), 0)</f>
        <v>0</v>
      </c>
      <c r="D67" s="109">
        <v>6</v>
      </c>
      <c r="E67" s="99">
        <f ca="1">IF(E59=1, (1-B46)*(1-B45)*(1-B44)*(B57)*(B62), 0)</f>
        <v>0</v>
      </c>
      <c r="F67" s="96">
        <f t="shared" ca="1" si="14"/>
        <v>0</v>
      </c>
      <c r="G67" s="96">
        <f t="shared" ca="1" si="13"/>
        <v>0</v>
      </c>
      <c r="H67" s="96">
        <f t="shared" ca="1" si="13"/>
        <v>0</v>
      </c>
      <c r="I67" s="96">
        <f t="shared" ca="1" si="13"/>
        <v>0</v>
      </c>
      <c r="J67" s="96">
        <f t="shared" ca="1" si="13"/>
        <v>0</v>
      </c>
      <c r="K67" s="96">
        <f t="shared" ca="1" si="13"/>
        <v>0</v>
      </c>
      <c r="L67" s="96">
        <f t="shared" ca="1" si="13"/>
        <v>0</v>
      </c>
      <c r="M67" s="96">
        <f t="shared" si="13"/>
        <v>0</v>
      </c>
      <c r="N67" s="96">
        <f t="shared" si="13"/>
        <v>0</v>
      </c>
      <c r="O67" s="90"/>
      <c r="Q67" s="88">
        <v>55</v>
      </c>
      <c r="R67" s="103">
        <f t="shared" ca="1" si="3"/>
        <v>35.445327096560689</v>
      </c>
      <c r="T67" s="88">
        <v>55</v>
      </c>
      <c r="U67" s="103">
        <f t="shared" ca="1" si="4"/>
        <v>35.830438414350006</v>
      </c>
    </row>
    <row r="68" spans="1:21">
      <c r="A68" s="106" t="s">
        <v>452</v>
      </c>
      <c r="B68" s="91">
        <f ca="1">Data!C185</f>
        <v>0</v>
      </c>
      <c r="D68" s="88">
        <v>7</v>
      </c>
      <c r="E68" s="99">
        <f ca="1">IF(E59=1, (1-B46)*(1-B45)*(1-B44)*(B57)*(B63), 0)</f>
        <v>0</v>
      </c>
      <c r="F68" s="96">
        <f t="shared" ca="1" si="14"/>
        <v>0</v>
      </c>
      <c r="G68" s="96">
        <f t="shared" ca="1" si="13"/>
        <v>0</v>
      </c>
      <c r="H68" s="96">
        <f t="shared" ca="1" si="13"/>
        <v>0</v>
      </c>
      <c r="I68" s="96">
        <f t="shared" ca="1" si="13"/>
        <v>0</v>
      </c>
      <c r="J68" s="96">
        <f t="shared" ca="1" si="13"/>
        <v>0</v>
      </c>
      <c r="K68" s="96">
        <f t="shared" ca="1" si="13"/>
        <v>0</v>
      </c>
      <c r="L68" s="96">
        <f t="shared" ca="1" si="13"/>
        <v>0</v>
      </c>
      <c r="M68" s="96">
        <f t="shared" ca="1" si="13"/>
        <v>0</v>
      </c>
      <c r="N68" s="96">
        <f t="shared" si="13"/>
        <v>0</v>
      </c>
      <c r="O68" s="90"/>
      <c r="Q68" s="88">
        <v>56</v>
      </c>
      <c r="R68" s="103">
        <f t="shared" ca="1" si="3"/>
        <v>36.084063726605393</v>
      </c>
      <c r="T68" s="88">
        <v>56</v>
      </c>
      <c r="U68" s="103">
        <f t="shared" ca="1" si="4"/>
        <v>36.476173158785954</v>
      </c>
    </row>
    <row r="69" spans="1:21">
      <c r="A69" s="106" t="s">
        <v>453</v>
      </c>
      <c r="B69" s="107">
        <f ca="1">Data!C115</f>
        <v>0.95</v>
      </c>
      <c r="D69" s="88">
        <v>8</v>
      </c>
      <c r="E69" s="99">
        <f ca="1">IF(E59=1, (1-B46)*(1-B45)*(1-B44)*(B57)*(B64), 0)</f>
        <v>0</v>
      </c>
      <c r="F69" s="101">
        <f t="shared" ca="1" si="14"/>
        <v>0</v>
      </c>
      <c r="G69" s="102">
        <f t="shared" ca="1" si="13"/>
        <v>0</v>
      </c>
      <c r="H69" s="102">
        <f t="shared" ca="1" si="13"/>
        <v>0</v>
      </c>
      <c r="I69" s="102">
        <f t="shared" ca="1" si="13"/>
        <v>0</v>
      </c>
      <c r="J69" s="102">
        <f t="shared" ca="1" si="13"/>
        <v>0</v>
      </c>
      <c r="K69" s="102">
        <f t="shared" ca="1" si="13"/>
        <v>0</v>
      </c>
      <c r="L69" s="102">
        <f t="shared" ca="1" si="13"/>
        <v>0</v>
      </c>
      <c r="M69" s="102">
        <f t="shared" ca="1" si="13"/>
        <v>0</v>
      </c>
      <c r="N69" s="102">
        <f t="shared" ca="1" si="13"/>
        <v>0</v>
      </c>
      <c r="O69" s="90"/>
      <c r="Q69" s="88">
        <v>57</v>
      </c>
      <c r="R69" s="103">
        <f t="shared" ca="1" si="3"/>
        <v>36.72280035665009</v>
      </c>
      <c r="T69" s="88">
        <v>57</v>
      </c>
      <c r="U69" s="103">
        <f t="shared" ca="1" si="4"/>
        <v>37.121907903221889</v>
      </c>
    </row>
    <row r="70" spans="1:21">
      <c r="E70" s="91">
        <f ca="1">SUM(E61:E69)</f>
        <v>1</v>
      </c>
      <c r="O70" s="90"/>
      <c r="Q70" s="88">
        <v>58</v>
      </c>
      <c r="R70" s="103">
        <f t="shared" ca="1" si="3"/>
        <v>37.361536986694787</v>
      </c>
      <c r="T70" s="88">
        <v>58</v>
      </c>
      <c r="U70" s="103">
        <f t="shared" ca="1" si="4"/>
        <v>37.767642647657837</v>
      </c>
    </row>
    <row r="71" spans="1:21">
      <c r="E71" s="88" t="s">
        <v>155</v>
      </c>
      <c r="F71" s="104">
        <f t="shared" ref="F71:N71" ca="1" si="15">SUM(F61:F69)</f>
        <v>1</v>
      </c>
      <c r="G71" s="104">
        <f t="shared" ca="1" si="15"/>
        <v>0</v>
      </c>
      <c r="H71" s="104">
        <f t="shared" ca="1" si="15"/>
        <v>0</v>
      </c>
      <c r="I71" s="104">
        <f t="shared" ca="1" si="15"/>
        <v>0</v>
      </c>
      <c r="J71" s="104">
        <f t="shared" ca="1" si="15"/>
        <v>0</v>
      </c>
      <c r="K71" s="104">
        <f t="shared" ca="1" si="15"/>
        <v>0</v>
      </c>
      <c r="L71" s="104">
        <f t="shared" ca="1" si="15"/>
        <v>0</v>
      </c>
      <c r="M71" s="104">
        <f t="shared" ca="1" si="15"/>
        <v>0</v>
      </c>
      <c r="N71" s="104">
        <f t="shared" ca="1" si="15"/>
        <v>0</v>
      </c>
      <c r="O71" s="96">
        <f ca="1">SUM(F71:N71)</f>
        <v>1</v>
      </c>
      <c r="Q71" s="88">
        <v>59</v>
      </c>
      <c r="R71" s="103">
        <f t="shared" ca="1" si="3"/>
        <v>38.000273616739484</v>
      </c>
      <c r="T71" s="88">
        <v>59</v>
      </c>
      <c r="U71" s="103">
        <f t="shared" ca="1" si="4"/>
        <v>38.413377392093786</v>
      </c>
    </row>
    <row r="72" spans="1:21">
      <c r="E72" s="88" t="s">
        <v>156</v>
      </c>
      <c r="F72" s="105">
        <f ca="1">F60*F71+G60*G71+H60*H71+I60*I71+J71*J60+K71*K60+L71*L60+M71*M60+N71*N60</f>
        <v>0</v>
      </c>
      <c r="I72" s="90"/>
      <c r="J72" s="90"/>
      <c r="K72" s="96"/>
      <c r="O72" s="96"/>
      <c r="P72" s="110"/>
      <c r="Q72" s="88">
        <v>60</v>
      </c>
      <c r="R72" s="103">
        <f t="shared" ca="1" si="3"/>
        <v>38.639010246784188</v>
      </c>
      <c r="T72" s="88">
        <v>60</v>
      </c>
      <c r="U72" s="103">
        <f t="shared" ca="1" si="4"/>
        <v>39.05911213652972</v>
      </c>
    </row>
    <row r="73" spans="1:21">
      <c r="K73" s="96"/>
      <c r="O73" s="90"/>
      <c r="Q73" s="88">
        <v>61</v>
      </c>
      <c r="R73" s="103">
        <f t="shared" ca="1" si="3"/>
        <v>39.277746876828893</v>
      </c>
      <c r="T73" s="88">
        <v>61</v>
      </c>
      <c r="U73" s="103">
        <f t="shared" ca="1" si="4"/>
        <v>39.704846880965668</v>
      </c>
    </row>
    <row r="74" spans="1:21">
      <c r="Q74" s="88">
        <v>62</v>
      </c>
      <c r="R74" s="103">
        <f t="shared" ca="1" si="3"/>
        <v>39.916483506873597</v>
      </c>
      <c r="T74" s="88">
        <v>62</v>
      </c>
      <c r="U74" s="103">
        <f t="shared" ca="1" si="4"/>
        <v>40.35058162540161</v>
      </c>
    </row>
    <row r="75" spans="1:21">
      <c r="D75" s="90" t="s">
        <v>188</v>
      </c>
      <c r="E75" s="90"/>
      <c r="F75" s="96"/>
      <c r="G75" s="96"/>
      <c r="H75" s="96"/>
      <c r="I75" s="96"/>
      <c r="J75" s="96"/>
      <c r="K75" s="96"/>
      <c r="L75" s="96"/>
      <c r="M75" s="96"/>
      <c r="N75" s="96"/>
      <c r="Q75" s="88">
        <v>63</v>
      </c>
      <c r="R75" s="103">
        <f t="shared" ca="1" si="3"/>
        <v>40.555220136918294</v>
      </c>
      <c r="T75" s="88">
        <v>63</v>
      </c>
      <c r="U75" s="103">
        <f t="shared" ca="1" si="4"/>
        <v>40.996316369837558</v>
      </c>
    </row>
    <row r="76" spans="1:21">
      <c r="D76" s="90" t="s">
        <v>189</v>
      </c>
      <c r="E76" s="111">
        <v>0</v>
      </c>
      <c r="F76" s="90">
        <v>1</v>
      </c>
      <c r="G76" s="90">
        <v>2</v>
      </c>
      <c r="H76" s="100">
        <v>3</v>
      </c>
      <c r="I76" s="100">
        <v>4</v>
      </c>
      <c r="J76" s="100">
        <v>5</v>
      </c>
      <c r="K76" s="100">
        <v>6</v>
      </c>
      <c r="L76" s="100">
        <v>7</v>
      </c>
      <c r="M76" s="100">
        <v>8</v>
      </c>
      <c r="N76" s="88" t="s">
        <v>7</v>
      </c>
      <c r="Q76" s="88">
        <v>64</v>
      </c>
      <c r="R76" s="103">
        <f t="shared" ca="1" si="3"/>
        <v>41.193956766962998</v>
      </c>
      <c r="T76" s="88">
        <v>64</v>
      </c>
      <c r="U76" s="103">
        <f t="shared" ca="1" si="4"/>
        <v>41.642051114273499</v>
      </c>
    </row>
    <row r="77" spans="1:21">
      <c r="D77" s="90" t="s">
        <v>190</v>
      </c>
      <c r="E77" s="96">
        <f ca="1">F55*F71</f>
        <v>2.726626250000002E-2</v>
      </c>
      <c r="F77" s="96">
        <f ca="1">F55*G71+G55*F71</f>
        <v>0.53573872499999997</v>
      </c>
      <c r="G77" s="96">
        <f ca="1">F55*H71+G55*G71+H55*F71</f>
        <v>0.33882557499999999</v>
      </c>
      <c r="H77" s="96">
        <f ca="1">F55*I71+G55*H71+H55*G71+I55*F71</f>
        <v>5.7444124999999992E-2</v>
      </c>
      <c r="I77" s="96">
        <f ca="1">F55*J71+G55*I71+H55*H71+I55*G71+J55*F71</f>
        <v>4.0725312499999999E-2</v>
      </c>
      <c r="J77" s="96">
        <f ca="1">F55*K71+G55*J71+H55*I71+I55*H71+J55*G71+K55*F71</f>
        <v>0</v>
      </c>
      <c r="K77" s="96">
        <f ca="1">F55*L71+G55*K71+H55*J71+I55*I71+J55*H71+K55*G71+L55*F71</f>
        <v>0</v>
      </c>
      <c r="L77" s="110">
        <f ca="1">F55*M71+G55*L71+H55*K71+I55*J71+J55*I71+K55*H71+L55*G71+M55*F71</f>
        <v>0</v>
      </c>
      <c r="M77" s="96">
        <f ca="1">F55*N71+G55*M71+H55*L71+I55*K71+J55*J71+K55*I71+L55*H71+M55*G71+N55*F71+G55*N71+H55*M71+I55*L71+J55*K71+K55*J71+L55*I71+M55*H71+N55*G71+H55*N71+I55*M71+J55*L71+K55*K71+L55*J71+M55*I71+N55*H71+I55*N71+J55*M71+K55*L71+L55*K71+M55*J71+N55*I71+J55*N71+K55*M71+L55*L71+M55*K71+N55*J71+K55*N71+L55*M71+M55*L71+N55*K71+L55*N71+M55*M71+N55*L71+M55*N71+N55*M71+N55*N71</f>
        <v>0</v>
      </c>
      <c r="N77" s="96">
        <f ca="1">SUM(E77:M77)</f>
        <v>0.99999999999999989</v>
      </c>
      <c r="Q77" s="88">
        <v>65</v>
      </c>
      <c r="R77" s="103">
        <f t="shared" ref="R77:R112" ca="1" si="16">(1+R76*$F$37+R75*$G$37+R74*$H$37+R73*$I$37+R72*$J$37+R71*$K$37+R70*$L$37+R69*$M$37)/(1-$E$37)</f>
        <v>41.832693397007702</v>
      </c>
      <c r="T77" s="88">
        <v>65</v>
      </c>
      <c r="U77" s="103">
        <f t="shared" ref="U77:U112" ca="1" si="17">(1+U76*$F$77+U75*$G$77+U74*$H$77+U73*$I$77+U72*$J$77+U71*$K$77+U70*$L$77+U69*$M$77)/(1-$E$77)</f>
        <v>42.287785858709441</v>
      </c>
    </row>
    <row r="78" spans="1:21">
      <c r="D78" s="100" t="s">
        <v>156</v>
      </c>
      <c r="E78" s="103">
        <f ca="1">E76*E77+F76*F77+G76*G77+H76*H77+I76*I77+J76*J77+K76*K77+L76*L77+M76*M77</f>
        <v>1.5486234999999997</v>
      </c>
      <c r="Q78" s="88">
        <v>66</v>
      </c>
      <c r="R78" s="103">
        <f t="shared" ca="1" si="16"/>
        <v>42.471430027052406</v>
      </c>
      <c r="T78" s="88">
        <v>66</v>
      </c>
      <c r="U78" s="103">
        <f t="shared" ca="1" si="17"/>
        <v>42.933520603145389</v>
      </c>
    </row>
    <row r="79" spans="1:21">
      <c r="D79" s="90"/>
      <c r="E79" s="96"/>
      <c r="F79" s="96"/>
      <c r="G79" s="96"/>
      <c r="H79" s="96"/>
      <c r="I79" s="96"/>
      <c r="J79" s="96"/>
      <c r="K79" s="96"/>
      <c r="L79" s="96"/>
      <c r="M79" s="96"/>
      <c r="N79" s="90"/>
      <c r="Q79" s="88">
        <v>67</v>
      </c>
      <c r="R79" s="103">
        <f t="shared" ca="1" si="16"/>
        <v>43.110166657097103</v>
      </c>
      <c r="T79" s="88">
        <v>67</v>
      </c>
      <c r="U79" s="103">
        <f t="shared" ca="1" si="17"/>
        <v>43.579255347581324</v>
      </c>
    </row>
    <row r="80" spans="1:21">
      <c r="D80" s="90"/>
      <c r="E80" s="90"/>
      <c r="F80" s="96"/>
      <c r="G80" s="96"/>
      <c r="Q80" s="88">
        <v>68</v>
      </c>
      <c r="R80" s="103">
        <f t="shared" ca="1" si="16"/>
        <v>43.748903287141808</v>
      </c>
      <c r="T80" s="88">
        <v>68</v>
      </c>
      <c r="U80" s="103">
        <f t="shared" ca="1" si="17"/>
        <v>44.224990092017272</v>
      </c>
    </row>
    <row r="81" spans="1:21">
      <c r="D81" s="90"/>
      <c r="E81" s="96"/>
      <c r="F81" s="112"/>
      <c r="G81" s="90"/>
      <c r="Q81" s="88">
        <v>69</v>
      </c>
      <c r="R81" s="103">
        <f t="shared" ca="1" si="16"/>
        <v>44.387639917186512</v>
      </c>
      <c r="T81" s="88">
        <v>69</v>
      </c>
      <c r="U81" s="103">
        <f t="shared" ca="1" si="17"/>
        <v>44.870724836453213</v>
      </c>
    </row>
    <row r="82" spans="1:21">
      <c r="Q82" s="88">
        <v>70</v>
      </c>
      <c r="R82" s="103">
        <f t="shared" ca="1" si="16"/>
        <v>45.026376547231209</v>
      </c>
      <c r="T82" s="88">
        <v>70</v>
      </c>
      <c r="U82" s="103">
        <f t="shared" ca="1" si="17"/>
        <v>45.516459580889155</v>
      </c>
    </row>
    <row r="83" spans="1:21">
      <c r="A83" s="90"/>
      <c r="B83" s="90"/>
      <c r="C83" s="90"/>
      <c r="D83" s="90"/>
      <c r="E83" s="90"/>
      <c r="F83" s="90"/>
      <c r="G83" s="90"/>
      <c r="H83" s="90"/>
      <c r="I83" s="90"/>
      <c r="J83" s="90"/>
      <c r="K83" s="90"/>
      <c r="L83" s="90"/>
      <c r="M83" s="90"/>
      <c r="N83" s="90"/>
      <c r="O83" s="90"/>
      <c r="P83" s="90"/>
      <c r="Q83" s="88">
        <v>71</v>
      </c>
      <c r="R83" s="103">
        <f t="shared" ca="1" si="16"/>
        <v>45.665113177275913</v>
      </c>
      <c r="T83" s="88">
        <v>71</v>
      </c>
      <c r="U83" s="103">
        <f t="shared" ca="1" si="17"/>
        <v>46.162194325325096</v>
      </c>
    </row>
    <row r="84" spans="1:21">
      <c r="A84" s="90"/>
      <c r="B84" s="90"/>
      <c r="C84" s="90"/>
      <c r="D84" s="90"/>
      <c r="E84" s="90"/>
      <c r="F84" s="90"/>
      <c r="G84" s="90"/>
      <c r="H84" s="90"/>
      <c r="I84" s="90"/>
      <c r="J84" s="90"/>
      <c r="K84" s="90"/>
      <c r="L84" s="90"/>
      <c r="M84" s="90"/>
      <c r="N84" s="90"/>
      <c r="O84" s="90"/>
      <c r="P84" s="90"/>
      <c r="Q84" s="88">
        <v>72</v>
      </c>
      <c r="R84" s="103">
        <f t="shared" ca="1" si="16"/>
        <v>46.30384980732061</v>
      </c>
      <c r="T84" s="88">
        <v>72</v>
      </c>
      <c r="U84" s="103">
        <f t="shared" ca="1" si="17"/>
        <v>46.807929069761038</v>
      </c>
    </row>
    <row r="85" spans="1:21">
      <c r="A85" s="26" t="s">
        <v>307</v>
      </c>
      <c r="B85" s="40">
        <v>0.1</v>
      </c>
      <c r="C85" s="26"/>
      <c r="D85" s="26"/>
      <c r="E85" s="26"/>
      <c r="F85" s="26"/>
      <c r="G85" s="26"/>
      <c r="H85" s="26" t="s">
        <v>307</v>
      </c>
      <c r="I85" s="40">
        <v>0.12</v>
      </c>
      <c r="J85" s="26"/>
      <c r="K85" s="26"/>
      <c r="L85" s="26"/>
      <c r="M85" s="26"/>
      <c r="O85" s="90"/>
      <c r="P85" s="90"/>
      <c r="Q85" s="88">
        <v>73</v>
      </c>
      <c r="R85" s="103">
        <f t="shared" ca="1" si="16"/>
        <v>46.942586437365314</v>
      </c>
      <c r="T85" s="88">
        <v>73</v>
      </c>
      <c r="U85" s="103">
        <f t="shared" ca="1" si="17"/>
        <v>47.453663814196986</v>
      </c>
    </row>
    <row r="86" spans="1:21">
      <c r="A86" s="26" t="s">
        <v>218</v>
      </c>
      <c r="B86" s="53">
        <v>1000000</v>
      </c>
      <c r="C86" s="26"/>
      <c r="D86" s="26"/>
      <c r="E86" s="40"/>
      <c r="F86" s="27"/>
      <c r="G86" s="27"/>
      <c r="H86" s="26" t="s">
        <v>218</v>
      </c>
      <c r="I86" s="53">
        <v>1000000</v>
      </c>
      <c r="J86" s="26"/>
      <c r="K86" s="26"/>
      <c r="L86" s="40"/>
      <c r="M86" s="27"/>
      <c r="O86" s="90"/>
      <c r="P86" s="90"/>
      <c r="Q86" s="88">
        <v>74</v>
      </c>
      <c r="R86" s="103">
        <f t="shared" ca="1" si="16"/>
        <v>47.581323067410011</v>
      </c>
      <c r="T86" s="88">
        <v>74</v>
      </c>
      <c r="U86" s="103">
        <f t="shared" ca="1" si="17"/>
        <v>48.099398558632927</v>
      </c>
    </row>
    <row r="87" spans="1:21">
      <c r="A87" s="26" t="s">
        <v>43</v>
      </c>
      <c r="B87" s="27" t="s">
        <v>102</v>
      </c>
      <c r="C87" s="26" t="s">
        <v>322</v>
      </c>
      <c r="D87" s="26" t="s">
        <v>323</v>
      </c>
      <c r="E87" s="27" t="s">
        <v>324</v>
      </c>
      <c r="F87" s="27" t="s">
        <v>325</v>
      </c>
      <c r="G87" s="27"/>
      <c r="H87" s="26" t="s">
        <v>43</v>
      </c>
      <c r="I87" s="27" t="s">
        <v>102</v>
      </c>
      <c r="J87" s="26" t="s">
        <v>322</v>
      </c>
      <c r="K87" s="26" t="s">
        <v>323</v>
      </c>
      <c r="L87" s="27" t="s">
        <v>324</v>
      </c>
      <c r="M87" s="27" t="s">
        <v>325</v>
      </c>
      <c r="O87" s="90"/>
      <c r="P87" s="90"/>
      <c r="Q87" s="88">
        <v>75</v>
      </c>
      <c r="R87" s="103">
        <f t="shared" ca="1" si="16"/>
        <v>48.220059697454715</v>
      </c>
      <c r="T87" s="88">
        <v>75</v>
      </c>
      <c r="U87" s="103">
        <f t="shared" ca="1" si="17"/>
        <v>48.745133303068869</v>
      </c>
    </row>
    <row r="88" spans="1:21">
      <c r="A88" s="26">
        <v>0</v>
      </c>
      <c r="B88" s="53">
        <v>0</v>
      </c>
      <c r="C88" s="53">
        <f t="shared" ref="C88:C96" si="18">FLOOR(B88/2, 1)</f>
        <v>0</v>
      </c>
      <c r="D88" s="53">
        <f>B86-C88</f>
        <v>1000000</v>
      </c>
      <c r="E88" s="53">
        <f>SUM(B$88:B88)</f>
        <v>0</v>
      </c>
      <c r="F88" s="27">
        <f t="shared" ref="F88:F96" si="19">E88/$B$86</f>
        <v>0</v>
      </c>
      <c r="G88" s="27"/>
      <c r="H88" s="26">
        <v>0</v>
      </c>
      <c r="I88" s="53">
        <v>0</v>
      </c>
      <c r="J88" s="53">
        <f t="shared" ref="J88:J96" si="20">FLOOR(I88/2, 1)</f>
        <v>0</v>
      </c>
      <c r="K88" s="53">
        <f>I86-J88</f>
        <v>1000000</v>
      </c>
      <c r="L88" s="53">
        <f>SUM(I$88:I88)</f>
        <v>0</v>
      </c>
      <c r="M88" s="27">
        <f t="shared" ref="M88:M96" si="21">L88/$B$86</f>
        <v>0</v>
      </c>
      <c r="O88" s="90"/>
      <c r="P88" s="90"/>
      <c r="Q88" s="88">
        <v>76</v>
      </c>
      <c r="R88" s="103">
        <f t="shared" ca="1" si="16"/>
        <v>48.858796327499419</v>
      </c>
      <c r="T88" s="88">
        <v>76</v>
      </c>
      <c r="U88" s="103">
        <f t="shared" ca="1" si="17"/>
        <v>49.39086804750481</v>
      </c>
    </row>
    <row r="89" spans="1:21">
      <c r="A89" s="26">
        <v>1</v>
      </c>
      <c r="B89" s="53">
        <f t="shared" ref="B89:B96" si="22">FLOOR(D88*$B$85, 1)</f>
        <v>100000</v>
      </c>
      <c r="C89" s="53">
        <f t="shared" si="18"/>
        <v>50000</v>
      </c>
      <c r="D89" s="53">
        <f t="shared" ref="D89:D96" si="23">D88-C89</f>
        <v>950000</v>
      </c>
      <c r="E89" s="53">
        <f>SUM(B$88:B89)</f>
        <v>100000</v>
      </c>
      <c r="F89" s="27">
        <f t="shared" si="19"/>
        <v>0.1</v>
      </c>
      <c r="G89" s="27"/>
      <c r="H89" s="26">
        <v>1</v>
      </c>
      <c r="I89" s="53">
        <f>FLOOR(K88*$I$85, 1)</f>
        <v>120000</v>
      </c>
      <c r="J89" s="53">
        <f t="shared" si="20"/>
        <v>60000</v>
      </c>
      <c r="K89" s="53">
        <f t="shared" ref="K89:K96" si="24">K88-J89</f>
        <v>940000</v>
      </c>
      <c r="L89" s="53">
        <f>SUM(I$88:I89)</f>
        <v>120000</v>
      </c>
      <c r="M89" s="27">
        <f t="shared" si="21"/>
        <v>0.12</v>
      </c>
      <c r="O89" s="90"/>
      <c r="P89" s="90"/>
      <c r="Q89" s="88">
        <v>77</v>
      </c>
      <c r="R89" s="103">
        <f t="shared" ca="1" si="16"/>
        <v>49.497532957544117</v>
      </c>
      <c r="T89" s="88">
        <v>77</v>
      </c>
      <c r="U89" s="103">
        <f t="shared" ca="1" si="17"/>
        <v>50.036602791940751</v>
      </c>
    </row>
    <row r="90" spans="1:21">
      <c r="A90" s="26">
        <v>2</v>
      </c>
      <c r="B90" s="53">
        <f t="shared" si="22"/>
        <v>95000</v>
      </c>
      <c r="C90" s="53">
        <f t="shared" si="18"/>
        <v>47500</v>
      </c>
      <c r="D90" s="53">
        <f t="shared" si="23"/>
        <v>902500</v>
      </c>
      <c r="E90" s="53">
        <f>SUM(B$88:B90)</f>
        <v>195000</v>
      </c>
      <c r="F90" s="27">
        <f t="shared" si="19"/>
        <v>0.19500000000000001</v>
      </c>
      <c r="G90" s="27"/>
      <c r="H90" s="26">
        <v>2</v>
      </c>
      <c r="I90" s="53">
        <f t="shared" ref="I90:I96" si="25">FLOOR(K89*$B$85, 1)</f>
        <v>94000</v>
      </c>
      <c r="J90" s="53">
        <f t="shared" si="20"/>
        <v>47000</v>
      </c>
      <c r="K90" s="53">
        <f t="shared" si="24"/>
        <v>893000</v>
      </c>
      <c r="L90" s="53">
        <f>SUM(I$88:I90)</f>
        <v>214000</v>
      </c>
      <c r="M90" s="27">
        <f t="shared" si="21"/>
        <v>0.214</v>
      </c>
      <c r="N90" s="90"/>
      <c r="O90" s="90"/>
      <c r="P90" s="90"/>
      <c r="Q90" s="88">
        <v>78</v>
      </c>
      <c r="R90" s="103">
        <f t="shared" ca="1" si="16"/>
        <v>50.136269587588821</v>
      </c>
      <c r="T90" s="88">
        <v>78</v>
      </c>
      <c r="U90" s="103">
        <f t="shared" ca="1" si="17"/>
        <v>50.6823375363767</v>
      </c>
    </row>
    <row r="91" spans="1:21">
      <c r="A91" s="20">
        <v>3</v>
      </c>
      <c r="B91" s="53">
        <f t="shared" si="22"/>
        <v>90250</v>
      </c>
      <c r="C91" s="53">
        <f t="shared" si="18"/>
        <v>45125</v>
      </c>
      <c r="D91" s="53">
        <f t="shared" si="23"/>
        <v>857375</v>
      </c>
      <c r="E91" s="53">
        <f>SUM(B$88:B91)</f>
        <v>285250</v>
      </c>
      <c r="F91" s="27">
        <f t="shared" si="19"/>
        <v>0.28525</v>
      </c>
      <c r="G91" s="26"/>
      <c r="H91" s="20">
        <v>3</v>
      </c>
      <c r="I91" s="53">
        <f t="shared" si="25"/>
        <v>89300</v>
      </c>
      <c r="J91" s="53">
        <f t="shared" si="20"/>
        <v>44650</v>
      </c>
      <c r="K91" s="53">
        <f t="shared" si="24"/>
        <v>848350</v>
      </c>
      <c r="L91" s="53">
        <f>SUM(I$88:I91)</f>
        <v>303300</v>
      </c>
      <c r="M91" s="27">
        <f t="shared" si="21"/>
        <v>0.30330000000000001</v>
      </c>
      <c r="N91" s="90"/>
      <c r="O91" s="90"/>
      <c r="P91" s="90"/>
      <c r="Q91" s="88">
        <v>79</v>
      </c>
      <c r="R91" s="103">
        <f t="shared" ca="1" si="16"/>
        <v>50.775006217633518</v>
      </c>
      <c r="T91" s="88">
        <v>79</v>
      </c>
      <c r="U91" s="103">
        <f t="shared" ca="1" si="17"/>
        <v>51.328072280812641</v>
      </c>
    </row>
    <row r="92" spans="1:21">
      <c r="A92" s="20">
        <v>4</v>
      </c>
      <c r="B92" s="53">
        <f t="shared" si="22"/>
        <v>85737</v>
      </c>
      <c r="C92" s="53">
        <f t="shared" si="18"/>
        <v>42868</v>
      </c>
      <c r="D92" s="53">
        <f t="shared" si="23"/>
        <v>814507</v>
      </c>
      <c r="E92" s="53">
        <f>SUM(B$88:B92)</f>
        <v>370987</v>
      </c>
      <c r="F92" s="27">
        <f t="shared" si="19"/>
        <v>0.37098700000000001</v>
      </c>
      <c r="G92" s="27"/>
      <c r="H92" s="20">
        <v>4</v>
      </c>
      <c r="I92" s="53">
        <f t="shared" si="25"/>
        <v>84835</v>
      </c>
      <c r="J92" s="53">
        <f t="shared" si="20"/>
        <v>42417</v>
      </c>
      <c r="K92" s="53">
        <f t="shared" si="24"/>
        <v>805933</v>
      </c>
      <c r="L92" s="53">
        <f>SUM(I$88:I92)</f>
        <v>388135</v>
      </c>
      <c r="M92" s="27">
        <f t="shared" si="21"/>
        <v>0.38813500000000001</v>
      </c>
      <c r="N92" s="90"/>
      <c r="O92" s="90"/>
      <c r="P92" s="90"/>
      <c r="Q92" s="88">
        <v>80</v>
      </c>
      <c r="R92" s="103">
        <f t="shared" ca="1" si="16"/>
        <v>51.413742847678229</v>
      </c>
      <c r="T92" s="88">
        <v>80</v>
      </c>
      <c r="U92" s="103">
        <f t="shared" ca="1" si="17"/>
        <v>51.973807025248583</v>
      </c>
    </row>
    <row r="93" spans="1:21">
      <c r="A93" s="20">
        <v>5</v>
      </c>
      <c r="B93" s="53">
        <f t="shared" si="22"/>
        <v>81450</v>
      </c>
      <c r="C93" s="53">
        <f t="shared" si="18"/>
        <v>40725</v>
      </c>
      <c r="D93" s="53">
        <f t="shared" si="23"/>
        <v>773782</v>
      </c>
      <c r="E93" s="53">
        <f>SUM(B$88:B93)</f>
        <v>452437</v>
      </c>
      <c r="F93" s="27">
        <f t="shared" si="19"/>
        <v>0.45243699999999998</v>
      </c>
      <c r="G93" s="27"/>
      <c r="H93" s="20">
        <v>5</v>
      </c>
      <c r="I93" s="53">
        <f t="shared" si="25"/>
        <v>80593</v>
      </c>
      <c r="J93" s="53">
        <f t="shared" si="20"/>
        <v>40296</v>
      </c>
      <c r="K93" s="53">
        <f t="shared" si="24"/>
        <v>765637</v>
      </c>
      <c r="L93" s="53">
        <f>SUM(I$88:I93)</f>
        <v>468728</v>
      </c>
      <c r="M93" s="27">
        <f t="shared" si="21"/>
        <v>0.46872799999999998</v>
      </c>
      <c r="Q93" s="88">
        <v>81</v>
      </c>
      <c r="R93" s="103">
        <f t="shared" ca="1" si="16"/>
        <v>52.052479477722926</v>
      </c>
      <c r="T93" s="88">
        <v>81</v>
      </c>
      <c r="U93" s="103">
        <f t="shared" ca="1" si="17"/>
        <v>52.619541769684531</v>
      </c>
    </row>
    <row r="94" spans="1:21">
      <c r="A94" s="20">
        <v>6</v>
      </c>
      <c r="B94" s="53">
        <f t="shared" si="22"/>
        <v>77378</v>
      </c>
      <c r="C94" s="53">
        <f t="shared" si="18"/>
        <v>38689</v>
      </c>
      <c r="D94" s="53">
        <f t="shared" si="23"/>
        <v>735093</v>
      </c>
      <c r="E94" s="53">
        <f>SUM(B$88:B94)</f>
        <v>529815</v>
      </c>
      <c r="F94" s="27">
        <f t="shared" si="19"/>
        <v>0.52981500000000004</v>
      </c>
      <c r="G94" s="26"/>
      <c r="H94" s="20">
        <v>6</v>
      </c>
      <c r="I94" s="53">
        <f t="shared" si="25"/>
        <v>76563</v>
      </c>
      <c r="J94" s="53">
        <f t="shared" si="20"/>
        <v>38281</v>
      </c>
      <c r="K94" s="53">
        <f t="shared" si="24"/>
        <v>727356</v>
      </c>
      <c r="L94" s="53">
        <f>SUM(I$88:I94)</f>
        <v>545291</v>
      </c>
      <c r="M94" s="27">
        <f t="shared" si="21"/>
        <v>0.54529099999999997</v>
      </c>
      <c r="Q94" s="88">
        <v>82</v>
      </c>
      <c r="R94" s="103">
        <f t="shared" ca="1" si="16"/>
        <v>52.69121610776763</v>
      </c>
      <c r="T94" s="88">
        <v>82</v>
      </c>
      <c r="U94" s="103">
        <f t="shared" ca="1" si="17"/>
        <v>53.265276514120472</v>
      </c>
    </row>
    <row r="95" spans="1:21">
      <c r="A95" s="20">
        <v>7</v>
      </c>
      <c r="B95" s="53">
        <f t="shared" si="22"/>
        <v>73509</v>
      </c>
      <c r="C95" s="53">
        <f t="shared" si="18"/>
        <v>36754</v>
      </c>
      <c r="D95" s="53">
        <f t="shared" si="23"/>
        <v>698339</v>
      </c>
      <c r="E95" s="53">
        <f>SUM(B$88:B95)</f>
        <v>603324</v>
      </c>
      <c r="F95" s="27">
        <f t="shared" si="19"/>
        <v>0.60332399999999997</v>
      </c>
      <c r="G95" s="26"/>
      <c r="H95" s="20">
        <v>7</v>
      </c>
      <c r="I95" s="53">
        <f t="shared" si="25"/>
        <v>72735</v>
      </c>
      <c r="J95" s="53">
        <f t="shared" si="20"/>
        <v>36367</v>
      </c>
      <c r="K95" s="53">
        <f t="shared" si="24"/>
        <v>690989</v>
      </c>
      <c r="L95" s="53">
        <f>SUM(I$88:I95)</f>
        <v>618026</v>
      </c>
      <c r="M95" s="27">
        <f t="shared" si="21"/>
        <v>0.61802599999999996</v>
      </c>
      <c r="Q95" s="88">
        <v>83</v>
      </c>
      <c r="R95" s="103">
        <f t="shared" ca="1" si="16"/>
        <v>53.32995273781232</v>
      </c>
      <c r="T95" s="88">
        <v>83</v>
      </c>
      <c r="U95" s="103">
        <f t="shared" ca="1" si="17"/>
        <v>53.911011258556421</v>
      </c>
    </row>
    <row r="96" spans="1:21">
      <c r="A96" s="20">
        <v>8</v>
      </c>
      <c r="B96" s="53">
        <f t="shared" si="22"/>
        <v>69833</v>
      </c>
      <c r="C96" s="53">
        <f t="shared" si="18"/>
        <v>34916</v>
      </c>
      <c r="D96" s="53">
        <f t="shared" si="23"/>
        <v>663423</v>
      </c>
      <c r="E96" s="53">
        <f>SUM(B$88:B96)</f>
        <v>673157</v>
      </c>
      <c r="F96" s="27">
        <f t="shared" si="19"/>
        <v>0.67315700000000001</v>
      </c>
      <c r="G96" s="26"/>
      <c r="H96" s="20">
        <v>8</v>
      </c>
      <c r="I96" s="53">
        <f t="shared" si="25"/>
        <v>69098</v>
      </c>
      <c r="J96" s="53">
        <f t="shared" si="20"/>
        <v>34549</v>
      </c>
      <c r="K96" s="53">
        <f t="shared" si="24"/>
        <v>656440</v>
      </c>
      <c r="L96" s="53">
        <f>SUM(I$88:I96)</f>
        <v>687124</v>
      </c>
      <c r="M96" s="27">
        <f t="shared" si="21"/>
        <v>0.68712399999999996</v>
      </c>
      <c r="Q96" s="88">
        <v>84</v>
      </c>
      <c r="R96" s="103">
        <f t="shared" ca="1" si="16"/>
        <v>53.968689367857031</v>
      </c>
      <c r="T96" s="88">
        <v>84</v>
      </c>
      <c r="U96" s="103">
        <f t="shared" ca="1" si="17"/>
        <v>54.556746002992362</v>
      </c>
    </row>
    <row r="97" spans="17:21">
      <c r="Q97" s="88">
        <v>85</v>
      </c>
      <c r="R97" s="103">
        <f t="shared" ca="1" si="16"/>
        <v>54.607425997901728</v>
      </c>
      <c r="T97" s="88">
        <v>85</v>
      </c>
      <c r="U97" s="103">
        <f t="shared" ca="1" si="17"/>
        <v>55.202480747428304</v>
      </c>
    </row>
    <row r="98" spans="17:21">
      <c r="Q98" s="88">
        <v>86</v>
      </c>
      <c r="R98" s="103">
        <f t="shared" ca="1" si="16"/>
        <v>55.246162627946433</v>
      </c>
      <c r="T98" s="88">
        <v>86</v>
      </c>
      <c r="U98" s="103">
        <f t="shared" ca="1" si="17"/>
        <v>55.848215491864245</v>
      </c>
    </row>
    <row r="99" spans="17:21">
      <c r="Q99" s="88">
        <v>87</v>
      </c>
      <c r="R99" s="103">
        <f t="shared" ca="1" si="16"/>
        <v>55.88489925799113</v>
      </c>
      <c r="T99" s="88">
        <v>87</v>
      </c>
      <c r="U99" s="103">
        <f t="shared" ca="1" si="17"/>
        <v>56.493950236300186</v>
      </c>
    </row>
    <row r="100" spans="17:21">
      <c r="Q100" s="88">
        <v>88</v>
      </c>
      <c r="R100" s="103">
        <f t="shared" ca="1" si="16"/>
        <v>56.523635888035834</v>
      </c>
      <c r="T100" s="88">
        <v>88</v>
      </c>
      <c r="U100" s="103">
        <f t="shared" ca="1" si="17"/>
        <v>57.139684980736135</v>
      </c>
    </row>
    <row r="101" spans="17:21">
      <c r="Q101" s="88">
        <v>89</v>
      </c>
      <c r="R101" s="103">
        <f t="shared" ca="1" si="16"/>
        <v>57.162372518080531</v>
      </c>
      <c r="T101" s="88">
        <v>89</v>
      </c>
      <c r="U101" s="103">
        <f t="shared" ca="1" si="17"/>
        <v>57.785419725172076</v>
      </c>
    </row>
    <row r="102" spans="17:21">
      <c r="Q102" s="88">
        <v>90</v>
      </c>
      <c r="R102" s="103">
        <f t="shared" ca="1" si="16"/>
        <v>57.801109148125235</v>
      </c>
      <c r="T102" s="88">
        <v>90</v>
      </c>
      <c r="U102" s="103">
        <f t="shared" ca="1" si="17"/>
        <v>58.431154469608018</v>
      </c>
    </row>
    <row r="103" spans="17:21">
      <c r="Q103" s="88">
        <v>91</v>
      </c>
      <c r="R103" s="103">
        <f t="shared" ca="1" si="16"/>
        <v>58.439845778169932</v>
      </c>
      <c r="T103" s="88">
        <v>91</v>
      </c>
      <c r="U103" s="103">
        <f t="shared" ca="1" si="17"/>
        <v>59.076889214043959</v>
      </c>
    </row>
    <row r="104" spans="17:21">
      <c r="Q104" s="88">
        <v>92</v>
      </c>
      <c r="R104" s="103">
        <f t="shared" ca="1" si="16"/>
        <v>59.078582408214643</v>
      </c>
      <c r="T104" s="88">
        <v>92</v>
      </c>
      <c r="U104" s="103">
        <f t="shared" ca="1" si="17"/>
        <v>59.7226239584799</v>
      </c>
    </row>
    <row r="105" spans="17:21">
      <c r="Q105" s="88">
        <v>93</v>
      </c>
      <c r="R105" s="103">
        <f t="shared" ca="1" si="16"/>
        <v>59.71731903825934</v>
      </c>
      <c r="T105" s="88">
        <v>93</v>
      </c>
      <c r="U105" s="103">
        <f t="shared" ca="1" si="17"/>
        <v>60.368358702915849</v>
      </c>
    </row>
    <row r="106" spans="17:21">
      <c r="Q106" s="88">
        <v>94</v>
      </c>
      <c r="R106" s="103">
        <f t="shared" ca="1" si="16"/>
        <v>60.356055668304045</v>
      </c>
      <c r="T106" s="88">
        <v>94</v>
      </c>
      <c r="U106" s="103">
        <f t="shared" ca="1" si="17"/>
        <v>61.014093447351783</v>
      </c>
    </row>
    <row r="107" spans="17:21">
      <c r="Q107" s="88">
        <v>95</v>
      </c>
      <c r="R107" s="103">
        <f t="shared" ca="1" si="16"/>
        <v>60.994792298348742</v>
      </c>
      <c r="T107" s="88">
        <v>95</v>
      </c>
      <c r="U107" s="103">
        <f t="shared" ca="1" si="17"/>
        <v>61.659828191787732</v>
      </c>
    </row>
    <row r="108" spans="17:21">
      <c r="Q108" s="88">
        <v>96</v>
      </c>
      <c r="R108" s="103">
        <f t="shared" ca="1" si="16"/>
        <v>61.633528928393446</v>
      </c>
      <c r="T108" s="88">
        <v>96</v>
      </c>
      <c r="U108" s="103">
        <f t="shared" ca="1" si="17"/>
        <v>62.30556293622368</v>
      </c>
    </row>
    <row r="109" spans="17:21">
      <c r="Q109" s="88">
        <v>97</v>
      </c>
      <c r="R109" s="103">
        <f t="shared" ca="1" si="16"/>
        <v>62.27226555843815</v>
      </c>
      <c r="T109" s="88">
        <v>97</v>
      </c>
      <c r="U109" s="103">
        <f t="shared" ca="1" si="17"/>
        <v>62.951297680659614</v>
      </c>
    </row>
    <row r="110" spans="17:21">
      <c r="Q110" s="88">
        <v>98</v>
      </c>
      <c r="R110" s="103">
        <f t="shared" ca="1" si="16"/>
        <v>62.911002188482847</v>
      </c>
      <c r="T110" s="88">
        <v>98</v>
      </c>
      <c r="U110" s="103">
        <f t="shared" ca="1" si="17"/>
        <v>63.597032425095556</v>
      </c>
    </row>
    <row r="111" spans="17:21">
      <c r="Q111" s="88">
        <v>99</v>
      </c>
      <c r="R111" s="103">
        <f t="shared" ca="1" si="16"/>
        <v>63.549738818527544</v>
      </c>
      <c r="T111" s="88">
        <v>99</v>
      </c>
      <c r="U111" s="103">
        <f t="shared" ca="1" si="17"/>
        <v>64.24276716953149</v>
      </c>
    </row>
    <row r="112" spans="17:21">
      <c r="Q112" s="88">
        <v>100</v>
      </c>
      <c r="R112" s="103">
        <f t="shared" ca="1" si="16"/>
        <v>64.188475448572248</v>
      </c>
      <c r="T112" s="88">
        <v>100</v>
      </c>
      <c r="U112" s="103">
        <f t="shared" ca="1" si="17"/>
        <v>64.888501913967431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16" enableFormatConditionsCalculation="0">
    <tabColor indexed="46"/>
  </sheetPr>
  <dimension ref="A1:BL453"/>
  <sheetViews>
    <sheetView tabSelected="1" zoomScaleNormal="100" workbookViewId="0">
      <pane ySplit="1" topLeftCell="A98" activePane="bottomLeft" state="frozen"/>
      <selection pane="bottomLeft" activeCell="AF130" sqref="AF130"/>
    </sheetView>
  </sheetViews>
  <sheetFormatPr defaultRowHeight="12.75"/>
  <cols>
    <col min="1" max="1" width="23.42578125" customWidth="1"/>
    <col min="2" max="5" width="5.28515625" customWidth="1"/>
    <col min="6" max="6" width="11" bestFit="1" customWidth="1"/>
    <col min="7" max="15" width="4.7109375" customWidth="1"/>
    <col min="16" max="18" width="5.28515625" customWidth="1"/>
    <col min="19" max="19" width="6.7109375" bestFit="1" customWidth="1"/>
    <col min="20" max="20" width="5.140625" bestFit="1" customWidth="1"/>
    <col min="21" max="21" width="6.42578125" bestFit="1" customWidth="1"/>
    <col min="22" max="27" width="4.7109375" customWidth="1"/>
    <col min="28" max="30" width="6.7109375" customWidth="1"/>
    <col min="31" max="31" width="5" customWidth="1"/>
    <col min="32" max="32" width="6.7109375" customWidth="1"/>
    <col min="33" max="33" width="7.5703125" customWidth="1"/>
    <col min="34" max="34" width="7.85546875" customWidth="1"/>
    <col min="35" max="36" width="4.7109375" style="32" customWidth="1"/>
    <col min="37" max="37" width="5.7109375" style="32" customWidth="1"/>
    <col min="38" max="38" width="4.7109375" customWidth="1"/>
    <col min="39" max="39" width="5.7109375" style="32" customWidth="1"/>
    <col min="40" max="40" width="4.7109375" style="32" customWidth="1"/>
    <col min="41" max="41" width="4.7109375" customWidth="1"/>
    <col min="42" max="42" width="7" customWidth="1"/>
    <col min="43" max="43" width="6.5703125" customWidth="1"/>
    <col min="44" max="51" width="5.42578125" customWidth="1"/>
    <col min="52" max="54" width="6.7109375" customWidth="1"/>
    <col min="55" max="55" width="8.85546875" customWidth="1"/>
  </cols>
  <sheetData>
    <row r="1" spans="1:55">
      <c r="A1" s="29" t="s">
        <v>756</v>
      </c>
      <c r="B1" t="s">
        <v>492</v>
      </c>
      <c r="C1" t="s">
        <v>489</v>
      </c>
      <c r="D1" t="s">
        <v>490</v>
      </c>
      <c r="E1" t="s">
        <v>491</v>
      </c>
      <c r="F1" s="29" t="s">
        <v>636</v>
      </c>
      <c r="G1" t="s">
        <v>3</v>
      </c>
      <c r="H1" t="s">
        <v>4</v>
      </c>
      <c r="I1" t="s">
        <v>5</v>
      </c>
      <c r="J1" t="s">
        <v>42</v>
      </c>
      <c r="K1" t="s">
        <v>182</v>
      </c>
      <c r="L1" t="s">
        <v>183</v>
      </c>
      <c r="M1" t="s">
        <v>245</v>
      </c>
      <c r="N1" t="s">
        <v>10</v>
      </c>
      <c r="O1" t="s">
        <v>9</v>
      </c>
      <c r="P1" t="s">
        <v>437</v>
      </c>
      <c r="Q1" t="s">
        <v>757</v>
      </c>
      <c r="R1" t="s">
        <v>758</v>
      </c>
      <c r="S1" t="s">
        <v>759</v>
      </c>
      <c r="T1" s="32" t="s">
        <v>760</v>
      </c>
      <c r="U1" s="173" t="s">
        <v>761</v>
      </c>
      <c r="V1" t="s">
        <v>12</v>
      </c>
      <c r="W1" t="s">
        <v>150</v>
      </c>
      <c r="X1" t="s">
        <v>416</v>
      </c>
      <c r="Y1" t="s">
        <v>596</v>
      </c>
      <c r="Z1" t="s">
        <v>454</v>
      </c>
      <c r="AA1" t="s">
        <v>266</v>
      </c>
      <c r="AB1" t="s">
        <v>11</v>
      </c>
      <c r="AC1" t="s">
        <v>125</v>
      </c>
      <c r="AD1" t="s">
        <v>124</v>
      </c>
      <c r="AE1" t="s">
        <v>455</v>
      </c>
      <c r="AF1" t="s">
        <v>122</v>
      </c>
      <c r="AG1" t="s">
        <v>184</v>
      </c>
      <c r="AH1" t="s">
        <v>164</v>
      </c>
      <c r="AI1" s="32" t="s">
        <v>564</v>
      </c>
      <c r="AJ1" s="32" t="s">
        <v>565</v>
      </c>
      <c r="AK1" s="29" t="s">
        <v>538</v>
      </c>
      <c r="AL1" t="s">
        <v>417</v>
      </c>
      <c r="AM1" t="s">
        <v>691</v>
      </c>
      <c r="AN1" s="32" t="s">
        <v>218</v>
      </c>
      <c r="AO1" t="s">
        <v>219</v>
      </c>
      <c r="AP1" t="s">
        <v>61</v>
      </c>
      <c r="AQ1" t="s">
        <v>62</v>
      </c>
      <c r="AR1" t="s">
        <v>438</v>
      </c>
      <c r="AS1" t="s">
        <v>439</v>
      </c>
      <c r="AT1" t="s">
        <v>440</v>
      </c>
      <c r="AU1" t="s">
        <v>441</v>
      </c>
      <c r="AV1" t="s">
        <v>442</v>
      </c>
      <c r="AW1" t="s">
        <v>443</v>
      </c>
      <c r="AX1" t="s">
        <v>444</v>
      </c>
      <c r="AY1" t="s">
        <v>445</v>
      </c>
      <c r="AZ1" t="s">
        <v>547</v>
      </c>
      <c r="BA1" t="s">
        <v>548</v>
      </c>
      <c r="BB1" t="s">
        <v>549</v>
      </c>
      <c r="BC1" t="s">
        <v>292</v>
      </c>
    </row>
    <row r="4" spans="1:55">
      <c r="A4" s="29" t="s">
        <v>614</v>
      </c>
      <c r="B4" t="s">
        <v>492</v>
      </c>
      <c r="C4" t="s">
        <v>489</v>
      </c>
      <c r="D4" t="s">
        <v>490</v>
      </c>
      <c r="E4" t="s">
        <v>491</v>
      </c>
      <c r="F4" s="29" t="s">
        <v>636</v>
      </c>
      <c r="G4" t="s">
        <v>3</v>
      </c>
      <c r="H4" t="s">
        <v>4</v>
      </c>
      <c r="I4" t="s">
        <v>5</v>
      </c>
      <c r="J4" t="s">
        <v>42</v>
      </c>
      <c r="K4" t="s">
        <v>182</v>
      </c>
      <c r="L4" t="s">
        <v>183</v>
      </c>
      <c r="M4" t="s">
        <v>245</v>
      </c>
      <c r="N4" t="s">
        <v>10</v>
      </c>
      <c r="O4" t="s">
        <v>9</v>
      </c>
      <c r="P4" t="s">
        <v>437</v>
      </c>
      <c r="Q4" t="s">
        <v>757</v>
      </c>
      <c r="R4" t="s">
        <v>758</v>
      </c>
      <c r="S4" t="s">
        <v>759</v>
      </c>
      <c r="T4" s="32" t="s">
        <v>760</v>
      </c>
      <c r="U4" s="173" t="s">
        <v>761</v>
      </c>
      <c r="V4" t="s">
        <v>12</v>
      </c>
      <c r="W4" t="s">
        <v>150</v>
      </c>
      <c r="X4" t="s">
        <v>416</v>
      </c>
      <c r="Y4" t="s">
        <v>596</v>
      </c>
      <c r="Z4" t="s">
        <v>454</v>
      </c>
      <c r="AA4" t="s">
        <v>266</v>
      </c>
      <c r="AB4" t="s">
        <v>11</v>
      </c>
      <c r="AC4" t="s">
        <v>125</v>
      </c>
      <c r="AD4" t="s">
        <v>124</v>
      </c>
      <c r="AE4" t="s">
        <v>455</v>
      </c>
      <c r="AF4" t="s">
        <v>122</v>
      </c>
      <c r="AG4" t="s">
        <v>184</v>
      </c>
      <c r="AH4" t="s">
        <v>164</v>
      </c>
      <c r="AI4" s="32" t="s">
        <v>564</v>
      </c>
      <c r="AJ4" s="32" t="s">
        <v>565</v>
      </c>
      <c r="AK4" s="29" t="s">
        <v>538</v>
      </c>
      <c r="AL4" t="s">
        <v>417</v>
      </c>
      <c r="AM4" t="s">
        <v>691</v>
      </c>
      <c r="AN4" s="32" t="s">
        <v>218</v>
      </c>
      <c r="AO4" t="s">
        <v>219</v>
      </c>
      <c r="AP4" t="s">
        <v>61</v>
      </c>
      <c r="AQ4" t="s">
        <v>62</v>
      </c>
      <c r="AR4" t="s">
        <v>438</v>
      </c>
      <c r="AS4" t="s">
        <v>439</v>
      </c>
      <c r="AT4" t="s">
        <v>440</v>
      </c>
      <c r="AU4" t="s">
        <v>441</v>
      </c>
      <c r="AV4" t="s">
        <v>442</v>
      </c>
      <c r="AW4" t="s">
        <v>443</v>
      </c>
      <c r="AX4" t="s">
        <v>444</v>
      </c>
      <c r="AY4" t="s">
        <v>445</v>
      </c>
      <c r="AZ4" t="s">
        <v>547</v>
      </c>
      <c r="BA4" t="s">
        <v>548</v>
      </c>
      <c r="BB4" t="s">
        <v>549</v>
      </c>
      <c r="BC4" t="s">
        <v>292</v>
      </c>
    </row>
    <row r="5" spans="1:55">
      <c r="A5" s="29" t="s">
        <v>688</v>
      </c>
      <c r="F5">
        <v>242</v>
      </c>
      <c r="G5">
        <v>10</v>
      </c>
      <c r="K5">
        <v>15</v>
      </c>
      <c r="O5">
        <v>15</v>
      </c>
      <c r="V5" s="2"/>
      <c r="W5" s="2"/>
      <c r="X5" s="2"/>
      <c r="Y5" s="2"/>
      <c r="Z5" s="2"/>
      <c r="AA5" s="2"/>
      <c r="AB5" s="32"/>
      <c r="AC5" s="2"/>
      <c r="AD5" s="2"/>
      <c r="AF5" s="2"/>
      <c r="AH5" s="2"/>
      <c r="AL5" s="2"/>
      <c r="AP5">
        <v>286</v>
      </c>
      <c r="AQ5">
        <v>528</v>
      </c>
    </row>
    <row r="6" spans="1:55">
      <c r="A6" s="29" t="s">
        <v>823</v>
      </c>
      <c r="F6">
        <v>242</v>
      </c>
      <c r="N6">
        <v>40</v>
      </c>
      <c r="V6" s="2"/>
      <c r="W6" s="2"/>
      <c r="X6" s="2"/>
      <c r="Y6" s="2"/>
      <c r="Z6" s="2"/>
      <c r="AA6" s="2"/>
      <c r="AB6" s="32"/>
      <c r="AC6" s="2"/>
      <c r="AD6" s="2"/>
      <c r="AF6" s="2"/>
      <c r="AH6" s="2"/>
      <c r="AL6" s="2"/>
      <c r="AP6">
        <v>266</v>
      </c>
      <c r="AQ6">
        <v>513</v>
      </c>
    </row>
    <row r="7" spans="1:55">
      <c r="A7" s="29" t="s">
        <v>654</v>
      </c>
      <c r="F7">
        <v>269</v>
      </c>
      <c r="N7">
        <v>60</v>
      </c>
      <c r="V7" s="2"/>
      <c r="W7" s="2"/>
      <c r="X7" s="2"/>
      <c r="Y7" s="2"/>
      <c r="Z7" s="2"/>
      <c r="AA7" s="2"/>
      <c r="AB7" s="32"/>
      <c r="AC7" s="2"/>
      <c r="AD7" s="2"/>
      <c r="AF7" s="2"/>
      <c r="AH7" s="2"/>
      <c r="AL7" s="2"/>
      <c r="AP7">
        <v>362</v>
      </c>
      <c r="AQ7">
        <v>513</v>
      </c>
    </row>
    <row r="8" spans="1:55">
      <c r="A8" s="29" t="s">
        <v>813</v>
      </c>
      <c r="F8">
        <v>242</v>
      </c>
      <c r="O8">
        <v>20</v>
      </c>
      <c r="V8" s="2">
        <v>0.04</v>
      </c>
      <c r="W8" s="2"/>
      <c r="X8" s="2"/>
      <c r="Y8" s="2"/>
      <c r="Z8" s="2"/>
      <c r="AA8" s="2"/>
      <c r="AB8" s="32"/>
      <c r="AC8" s="2"/>
      <c r="AD8" s="2"/>
      <c r="AE8">
        <v>3</v>
      </c>
      <c r="AF8" s="2"/>
      <c r="AH8" s="2">
        <v>0.05</v>
      </c>
      <c r="AL8" s="2"/>
      <c r="AP8">
        <v>290</v>
      </c>
      <c r="AQ8">
        <v>528</v>
      </c>
    </row>
    <row r="9" spans="1:55">
      <c r="A9" s="29" t="s">
        <v>814</v>
      </c>
      <c r="F9">
        <v>242</v>
      </c>
      <c r="G9">
        <v>20</v>
      </c>
      <c r="O9">
        <v>20</v>
      </c>
      <c r="V9" s="2">
        <v>0.04</v>
      </c>
      <c r="W9" s="2"/>
      <c r="X9" s="2"/>
      <c r="Y9" s="2"/>
      <c r="Z9" s="2"/>
      <c r="AA9" s="2"/>
      <c r="AB9" s="32"/>
      <c r="AC9" s="2"/>
      <c r="AD9" s="2"/>
      <c r="AE9">
        <v>3</v>
      </c>
      <c r="AF9" s="2"/>
      <c r="AH9" s="2">
        <v>0.05</v>
      </c>
      <c r="AL9" s="2"/>
      <c r="AP9">
        <v>322</v>
      </c>
      <c r="AQ9">
        <v>528</v>
      </c>
    </row>
    <row r="10" spans="1:55">
      <c r="A10" s="29" t="s">
        <v>858</v>
      </c>
      <c r="F10">
        <v>242</v>
      </c>
      <c r="O10">
        <v>45</v>
      </c>
      <c r="V10" s="2"/>
      <c r="W10" s="2"/>
      <c r="X10" s="2"/>
      <c r="Y10" s="2"/>
      <c r="Z10" s="2"/>
      <c r="AA10" s="2"/>
      <c r="AB10" s="32"/>
      <c r="AC10" s="2"/>
      <c r="AD10" s="2">
        <v>0.05</v>
      </c>
      <c r="AF10" s="2"/>
      <c r="AH10" s="2"/>
      <c r="AL10" s="2"/>
      <c r="AN10" s="32">
        <v>150</v>
      </c>
      <c r="AP10">
        <v>317</v>
      </c>
      <c r="AQ10">
        <v>528</v>
      </c>
    </row>
    <row r="11" spans="1:55">
      <c r="A11" s="29" t="s">
        <v>698</v>
      </c>
      <c r="F11">
        <v>242</v>
      </c>
      <c r="N11">
        <v>15</v>
      </c>
      <c r="O11">
        <v>15</v>
      </c>
      <c r="V11" s="2"/>
      <c r="W11" s="2"/>
      <c r="X11" s="2"/>
      <c r="Y11" s="2"/>
      <c r="Z11" s="2"/>
      <c r="AA11" s="2"/>
      <c r="AB11" s="32"/>
      <c r="AC11" s="2"/>
      <c r="AD11" s="2"/>
      <c r="AF11" s="2"/>
      <c r="AH11" s="2"/>
      <c r="AL11" s="2"/>
      <c r="AP11">
        <v>288</v>
      </c>
      <c r="AQ11">
        <v>528</v>
      </c>
    </row>
    <row r="12" spans="1:55">
      <c r="A12" s="29" t="s">
        <v>686</v>
      </c>
      <c r="F12">
        <v>215</v>
      </c>
      <c r="V12" s="2"/>
      <c r="W12" s="2"/>
      <c r="X12" s="2"/>
      <c r="Y12" s="2"/>
      <c r="Z12" s="2"/>
      <c r="AA12" s="2"/>
      <c r="AB12" s="32"/>
      <c r="AC12" s="2"/>
      <c r="AD12" s="2"/>
      <c r="AF12" s="2"/>
      <c r="AH12" s="2"/>
      <c r="AL12" s="2"/>
      <c r="AP12">
        <v>232</v>
      </c>
      <c r="AQ12">
        <v>501</v>
      </c>
    </row>
    <row r="13" spans="1:55">
      <c r="A13" s="29" t="s">
        <v>687</v>
      </c>
      <c r="F13">
        <v>215</v>
      </c>
      <c r="N13">
        <v>15</v>
      </c>
      <c r="O13">
        <v>10</v>
      </c>
      <c r="V13" s="2"/>
      <c r="W13" s="2"/>
      <c r="X13" s="2"/>
      <c r="Y13" s="2"/>
      <c r="Z13" s="2"/>
      <c r="AA13" s="2"/>
      <c r="AB13" s="32"/>
      <c r="AC13" s="2"/>
      <c r="AD13" s="2"/>
      <c r="AF13" s="2"/>
      <c r="AH13" s="2"/>
      <c r="AL13" s="2"/>
      <c r="AP13">
        <v>244</v>
      </c>
      <c r="AQ13">
        <v>501</v>
      </c>
    </row>
    <row r="14" spans="1:55">
      <c r="A14" s="29" t="s">
        <v>785</v>
      </c>
      <c r="F14">
        <v>242</v>
      </c>
      <c r="G14">
        <v>15</v>
      </c>
      <c r="H14">
        <v>15</v>
      </c>
      <c r="N14">
        <v>15</v>
      </c>
      <c r="O14">
        <v>15</v>
      </c>
      <c r="V14" s="2">
        <v>0.04</v>
      </c>
      <c r="W14" s="2"/>
      <c r="X14" s="2"/>
      <c r="Y14" s="2"/>
      <c r="Z14" s="2"/>
      <c r="AA14" s="2"/>
      <c r="AB14" s="32"/>
      <c r="AC14" s="2"/>
      <c r="AD14" s="2"/>
      <c r="AF14" s="2"/>
      <c r="AH14" s="2"/>
      <c r="AL14" s="2"/>
      <c r="AP14">
        <f>288+39</f>
        <v>327</v>
      </c>
      <c r="AQ14">
        <v>550</v>
      </c>
    </row>
    <row r="15" spans="1:55">
      <c r="A15" s="29" t="s">
        <v>653</v>
      </c>
      <c r="F15">
        <v>269</v>
      </c>
      <c r="V15" s="2"/>
      <c r="W15" s="2"/>
      <c r="X15" s="2"/>
      <c r="Y15" s="2"/>
      <c r="Z15" s="2"/>
      <c r="AA15" s="2"/>
      <c r="AB15" s="32"/>
      <c r="AC15" s="2"/>
      <c r="AD15" s="2"/>
      <c r="AF15" s="2"/>
      <c r="AH15" s="2"/>
      <c r="AL15" s="2"/>
      <c r="AP15">
        <v>330</v>
      </c>
      <c r="AQ15">
        <v>528</v>
      </c>
      <c r="AZ15" s="2">
        <v>0.6</v>
      </c>
      <c r="BA15" s="2">
        <v>0.67</v>
      </c>
      <c r="BB15" s="2">
        <v>0.33</v>
      </c>
    </row>
    <row r="16" spans="1:55">
      <c r="A16" s="29" t="s">
        <v>652</v>
      </c>
      <c r="F16">
        <v>242</v>
      </c>
      <c r="G16">
        <v>13</v>
      </c>
      <c r="L16">
        <v>13</v>
      </c>
      <c r="V16" s="2"/>
      <c r="W16" s="2"/>
      <c r="X16" s="2"/>
      <c r="Y16" s="2"/>
      <c r="Z16" s="2"/>
      <c r="AA16" s="2"/>
      <c r="AB16" s="32"/>
      <c r="AC16" s="2"/>
      <c r="AD16" s="2"/>
      <c r="AF16" s="2"/>
      <c r="AH16" s="2"/>
      <c r="AL16" s="2"/>
      <c r="AP16">
        <v>255</v>
      </c>
      <c r="AQ16">
        <v>502</v>
      </c>
    </row>
    <row r="17" spans="1:55">
      <c r="A17" t="s">
        <v>163</v>
      </c>
      <c r="G17">
        <v>8</v>
      </c>
      <c r="V17" s="2"/>
      <c r="W17" s="2"/>
      <c r="X17" s="2"/>
      <c r="Y17" s="2"/>
      <c r="Z17" s="2"/>
      <c r="AA17" s="2"/>
      <c r="AB17" s="32"/>
      <c r="AC17" s="2"/>
      <c r="AD17" s="2"/>
      <c r="AF17" s="2"/>
      <c r="AH17" s="2"/>
      <c r="AL17" s="2"/>
      <c r="AP17">
        <v>128</v>
      </c>
      <c r="AQ17">
        <v>513</v>
      </c>
    </row>
    <row r="18" spans="1:55">
      <c r="A18" s="29" t="s">
        <v>711</v>
      </c>
      <c r="F18">
        <v>242</v>
      </c>
      <c r="G18">
        <v>4</v>
      </c>
      <c r="K18">
        <v>4</v>
      </c>
      <c r="V18" s="2"/>
      <c r="W18" s="2"/>
      <c r="X18" s="2"/>
      <c r="Y18" s="2"/>
      <c r="Z18" s="2"/>
      <c r="AA18" s="2"/>
      <c r="AB18" s="32"/>
      <c r="AC18" s="2"/>
      <c r="AD18" s="2"/>
      <c r="AF18" s="2"/>
      <c r="AH18" s="2"/>
      <c r="AL18" s="2"/>
      <c r="AP18">
        <v>281</v>
      </c>
      <c r="AQ18">
        <v>528</v>
      </c>
    </row>
    <row r="19" spans="1:55">
      <c r="A19" s="29" t="s">
        <v>639</v>
      </c>
      <c r="F19">
        <v>188</v>
      </c>
      <c r="G19">
        <v>12</v>
      </c>
      <c r="H19">
        <v>12</v>
      </c>
      <c r="N19">
        <v>15</v>
      </c>
      <c r="V19" s="2"/>
      <c r="W19" s="2"/>
      <c r="X19" s="2"/>
      <c r="Y19" s="2"/>
      <c r="Z19" s="2"/>
      <c r="AA19" s="2"/>
      <c r="AB19" s="32"/>
      <c r="AC19" s="2"/>
      <c r="AD19" s="2"/>
      <c r="AF19" s="2"/>
      <c r="AH19" s="2"/>
      <c r="AL19" s="2"/>
      <c r="AP19">
        <v>256</v>
      </c>
      <c r="AQ19">
        <v>528</v>
      </c>
      <c r="AR19" s="2">
        <v>0.4</v>
      </c>
      <c r="AS19" s="2">
        <v>1</v>
      </c>
    </row>
    <row r="22" spans="1:55">
      <c r="A22" s="29" t="s">
        <v>613</v>
      </c>
      <c r="B22" t="s">
        <v>492</v>
      </c>
      <c r="C22" t="s">
        <v>489</v>
      </c>
      <c r="D22" t="s">
        <v>490</v>
      </c>
      <c r="E22" t="s">
        <v>491</v>
      </c>
      <c r="F22" s="29" t="s">
        <v>636</v>
      </c>
      <c r="G22" t="s">
        <v>3</v>
      </c>
      <c r="H22" t="s">
        <v>4</v>
      </c>
      <c r="I22" t="s">
        <v>5</v>
      </c>
      <c r="J22" t="s">
        <v>42</v>
      </c>
      <c r="K22" t="s">
        <v>182</v>
      </c>
      <c r="L22" t="s">
        <v>183</v>
      </c>
      <c r="M22" t="s">
        <v>245</v>
      </c>
      <c r="N22" t="s">
        <v>10</v>
      </c>
      <c r="O22" t="s">
        <v>9</v>
      </c>
      <c r="P22" t="s">
        <v>437</v>
      </c>
      <c r="Q22" t="s">
        <v>757</v>
      </c>
      <c r="R22" t="s">
        <v>758</v>
      </c>
      <c r="S22" t="s">
        <v>759</v>
      </c>
      <c r="T22" s="32" t="s">
        <v>760</v>
      </c>
      <c r="U22" s="173" t="s">
        <v>761</v>
      </c>
      <c r="V22" t="s">
        <v>12</v>
      </c>
      <c r="W22" t="s">
        <v>150</v>
      </c>
      <c r="X22" t="s">
        <v>416</v>
      </c>
      <c r="Y22" t="s">
        <v>596</v>
      </c>
      <c r="Z22" t="s">
        <v>454</v>
      </c>
      <c r="AA22" t="s">
        <v>266</v>
      </c>
      <c r="AB22" t="s">
        <v>11</v>
      </c>
      <c r="AC22" t="s">
        <v>125</v>
      </c>
      <c r="AD22" t="s">
        <v>124</v>
      </c>
      <c r="AE22" t="s">
        <v>455</v>
      </c>
      <c r="AF22" t="s">
        <v>122</v>
      </c>
      <c r="AG22" t="s">
        <v>184</v>
      </c>
      <c r="AH22" t="s">
        <v>164</v>
      </c>
      <c r="AI22" s="32" t="s">
        <v>564</v>
      </c>
      <c r="AJ22" s="32" t="s">
        <v>565</v>
      </c>
      <c r="AK22" s="29" t="s">
        <v>538</v>
      </c>
      <c r="AL22" t="s">
        <v>417</v>
      </c>
      <c r="AM22" t="s">
        <v>691</v>
      </c>
      <c r="AN22" s="32" t="s">
        <v>218</v>
      </c>
      <c r="AO22" t="s">
        <v>219</v>
      </c>
      <c r="AP22" t="s">
        <v>61</v>
      </c>
      <c r="AQ22" t="s">
        <v>62</v>
      </c>
      <c r="AR22" t="s">
        <v>438</v>
      </c>
      <c r="AS22" t="s">
        <v>439</v>
      </c>
      <c r="AT22" t="s">
        <v>440</v>
      </c>
      <c r="AU22" t="s">
        <v>441</v>
      </c>
      <c r="AV22" t="s">
        <v>442</v>
      </c>
      <c r="AW22" t="s">
        <v>443</v>
      </c>
      <c r="AX22" t="s">
        <v>444</v>
      </c>
      <c r="AY22" t="s">
        <v>445</v>
      </c>
      <c r="AZ22" t="s">
        <v>547</v>
      </c>
      <c r="BA22" t="s">
        <v>548</v>
      </c>
      <c r="BB22" t="s">
        <v>549</v>
      </c>
      <c r="BC22" t="s">
        <v>292</v>
      </c>
    </row>
    <row r="23" spans="1:55">
      <c r="A23" s="29" t="s">
        <v>686</v>
      </c>
      <c r="F23" s="32">
        <v>215</v>
      </c>
      <c r="V23" s="2"/>
      <c r="W23" s="2"/>
      <c r="X23" s="2"/>
      <c r="Y23" s="2"/>
      <c r="Z23" s="2"/>
      <c r="AA23" s="2"/>
      <c r="AB23" s="32"/>
      <c r="AC23" s="2"/>
      <c r="AD23" s="2"/>
      <c r="AF23" s="2"/>
      <c r="AG23" s="32"/>
      <c r="AH23" s="2"/>
      <c r="AL23" s="2"/>
      <c r="AP23">
        <v>234</v>
      </c>
      <c r="AQ23">
        <v>504</v>
      </c>
    </row>
    <row r="24" spans="1:55">
      <c r="A24" s="29" t="s">
        <v>687</v>
      </c>
      <c r="F24" s="32">
        <v>215</v>
      </c>
      <c r="N24">
        <v>15</v>
      </c>
      <c r="O24">
        <v>10</v>
      </c>
      <c r="V24" s="2"/>
      <c r="W24" s="2"/>
      <c r="X24" s="2"/>
      <c r="Y24" s="2"/>
      <c r="Z24" s="2"/>
      <c r="AA24" s="2"/>
      <c r="AB24" s="32"/>
      <c r="AC24" s="2"/>
      <c r="AD24" s="2"/>
      <c r="AF24" s="2"/>
      <c r="AG24" s="32"/>
      <c r="AH24" s="2"/>
      <c r="AL24" s="2"/>
      <c r="AP24">
        <v>246</v>
      </c>
      <c r="AQ24">
        <v>504</v>
      </c>
    </row>
    <row r="25" spans="1:55">
      <c r="V25" s="2"/>
      <c r="W25" s="2"/>
      <c r="X25" s="2"/>
      <c r="Y25" s="2"/>
      <c r="Z25" s="2"/>
      <c r="AA25" s="2"/>
      <c r="AB25" s="32"/>
      <c r="AC25" s="2"/>
      <c r="AD25" s="2"/>
      <c r="AF25" s="2"/>
      <c r="AH25" s="2"/>
      <c r="AL25" s="2"/>
    </row>
    <row r="27" spans="1:55">
      <c r="A27" s="29" t="s">
        <v>612</v>
      </c>
      <c r="B27" t="s">
        <v>492</v>
      </c>
      <c r="C27" t="s">
        <v>489</v>
      </c>
      <c r="D27" t="s">
        <v>490</v>
      </c>
      <c r="E27" t="s">
        <v>491</v>
      </c>
      <c r="F27" s="29" t="s">
        <v>636</v>
      </c>
      <c r="G27" t="s">
        <v>3</v>
      </c>
      <c r="H27" t="s">
        <v>4</v>
      </c>
      <c r="I27" t="s">
        <v>5</v>
      </c>
      <c r="J27" t="s">
        <v>42</v>
      </c>
      <c r="K27" t="s">
        <v>182</v>
      </c>
      <c r="L27" t="s">
        <v>183</v>
      </c>
      <c r="M27" t="s">
        <v>245</v>
      </c>
      <c r="N27" t="s">
        <v>10</v>
      </c>
      <c r="O27" t="s">
        <v>9</v>
      </c>
      <c r="P27" t="s">
        <v>437</v>
      </c>
      <c r="Q27" t="s">
        <v>757</v>
      </c>
      <c r="R27" t="s">
        <v>758</v>
      </c>
      <c r="S27" t="s">
        <v>759</v>
      </c>
      <c r="T27" s="32" t="s">
        <v>760</v>
      </c>
      <c r="U27" s="173" t="s">
        <v>761</v>
      </c>
      <c r="V27" t="s">
        <v>12</v>
      </c>
      <c r="W27" t="s">
        <v>150</v>
      </c>
      <c r="X27" t="s">
        <v>416</v>
      </c>
      <c r="Y27" t="s">
        <v>596</v>
      </c>
      <c r="Z27" t="s">
        <v>454</v>
      </c>
      <c r="AA27" t="s">
        <v>266</v>
      </c>
      <c r="AB27" t="s">
        <v>11</v>
      </c>
      <c r="AC27" t="s">
        <v>125</v>
      </c>
      <c r="AD27" t="s">
        <v>124</v>
      </c>
      <c r="AE27" t="s">
        <v>455</v>
      </c>
      <c r="AF27" t="s">
        <v>122</v>
      </c>
      <c r="AG27" t="s">
        <v>184</v>
      </c>
      <c r="AH27" t="s">
        <v>164</v>
      </c>
      <c r="AI27" s="32" t="s">
        <v>564</v>
      </c>
      <c r="AJ27" s="32" t="s">
        <v>565</v>
      </c>
      <c r="AK27" s="29" t="s">
        <v>538</v>
      </c>
      <c r="AL27" t="s">
        <v>417</v>
      </c>
      <c r="AM27" t="s">
        <v>691</v>
      </c>
      <c r="AN27" s="32" t="s">
        <v>218</v>
      </c>
      <c r="AO27" t="s">
        <v>219</v>
      </c>
      <c r="AP27" t="s">
        <v>61</v>
      </c>
      <c r="AQ27" t="s">
        <v>62</v>
      </c>
      <c r="AR27" t="s">
        <v>438</v>
      </c>
      <c r="AS27" t="s">
        <v>439</v>
      </c>
      <c r="AT27" t="s">
        <v>440</v>
      </c>
      <c r="AU27" t="s">
        <v>441</v>
      </c>
      <c r="AV27" t="s">
        <v>442</v>
      </c>
      <c r="AW27" t="s">
        <v>443</v>
      </c>
      <c r="AX27" t="s">
        <v>444</v>
      </c>
      <c r="AY27" t="s">
        <v>445</v>
      </c>
      <c r="AZ27" t="s">
        <v>547</v>
      </c>
      <c r="BA27" t="s">
        <v>548</v>
      </c>
      <c r="BB27" t="s">
        <v>549</v>
      </c>
      <c r="BC27" t="s">
        <v>292</v>
      </c>
    </row>
    <row r="28" spans="1:55">
      <c r="A28" s="29" t="s">
        <v>773</v>
      </c>
      <c r="F28">
        <v>242</v>
      </c>
      <c r="N28">
        <v>20</v>
      </c>
      <c r="V28" s="2"/>
      <c r="W28" s="2"/>
      <c r="X28" s="2"/>
      <c r="Y28" s="2"/>
      <c r="Z28" s="2"/>
      <c r="AA28" s="2"/>
      <c r="AB28" s="32"/>
      <c r="AC28" s="2"/>
      <c r="AD28" s="2"/>
      <c r="AF28" s="32"/>
      <c r="AG28" s="32"/>
      <c r="AH28" s="2"/>
      <c r="AL28" s="32"/>
      <c r="AM28" s="2"/>
      <c r="AP28">
        <v>255</v>
      </c>
      <c r="AQ28">
        <v>494</v>
      </c>
    </row>
    <row r="29" spans="1:55">
      <c r="A29" s="29" t="s">
        <v>649</v>
      </c>
      <c r="F29">
        <v>269</v>
      </c>
      <c r="I29">
        <v>50</v>
      </c>
      <c r="V29" s="2"/>
      <c r="W29" s="2"/>
      <c r="X29" s="2"/>
      <c r="Y29" s="2"/>
      <c r="Z29" s="2"/>
      <c r="AA29" s="2"/>
      <c r="AB29" s="32"/>
      <c r="AC29" s="2"/>
      <c r="AD29" s="2"/>
      <c r="AF29" s="32"/>
      <c r="AG29" s="32"/>
      <c r="AH29" s="2"/>
      <c r="AL29" s="2"/>
      <c r="AP29">
        <v>303</v>
      </c>
      <c r="AQ29">
        <v>430</v>
      </c>
    </row>
    <row r="30" spans="1:55">
      <c r="A30" s="29" t="s">
        <v>822</v>
      </c>
      <c r="F30">
        <v>242</v>
      </c>
      <c r="G30">
        <v>16</v>
      </c>
      <c r="H30">
        <v>15</v>
      </c>
      <c r="I30">
        <v>15</v>
      </c>
      <c r="N30">
        <v>18</v>
      </c>
      <c r="O30">
        <v>20</v>
      </c>
      <c r="V30" s="2"/>
      <c r="W30" s="2"/>
      <c r="X30" s="2"/>
      <c r="Y30" s="2"/>
      <c r="Z30" s="2"/>
      <c r="AA30" s="2"/>
      <c r="AB30" s="32"/>
      <c r="AC30" s="2"/>
      <c r="AD30" s="2"/>
      <c r="AF30" s="32"/>
      <c r="AG30" s="32"/>
      <c r="AH30" s="2"/>
      <c r="AL30" s="32"/>
      <c r="AO30" s="2"/>
      <c r="AP30">
        <v>277</v>
      </c>
      <c r="AQ30">
        <v>480</v>
      </c>
      <c r="AR30" s="2"/>
      <c r="AS30" s="2"/>
    </row>
    <row r="31" spans="1:55">
      <c r="A31" s="29" t="s">
        <v>651</v>
      </c>
      <c r="F31">
        <v>188</v>
      </c>
      <c r="H31">
        <v>12</v>
      </c>
      <c r="J31">
        <v>12</v>
      </c>
      <c r="O31">
        <v>15</v>
      </c>
      <c r="V31" s="2"/>
      <c r="W31" s="2">
        <v>0.02</v>
      </c>
      <c r="X31" s="2"/>
      <c r="Y31" s="2"/>
      <c r="Z31" s="2"/>
      <c r="AA31" s="2"/>
      <c r="AB31" s="32"/>
      <c r="AC31" s="2"/>
      <c r="AD31" s="2"/>
      <c r="AE31">
        <v>4</v>
      </c>
      <c r="AF31" s="32"/>
      <c r="AG31" s="32"/>
      <c r="AH31" s="2"/>
      <c r="AL31" s="2"/>
      <c r="AP31">
        <v>233</v>
      </c>
      <c r="AQ31">
        <v>480</v>
      </c>
      <c r="AR31" s="2">
        <v>0.4</v>
      </c>
      <c r="AS31" s="2">
        <v>1</v>
      </c>
    </row>
    <row r="32" spans="1:55">
      <c r="A32" t="s">
        <v>777</v>
      </c>
      <c r="F32" s="32">
        <v>242</v>
      </c>
      <c r="N32">
        <v>15</v>
      </c>
      <c r="O32">
        <v>15</v>
      </c>
      <c r="V32" s="2">
        <v>0.03</v>
      </c>
      <c r="W32" s="2"/>
      <c r="X32" s="2"/>
      <c r="Y32" s="2"/>
      <c r="Z32" s="2"/>
      <c r="AA32" s="2"/>
      <c r="AB32" s="32"/>
      <c r="AC32" s="2"/>
      <c r="AD32" s="2"/>
      <c r="AF32" s="2"/>
      <c r="AG32" s="2"/>
      <c r="AH32" s="2"/>
      <c r="AL32" s="2"/>
      <c r="AP32">
        <f>268+36</f>
        <v>304</v>
      </c>
      <c r="AQ32">
        <v>510</v>
      </c>
    </row>
    <row r="33" spans="1:55">
      <c r="A33" t="s">
        <v>774</v>
      </c>
      <c r="F33" s="32">
        <v>242</v>
      </c>
      <c r="O33">
        <v>40</v>
      </c>
      <c r="V33" s="2"/>
      <c r="W33" s="2"/>
      <c r="X33" s="2"/>
      <c r="Y33" s="2"/>
      <c r="Z33" s="2"/>
      <c r="AA33" s="2"/>
      <c r="AB33" s="32"/>
      <c r="AC33" s="2"/>
      <c r="AD33" s="2"/>
      <c r="AF33" s="2"/>
      <c r="AG33" s="2"/>
      <c r="AH33" s="2"/>
      <c r="AL33" s="32"/>
      <c r="AM33" s="2"/>
      <c r="AP33">
        <v>297</v>
      </c>
      <c r="AQ33">
        <v>480</v>
      </c>
    </row>
    <row r="34" spans="1:55">
      <c r="A34" t="s">
        <v>944</v>
      </c>
      <c r="F34" s="32">
        <v>242</v>
      </c>
      <c r="O34">
        <v>34</v>
      </c>
      <c r="V34" s="2"/>
      <c r="W34" s="2">
        <v>0.05</v>
      </c>
      <c r="X34" s="2"/>
      <c r="Y34" s="2"/>
      <c r="Z34" s="2"/>
      <c r="AA34" s="2"/>
      <c r="AB34" s="32"/>
      <c r="AC34" s="2"/>
      <c r="AD34" s="2"/>
      <c r="AE34">
        <v>11</v>
      </c>
      <c r="AF34" s="2"/>
      <c r="AG34" s="2"/>
      <c r="AH34" s="2"/>
      <c r="AL34" s="32"/>
      <c r="AM34" s="2"/>
      <c r="AP34">
        <v>299</v>
      </c>
      <c r="AQ34">
        <v>475</v>
      </c>
    </row>
    <row r="35" spans="1:55">
      <c r="A35" s="29" t="s">
        <v>650</v>
      </c>
      <c r="F35">
        <v>269</v>
      </c>
      <c r="N35">
        <v>60</v>
      </c>
      <c r="V35" s="2"/>
      <c r="W35" s="2"/>
      <c r="X35" s="2"/>
      <c r="Y35" s="2"/>
      <c r="Z35" s="2"/>
      <c r="AA35" s="2"/>
      <c r="AB35" s="32"/>
      <c r="AC35" s="2">
        <v>0.14000000000000001</v>
      </c>
      <c r="AD35" s="2"/>
      <c r="AF35" s="2"/>
      <c r="AH35" s="2"/>
      <c r="AL35" s="2"/>
      <c r="AP35">
        <v>304</v>
      </c>
      <c r="AQ35">
        <v>431</v>
      </c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</row>
    <row r="36" spans="1:55">
      <c r="A36" s="29" t="s">
        <v>869</v>
      </c>
      <c r="F36">
        <v>242</v>
      </c>
      <c r="N36">
        <v>40</v>
      </c>
      <c r="V36" s="2"/>
      <c r="W36" s="2"/>
      <c r="X36" s="2"/>
      <c r="Y36" s="2"/>
      <c r="Z36" s="2"/>
      <c r="AA36" s="2"/>
      <c r="AB36" s="32"/>
      <c r="AC36" s="2">
        <v>0.14000000000000001</v>
      </c>
      <c r="AD36" s="2"/>
      <c r="AF36" s="2"/>
      <c r="AH36" s="2"/>
      <c r="AL36" s="2"/>
      <c r="AP36">
        <v>224</v>
      </c>
      <c r="AQ36">
        <v>431</v>
      </c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</row>
    <row r="37" spans="1:55">
      <c r="A37" s="29" t="s">
        <v>945</v>
      </c>
      <c r="F37">
        <v>242</v>
      </c>
      <c r="G37">
        <v>15</v>
      </c>
      <c r="N37">
        <v>45</v>
      </c>
      <c r="O37">
        <v>45</v>
      </c>
      <c r="V37" s="2">
        <v>0.06</v>
      </c>
      <c r="W37" s="2"/>
      <c r="X37" s="2"/>
      <c r="Y37" s="2"/>
      <c r="Z37" s="2"/>
      <c r="AA37" s="2"/>
      <c r="AB37" s="32"/>
      <c r="AC37" s="2"/>
      <c r="AD37" s="2"/>
      <c r="AF37" s="2"/>
      <c r="AH37" s="2">
        <v>0.02</v>
      </c>
      <c r="AL37" s="2"/>
      <c r="AP37">
        <v>312</v>
      </c>
      <c r="AQ37">
        <v>504</v>
      </c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</row>
    <row r="40" spans="1:55">
      <c r="A40" s="29" t="s">
        <v>611</v>
      </c>
      <c r="B40" t="s">
        <v>492</v>
      </c>
      <c r="C40" t="s">
        <v>489</v>
      </c>
      <c r="D40" t="s">
        <v>490</v>
      </c>
      <c r="E40" t="s">
        <v>491</v>
      </c>
      <c r="F40" s="29" t="s">
        <v>636</v>
      </c>
      <c r="G40" t="s">
        <v>3</v>
      </c>
      <c r="H40" t="s">
        <v>4</v>
      </c>
      <c r="I40" t="s">
        <v>5</v>
      </c>
      <c r="J40" t="s">
        <v>42</v>
      </c>
      <c r="K40" t="s">
        <v>182</v>
      </c>
      <c r="L40" t="s">
        <v>183</v>
      </c>
      <c r="M40" t="s">
        <v>245</v>
      </c>
      <c r="N40" t="s">
        <v>10</v>
      </c>
      <c r="O40" t="s">
        <v>9</v>
      </c>
      <c r="P40" t="s">
        <v>437</v>
      </c>
      <c r="Q40" t="s">
        <v>757</v>
      </c>
      <c r="R40" t="s">
        <v>758</v>
      </c>
      <c r="S40" t="s">
        <v>759</v>
      </c>
      <c r="T40" s="32" t="s">
        <v>760</v>
      </c>
      <c r="U40" s="173" t="s">
        <v>761</v>
      </c>
      <c r="V40" t="s">
        <v>12</v>
      </c>
      <c r="W40" t="s">
        <v>150</v>
      </c>
      <c r="X40" t="s">
        <v>416</v>
      </c>
      <c r="Y40" t="s">
        <v>596</v>
      </c>
      <c r="Z40" t="s">
        <v>454</v>
      </c>
      <c r="AA40" t="s">
        <v>266</v>
      </c>
      <c r="AB40" t="s">
        <v>11</v>
      </c>
      <c r="AC40" t="s">
        <v>125</v>
      </c>
      <c r="AD40" t="s">
        <v>124</v>
      </c>
      <c r="AE40" t="s">
        <v>455</v>
      </c>
      <c r="AF40" t="s">
        <v>122</v>
      </c>
      <c r="AG40" t="s">
        <v>184</v>
      </c>
      <c r="AH40" t="s">
        <v>164</v>
      </c>
      <c r="AI40" s="32" t="s">
        <v>564</v>
      </c>
      <c r="AJ40" s="32" t="s">
        <v>565</v>
      </c>
      <c r="AK40" s="29" t="s">
        <v>538</v>
      </c>
      <c r="AL40" t="s">
        <v>417</v>
      </c>
      <c r="AM40" t="s">
        <v>691</v>
      </c>
      <c r="AN40" s="32" t="s">
        <v>218</v>
      </c>
      <c r="AO40" t="s">
        <v>219</v>
      </c>
      <c r="AP40" t="s">
        <v>61</v>
      </c>
      <c r="AQ40" t="s">
        <v>62</v>
      </c>
      <c r="AR40" t="s">
        <v>438</v>
      </c>
      <c r="AS40" t="s">
        <v>439</v>
      </c>
      <c r="AT40" t="s">
        <v>440</v>
      </c>
      <c r="AU40" t="s">
        <v>441</v>
      </c>
      <c r="AV40" t="s">
        <v>442</v>
      </c>
      <c r="AW40" t="s">
        <v>443</v>
      </c>
      <c r="AX40" t="s">
        <v>444</v>
      </c>
      <c r="AY40" t="s">
        <v>445</v>
      </c>
      <c r="AZ40" t="s">
        <v>547</v>
      </c>
      <c r="BA40" t="s">
        <v>548</v>
      </c>
      <c r="BB40" t="s">
        <v>549</v>
      </c>
      <c r="BC40" t="s">
        <v>292</v>
      </c>
    </row>
    <row r="41" spans="1:55">
      <c r="A41" t="s">
        <v>53</v>
      </c>
      <c r="V41" s="2"/>
      <c r="W41" s="2"/>
      <c r="X41" s="2"/>
      <c r="Y41" s="2"/>
      <c r="Z41" s="2"/>
      <c r="AA41" s="2"/>
      <c r="AB41" s="32"/>
      <c r="AC41" s="2"/>
      <c r="AD41" s="2"/>
      <c r="AF41" s="2"/>
      <c r="AH41" s="2"/>
      <c r="AL41" s="2"/>
      <c r="AP41">
        <v>0</v>
      </c>
      <c r="AQ41">
        <v>0</v>
      </c>
    </row>
    <row r="42" spans="1:55">
      <c r="A42" s="29" t="s">
        <v>787</v>
      </c>
      <c r="F42">
        <v>242</v>
      </c>
      <c r="N42">
        <v>35</v>
      </c>
      <c r="O42">
        <v>20</v>
      </c>
      <c r="V42" s="2"/>
      <c r="W42" s="2"/>
      <c r="X42" s="2"/>
      <c r="Y42" s="2"/>
      <c r="Z42" s="2"/>
      <c r="AA42" s="2"/>
      <c r="AB42" s="32"/>
      <c r="AC42" s="2">
        <v>0.05</v>
      </c>
      <c r="AD42" s="2"/>
      <c r="AF42" s="2"/>
      <c r="AG42" s="32">
        <v>200</v>
      </c>
      <c r="AH42" s="2">
        <v>7.0000000000000007E-2</v>
      </c>
      <c r="AL42" s="2"/>
      <c r="AO42" s="2"/>
      <c r="AP42">
        <v>135</v>
      </c>
      <c r="AQ42">
        <v>268</v>
      </c>
      <c r="AR42" s="2"/>
      <c r="AS42" s="2"/>
    </row>
    <row r="43" spans="1:55">
      <c r="A43" s="29" t="s">
        <v>799</v>
      </c>
      <c r="F43">
        <v>228</v>
      </c>
      <c r="G43">
        <v>7</v>
      </c>
      <c r="O43">
        <v>26</v>
      </c>
      <c r="V43" s="2">
        <v>0.03</v>
      </c>
      <c r="W43" s="2">
        <v>0.03</v>
      </c>
      <c r="X43" s="2"/>
      <c r="Y43" s="2"/>
      <c r="Z43" s="2"/>
      <c r="AA43" s="2"/>
      <c r="AB43" s="32"/>
      <c r="AC43" s="2">
        <v>0.05</v>
      </c>
      <c r="AD43" s="2"/>
      <c r="AF43" s="2"/>
      <c r="AG43" s="32">
        <v>200</v>
      </c>
      <c r="AH43" s="2">
        <v>7.0000000000000007E-2</v>
      </c>
      <c r="AL43" s="2"/>
      <c r="AO43" s="2"/>
      <c r="AP43">
        <v>158</v>
      </c>
      <c r="AQ43">
        <v>281</v>
      </c>
      <c r="AR43" s="2"/>
      <c r="AS43" s="2"/>
    </row>
    <row r="44" spans="1:55">
      <c r="A44" s="29" t="s">
        <v>712</v>
      </c>
      <c r="F44">
        <v>242</v>
      </c>
      <c r="V44" s="2"/>
      <c r="W44" s="2"/>
      <c r="X44" s="2"/>
      <c r="Y44" s="2"/>
      <c r="Z44" s="2"/>
      <c r="AA44" s="2"/>
      <c r="AB44" s="32"/>
      <c r="AC44" s="2"/>
      <c r="AD44" s="2"/>
      <c r="AF44" s="2"/>
      <c r="AH44" s="2"/>
      <c r="AL44" s="2"/>
      <c r="AP44">
        <v>164</v>
      </c>
      <c r="AQ44">
        <v>312</v>
      </c>
    </row>
    <row r="47" spans="1:55">
      <c r="A47" t="s">
        <v>137</v>
      </c>
      <c r="B47" t="s">
        <v>492</v>
      </c>
      <c r="C47" t="s">
        <v>489</v>
      </c>
      <c r="D47" t="s">
        <v>490</v>
      </c>
      <c r="E47" t="s">
        <v>491</v>
      </c>
      <c r="F47" s="29" t="s">
        <v>636</v>
      </c>
      <c r="G47" t="s">
        <v>3</v>
      </c>
      <c r="H47" t="s">
        <v>4</v>
      </c>
      <c r="I47" t="s">
        <v>5</v>
      </c>
      <c r="J47" t="s">
        <v>42</v>
      </c>
      <c r="K47" t="s">
        <v>182</v>
      </c>
      <c r="L47" t="s">
        <v>183</v>
      </c>
      <c r="M47" t="s">
        <v>245</v>
      </c>
      <c r="N47" t="s">
        <v>10</v>
      </c>
      <c r="O47" t="s">
        <v>9</v>
      </c>
      <c r="P47" t="s">
        <v>437</v>
      </c>
      <c r="Q47" t="s">
        <v>757</v>
      </c>
      <c r="R47" t="s">
        <v>758</v>
      </c>
      <c r="S47" t="s">
        <v>759</v>
      </c>
      <c r="T47" s="32" t="s">
        <v>760</v>
      </c>
      <c r="U47" s="173" t="s">
        <v>761</v>
      </c>
      <c r="V47" t="s">
        <v>12</v>
      </c>
      <c r="W47" t="s">
        <v>150</v>
      </c>
      <c r="X47" t="s">
        <v>416</v>
      </c>
      <c r="Y47" t="s">
        <v>596</v>
      </c>
      <c r="Z47" t="s">
        <v>454</v>
      </c>
      <c r="AA47" t="s">
        <v>266</v>
      </c>
      <c r="AB47" t="s">
        <v>11</v>
      </c>
      <c r="AC47" t="s">
        <v>125</v>
      </c>
      <c r="AD47" t="s">
        <v>124</v>
      </c>
      <c r="AE47" t="s">
        <v>455</v>
      </c>
      <c r="AF47" t="s">
        <v>122</v>
      </c>
      <c r="AG47" t="s">
        <v>184</v>
      </c>
      <c r="AH47" t="s">
        <v>164</v>
      </c>
      <c r="AI47" s="32" t="s">
        <v>564</v>
      </c>
      <c r="AJ47" s="32" t="s">
        <v>565</v>
      </c>
      <c r="AK47" s="29" t="s">
        <v>538</v>
      </c>
      <c r="AL47" t="s">
        <v>417</v>
      </c>
      <c r="AM47" t="s">
        <v>691</v>
      </c>
      <c r="AN47" s="32" t="s">
        <v>218</v>
      </c>
      <c r="AO47" t="s">
        <v>219</v>
      </c>
      <c r="AP47" t="s">
        <v>61</v>
      </c>
      <c r="AQ47" t="s">
        <v>62</v>
      </c>
      <c r="AR47" t="s">
        <v>438</v>
      </c>
      <c r="AS47" t="s">
        <v>439</v>
      </c>
      <c r="AT47" t="s">
        <v>440</v>
      </c>
      <c r="AU47" t="s">
        <v>441</v>
      </c>
      <c r="AV47" t="s">
        <v>442</v>
      </c>
      <c r="AW47" t="s">
        <v>443</v>
      </c>
      <c r="AX47" t="s">
        <v>444</v>
      </c>
      <c r="AY47" t="s">
        <v>445</v>
      </c>
      <c r="AZ47" t="s">
        <v>547</v>
      </c>
      <c r="BA47" t="s">
        <v>548</v>
      </c>
      <c r="BB47" t="s">
        <v>549</v>
      </c>
      <c r="BC47" t="s">
        <v>292</v>
      </c>
    </row>
    <row r="48" spans="1:55">
      <c r="A48" t="s">
        <v>53</v>
      </c>
      <c r="V48" s="2"/>
      <c r="W48" s="2"/>
      <c r="X48" s="2"/>
      <c r="Y48" s="2"/>
      <c r="Z48" s="2"/>
      <c r="AA48" s="2"/>
      <c r="AC48" s="2"/>
      <c r="AD48" s="2"/>
      <c r="AE48" s="32"/>
      <c r="AF48" s="2"/>
      <c r="AG48" s="2"/>
      <c r="AH48" s="2"/>
      <c r="AL48" s="2"/>
      <c r="AP48">
        <v>0</v>
      </c>
      <c r="AQ48">
        <v>0</v>
      </c>
    </row>
    <row r="49" spans="1:53">
      <c r="A49" s="29" t="s">
        <v>689</v>
      </c>
      <c r="N49">
        <v>6</v>
      </c>
      <c r="AE49" s="32">
        <v>6</v>
      </c>
      <c r="AJ49"/>
      <c r="AK49"/>
      <c r="AM49"/>
      <c r="AN49" s="2"/>
      <c r="AP49">
        <v>0</v>
      </c>
      <c r="AQ49">
        <v>0</v>
      </c>
      <c r="AR49" s="32"/>
      <c r="AS49" s="32"/>
    </row>
    <row r="50" spans="1:53">
      <c r="A50" t="s">
        <v>145</v>
      </c>
      <c r="V50" s="2"/>
      <c r="W50" s="2"/>
      <c r="X50" s="2"/>
      <c r="Y50" s="2"/>
      <c r="Z50" s="2"/>
      <c r="AA50" s="2"/>
      <c r="AC50" s="2">
        <v>0.03</v>
      </c>
      <c r="AD50" s="2"/>
      <c r="AE50" s="32"/>
      <c r="AF50" s="2"/>
      <c r="AG50" s="2"/>
      <c r="AH50" s="2"/>
      <c r="AL50" s="2"/>
      <c r="AP50">
        <v>0</v>
      </c>
      <c r="AQ50">
        <v>0</v>
      </c>
    </row>
    <row r="51" spans="1:53">
      <c r="A51" t="s">
        <v>778</v>
      </c>
      <c r="G51">
        <v>2</v>
      </c>
      <c r="K51">
        <v>2</v>
      </c>
      <c r="O51">
        <v>15</v>
      </c>
      <c r="V51" s="2">
        <v>0.01</v>
      </c>
      <c r="W51" s="2"/>
      <c r="X51" s="2"/>
      <c r="Y51" s="2"/>
      <c r="Z51" s="2"/>
      <c r="AA51" s="2"/>
      <c r="AC51" s="2"/>
      <c r="AD51" s="2"/>
      <c r="AE51" s="32">
        <v>2</v>
      </c>
      <c r="AF51" s="2"/>
      <c r="AG51" s="2"/>
      <c r="AH51" s="2"/>
      <c r="AL51" s="2"/>
    </row>
    <row r="52" spans="1:53">
      <c r="A52" t="s">
        <v>751</v>
      </c>
      <c r="N52">
        <v>5</v>
      </c>
      <c r="O52">
        <v>5</v>
      </c>
      <c r="V52" s="2"/>
      <c r="W52" s="2"/>
      <c r="X52" s="2"/>
      <c r="Y52" s="2"/>
      <c r="Z52" s="2"/>
      <c r="AA52" s="2"/>
      <c r="AC52" s="2"/>
      <c r="AD52" s="2"/>
      <c r="AE52" s="32"/>
      <c r="AF52" s="2"/>
      <c r="AG52" s="2"/>
      <c r="AH52" s="2"/>
      <c r="AL52" s="2"/>
    </row>
    <row r="53" spans="1:53">
      <c r="A53" t="s">
        <v>752</v>
      </c>
      <c r="N53">
        <v>6</v>
      </c>
      <c r="O53">
        <v>6</v>
      </c>
      <c r="V53" s="2">
        <v>0.01</v>
      </c>
      <c r="W53" s="2"/>
      <c r="X53" s="2"/>
      <c r="Y53" s="2"/>
      <c r="Z53" s="2"/>
      <c r="AA53" s="2"/>
      <c r="AC53" s="2"/>
      <c r="AD53" s="2"/>
      <c r="AE53" s="32"/>
      <c r="AF53" s="2"/>
      <c r="AG53" s="2"/>
      <c r="AH53" s="2"/>
      <c r="AL53" s="2"/>
    </row>
    <row r="54" spans="1:53">
      <c r="A54" t="s">
        <v>494</v>
      </c>
      <c r="V54" s="2">
        <v>0.03</v>
      </c>
      <c r="W54" s="2"/>
      <c r="X54" s="2"/>
      <c r="Y54" s="2"/>
      <c r="Z54" s="2"/>
      <c r="AA54" s="2"/>
      <c r="AC54" s="2"/>
      <c r="AD54" s="2"/>
      <c r="AE54" s="32"/>
      <c r="AF54" s="2"/>
      <c r="AG54" s="2"/>
      <c r="AH54" s="2"/>
      <c r="AL54" s="2"/>
      <c r="AP54">
        <v>0</v>
      </c>
      <c r="AQ54">
        <v>0</v>
      </c>
    </row>
    <row r="55" spans="1:53">
      <c r="A55" s="29" t="s">
        <v>852</v>
      </c>
      <c r="N55">
        <v>10</v>
      </c>
      <c r="S55">
        <v>8</v>
      </c>
      <c r="V55" s="2">
        <v>0.01</v>
      </c>
      <c r="W55" s="2"/>
      <c r="X55" s="2"/>
      <c r="Y55" s="2"/>
      <c r="Z55" s="2"/>
      <c r="AA55" s="2"/>
      <c r="AC55" s="2"/>
      <c r="AD55" s="2"/>
      <c r="AE55" s="32"/>
      <c r="AF55" s="2"/>
      <c r="AG55" s="2"/>
      <c r="AH55" s="2"/>
      <c r="AL55" s="2"/>
    </row>
    <row r="56" spans="1:53">
      <c r="A56" t="s">
        <v>780</v>
      </c>
      <c r="G56">
        <v>6</v>
      </c>
      <c r="I56">
        <v>3</v>
      </c>
      <c r="V56" s="2"/>
      <c r="W56" s="2"/>
      <c r="X56" s="2"/>
      <c r="Y56" s="2"/>
      <c r="Z56" s="2"/>
      <c r="AA56" s="2"/>
      <c r="AC56" s="2"/>
      <c r="AD56" s="2"/>
      <c r="AE56" s="32">
        <v>3</v>
      </c>
      <c r="AF56" s="2"/>
      <c r="AG56" s="2"/>
      <c r="AH56" s="2"/>
      <c r="AL56" s="2"/>
    </row>
    <row r="57" spans="1:53">
      <c r="A57" s="29" t="s">
        <v>690</v>
      </c>
      <c r="V57" s="2"/>
      <c r="W57" s="2"/>
      <c r="X57" s="2"/>
      <c r="Y57" s="2"/>
      <c r="Z57" s="2"/>
      <c r="AA57" s="2"/>
      <c r="AC57" s="2"/>
      <c r="AD57" s="2"/>
      <c r="AE57" s="32"/>
      <c r="AF57" s="2"/>
      <c r="AG57" s="2"/>
      <c r="AH57" s="2"/>
      <c r="AK57" s="2"/>
      <c r="AL57" s="2"/>
      <c r="AM57" s="2">
        <v>-0.05</v>
      </c>
      <c r="AP57">
        <v>0</v>
      </c>
      <c r="AQ57">
        <v>0</v>
      </c>
    </row>
    <row r="58" spans="1:53" s="185" customFormat="1" ht="12.75" customHeight="1">
      <c r="A58" s="29" t="s">
        <v>875</v>
      </c>
      <c r="B58" s="29"/>
      <c r="C58" s="29"/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>
        <v>10</v>
      </c>
      <c r="P58" s="29"/>
      <c r="Q58" s="29"/>
      <c r="R58" s="29"/>
      <c r="S58" s="29"/>
      <c r="T58" s="29"/>
      <c r="U58" s="29"/>
      <c r="V58" s="12"/>
      <c r="W58" s="12"/>
      <c r="X58" s="12"/>
      <c r="Y58" s="12"/>
      <c r="Z58" s="12"/>
      <c r="AA58" s="12"/>
      <c r="AB58" s="29"/>
      <c r="AC58" s="12"/>
      <c r="AD58" s="12"/>
      <c r="AE58" s="29">
        <v>5</v>
      </c>
      <c r="AF58" s="12"/>
      <c r="AG58" s="12"/>
      <c r="AH58" s="12"/>
      <c r="AI58" s="29"/>
      <c r="AJ58" s="29"/>
      <c r="AK58" s="12"/>
      <c r="AL58" s="29"/>
      <c r="AM58" s="12"/>
      <c r="AN58" s="29"/>
      <c r="AO58" s="29"/>
      <c r="AP58" s="29"/>
      <c r="AQ58" s="29"/>
      <c r="AR58" s="29"/>
      <c r="AS58" s="29"/>
      <c r="AT58" s="29"/>
      <c r="AU58" s="29"/>
      <c r="AV58" s="29"/>
      <c r="AW58" s="29"/>
      <c r="AX58" s="29"/>
      <c r="AY58" s="29"/>
      <c r="AZ58" s="29"/>
      <c r="BA58" s="29"/>
    </row>
    <row r="59" spans="1:53" s="185" customFormat="1" ht="12.75" customHeight="1">
      <c r="A59" s="29" t="s">
        <v>876</v>
      </c>
      <c r="B59" s="29"/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>
        <v>15</v>
      </c>
      <c r="P59" s="29"/>
      <c r="Q59" s="29"/>
      <c r="R59" s="29"/>
      <c r="S59" s="29"/>
      <c r="T59" s="29"/>
      <c r="U59" s="29"/>
      <c r="V59" s="12"/>
      <c r="W59" s="12"/>
      <c r="X59" s="12"/>
      <c r="Y59" s="12"/>
      <c r="Z59" s="12"/>
      <c r="AA59" s="12"/>
      <c r="AB59" s="29"/>
      <c r="AC59" s="12"/>
      <c r="AD59" s="12"/>
      <c r="AE59" s="29">
        <v>7</v>
      </c>
      <c r="AF59" s="12"/>
      <c r="AG59" s="12"/>
      <c r="AH59" s="12"/>
      <c r="AI59" s="29"/>
      <c r="AJ59" s="29"/>
      <c r="AK59" s="12"/>
      <c r="AL59" s="29"/>
      <c r="AM59" s="12"/>
      <c r="AN59" s="29"/>
      <c r="AO59" s="29"/>
      <c r="AP59" s="29"/>
      <c r="AQ59" s="29"/>
      <c r="AR59" s="29"/>
      <c r="AS59" s="29"/>
      <c r="AT59" s="29"/>
      <c r="AU59" s="29"/>
      <c r="AV59" s="29"/>
      <c r="AW59" s="29"/>
      <c r="AX59" s="29"/>
      <c r="AY59" s="29"/>
      <c r="AZ59" s="29"/>
      <c r="BA59" s="29"/>
    </row>
    <row r="60" spans="1:53">
      <c r="A60" t="s">
        <v>139</v>
      </c>
      <c r="V60" s="2">
        <v>0.02</v>
      </c>
      <c r="W60" s="2"/>
      <c r="X60" s="2"/>
      <c r="Y60" s="2"/>
      <c r="Z60" s="2"/>
      <c r="AA60" s="2"/>
      <c r="AC60" s="2"/>
      <c r="AD60" s="2"/>
      <c r="AE60" s="32"/>
      <c r="AF60" s="2"/>
      <c r="AG60" s="2"/>
      <c r="AH60" s="2"/>
      <c r="AL60" s="2"/>
      <c r="AP60">
        <v>0</v>
      </c>
      <c r="AQ60">
        <v>0</v>
      </c>
    </row>
    <row r="61" spans="1:53">
      <c r="A61" t="s">
        <v>138</v>
      </c>
      <c r="V61" s="2"/>
      <c r="W61" s="2"/>
      <c r="X61" s="2"/>
      <c r="Y61" s="2"/>
      <c r="Z61" s="2"/>
      <c r="AA61" s="2"/>
      <c r="AC61" s="2"/>
      <c r="AD61" s="2"/>
      <c r="AE61" s="32">
        <v>4</v>
      </c>
      <c r="AF61" s="2"/>
      <c r="AG61" s="2"/>
      <c r="AH61" s="2"/>
      <c r="AL61" s="2"/>
      <c r="AP61">
        <v>0</v>
      </c>
      <c r="AQ61">
        <v>0</v>
      </c>
    </row>
    <row r="62" spans="1:53">
      <c r="A62" t="s">
        <v>144</v>
      </c>
      <c r="V62" s="2"/>
      <c r="W62" s="2"/>
      <c r="X62" s="2"/>
      <c r="Y62" s="2"/>
      <c r="Z62" s="2"/>
      <c r="AA62" s="2"/>
      <c r="AC62" s="2"/>
      <c r="AD62" s="2"/>
      <c r="AE62" s="32"/>
      <c r="AF62" s="2"/>
      <c r="AG62" s="2"/>
      <c r="AH62" s="2"/>
      <c r="AK62" s="2"/>
      <c r="AL62" s="2"/>
      <c r="AM62" s="2">
        <v>0.03</v>
      </c>
      <c r="AP62">
        <v>0</v>
      </c>
      <c r="AQ62">
        <v>0</v>
      </c>
    </row>
    <row r="63" spans="1:53">
      <c r="A63" t="s">
        <v>767</v>
      </c>
      <c r="N63">
        <v>10</v>
      </c>
      <c r="O63">
        <v>10</v>
      </c>
      <c r="V63" s="2"/>
      <c r="W63" s="2"/>
      <c r="X63" s="2"/>
      <c r="Y63" s="2"/>
      <c r="Z63" s="2"/>
      <c r="AA63" s="2"/>
      <c r="AC63" s="2"/>
      <c r="AD63" s="2"/>
      <c r="AE63" s="32"/>
      <c r="AF63" s="2"/>
      <c r="AG63" s="2"/>
      <c r="AH63" s="2"/>
      <c r="AK63" s="2"/>
      <c r="AL63" s="2"/>
      <c r="AM63" s="2"/>
      <c r="AN63" s="32">
        <v>50</v>
      </c>
    </row>
    <row r="64" spans="1:53">
      <c r="A64" t="s">
        <v>934</v>
      </c>
      <c r="N64">
        <v>30</v>
      </c>
      <c r="O64">
        <v>30</v>
      </c>
      <c r="V64" s="2"/>
      <c r="W64" s="2"/>
      <c r="X64" s="2"/>
      <c r="Y64" s="2"/>
      <c r="Z64" s="2"/>
      <c r="AA64" s="2"/>
      <c r="AB64" s="32"/>
      <c r="AC64" s="2"/>
      <c r="AD64" s="2"/>
      <c r="AE64" s="32"/>
      <c r="AF64" s="2"/>
      <c r="AG64" s="2"/>
      <c r="AH64" s="2"/>
      <c r="AL64" s="2"/>
    </row>
    <row r="65" spans="1:43">
      <c r="A65" t="s">
        <v>493</v>
      </c>
      <c r="B65">
        <v>4</v>
      </c>
      <c r="D65">
        <v>4</v>
      </c>
      <c r="G65">
        <v>4</v>
      </c>
      <c r="V65" s="2"/>
      <c r="W65" s="2"/>
      <c r="X65" s="2"/>
      <c r="Y65" s="2"/>
      <c r="Z65" s="2"/>
      <c r="AA65" s="2"/>
      <c r="AC65" s="2"/>
      <c r="AD65" s="2"/>
      <c r="AE65" s="32"/>
      <c r="AF65" s="2"/>
      <c r="AG65" s="2"/>
      <c r="AH65" s="2"/>
      <c r="AL65" s="2"/>
      <c r="AP65">
        <v>0</v>
      </c>
      <c r="AQ65">
        <v>0</v>
      </c>
    </row>
    <row r="66" spans="1:43">
      <c r="AE66" s="32"/>
    </row>
    <row r="67" spans="1:43">
      <c r="AE67" s="32"/>
    </row>
    <row r="68" spans="1:43">
      <c r="A68" t="s">
        <v>15</v>
      </c>
      <c r="B68" t="s">
        <v>492</v>
      </c>
      <c r="C68" t="s">
        <v>489</v>
      </c>
      <c r="D68" t="s">
        <v>490</v>
      </c>
      <c r="E68" t="s">
        <v>491</v>
      </c>
      <c r="F68" s="29" t="s">
        <v>636</v>
      </c>
      <c r="G68" t="s">
        <v>3</v>
      </c>
      <c r="H68" t="s">
        <v>4</v>
      </c>
      <c r="I68" t="s">
        <v>5</v>
      </c>
      <c r="J68" t="s">
        <v>42</v>
      </c>
      <c r="K68" t="s">
        <v>182</v>
      </c>
      <c r="L68" t="s">
        <v>183</v>
      </c>
      <c r="M68" t="s">
        <v>245</v>
      </c>
      <c r="N68" t="s">
        <v>10</v>
      </c>
      <c r="O68" t="s">
        <v>9</v>
      </c>
      <c r="P68" t="s">
        <v>437</v>
      </c>
      <c r="Q68" t="s">
        <v>757</v>
      </c>
      <c r="R68" t="s">
        <v>758</v>
      </c>
      <c r="S68" t="s">
        <v>759</v>
      </c>
      <c r="T68" s="32" t="s">
        <v>760</v>
      </c>
      <c r="U68" s="173" t="s">
        <v>761</v>
      </c>
      <c r="V68" t="s">
        <v>12</v>
      </c>
      <c r="W68" t="s">
        <v>150</v>
      </c>
      <c r="X68" t="s">
        <v>416</v>
      </c>
      <c r="Y68" t="s">
        <v>596</v>
      </c>
      <c r="Z68" t="s">
        <v>454</v>
      </c>
      <c r="AA68" t="s">
        <v>266</v>
      </c>
      <c r="AB68" t="s">
        <v>11</v>
      </c>
      <c r="AC68" t="s">
        <v>125</v>
      </c>
      <c r="AD68" t="s">
        <v>124</v>
      </c>
      <c r="AE68" s="32" t="s">
        <v>455</v>
      </c>
      <c r="AF68" t="s">
        <v>122</v>
      </c>
      <c r="AG68" t="s">
        <v>184</v>
      </c>
      <c r="AH68" t="s">
        <v>164</v>
      </c>
      <c r="AI68" s="32" t="s">
        <v>564</v>
      </c>
      <c r="AJ68" s="32" t="s">
        <v>565</v>
      </c>
      <c r="AK68" s="29" t="s">
        <v>538</v>
      </c>
      <c r="AL68" t="s">
        <v>417</v>
      </c>
      <c r="AM68" t="s">
        <v>691</v>
      </c>
      <c r="AN68" s="32" t="s">
        <v>218</v>
      </c>
      <c r="AO68" t="s">
        <v>219</v>
      </c>
    </row>
    <row r="69" spans="1:43">
      <c r="A69" t="s">
        <v>329</v>
      </c>
      <c r="O69">
        <v>2</v>
      </c>
      <c r="V69" s="2">
        <v>0.01</v>
      </c>
      <c r="W69" s="2"/>
      <c r="X69" s="2"/>
      <c r="Y69" s="2"/>
      <c r="Z69" s="2"/>
      <c r="AA69" s="2"/>
      <c r="AB69" s="32"/>
      <c r="AC69" s="2"/>
      <c r="AD69" s="2"/>
      <c r="AE69" s="32"/>
      <c r="AF69" s="2"/>
      <c r="AG69" s="2"/>
      <c r="AH69" s="2"/>
      <c r="AL69" s="2"/>
    </row>
    <row r="70" spans="1:43">
      <c r="A70" s="29" t="s">
        <v>658</v>
      </c>
      <c r="G70">
        <v>5</v>
      </c>
      <c r="V70" s="2"/>
      <c r="W70" s="2"/>
      <c r="X70" s="2"/>
      <c r="Y70" s="2"/>
      <c r="Z70" s="2"/>
      <c r="AA70" s="2"/>
      <c r="AB70" s="32"/>
      <c r="AC70" s="2"/>
      <c r="AD70" s="2"/>
      <c r="AE70" s="32"/>
      <c r="AF70" s="2"/>
      <c r="AG70" s="2"/>
      <c r="AH70" s="2"/>
      <c r="AL70" s="2"/>
      <c r="AN70" s="32">
        <v>20</v>
      </c>
    </row>
    <row r="71" spans="1:43">
      <c r="A71" t="s">
        <v>100</v>
      </c>
      <c r="I71">
        <v>4</v>
      </c>
      <c r="V71" s="2"/>
      <c r="W71" s="2"/>
      <c r="X71" s="2"/>
      <c r="Y71" s="2"/>
      <c r="Z71" s="2"/>
      <c r="AA71" s="2"/>
      <c r="AB71" s="32"/>
      <c r="AC71" s="2"/>
      <c r="AD71" s="2"/>
      <c r="AE71" s="32"/>
      <c r="AF71" s="2"/>
      <c r="AG71" s="2"/>
      <c r="AH71" s="2"/>
      <c r="AL71" s="2"/>
    </row>
    <row r="72" spans="1:43">
      <c r="A72" t="s">
        <v>78</v>
      </c>
      <c r="H72">
        <v>1</v>
      </c>
      <c r="N72">
        <v>4</v>
      </c>
      <c r="O72">
        <v>4</v>
      </c>
      <c r="V72" s="2"/>
      <c r="W72" s="2"/>
      <c r="X72" s="2"/>
      <c r="Y72" s="2"/>
      <c r="Z72" s="2"/>
      <c r="AA72" s="2"/>
      <c r="AB72" s="32"/>
      <c r="AC72" s="2"/>
      <c r="AD72" s="2"/>
      <c r="AE72" s="32"/>
      <c r="AF72" s="2"/>
      <c r="AG72" s="2"/>
      <c r="AH72" s="2"/>
      <c r="AL72" s="2"/>
    </row>
    <row r="73" spans="1:43">
      <c r="A73" t="s">
        <v>208</v>
      </c>
      <c r="O73">
        <v>12</v>
      </c>
      <c r="V73" s="2"/>
      <c r="W73" s="2"/>
      <c r="X73" s="2"/>
      <c r="Y73" s="2"/>
      <c r="Z73" s="2"/>
      <c r="AA73" s="2"/>
      <c r="AB73" s="32"/>
      <c r="AC73" s="2"/>
      <c r="AD73" s="2"/>
      <c r="AE73" s="32"/>
      <c r="AF73" s="2"/>
      <c r="AG73" s="2"/>
      <c r="AH73" s="2"/>
      <c r="AL73" s="2"/>
    </row>
    <row r="74" spans="1:43">
      <c r="A74" t="s">
        <v>206</v>
      </c>
      <c r="N74">
        <v>6</v>
      </c>
      <c r="O74">
        <v>6</v>
      </c>
      <c r="V74" s="2"/>
      <c r="W74" s="2"/>
      <c r="X74" s="2"/>
      <c r="Y74" s="2"/>
      <c r="Z74" s="2"/>
      <c r="AA74" s="2"/>
      <c r="AB74" s="32"/>
      <c r="AC74" s="2"/>
      <c r="AD74" s="2"/>
      <c r="AE74" s="32"/>
      <c r="AF74" s="2"/>
      <c r="AG74" s="2"/>
      <c r="AH74" s="2"/>
      <c r="AL74" s="2"/>
    </row>
    <row r="75" spans="1:43">
      <c r="A75" t="s">
        <v>207</v>
      </c>
      <c r="G75">
        <v>2</v>
      </c>
      <c r="V75" s="2"/>
      <c r="W75" s="2"/>
      <c r="X75" s="2"/>
      <c r="Y75" s="2"/>
      <c r="Z75" s="2"/>
      <c r="AA75" s="2"/>
      <c r="AB75" s="32"/>
      <c r="AC75" s="2"/>
      <c r="AD75" s="2"/>
      <c r="AE75" s="32"/>
      <c r="AF75" s="2"/>
      <c r="AG75" s="2"/>
      <c r="AH75" s="2"/>
      <c r="AL75" s="2"/>
    </row>
    <row r="76" spans="1:43">
      <c r="A76" t="s">
        <v>771</v>
      </c>
      <c r="G76">
        <v>3</v>
      </c>
      <c r="K76">
        <v>5</v>
      </c>
      <c r="O76">
        <v>10</v>
      </c>
      <c r="V76" s="2"/>
      <c r="W76" s="2"/>
      <c r="X76" s="2"/>
      <c r="Y76" s="2"/>
      <c r="Z76" s="2"/>
      <c r="AA76" s="2"/>
      <c r="AB76" s="32"/>
      <c r="AC76" s="2"/>
      <c r="AD76" s="2"/>
      <c r="AE76" s="32"/>
      <c r="AF76" s="2"/>
      <c r="AG76" s="2"/>
      <c r="AH76" s="2"/>
      <c r="AL76" s="2"/>
    </row>
    <row r="77" spans="1:43">
      <c r="A77" s="29" t="s">
        <v>856</v>
      </c>
      <c r="N77">
        <v>-10</v>
      </c>
      <c r="O77">
        <v>10</v>
      </c>
      <c r="V77" s="2">
        <v>0.02</v>
      </c>
      <c r="W77" s="2"/>
      <c r="X77" s="2"/>
      <c r="Y77" s="2"/>
      <c r="Z77" s="2"/>
      <c r="AA77" s="2"/>
      <c r="AB77" s="32"/>
      <c r="AC77" s="2"/>
      <c r="AD77" s="2"/>
      <c r="AE77" s="32"/>
      <c r="AF77" s="2"/>
      <c r="AG77" s="2"/>
      <c r="AH77" s="2"/>
      <c r="AL77" s="2"/>
    </row>
    <row r="78" spans="1:43">
      <c r="A78" t="s">
        <v>699</v>
      </c>
      <c r="N78">
        <v>5</v>
      </c>
      <c r="O78">
        <v>10</v>
      </c>
      <c r="V78" s="2"/>
      <c r="W78" s="2"/>
      <c r="X78" s="2"/>
      <c r="Y78" s="2"/>
      <c r="Z78" s="2"/>
      <c r="AA78" s="2"/>
      <c r="AB78" s="32"/>
      <c r="AC78" s="2"/>
      <c r="AD78" s="2"/>
      <c r="AE78" s="32">
        <v>3</v>
      </c>
      <c r="AF78" s="2"/>
      <c r="AG78" s="2"/>
      <c r="AH78" s="2"/>
      <c r="AL78" s="2"/>
    </row>
    <row r="79" spans="1:43">
      <c r="A79" t="s">
        <v>446</v>
      </c>
      <c r="O79">
        <v>3</v>
      </c>
      <c r="V79" s="2"/>
      <c r="W79" s="2"/>
      <c r="X79" s="2"/>
      <c r="Y79" s="2"/>
      <c r="Z79" s="2"/>
      <c r="AA79" s="2"/>
      <c r="AB79" s="32"/>
      <c r="AC79" s="2"/>
      <c r="AD79" s="2"/>
      <c r="AE79" s="32">
        <v>3</v>
      </c>
      <c r="AF79" s="2"/>
      <c r="AG79" s="2"/>
      <c r="AH79" s="2"/>
      <c r="AL79" s="2"/>
    </row>
    <row r="80" spans="1:43">
      <c r="A80" t="s">
        <v>750</v>
      </c>
      <c r="N80">
        <v>10</v>
      </c>
      <c r="O80">
        <v>10</v>
      </c>
      <c r="V80" s="2"/>
      <c r="W80" s="2"/>
      <c r="X80" s="2"/>
      <c r="Y80" s="2"/>
      <c r="Z80" s="2"/>
      <c r="AA80" s="2"/>
      <c r="AB80" s="32">
        <v>21</v>
      </c>
      <c r="AC80" s="2"/>
      <c r="AD80" s="2"/>
      <c r="AE80" s="32">
        <v>-3</v>
      </c>
      <c r="AF80" s="32"/>
      <c r="AG80" s="32"/>
      <c r="AH80" s="2"/>
      <c r="AK80" s="2"/>
      <c r="AN80"/>
      <c r="AP80" s="2"/>
    </row>
    <row r="81" spans="1:42">
      <c r="A81" s="29" t="s">
        <v>646</v>
      </c>
      <c r="H81">
        <v>4</v>
      </c>
      <c r="N81">
        <v>4</v>
      </c>
      <c r="V81" s="2"/>
      <c r="W81" s="2"/>
      <c r="X81" s="2"/>
      <c r="Y81" s="2"/>
      <c r="Z81" s="2"/>
      <c r="AA81" s="2"/>
      <c r="AB81" s="32"/>
      <c r="AC81" s="2"/>
      <c r="AD81" s="2"/>
      <c r="AE81" s="32"/>
      <c r="AF81" s="32"/>
      <c r="AG81" s="32"/>
      <c r="AH81" s="2"/>
      <c r="AL81" s="2"/>
    </row>
    <row r="82" spans="1:42">
      <c r="A82" s="29" t="s">
        <v>933</v>
      </c>
      <c r="O82">
        <v>23</v>
      </c>
      <c r="V82" s="2"/>
      <c r="W82" s="2"/>
      <c r="X82" s="2"/>
      <c r="Y82" s="2"/>
      <c r="Z82" s="2"/>
      <c r="AA82" s="2"/>
      <c r="AB82" s="32"/>
      <c r="AC82" s="2"/>
      <c r="AD82" s="2"/>
      <c r="AE82" s="32"/>
      <c r="AF82" s="32"/>
      <c r="AG82" s="32"/>
      <c r="AH82" s="2">
        <v>0.06</v>
      </c>
      <c r="AL82" s="2"/>
    </row>
    <row r="83" spans="1:42">
      <c r="A83" t="s">
        <v>129</v>
      </c>
      <c r="V83" s="2"/>
      <c r="W83" s="2"/>
      <c r="X83" s="2"/>
      <c r="Y83" s="2"/>
      <c r="Z83" s="2"/>
      <c r="AA83" s="2"/>
      <c r="AB83" s="32"/>
      <c r="AC83" s="2"/>
      <c r="AD83" s="2"/>
      <c r="AE83" s="32"/>
      <c r="AF83" s="2"/>
      <c r="AG83" s="2"/>
      <c r="AH83" s="2"/>
      <c r="AL83" s="2"/>
    </row>
    <row r="84" spans="1:42">
      <c r="A84" t="s">
        <v>697</v>
      </c>
      <c r="K84">
        <v>4</v>
      </c>
      <c r="V84" s="2"/>
      <c r="W84" s="2"/>
      <c r="X84" s="2"/>
      <c r="Y84" s="2"/>
      <c r="Z84" s="2"/>
      <c r="AA84" s="2"/>
      <c r="AB84" s="32"/>
      <c r="AC84" s="2"/>
      <c r="AD84" s="2"/>
      <c r="AE84" s="32"/>
      <c r="AF84" s="2"/>
      <c r="AG84" s="2"/>
      <c r="AH84" s="2"/>
      <c r="AL84" s="2"/>
    </row>
    <row r="85" spans="1:42">
      <c r="A85" t="s">
        <v>749</v>
      </c>
      <c r="K85">
        <v>6</v>
      </c>
      <c r="V85" s="2"/>
      <c r="W85" s="2"/>
      <c r="X85" s="2"/>
      <c r="Y85" s="2"/>
      <c r="Z85" s="2"/>
      <c r="AA85" s="2"/>
      <c r="AB85" s="32"/>
      <c r="AC85" s="2"/>
      <c r="AD85" s="2"/>
      <c r="AE85" s="32"/>
      <c r="AF85" s="32"/>
      <c r="AG85" s="32"/>
      <c r="AH85" s="2"/>
      <c r="AK85" s="2"/>
      <c r="AN85"/>
      <c r="AP85" s="2"/>
    </row>
    <row r="86" spans="1:42">
      <c r="A86" t="s">
        <v>748</v>
      </c>
      <c r="L86">
        <v>4</v>
      </c>
      <c r="V86" s="2"/>
      <c r="W86" s="2"/>
      <c r="X86" s="2"/>
      <c r="Y86" s="2"/>
      <c r="Z86" s="2"/>
      <c r="AA86" s="2"/>
      <c r="AB86" s="32"/>
      <c r="AC86" s="2"/>
      <c r="AD86" s="2"/>
      <c r="AE86" s="32"/>
      <c r="AF86" s="32"/>
      <c r="AG86" s="32"/>
      <c r="AH86" s="2"/>
      <c r="AI86" s="2"/>
      <c r="AJ86" s="2"/>
      <c r="AK86" s="2"/>
      <c r="AM86" s="2"/>
      <c r="AN86"/>
    </row>
    <row r="87" spans="1:42">
      <c r="A87" t="s">
        <v>310</v>
      </c>
      <c r="V87" s="2"/>
      <c r="W87" s="2"/>
      <c r="X87" s="2"/>
      <c r="Y87" s="2"/>
      <c r="Z87" s="2"/>
      <c r="AA87" s="2"/>
      <c r="AB87" s="32"/>
      <c r="AC87" s="2"/>
      <c r="AD87" s="2"/>
      <c r="AE87" s="32"/>
      <c r="AF87" s="2"/>
      <c r="AG87" s="2"/>
      <c r="AH87" s="2"/>
      <c r="AL87" s="2"/>
      <c r="AN87" s="32">
        <v>10</v>
      </c>
    </row>
    <row r="88" spans="1:42">
      <c r="A88" t="s">
        <v>311</v>
      </c>
      <c r="V88" s="2"/>
      <c r="W88" s="2"/>
      <c r="X88" s="2"/>
      <c r="Y88" s="2"/>
      <c r="Z88" s="2"/>
      <c r="AA88" s="2"/>
      <c r="AB88" s="32"/>
      <c r="AC88" s="2"/>
      <c r="AD88" s="2"/>
      <c r="AE88" s="32"/>
      <c r="AF88" s="2"/>
      <c r="AG88" s="2"/>
      <c r="AH88" s="2"/>
      <c r="AL88" s="2"/>
      <c r="AN88" s="32">
        <v>12</v>
      </c>
    </row>
    <row r="89" spans="1:42">
      <c r="A89" s="29" t="s">
        <v>853</v>
      </c>
      <c r="G89">
        <v>5</v>
      </c>
      <c r="N89">
        <v>13</v>
      </c>
      <c r="O89">
        <v>13</v>
      </c>
      <c r="T89">
        <v>7</v>
      </c>
      <c r="V89" s="2"/>
      <c r="W89" s="2"/>
      <c r="X89" s="2"/>
      <c r="Y89" s="2"/>
      <c r="Z89" s="2"/>
      <c r="AA89" s="2"/>
      <c r="AB89" s="32"/>
      <c r="AC89" s="2"/>
      <c r="AD89" s="2"/>
      <c r="AE89" s="32"/>
      <c r="AF89" s="2"/>
      <c r="AG89" s="2"/>
      <c r="AH89" s="2"/>
      <c r="AL89" s="2"/>
    </row>
    <row r="90" spans="1:42" s="29" customFormat="1">
      <c r="A90" s="29" t="s">
        <v>719</v>
      </c>
      <c r="J90" s="29">
        <v>3</v>
      </c>
      <c r="N90" s="29">
        <v>15</v>
      </c>
      <c r="O90" s="29">
        <v>15</v>
      </c>
      <c r="V90" s="12"/>
      <c r="W90" s="12"/>
      <c r="X90" s="12"/>
      <c r="Y90" s="12"/>
      <c r="Z90" s="12"/>
      <c r="AA90" s="12"/>
      <c r="AB90" s="42"/>
      <c r="AC90" s="12"/>
      <c r="AD90" s="12"/>
      <c r="AE90" s="32"/>
      <c r="AF90" s="42"/>
      <c r="AG90" s="12"/>
      <c r="AH90" s="12"/>
      <c r="AI90" s="42"/>
      <c r="AJ90" s="42"/>
      <c r="AK90" s="42"/>
      <c r="AM90" s="42"/>
    </row>
    <row r="91" spans="1:42">
      <c r="A91" t="s">
        <v>101</v>
      </c>
      <c r="N91">
        <v>2</v>
      </c>
      <c r="O91">
        <v>2</v>
      </c>
      <c r="V91" s="2"/>
      <c r="W91" s="2"/>
      <c r="X91" s="2"/>
      <c r="Y91" s="2"/>
      <c r="Z91" s="2"/>
      <c r="AA91" s="2"/>
      <c r="AB91" s="32"/>
      <c r="AC91" s="2"/>
      <c r="AD91" s="2"/>
      <c r="AE91" s="32"/>
      <c r="AF91" s="2"/>
      <c r="AG91" s="2"/>
      <c r="AH91" s="2"/>
      <c r="AL91" s="2"/>
    </row>
    <row r="92" spans="1:42">
      <c r="A92" t="s">
        <v>330</v>
      </c>
      <c r="V92" s="2"/>
      <c r="W92" s="2"/>
      <c r="X92" s="2"/>
      <c r="Y92" s="2"/>
      <c r="Z92" s="2"/>
      <c r="AA92" s="2"/>
      <c r="AB92" s="32"/>
      <c r="AC92" s="2"/>
      <c r="AD92" s="2"/>
      <c r="AE92" s="32"/>
      <c r="AF92" s="2"/>
      <c r="AG92" s="2"/>
      <c r="AH92" s="2"/>
      <c r="AL92" s="2"/>
      <c r="AN92" s="32">
        <v>30</v>
      </c>
    </row>
    <row r="93" spans="1:42">
      <c r="A93" t="s">
        <v>76</v>
      </c>
      <c r="V93" s="2"/>
      <c r="W93" s="2"/>
      <c r="X93" s="2"/>
      <c r="Y93" s="2"/>
      <c r="Z93" s="2"/>
      <c r="AA93" s="2"/>
      <c r="AB93" s="32"/>
      <c r="AC93" s="2"/>
      <c r="AD93" s="2"/>
      <c r="AE93" s="32">
        <v>2</v>
      </c>
      <c r="AF93" s="2"/>
      <c r="AG93" s="2"/>
      <c r="AH93" s="2"/>
      <c r="AL93" s="2"/>
      <c r="AN93" s="32">
        <v>15</v>
      </c>
    </row>
    <row r="94" spans="1:42">
      <c r="A94" t="s">
        <v>707</v>
      </c>
      <c r="V94" s="2"/>
      <c r="W94" s="2"/>
      <c r="X94" s="2"/>
      <c r="Y94" s="2"/>
      <c r="Z94" s="2"/>
      <c r="AA94" s="2"/>
      <c r="AB94" s="32"/>
      <c r="AC94" s="2">
        <v>0.01</v>
      </c>
      <c r="AD94" s="2">
        <v>0.05</v>
      </c>
      <c r="AE94" s="32"/>
      <c r="AF94" s="2"/>
      <c r="AG94" s="32"/>
      <c r="AH94" s="2"/>
      <c r="AK94" s="2"/>
      <c r="AM94" s="2"/>
      <c r="AN94"/>
    </row>
    <row r="95" spans="1:42">
      <c r="A95" t="s">
        <v>708</v>
      </c>
      <c r="V95" s="2"/>
      <c r="W95" s="2"/>
      <c r="X95" s="2"/>
      <c r="Y95" s="2"/>
      <c r="Z95" s="2"/>
      <c r="AA95" s="2"/>
      <c r="AB95" s="32"/>
      <c r="AC95" s="2">
        <v>0.02</v>
      </c>
      <c r="AD95" s="2">
        <v>0.06</v>
      </c>
      <c r="AE95" s="32"/>
      <c r="AF95" s="2"/>
      <c r="AG95" s="32"/>
      <c r="AH95" s="2"/>
      <c r="AK95" s="2"/>
      <c r="AM95" s="2"/>
      <c r="AN95"/>
    </row>
    <row r="96" spans="1:42">
      <c r="AB96" s="32"/>
      <c r="AE96" s="32"/>
    </row>
    <row r="97" spans="1:42">
      <c r="AE97" s="32"/>
    </row>
    <row r="98" spans="1:42">
      <c r="A98" t="s">
        <v>16</v>
      </c>
      <c r="B98" t="s">
        <v>492</v>
      </c>
      <c r="C98" t="s">
        <v>489</v>
      </c>
      <c r="D98" t="s">
        <v>490</v>
      </c>
      <c r="E98" t="s">
        <v>491</v>
      </c>
      <c r="F98" s="29" t="s">
        <v>636</v>
      </c>
      <c r="G98" t="s">
        <v>3</v>
      </c>
      <c r="H98" t="s">
        <v>4</v>
      </c>
      <c r="I98" t="s">
        <v>5</v>
      </c>
      <c r="J98" t="s">
        <v>42</v>
      </c>
      <c r="K98" t="s">
        <v>182</v>
      </c>
      <c r="L98" t="s">
        <v>183</v>
      </c>
      <c r="M98" t="s">
        <v>245</v>
      </c>
      <c r="N98" t="s">
        <v>10</v>
      </c>
      <c r="O98" t="s">
        <v>9</v>
      </c>
      <c r="P98" t="s">
        <v>437</v>
      </c>
      <c r="Q98" t="s">
        <v>757</v>
      </c>
      <c r="R98" t="s">
        <v>758</v>
      </c>
      <c r="S98" t="s">
        <v>759</v>
      </c>
      <c r="T98" s="32" t="s">
        <v>760</v>
      </c>
      <c r="U98" s="173" t="s">
        <v>761</v>
      </c>
      <c r="V98" t="s">
        <v>12</v>
      </c>
      <c r="W98" t="s">
        <v>150</v>
      </c>
      <c r="X98" t="s">
        <v>416</v>
      </c>
      <c r="Y98" t="s">
        <v>596</v>
      </c>
      <c r="Z98" t="s">
        <v>454</v>
      </c>
      <c r="AA98" t="s">
        <v>266</v>
      </c>
      <c r="AB98" t="s">
        <v>11</v>
      </c>
      <c r="AC98" t="s">
        <v>125</v>
      </c>
      <c r="AD98" t="s">
        <v>124</v>
      </c>
      <c r="AE98" s="32" t="s">
        <v>455</v>
      </c>
      <c r="AF98" t="s">
        <v>122</v>
      </c>
      <c r="AG98" t="s">
        <v>184</v>
      </c>
      <c r="AH98" t="s">
        <v>164</v>
      </c>
      <c r="AI98" s="32" t="s">
        <v>564</v>
      </c>
      <c r="AJ98" s="32" t="s">
        <v>565</v>
      </c>
      <c r="AK98" s="29" t="s">
        <v>538</v>
      </c>
      <c r="AL98" t="s">
        <v>417</v>
      </c>
      <c r="AM98" t="s">
        <v>691</v>
      </c>
      <c r="AN98" s="32" t="s">
        <v>218</v>
      </c>
      <c r="AO98" t="s">
        <v>219</v>
      </c>
    </row>
    <row r="99" spans="1:42">
      <c r="A99" s="29" t="s">
        <v>805</v>
      </c>
      <c r="G99">
        <f>22+5</f>
        <v>27</v>
      </c>
      <c r="H99">
        <f>18+5</f>
        <v>23</v>
      </c>
      <c r="I99">
        <v>18</v>
      </c>
      <c r="J99">
        <v>16</v>
      </c>
      <c r="K99">
        <v>15</v>
      </c>
      <c r="L99">
        <v>15</v>
      </c>
      <c r="M99">
        <v>15</v>
      </c>
      <c r="N99">
        <v>20</v>
      </c>
      <c r="O99">
        <v>15</v>
      </c>
      <c r="V99" s="2">
        <v>0.02</v>
      </c>
      <c r="W99" s="2"/>
      <c r="X99" s="2"/>
      <c r="Y99" s="2"/>
      <c r="Z99" s="2"/>
      <c r="AA99" s="2"/>
      <c r="AB99" s="32">
        <v>71</v>
      </c>
      <c r="AC99" s="2"/>
      <c r="AD99" s="2"/>
      <c r="AE99" s="32">
        <v>3</v>
      </c>
      <c r="AF99" s="2"/>
      <c r="AG99" s="2"/>
      <c r="AH99" s="2"/>
      <c r="AL99" s="2"/>
      <c r="AN99" s="32">
        <v>38</v>
      </c>
      <c r="AO99" s="32"/>
      <c r="AP99" s="32"/>
    </row>
    <row r="100" spans="1:42">
      <c r="A100" s="29" t="s">
        <v>806</v>
      </c>
      <c r="G100">
        <f>22+5</f>
        <v>27</v>
      </c>
      <c r="H100">
        <f>18+5</f>
        <v>23</v>
      </c>
      <c r="I100">
        <v>18</v>
      </c>
      <c r="J100">
        <v>16</v>
      </c>
      <c r="K100">
        <v>15</v>
      </c>
      <c r="L100">
        <v>15</v>
      </c>
      <c r="M100">
        <v>15</v>
      </c>
      <c r="O100">
        <v>25</v>
      </c>
      <c r="V100" s="2"/>
      <c r="W100" s="2"/>
      <c r="X100" s="2"/>
      <c r="Y100" s="2"/>
      <c r="Z100" s="2"/>
      <c r="AA100" s="2"/>
      <c r="AB100" s="32">
        <v>71</v>
      </c>
      <c r="AC100" s="2"/>
      <c r="AD100" s="2"/>
      <c r="AE100" s="32">
        <v>7</v>
      </c>
      <c r="AF100" s="2"/>
      <c r="AG100" s="2"/>
      <c r="AH100" s="2"/>
      <c r="AL100" s="2"/>
      <c r="AN100" s="32">
        <v>38</v>
      </c>
      <c r="AO100" s="32"/>
      <c r="AP100" s="32"/>
    </row>
    <row r="101" spans="1:42">
      <c r="A101" s="29" t="s">
        <v>775</v>
      </c>
      <c r="G101">
        <f>22+7</f>
        <v>29</v>
      </c>
      <c r="H101">
        <f>18+7</f>
        <v>25</v>
      </c>
      <c r="I101">
        <v>18</v>
      </c>
      <c r="J101">
        <v>16</v>
      </c>
      <c r="K101">
        <v>15</v>
      </c>
      <c r="L101">
        <v>15</v>
      </c>
      <c r="M101">
        <v>15</v>
      </c>
      <c r="N101">
        <v>20</v>
      </c>
      <c r="O101">
        <f>15+20</f>
        <v>35</v>
      </c>
      <c r="V101" s="2">
        <v>0.03</v>
      </c>
      <c r="W101" s="2"/>
      <c r="X101" s="2"/>
      <c r="Y101" s="2"/>
      <c r="Z101" s="2"/>
      <c r="AA101" s="2"/>
      <c r="AB101" s="32">
        <v>71</v>
      </c>
      <c r="AC101" s="2"/>
      <c r="AD101" s="2"/>
      <c r="AE101" s="32">
        <v>3</v>
      </c>
      <c r="AF101" s="2"/>
      <c r="AG101" s="2"/>
      <c r="AH101" s="2"/>
      <c r="AL101" s="2"/>
      <c r="AN101" s="32">
        <v>38</v>
      </c>
      <c r="AO101" s="32"/>
      <c r="AP101" s="32"/>
    </row>
    <row r="102" spans="1:42">
      <c r="A102" s="29" t="s">
        <v>793</v>
      </c>
      <c r="G102">
        <f>22+7</f>
        <v>29</v>
      </c>
      <c r="H102">
        <f>18+7</f>
        <v>25</v>
      </c>
      <c r="I102">
        <v>18</v>
      </c>
      <c r="J102">
        <v>16</v>
      </c>
      <c r="K102">
        <v>15</v>
      </c>
      <c r="L102">
        <v>15</v>
      </c>
      <c r="M102">
        <v>15</v>
      </c>
      <c r="N102">
        <v>20</v>
      </c>
      <c r="O102">
        <f>15+20</f>
        <v>35</v>
      </c>
      <c r="V102" s="2"/>
      <c r="W102" s="2"/>
      <c r="X102" s="2"/>
      <c r="Y102" s="2"/>
      <c r="Z102" s="2"/>
      <c r="AA102" s="2"/>
      <c r="AB102" s="32">
        <v>71</v>
      </c>
      <c r="AC102" s="2"/>
      <c r="AD102" s="2"/>
      <c r="AE102" s="32">
        <v>9</v>
      </c>
      <c r="AF102" s="2"/>
      <c r="AG102" s="2"/>
      <c r="AH102" s="2"/>
      <c r="AL102" s="2"/>
      <c r="AN102" s="32">
        <v>38</v>
      </c>
      <c r="AO102" s="32"/>
      <c r="AP102" s="32"/>
    </row>
    <row r="103" spans="1:42">
      <c r="A103" t="s">
        <v>809</v>
      </c>
      <c r="G103">
        <v>40</v>
      </c>
      <c r="H103">
        <v>40</v>
      </c>
      <c r="N103">
        <v>20</v>
      </c>
      <c r="O103">
        <v>40</v>
      </c>
      <c r="V103" s="2"/>
      <c r="W103" s="2"/>
      <c r="X103" s="2"/>
      <c r="Y103" s="2"/>
      <c r="Z103" s="2"/>
      <c r="AA103" s="2"/>
      <c r="AB103" s="32">
        <v>71</v>
      </c>
      <c r="AC103" s="2"/>
      <c r="AD103" s="2"/>
      <c r="AE103" s="32">
        <v>6</v>
      </c>
      <c r="AF103" s="2"/>
      <c r="AG103" s="2"/>
      <c r="AH103" s="2"/>
      <c r="AL103" s="2"/>
      <c r="AN103" s="32">
        <v>50</v>
      </c>
      <c r="AO103" s="2"/>
    </row>
    <row r="104" spans="1:42">
      <c r="A104" t="s">
        <v>923</v>
      </c>
      <c r="G104">
        <v>42</v>
      </c>
      <c r="H104">
        <v>42</v>
      </c>
      <c r="N104">
        <v>30</v>
      </c>
      <c r="O104">
        <v>55</v>
      </c>
      <c r="V104" s="2"/>
      <c r="W104" s="2"/>
      <c r="X104" s="2"/>
      <c r="Y104" s="2"/>
      <c r="Z104" s="2"/>
      <c r="AA104" s="2"/>
      <c r="AB104" s="32">
        <v>71</v>
      </c>
      <c r="AC104" s="2"/>
      <c r="AD104" s="2"/>
      <c r="AE104" s="32">
        <v>7</v>
      </c>
      <c r="AF104" s="2"/>
      <c r="AG104" s="2"/>
      <c r="AH104" s="2"/>
      <c r="AL104" s="2"/>
      <c r="AN104" s="32">
        <v>50</v>
      </c>
      <c r="AO104" s="2"/>
    </row>
    <row r="105" spans="1:42">
      <c r="A105" t="s">
        <v>810</v>
      </c>
      <c r="G105">
        <v>30</v>
      </c>
      <c r="H105">
        <v>40</v>
      </c>
      <c r="N105">
        <v>30</v>
      </c>
      <c r="O105">
        <v>25</v>
      </c>
      <c r="V105" s="2">
        <v>0.02</v>
      </c>
      <c r="W105" s="2"/>
      <c r="X105" s="2"/>
      <c r="Y105" s="2"/>
      <c r="Z105" s="2"/>
      <c r="AA105" s="2"/>
      <c r="AB105" s="32">
        <v>71</v>
      </c>
      <c r="AC105" s="2"/>
      <c r="AD105" s="2"/>
      <c r="AE105" s="32">
        <v>6</v>
      </c>
      <c r="AF105" s="2"/>
      <c r="AG105" s="2"/>
      <c r="AH105" s="2"/>
      <c r="AL105" s="2"/>
      <c r="AN105" s="32">
        <v>50</v>
      </c>
      <c r="AO105" s="2"/>
    </row>
    <row r="106" spans="1:42">
      <c r="A106" t="s">
        <v>922</v>
      </c>
      <c r="G106">
        <v>30</v>
      </c>
      <c r="H106">
        <v>42</v>
      </c>
      <c r="N106">
        <v>50</v>
      </c>
      <c r="O106">
        <v>35</v>
      </c>
      <c r="V106" s="2">
        <v>0.03</v>
      </c>
      <c r="W106" s="2"/>
      <c r="X106" s="2"/>
      <c r="Y106" s="2"/>
      <c r="Z106" s="2"/>
      <c r="AA106" s="2"/>
      <c r="AB106" s="32">
        <v>71</v>
      </c>
      <c r="AC106" s="2"/>
      <c r="AD106" s="2"/>
      <c r="AE106" s="32">
        <v>7</v>
      </c>
      <c r="AF106" s="2"/>
      <c r="AG106" s="2"/>
      <c r="AH106" s="2"/>
      <c r="AL106" s="2"/>
      <c r="AO106" s="2"/>
    </row>
    <row r="107" spans="1:42">
      <c r="A107" t="s">
        <v>827</v>
      </c>
      <c r="G107">
        <v>25</v>
      </c>
      <c r="H107">
        <v>25</v>
      </c>
      <c r="I107">
        <v>25</v>
      </c>
      <c r="J107">
        <v>21</v>
      </c>
      <c r="K107">
        <v>25</v>
      </c>
      <c r="L107">
        <v>21</v>
      </c>
      <c r="M107">
        <v>21</v>
      </c>
      <c r="N107">
        <f>28+15</f>
        <v>43</v>
      </c>
      <c r="S107">
        <f>28+10</f>
        <v>38</v>
      </c>
      <c r="V107" s="2"/>
      <c r="W107" s="2"/>
      <c r="X107" s="2"/>
      <c r="Y107" s="2"/>
      <c r="Z107" s="2"/>
      <c r="AA107" s="2"/>
      <c r="AB107" s="32">
        <v>81</v>
      </c>
      <c r="AC107" s="2"/>
      <c r="AD107" s="2"/>
      <c r="AE107" s="32"/>
      <c r="AF107" s="2"/>
      <c r="AG107" s="2"/>
      <c r="AH107" s="2"/>
      <c r="AL107" s="2"/>
      <c r="AO107" s="2"/>
    </row>
    <row r="108" spans="1:42">
      <c r="A108" s="29" t="s">
        <v>851</v>
      </c>
      <c r="G108">
        <v>20</v>
      </c>
      <c r="H108">
        <v>29</v>
      </c>
      <c r="I108">
        <v>15</v>
      </c>
      <c r="J108">
        <v>20</v>
      </c>
      <c r="K108">
        <v>19</v>
      </c>
      <c r="L108">
        <v>16</v>
      </c>
      <c r="M108">
        <v>17</v>
      </c>
      <c r="N108">
        <v>15</v>
      </c>
      <c r="O108">
        <v>25</v>
      </c>
      <c r="V108" s="2"/>
      <c r="W108" s="2"/>
      <c r="X108" s="2"/>
      <c r="Y108" s="2"/>
      <c r="Z108" s="2"/>
      <c r="AA108" s="2"/>
      <c r="AB108" s="32">
        <v>71</v>
      </c>
      <c r="AC108" s="2"/>
      <c r="AD108" s="2"/>
      <c r="AE108" s="32"/>
      <c r="AF108" s="2"/>
      <c r="AG108" s="2"/>
      <c r="AH108" s="2"/>
      <c r="AL108" s="2"/>
      <c r="AO108" s="2"/>
    </row>
    <row r="109" spans="1:42">
      <c r="A109" s="29" t="s">
        <v>709</v>
      </c>
      <c r="G109">
        <v>21</v>
      </c>
      <c r="H109">
        <v>8</v>
      </c>
      <c r="I109">
        <v>21</v>
      </c>
      <c r="J109">
        <v>8</v>
      </c>
      <c r="K109">
        <v>8</v>
      </c>
      <c r="L109">
        <v>8</v>
      </c>
      <c r="M109">
        <v>8</v>
      </c>
      <c r="N109">
        <v>15</v>
      </c>
      <c r="O109">
        <v>15</v>
      </c>
      <c r="V109" s="2"/>
      <c r="W109" s="2"/>
      <c r="X109" s="2"/>
      <c r="Y109" s="2"/>
      <c r="Z109" s="2"/>
      <c r="AA109" s="2"/>
      <c r="AB109" s="32">
        <v>61</v>
      </c>
      <c r="AC109" s="2"/>
      <c r="AD109" s="2"/>
      <c r="AE109" s="32"/>
      <c r="AF109" s="2"/>
      <c r="AG109" s="2"/>
      <c r="AH109" s="2"/>
      <c r="AL109" s="2"/>
    </row>
    <row r="110" spans="1:42">
      <c r="A110" s="29" t="s">
        <v>710</v>
      </c>
      <c r="G110">
        <v>30</v>
      </c>
      <c r="H110">
        <v>14</v>
      </c>
      <c r="I110">
        <v>30</v>
      </c>
      <c r="J110">
        <v>14</v>
      </c>
      <c r="K110">
        <v>12</v>
      </c>
      <c r="L110">
        <v>12</v>
      </c>
      <c r="M110">
        <v>12</v>
      </c>
      <c r="N110">
        <v>15</v>
      </c>
      <c r="O110">
        <v>15</v>
      </c>
      <c r="V110" s="2"/>
      <c r="W110" s="2"/>
      <c r="X110" s="2"/>
      <c r="Y110" s="2"/>
      <c r="Z110" s="2"/>
      <c r="AA110" s="2"/>
      <c r="AB110" s="32">
        <v>71</v>
      </c>
      <c r="AC110" s="2"/>
      <c r="AD110" s="2"/>
      <c r="AE110" s="32"/>
      <c r="AF110" s="2"/>
      <c r="AG110" s="2"/>
      <c r="AH110" s="2"/>
      <c r="AL110" s="2"/>
    </row>
    <row r="111" spans="1:42">
      <c r="A111" s="29" t="s">
        <v>919</v>
      </c>
      <c r="G111">
        <v>32</v>
      </c>
      <c r="H111">
        <v>28</v>
      </c>
      <c r="I111">
        <v>24</v>
      </c>
      <c r="J111">
        <v>16</v>
      </c>
      <c r="K111">
        <v>12</v>
      </c>
      <c r="L111">
        <v>12</v>
      </c>
      <c r="M111">
        <v>12</v>
      </c>
      <c r="N111">
        <v>38</v>
      </c>
      <c r="S111">
        <v>38</v>
      </c>
      <c r="V111" s="2"/>
      <c r="W111" s="2">
        <v>0.04</v>
      </c>
      <c r="X111" s="2"/>
      <c r="Y111" s="2"/>
      <c r="Z111" s="2"/>
      <c r="AA111" s="2"/>
      <c r="AB111" s="32">
        <v>41</v>
      </c>
      <c r="AC111" s="2"/>
      <c r="AD111" s="2"/>
      <c r="AE111" s="32">
        <v>5</v>
      </c>
      <c r="AF111" s="2"/>
      <c r="AG111" s="2"/>
      <c r="AH111" s="2"/>
      <c r="AL111" s="2"/>
    </row>
    <row r="112" spans="1:42">
      <c r="A112" s="29" t="s">
        <v>800</v>
      </c>
      <c r="G112">
        <v>24</v>
      </c>
      <c r="H112">
        <f>20+10</f>
        <v>30</v>
      </c>
      <c r="I112">
        <v>23</v>
      </c>
      <c r="J112">
        <v>17</v>
      </c>
      <c r="K112">
        <v>14</v>
      </c>
      <c r="L112">
        <v>14</v>
      </c>
      <c r="M112">
        <v>14</v>
      </c>
      <c r="N112">
        <f>20+15</f>
        <v>35</v>
      </c>
      <c r="V112" s="2">
        <v>0.02</v>
      </c>
      <c r="W112" s="2"/>
      <c r="X112" s="2"/>
      <c r="Y112" s="2"/>
      <c r="Z112" s="2"/>
      <c r="AA112" s="2"/>
      <c r="AB112" s="32">
        <v>71</v>
      </c>
      <c r="AC112" s="2"/>
      <c r="AD112" s="2"/>
      <c r="AE112" s="32"/>
      <c r="AF112" s="2"/>
      <c r="AG112" s="2"/>
      <c r="AH112" s="2"/>
      <c r="AL112" s="2"/>
      <c r="AN112" s="32">
        <v>47</v>
      </c>
    </row>
    <row r="113" spans="1:41" s="29" customFormat="1">
      <c r="A113" s="29" t="s">
        <v>754</v>
      </c>
      <c r="G113" s="29">
        <v>27</v>
      </c>
      <c r="H113" s="29">
        <v>9</v>
      </c>
      <c r="I113" s="29">
        <v>27</v>
      </c>
      <c r="J113" s="29">
        <v>9</v>
      </c>
      <c r="K113" s="29">
        <v>8</v>
      </c>
      <c r="L113" s="29">
        <v>8</v>
      </c>
      <c r="M113" s="29">
        <v>8</v>
      </c>
      <c r="V113" s="12"/>
      <c r="W113" s="12"/>
      <c r="X113" s="12"/>
      <c r="Y113" s="12"/>
      <c r="Z113" s="12"/>
      <c r="AA113" s="12"/>
      <c r="AB113" s="42">
        <v>71</v>
      </c>
      <c r="AC113" s="12"/>
      <c r="AD113" s="12"/>
      <c r="AE113" s="32"/>
      <c r="AF113" s="42"/>
      <c r="AG113" s="12"/>
      <c r="AH113" s="12"/>
      <c r="AI113" s="42"/>
      <c r="AJ113" s="42"/>
      <c r="AK113" s="42"/>
      <c r="AM113" s="42"/>
    </row>
    <row r="114" spans="1:41" s="29" customFormat="1">
      <c r="A114" s="29" t="s">
        <v>755</v>
      </c>
      <c r="G114" s="29">
        <v>21</v>
      </c>
      <c r="H114" s="29">
        <v>25</v>
      </c>
      <c r="I114" s="29">
        <v>21</v>
      </c>
      <c r="J114" s="29">
        <v>25</v>
      </c>
      <c r="K114" s="29">
        <v>18</v>
      </c>
      <c r="L114" s="29">
        <v>18</v>
      </c>
      <c r="M114" s="29">
        <v>19</v>
      </c>
      <c r="N114" s="29">
        <v>25</v>
      </c>
      <c r="O114" s="29">
        <v>25</v>
      </c>
      <c r="V114" s="12"/>
      <c r="W114" s="12"/>
      <c r="X114" s="12"/>
      <c r="Y114" s="12"/>
      <c r="Z114" s="12"/>
      <c r="AA114" s="12"/>
      <c r="AB114" s="42">
        <v>81</v>
      </c>
      <c r="AC114" s="12"/>
      <c r="AD114" s="12"/>
      <c r="AE114" s="32"/>
      <c r="AF114" s="42"/>
      <c r="AG114" s="12"/>
      <c r="AH114" s="12"/>
      <c r="AI114" s="42">
        <v>117</v>
      </c>
      <c r="AJ114" s="42"/>
      <c r="AK114" s="42"/>
      <c r="AM114" s="42"/>
    </row>
    <row r="115" spans="1:41">
      <c r="A115" s="29" t="s">
        <v>716</v>
      </c>
      <c r="G115">
        <v>28</v>
      </c>
      <c r="H115">
        <v>22</v>
      </c>
      <c r="I115">
        <v>28</v>
      </c>
      <c r="J115">
        <v>22</v>
      </c>
      <c r="K115">
        <v>12</v>
      </c>
      <c r="L115">
        <v>12</v>
      </c>
      <c r="M115">
        <v>12</v>
      </c>
      <c r="V115" s="2"/>
      <c r="W115" s="2"/>
      <c r="X115" s="2"/>
      <c r="Y115" s="2"/>
      <c r="Z115" s="2"/>
      <c r="AA115" s="2"/>
      <c r="AB115" s="32">
        <v>71</v>
      </c>
      <c r="AC115" s="2"/>
      <c r="AD115" s="2"/>
      <c r="AE115" s="32"/>
      <c r="AF115" s="2"/>
      <c r="AG115" s="2"/>
      <c r="AH115" s="2"/>
      <c r="AL115" s="2"/>
      <c r="AN115" s="32">
        <f>36+40</f>
        <v>76</v>
      </c>
    </row>
    <row r="116" spans="1:41">
      <c r="A116" s="29" t="s">
        <v>768</v>
      </c>
      <c r="B116">
        <v>18</v>
      </c>
      <c r="G116">
        <v>23</v>
      </c>
      <c r="H116">
        <v>13</v>
      </c>
      <c r="I116">
        <v>14</v>
      </c>
      <c r="J116">
        <v>10</v>
      </c>
      <c r="K116">
        <v>12</v>
      </c>
      <c r="L116">
        <v>10</v>
      </c>
      <c r="M116">
        <v>10</v>
      </c>
      <c r="V116" s="2">
        <v>0.03</v>
      </c>
      <c r="W116" s="2"/>
      <c r="X116" s="2"/>
      <c r="Y116" s="2"/>
      <c r="Z116" s="2"/>
      <c r="AA116" s="2"/>
      <c r="AB116" s="32">
        <v>61</v>
      </c>
      <c r="AC116" s="2"/>
      <c r="AD116" s="2"/>
      <c r="AE116" s="32"/>
      <c r="AF116" s="2"/>
      <c r="AG116" s="2"/>
      <c r="AH116" s="2"/>
      <c r="AL116" s="2"/>
      <c r="AN116" s="32">
        <v>19</v>
      </c>
    </row>
    <row r="117" spans="1:41">
      <c r="A117" s="29" t="s">
        <v>769</v>
      </c>
      <c r="B117">
        <v>28</v>
      </c>
      <c r="G117">
        <v>32</v>
      </c>
      <c r="H117">
        <v>16</v>
      </c>
      <c r="I117">
        <v>21</v>
      </c>
      <c r="J117">
        <v>16</v>
      </c>
      <c r="K117">
        <v>18</v>
      </c>
      <c r="L117">
        <v>14</v>
      </c>
      <c r="M117">
        <v>16</v>
      </c>
      <c r="V117" s="2">
        <v>0.04</v>
      </c>
      <c r="W117" s="2"/>
      <c r="X117" s="2"/>
      <c r="Y117" s="2"/>
      <c r="Z117" s="2"/>
      <c r="AA117" s="2"/>
      <c r="AB117" s="32">
        <v>71</v>
      </c>
      <c r="AC117" s="2"/>
      <c r="AD117" s="2"/>
      <c r="AE117" s="32"/>
      <c r="AF117" s="2"/>
      <c r="AG117" s="2"/>
      <c r="AH117" s="2"/>
      <c r="AL117" s="2"/>
      <c r="AN117" s="32">
        <v>41</v>
      </c>
    </row>
    <row r="118" spans="1:41">
      <c r="A118" s="29" t="s">
        <v>645</v>
      </c>
      <c r="G118">
        <v>20</v>
      </c>
      <c r="H118">
        <v>13</v>
      </c>
      <c r="I118">
        <v>17</v>
      </c>
      <c r="J118">
        <v>13</v>
      </c>
      <c r="K118">
        <v>16</v>
      </c>
      <c r="L118">
        <v>13</v>
      </c>
      <c r="M118">
        <v>13</v>
      </c>
      <c r="O118">
        <v>18</v>
      </c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32">
        <v>61</v>
      </c>
      <c r="AC118" s="2"/>
      <c r="AD118" s="2"/>
      <c r="AE118" s="32"/>
      <c r="AF118" s="2"/>
      <c r="AG118" s="2"/>
      <c r="AH118" s="2"/>
      <c r="AL118" s="2"/>
      <c r="AN118" s="32">
        <v>19</v>
      </c>
      <c r="AO118" s="2"/>
    </row>
    <row r="119" spans="1:41">
      <c r="A119" s="29" t="s">
        <v>692</v>
      </c>
      <c r="G119">
        <v>28</v>
      </c>
      <c r="H119">
        <v>19</v>
      </c>
      <c r="I119">
        <v>25</v>
      </c>
      <c r="J119">
        <v>19</v>
      </c>
      <c r="K119">
        <v>20</v>
      </c>
      <c r="L119">
        <v>19</v>
      </c>
      <c r="M119">
        <v>19</v>
      </c>
      <c r="O119">
        <v>18</v>
      </c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32">
        <v>61</v>
      </c>
      <c r="AC119" s="2"/>
      <c r="AD119" s="2"/>
      <c r="AE119" s="32"/>
      <c r="AF119" s="2"/>
      <c r="AG119" s="2"/>
      <c r="AH119" s="2"/>
      <c r="AL119" s="2"/>
      <c r="AN119" s="32">
        <v>41</v>
      </c>
      <c r="AO119" s="2"/>
    </row>
    <row r="120" spans="1:41">
      <c r="A120" s="29" t="s">
        <v>930</v>
      </c>
      <c r="G120">
        <v>33</v>
      </c>
      <c r="H120">
        <v>24</v>
      </c>
      <c r="I120">
        <v>30</v>
      </c>
      <c r="J120">
        <v>24</v>
      </c>
      <c r="K120">
        <v>25</v>
      </c>
      <c r="L120">
        <v>22</v>
      </c>
      <c r="M120">
        <v>22</v>
      </c>
      <c r="N120">
        <v>37</v>
      </c>
      <c r="O120">
        <v>28</v>
      </c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32">
        <v>71</v>
      </c>
      <c r="AC120" s="2"/>
      <c r="AD120" s="2"/>
      <c r="AE120" s="32"/>
      <c r="AF120" s="2"/>
      <c r="AG120" s="2"/>
      <c r="AH120" s="2"/>
      <c r="AL120" s="2"/>
      <c r="AN120" s="32">
        <v>61</v>
      </c>
      <c r="AO120" s="2"/>
    </row>
    <row r="121" spans="1:41">
      <c r="A121" s="29" t="s">
        <v>931</v>
      </c>
      <c r="G121">
        <v>38</v>
      </c>
      <c r="H121">
        <v>29</v>
      </c>
      <c r="I121">
        <v>35</v>
      </c>
      <c r="J121">
        <v>29</v>
      </c>
      <c r="K121">
        <v>30</v>
      </c>
      <c r="L121">
        <v>27</v>
      </c>
      <c r="M121">
        <v>27</v>
      </c>
      <c r="N121">
        <v>47</v>
      </c>
      <c r="O121">
        <v>38</v>
      </c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32">
        <v>71</v>
      </c>
      <c r="AC121" s="2"/>
      <c r="AD121" s="2"/>
      <c r="AE121" s="32"/>
      <c r="AF121" s="2"/>
      <c r="AG121" s="2"/>
      <c r="AH121" s="2"/>
      <c r="AL121" s="2"/>
      <c r="AN121" s="32">
        <v>71</v>
      </c>
      <c r="AO121" s="2"/>
    </row>
    <row r="122" spans="1:41">
      <c r="A122" s="29" t="s">
        <v>797</v>
      </c>
      <c r="G122">
        <v>21</v>
      </c>
      <c r="H122">
        <v>15</v>
      </c>
      <c r="I122">
        <v>38</v>
      </c>
      <c r="J122">
        <v>15</v>
      </c>
      <c r="K122">
        <v>8</v>
      </c>
      <c r="L122">
        <f>8+9</f>
        <v>17</v>
      </c>
      <c r="M122">
        <v>8</v>
      </c>
      <c r="P122" s="2"/>
      <c r="Q122" s="2"/>
      <c r="R122" s="2"/>
      <c r="S122" s="32">
        <v>20</v>
      </c>
      <c r="T122" s="32">
        <v>35</v>
      </c>
      <c r="U122" s="32">
        <v>20</v>
      </c>
      <c r="V122" s="2"/>
      <c r="W122" s="2"/>
      <c r="X122" s="2"/>
      <c r="Y122" s="2"/>
      <c r="Z122" s="2"/>
      <c r="AA122" s="2"/>
      <c r="AB122" s="32">
        <v>71</v>
      </c>
      <c r="AC122" s="2"/>
      <c r="AD122" s="2"/>
      <c r="AE122" s="32"/>
      <c r="AF122" s="2"/>
      <c r="AG122" s="2"/>
      <c r="AH122" s="2"/>
      <c r="AL122" s="2"/>
      <c r="AO122" s="2"/>
    </row>
    <row r="123" spans="1:41">
      <c r="A123" s="29" t="s">
        <v>825</v>
      </c>
      <c r="G123">
        <v>41</v>
      </c>
      <c r="H123">
        <v>36</v>
      </c>
      <c r="O123">
        <v>15</v>
      </c>
      <c r="P123" s="2"/>
      <c r="Q123" s="2"/>
      <c r="R123" s="2"/>
      <c r="S123" s="2"/>
      <c r="T123" s="2"/>
      <c r="U123" s="2"/>
      <c r="V123" s="2">
        <v>0.02</v>
      </c>
      <c r="W123" s="2"/>
      <c r="X123" s="2"/>
      <c r="Y123" s="2"/>
      <c r="Z123" s="2"/>
      <c r="AA123" s="2"/>
      <c r="AB123" s="32"/>
      <c r="AC123" s="2"/>
      <c r="AD123" s="2"/>
      <c r="AE123" s="32"/>
      <c r="AF123" s="2"/>
      <c r="AG123" s="2"/>
      <c r="AH123" s="2"/>
      <c r="AL123" s="2"/>
      <c r="AO123" s="2"/>
    </row>
    <row r="124" spans="1:41">
      <c r="A124" s="29" t="s">
        <v>816</v>
      </c>
      <c r="G124">
        <v>29</v>
      </c>
      <c r="H124">
        <v>15</v>
      </c>
      <c r="I124">
        <v>35</v>
      </c>
      <c r="J124">
        <v>18</v>
      </c>
      <c r="K124">
        <v>17</v>
      </c>
      <c r="L124">
        <v>17</v>
      </c>
      <c r="M124">
        <v>17</v>
      </c>
      <c r="N124">
        <v>8</v>
      </c>
      <c r="O124">
        <v>8</v>
      </c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32">
        <v>71</v>
      </c>
      <c r="AC124" s="2"/>
      <c r="AD124" s="2"/>
      <c r="AE124" s="32"/>
      <c r="AF124" s="2"/>
      <c r="AG124" s="2"/>
      <c r="AH124" s="2"/>
      <c r="AL124" s="2"/>
      <c r="AO124" s="2"/>
    </row>
    <row r="125" spans="1:41">
      <c r="A125" s="29" t="s">
        <v>886</v>
      </c>
      <c r="G125">
        <v>29</v>
      </c>
      <c r="H125">
        <v>15</v>
      </c>
      <c r="I125">
        <v>35</v>
      </c>
      <c r="J125">
        <f>18+5</f>
        <v>23</v>
      </c>
      <c r="K125">
        <v>17</v>
      </c>
      <c r="L125">
        <v>17</v>
      </c>
      <c r="M125">
        <v>17</v>
      </c>
      <c r="N125">
        <f>8+18</f>
        <v>26</v>
      </c>
      <c r="O125">
        <f>8+18</f>
        <v>26</v>
      </c>
      <c r="P125" s="2"/>
      <c r="Q125" s="2"/>
      <c r="R125" s="2"/>
      <c r="S125" s="2"/>
      <c r="T125" s="2"/>
      <c r="U125" s="2"/>
      <c r="V125" s="2"/>
      <c r="W125" s="2"/>
      <c r="X125" s="2">
        <v>0.02</v>
      </c>
      <c r="Y125" s="2"/>
      <c r="Z125" s="2"/>
      <c r="AA125" s="2"/>
      <c r="AB125" s="32">
        <v>71</v>
      </c>
      <c r="AC125" s="2"/>
      <c r="AD125" s="2"/>
      <c r="AE125" s="32"/>
      <c r="AF125" s="2"/>
      <c r="AG125" s="2"/>
      <c r="AH125" s="2"/>
      <c r="AL125" s="2"/>
      <c r="AO125" s="2"/>
    </row>
    <row r="126" spans="1:41">
      <c r="A126" s="29" t="s">
        <v>935</v>
      </c>
      <c r="G126">
        <v>29</v>
      </c>
      <c r="H126">
        <v>15</v>
      </c>
      <c r="I126">
        <f>35+11</f>
        <v>46</v>
      </c>
      <c r="J126">
        <v>18</v>
      </c>
      <c r="K126">
        <v>17</v>
      </c>
      <c r="L126">
        <v>17</v>
      </c>
      <c r="M126">
        <v>17</v>
      </c>
      <c r="N126">
        <f>8+17</f>
        <v>25</v>
      </c>
      <c r="O126">
        <f>8+17</f>
        <v>25</v>
      </c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32">
        <v>71</v>
      </c>
      <c r="AC126" s="2"/>
      <c r="AD126" s="2"/>
      <c r="AE126" s="32"/>
      <c r="AF126" s="2"/>
      <c r="AG126" s="2"/>
      <c r="AH126" s="2">
        <v>0.03</v>
      </c>
      <c r="AL126" s="2"/>
      <c r="AO126" s="2"/>
    </row>
    <row r="127" spans="1:41">
      <c r="A127" s="29" t="s">
        <v>770</v>
      </c>
      <c r="G127">
        <v>35</v>
      </c>
      <c r="H127">
        <v>17</v>
      </c>
      <c r="I127">
        <v>22</v>
      </c>
      <c r="J127">
        <v>17</v>
      </c>
      <c r="K127">
        <v>16</v>
      </c>
      <c r="L127">
        <v>16</v>
      </c>
      <c r="M127">
        <v>16</v>
      </c>
      <c r="O127">
        <v>20</v>
      </c>
      <c r="V127" s="2">
        <v>0.03</v>
      </c>
      <c r="W127" s="2"/>
      <c r="X127" s="2"/>
      <c r="Y127" s="2"/>
      <c r="Z127" s="2"/>
      <c r="AA127" s="2"/>
      <c r="AB127" s="32">
        <v>81</v>
      </c>
      <c r="AC127" s="2"/>
      <c r="AD127" s="2"/>
      <c r="AE127" s="32"/>
      <c r="AF127" s="2"/>
      <c r="AG127" s="2"/>
      <c r="AH127" s="2"/>
      <c r="AL127" s="2"/>
      <c r="AN127" s="32">
        <v>32</v>
      </c>
    </row>
    <row r="128" spans="1:41">
      <c r="A128" s="29" t="s">
        <v>753</v>
      </c>
      <c r="K128">
        <v>27</v>
      </c>
      <c r="V128" s="2"/>
      <c r="W128" s="2"/>
      <c r="X128" s="2"/>
      <c r="Y128" s="2"/>
      <c r="Z128" s="2"/>
      <c r="AA128" s="2"/>
      <c r="AB128" s="32"/>
      <c r="AC128" s="2"/>
      <c r="AD128" s="2"/>
      <c r="AE128" s="32"/>
      <c r="AF128" s="32"/>
      <c r="AG128" s="32"/>
      <c r="AH128" s="2"/>
      <c r="AI128" s="2"/>
      <c r="AJ128" s="2"/>
      <c r="AK128" s="2"/>
      <c r="AM128" s="2"/>
      <c r="AN128"/>
    </row>
    <row r="129" spans="1:53">
      <c r="A129" s="29" t="s">
        <v>862</v>
      </c>
      <c r="G129">
        <v>30</v>
      </c>
      <c r="H129">
        <v>16</v>
      </c>
      <c r="I129">
        <v>37</v>
      </c>
      <c r="J129">
        <v>12</v>
      </c>
      <c r="K129">
        <v>11</v>
      </c>
      <c r="L129">
        <v>19</v>
      </c>
      <c r="M129">
        <v>19</v>
      </c>
      <c r="N129">
        <v>38</v>
      </c>
      <c r="O129">
        <v>42</v>
      </c>
      <c r="V129" s="2"/>
      <c r="W129" s="2"/>
      <c r="X129" s="2"/>
      <c r="Y129" s="2"/>
      <c r="Z129" s="2"/>
      <c r="AA129" s="2"/>
      <c r="AB129" s="32">
        <v>31</v>
      </c>
      <c r="AC129" s="2"/>
      <c r="AD129" s="2"/>
      <c r="AE129" s="32">
        <v>8</v>
      </c>
      <c r="AF129" s="32"/>
      <c r="AG129" s="32"/>
      <c r="AH129" s="2"/>
      <c r="AI129" s="2"/>
      <c r="AJ129" s="2"/>
      <c r="AK129" s="2"/>
      <c r="AM129" s="2"/>
      <c r="AN129"/>
    </row>
    <row r="130" spans="1:53">
      <c r="A130" s="29" t="s">
        <v>947</v>
      </c>
      <c r="G130">
        <v>33</v>
      </c>
      <c r="H130">
        <v>19</v>
      </c>
      <c r="I130">
        <v>40</v>
      </c>
      <c r="J130">
        <v>12</v>
      </c>
      <c r="K130">
        <v>11</v>
      </c>
      <c r="L130">
        <v>22</v>
      </c>
      <c r="M130">
        <v>22</v>
      </c>
      <c r="N130">
        <v>44</v>
      </c>
      <c r="O130">
        <v>48</v>
      </c>
      <c r="V130" s="2"/>
      <c r="W130" s="2"/>
      <c r="X130" s="2"/>
      <c r="Y130" s="2"/>
      <c r="Z130" s="2"/>
      <c r="AA130" s="2"/>
      <c r="AB130" s="32">
        <v>31</v>
      </c>
      <c r="AC130" s="2"/>
      <c r="AD130" s="2"/>
      <c r="AE130" s="32">
        <v>10</v>
      </c>
      <c r="AF130" s="32"/>
      <c r="AG130" s="32"/>
      <c r="AH130" s="2"/>
      <c r="AI130" s="2"/>
      <c r="AJ130" s="2"/>
      <c r="AK130" s="2"/>
      <c r="AM130" s="2"/>
      <c r="AN130"/>
    </row>
    <row r="131" spans="1:53">
      <c r="A131" s="29" t="s">
        <v>815</v>
      </c>
      <c r="G131">
        <v>28</v>
      </c>
      <c r="H131">
        <v>24</v>
      </c>
      <c r="I131">
        <v>23</v>
      </c>
      <c r="J131">
        <v>18</v>
      </c>
      <c r="K131">
        <v>14</v>
      </c>
      <c r="L131">
        <v>14</v>
      </c>
      <c r="M131">
        <v>14</v>
      </c>
      <c r="N131">
        <v>13</v>
      </c>
      <c r="V131" s="2"/>
      <c r="W131" s="2"/>
      <c r="X131" s="2"/>
      <c r="Y131" s="2"/>
      <c r="Z131" s="2"/>
      <c r="AA131" s="2"/>
      <c r="AB131" s="32">
        <v>71</v>
      </c>
      <c r="AC131" s="2">
        <v>0.02</v>
      </c>
      <c r="AD131" s="2"/>
      <c r="AE131" s="32"/>
      <c r="AF131" s="32">
        <v>3</v>
      </c>
      <c r="AG131" s="2"/>
      <c r="AH131" s="2"/>
      <c r="AL131" s="2"/>
    </row>
    <row r="132" spans="1:53" s="185" customFormat="1" ht="12.75" customHeight="1">
      <c r="A132" s="29" t="s">
        <v>877</v>
      </c>
      <c r="B132" s="29"/>
      <c r="C132" s="29"/>
      <c r="D132" s="29"/>
      <c r="E132" s="29"/>
      <c r="F132" s="29"/>
      <c r="G132" s="29">
        <v>28</v>
      </c>
      <c r="H132" s="29">
        <v>24</v>
      </c>
      <c r="I132" s="29">
        <v>23</v>
      </c>
      <c r="J132" s="29">
        <v>18</v>
      </c>
      <c r="K132" s="29">
        <v>14</v>
      </c>
      <c r="L132" s="29">
        <v>14</v>
      </c>
      <c r="M132" s="29">
        <v>14</v>
      </c>
      <c r="N132" s="29">
        <v>43</v>
      </c>
      <c r="O132" s="29"/>
      <c r="P132" s="29"/>
      <c r="Q132" s="29"/>
      <c r="R132" s="29"/>
      <c r="S132" s="29"/>
      <c r="T132" s="29"/>
      <c r="U132" s="29"/>
      <c r="V132" s="12">
        <v>0.05</v>
      </c>
      <c r="W132" s="12"/>
      <c r="X132" s="12"/>
      <c r="Y132" s="12"/>
      <c r="Z132" s="12"/>
      <c r="AA132" s="12"/>
      <c r="AB132" s="29">
        <v>71</v>
      </c>
      <c r="AC132" s="12">
        <v>0.02</v>
      </c>
      <c r="AD132" s="12"/>
      <c r="AE132" s="29"/>
      <c r="AF132" s="42">
        <v>3</v>
      </c>
      <c r="AG132" s="12"/>
      <c r="AH132" s="12"/>
      <c r="AI132" s="29"/>
      <c r="AJ132" s="29"/>
      <c r="AK132" s="29"/>
      <c r="AL132" s="29"/>
      <c r="AM132" s="12"/>
      <c r="AN132" s="29"/>
      <c r="AO132" s="29"/>
      <c r="AP132" s="29"/>
      <c r="AQ132" s="29"/>
      <c r="AR132" s="29"/>
      <c r="AS132" s="29"/>
      <c r="AT132" s="29"/>
      <c r="AU132" s="29"/>
      <c r="AV132" s="29"/>
      <c r="AW132" s="29"/>
      <c r="AX132" s="29"/>
      <c r="AY132" s="29"/>
      <c r="AZ132" s="29"/>
      <c r="BA132" s="29"/>
    </row>
    <row r="133" spans="1:53" s="185" customFormat="1" ht="12.75" customHeight="1">
      <c r="A133" s="29" t="s">
        <v>878</v>
      </c>
      <c r="B133" s="29"/>
      <c r="C133" s="29"/>
      <c r="D133" s="29"/>
      <c r="E133" s="29"/>
      <c r="F133" s="29"/>
      <c r="G133" s="29">
        <v>28</v>
      </c>
      <c r="H133" s="29">
        <v>24</v>
      </c>
      <c r="I133" s="29">
        <v>23</v>
      </c>
      <c r="J133" s="29">
        <v>18</v>
      </c>
      <c r="K133" s="29">
        <v>14</v>
      </c>
      <c r="L133" s="29">
        <v>14</v>
      </c>
      <c r="M133" s="29">
        <v>14</v>
      </c>
      <c r="N133" s="29">
        <v>43</v>
      </c>
      <c r="O133" s="29"/>
      <c r="P133" s="29"/>
      <c r="Q133" s="29"/>
      <c r="R133" s="29"/>
      <c r="S133" s="29"/>
      <c r="T133" s="29"/>
      <c r="U133" s="29"/>
      <c r="V133" s="12"/>
      <c r="W133" s="12"/>
      <c r="X133" s="12"/>
      <c r="Y133" s="12"/>
      <c r="Z133" s="12"/>
      <c r="AA133" s="12"/>
      <c r="AB133" s="29">
        <v>71</v>
      </c>
      <c r="AC133" s="12">
        <v>0.02</v>
      </c>
      <c r="AD133" s="12"/>
      <c r="AE133" s="29">
        <v>8</v>
      </c>
      <c r="AF133" s="42">
        <v>3</v>
      </c>
      <c r="AG133" s="12"/>
      <c r="AH133" s="12"/>
      <c r="AI133" s="29"/>
      <c r="AJ133" s="29"/>
      <c r="AK133" s="29"/>
      <c r="AL133" s="29"/>
      <c r="AM133" s="12"/>
      <c r="AN133" s="29"/>
      <c r="AO133" s="29"/>
      <c r="AP133" s="29"/>
      <c r="AQ133" s="29"/>
      <c r="AR133" s="29"/>
      <c r="AS133" s="29"/>
      <c r="AT133" s="29"/>
      <c r="AU133" s="29"/>
      <c r="AV133" s="29"/>
      <c r="AW133" s="29"/>
      <c r="AX133" s="29"/>
      <c r="AY133" s="29"/>
      <c r="AZ133" s="29"/>
      <c r="BA133" s="29"/>
    </row>
    <row r="134" spans="1:53" s="185" customFormat="1" ht="12.75" customHeight="1">
      <c r="A134" s="29" t="s">
        <v>879</v>
      </c>
      <c r="B134" s="29"/>
      <c r="C134" s="29"/>
      <c r="D134" s="29"/>
      <c r="E134" s="29"/>
      <c r="F134" s="29"/>
      <c r="G134" s="29">
        <v>28</v>
      </c>
      <c r="H134" s="29">
        <v>24</v>
      </c>
      <c r="I134" s="29">
        <v>23</v>
      </c>
      <c r="J134" s="29">
        <v>18</v>
      </c>
      <c r="K134" s="29">
        <v>14</v>
      </c>
      <c r="L134" s="29">
        <v>14</v>
      </c>
      <c r="M134" s="29">
        <v>14</v>
      </c>
      <c r="N134" s="29">
        <v>43</v>
      </c>
      <c r="O134" s="29"/>
      <c r="P134" s="29"/>
      <c r="Q134" s="29"/>
      <c r="R134" s="29"/>
      <c r="S134" s="29"/>
      <c r="T134" s="29"/>
      <c r="U134" s="29"/>
      <c r="V134" s="12"/>
      <c r="W134" s="12"/>
      <c r="X134" s="12"/>
      <c r="Y134" s="12"/>
      <c r="Z134" s="12"/>
      <c r="AA134" s="12"/>
      <c r="AB134" s="29">
        <v>71</v>
      </c>
      <c r="AC134" s="12">
        <v>0.02</v>
      </c>
      <c r="AD134" s="12"/>
      <c r="AE134" s="29"/>
      <c r="AF134" s="42">
        <v>3</v>
      </c>
      <c r="AG134" s="12"/>
      <c r="AH134" s="12">
        <v>0.05</v>
      </c>
      <c r="AI134" s="29"/>
      <c r="AJ134" s="29"/>
      <c r="AK134" s="29"/>
      <c r="AL134" s="29"/>
      <c r="AM134" s="12"/>
      <c r="AN134" s="29"/>
      <c r="AO134" s="29"/>
      <c r="AP134" s="29"/>
      <c r="AQ134" s="29"/>
      <c r="AR134" s="29"/>
      <c r="AS134" s="29"/>
      <c r="AT134" s="29"/>
      <c r="AU134" s="29"/>
      <c r="AV134" s="29"/>
      <c r="AW134" s="29"/>
      <c r="AX134" s="29"/>
      <c r="AY134" s="29"/>
      <c r="AZ134" s="29"/>
      <c r="BA134" s="29"/>
    </row>
    <row r="135" spans="1:53">
      <c r="A135" s="29" t="s">
        <v>826</v>
      </c>
      <c r="G135">
        <f>28</f>
        <v>28</v>
      </c>
      <c r="H135">
        <f>24</f>
        <v>24</v>
      </c>
      <c r="I135">
        <v>23</v>
      </c>
      <c r="J135">
        <v>18</v>
      </c>
      <c r="K135">
        <v>14</v>
      </c>
      <c r="L135">
        <v>14</v>
      </c>
      <c r="M135">
        <v>14</v>
      </c>
      <c r="N135">
        <f>13+8</f>
        <v>21</v>
      </c>
      <c r="O135">
        <v>8</v>
      </c>
      <c r="S135">
        <v>10</v>
      </c>
      <c r="T135">
        <v>32</v>
      </c>
      <c r="V135" s="2"/>
      <c r="W135" s="2"/>
      <c r="X135" s="2"/>
      <c r="Y135" s="2"/>
      <c r="Z135" s="2"/>
      <c r="AA135" s="2"/>
      <c r="AB135" s="32">
        <v>71</v>
      </c>
      <c r="AC135" s="2">
        <v>0.02</v>
      </c>
      <c r="AD135" s="2"/>
      <c r="AE135" s="32"/>
      <c r="AF135" s="32">
        <v>3</v>
      </c>
      <c r="AG135" s="2"/>
      <c r="AH135" s="2"/>
      <c r="AL135" s="2"/>
    </row>
    <row r="136" spans="1:53">
      <c r="A136" s="29" t="s">
        <v>871</v>
      </c>
      <c r="G136">
        <v>28</v>
      </c>
      <c r="H136">
        <f>24+8</f>
        <v>32</v>
      </c>
      <c r="I136">
        <f>23+6</f>
        <v>29</v>
      </c>
      <c r="J136">
        <v>18</v>
      </c>
      <c r="K136">
        <v>14</v>
      </c>
      <c r="L136">
        <v>14</v>
      </c>
      <c r="M136">
        <v>14</v>
      </c>
      <c r="N136">
        <f>13+29</f>
        <v>42</v>
      </c>
      <c r="O136">
        <v>10</v>
      </c>
      <c r="V136" s="2">
        <v>0.05</v>
      </c>
      <c r="W136" s="2"/>
      <c r="X136" s="2"/>
      <c r="Y136" s="2"/>
      <c r="Z136" s="2"/>
      <c r="AA136" s="2"/>
      <c r="AB136" s="32">
        <v>71</v>
      </c>
      <c r="AC136" s="2">
        <v>0.02</v>
      </c>
      <c r="AD136" s="2"/>
      <c r="AE136" s="32"/>
      <c r="AF136" s="32">
        <v>3</v>
      </c>
      <c r="AG136" s="2"/>
      <c r="AH136" s="2"/>
      <c r="AL136" s="2"/>
    </row>
    <row r="137" spans="1:53">
      <c r="A137" s="29" t="s">
        <v>865</v>
      </c>
      <c r="G137">
        <f>28+10</f>
        <v>38</v>
      </c>
      <c r="H137">
        <v>34</v>
      </c>
      <c r="I137">
        <v>23</v>
      </c>
      <c r="J137">
        <v>18</v>
      </c>
      <c r="K137">
        <v>14</v>
      </c>
      <c r="L137">
        <v>14</v>
      </c>
      <c r="M137">
        <v>14</v>
      </c>
      <c r="N137">
        <f>13+24</f>
        <v>37</v>
      </c>
      <c r="V137" s="2"/>
      <c r="W137" s="2"/>
      <c r="X137" s="2"/>
      <c r="Y137" s="2"/>
      <c r="Z137" s="2"/>
      <c r="AA137" s="2"/>
      <c r="AB137" s="32">
        <v>71</v>
      </c>
      <c r="AC137" s="2">
        <v>0.02</v>
      </c>
      <c r="AD137" s="2"/>
      <c r="AE137" s="32"/>
      <c r="AF137" s="32">
        <v>3</v>
      </c>
      <c r="AG137" s="2"/>
      <c r="AH137" s="2">
        <v>0.04</v>
      </c>
      <c r="AL137" s="2"/>
    </row>
    <row r="138" spans="1:53">
      <c r="A138" s="29" t="s">
        <v>891</v>
      </c>
      <c r="G138">
        <f>28+14</f>
        <v>42</v>
      </c>
      <c r="H138">
        <v>24</v>
      </c>
      <c r="I138">
        <v>23</v>
      </c>
      <c r="J138">
        <v>18</v>
      </c>
      <c r="K138">
        <v>14</v>
      </c>
      <c r="L138">
        <v>14</v>
      </c>
      <c r="M138">
        <v>14</v>
      </c>
      <c r="N138">
        <f>13+20</f>
        <v>33</v>
      </c>
      <c r="O138">
        <v>20</v>
      </c>
      <c r="V138" s="2">
        <v>0.03</v>
      </c>
      <c r="W138" s="2"/>
      <c r="X138" s="2"/>
      <c r="Y138" s="2"/>
      <c r="Z138" s="2"/>
      <c r="AA138" s="2"/>
      <c r="AB138" s="32">
        <v>71</v>
      </c>
      <c r="AC138" s="2">
        <v>0.02</v>
      </c>
      <c r="AD138" s="2"/>
      <c r="AE138" s="32"/>
      <c r="AF138" s="32">
        <v>3</v>
      </c>
      <c r="AG138" s="2"/>
      <c r="AH138" s="2"/>
      <c r="AL138" s="2"/>
    </row>
    <row r="139" spans="1:53">
      <c r="A139" s="29" t="s">
        <v>939</v>
      </c>
      <c r="G139">
        <v>28</v>
      </c>
      <c r="H139">
        <v>39</v>
      </c>
      <c r="I139">
        <v>23</v>
      </c>
      <c r="J139">
        <v>18</v>
      </c>
      <c r="K139">
        <v>14</v>
      </c>
      <c r="L139">
        <v>14</v>
      </c>
      <c r="M139">
        <v>14</v>
      </c>
      <c r="N139">
        <v>53</v>
      </c>
      <c r="O139">
        <v>40</v>
      </c>
      <c r="V139" s="2"/>
      <c r="W139" s="2">
        <v>0.03</v>
      </c>
      <c r="X139" s="2">
        <v>0.03</v>
      </c>
      <c r="Y139" s="2"/>
      <c r="Z139" s="2"/>
      <c r="AA139" s="2"/>
      <c r="AB139" s="32">
        <v>71</v>
      </c>
      <c r="AC139" s="2">
        <v>0.02</v>
      </c>
      <c r="AD139" s="2"/>
      <c r="AE139" s="32"/>
      <c r="AF139" s="32">
        <v>3</v>
      </c>
      <c r="AG139" s="2"/>
      <c r="AH139" s="2"/>
      <c r="AL139" s="2"/>
    </row>
    <row r="140" spans="1:53">
      <c r="A140" t="s">
        <v>591</v>
      </c>
      <c r="G140">
        <v>25</v>
      </c>
      <c r="H140">
        <v>19</v>
      </c>
      <c r="I140">
        <v>25</v>
      </c>
      <c r="J140">
        <v>19</v>
      </c>
      <c r="K140">
        <v>17</v>
      </c>
      <c r="L140">
        <v>17</v>
      </c>
      <c r="M140">
        <v>17</v>
      </c>
      <c r="N140">
        <v>25</v>
      </c>
      <c r="O140">
        <v>25</v>
      </c>
      <c r="V140" s="2"/>
      <c r="W140" s="2"/>
      <c r="X140" s="2"/>
      <c r="Y140" s="2"/>
      <c r="Z140" s="2"/>
      <c r="AA140" s="2"/>
      <c r="AB140" s="32">
        <v>71</v>
      </c>
      <c r="AC140" s="2"/>
      <c r="AD140" s="2"/>
      <c r="AE140" s="32">
        <v>4</v>
      </c>
      <c r="AF140" s="2"/>
      <c r="AG140" s="2"/>
      <c r="AH140" s="2"/>
      <c r="AL140" s="2"/>
    </row>
    <row r="141" spans="1:53">
      <c r="A141" t="s">
        <v>784</v>
      </c>
      <c r="G141">
        <v>24</v>
      </c>
      <c r="H141">
        <v>16</v>
      </c>
      <c r="I141">
        <v>24</v>
      </c>
      <c r="J141">
        <v>16</v>
      </c>
      <c r="K141">
        <v>14</v>
      </c>
      <c r="L141">
        <v>14</v>
      </c>
      <c r="M141">
        <v>14</v>
      </c>
      <c r="N141">
        <v>10</v>
      </c>
      <c r="V141" s="2"/>
      <c r="W141" s="2"/>
      <c r="X141" s="2"/>
      <c r="Y141" s="2"/>
      <c r="Z141" s="2"/>
      <c r="AA141" s="2"/>
      <c r="AB141" s="32">
        <v>71</v>
      </c>
      <c r="AC141" s="2"/>
      <c r="AD141" s="2"/>
      <c r="AE141" s="32">
        <v>4</v>
      </c>
      <c r="AF141" s="2"/>
      <c r="AG141" s="2"/>
      <c r="AH141" s="2"/>
      <c r="AL141" s="2"/>
      <c r="AO141" s="32"/>
    </row>
    <row r="142" spans="1:53">
      <c r="AE142" s="32"/>
    </row>
    <row r="143" spans="1:53">
      <c r="AE143" s="32"/>
    </row>
    <row r="144" spans="1:53">
      <c r="A144" t="s">
        <v>17</v>
      </c>
      <c r="B144" t="s">
        <v>492</v>
      </c>
      <c r="C144" t="s">
        <v>489</v>
      </c>
      <c r="D144" t="s">
        <v>490</v>
      </c>
      <c r="E144" t="s">
        <v>491</v>
      </c>
      <c r="F144" s="29" t="s">
        <v>636</v>
      </c>
      <c r="G144" t="s">
        <v>3</v>
      </c>
      <c r="H144" t="s">
        <v>4</v>
      </c>
      <c r="I144" t="s">
        <v>5</v>
      </c>
      <c r="J144" t="s">
        <v>42</v>
      </c>
      <c r="K144" t="s">
        <v>182</v>
      </c>
      <c r="L144" t="s">
        <v>183</v>
      </c>
      <c r="M144" t="s">
        <v>245</v>
      </c>
      <c r="N144" t="s">
        <v>10</v>
      </c>
      <c r="O144" t="s">
        <v>9</v>
      </c>
      <c r="P144" t="s">
        <v>437</v>
      </c>
      <c r="Q144" t="s">
        <v>757</v>
      </c>
      <c r="R144" t="s">
        <v>758</v>
      </c>
      <c r="S144" t="s">
        <v>759</v>
      </c>
      <c r="T144" s="32" t="s">
        <v>760</v>
      </c>
      <c r="U144" s="173" t="s">
        <v>761</v>
      </c>
      <c r="V144" t="s">
        <v>12</v>
      </c>
      <c r="W144" t="s">
        <v>150</v>
      </c>
      <c r="X144" t="s">
        <v>416</v>
      </c>
      <c r="Y144" t="s">
        <v>596</v>
      </c>
      <c r="Z144" t="s">
        <v>454</v>
      </c>
      <c r="AA144" t="s">
        <v>266</v>
      </c>
      <c r="AB144" t="s">
        <v>11</v>
      </c>
      <c r="AC144" t="s">
        <v>125</v>
      </c>
      <c r="AD144" t="s">
        <v>124</v>
      </c>
      <c r="AE144" s="32" t="s">
        <v>455</v>
      </c>
      <c r="AF144" t="s">
        <v>122</v>
      </c>
      <c r="AG144" t="s">
        <v>184</v>
      </c>
      <c r="AH144" t="s">
        <v>164</v>
      </c>
      <c r="AI144" s="32" t="s">
        <v>564</v>
      </c>
      <c r="AJ144" s="32" t="s">
        <v>565</v>
      </c>
      <c r="AK144" s="29" t="s">
        <v>538</v>
      </c>
      <c r="AL144" t="s">
        <v>417</v>
      </c>
      <c r="AM144" t="s">
        <v>691</v>
      </c>
      <c r="AN144" s="32" t="s">
        <v>218</v>
      </c>
      <c r="AO144" t="s">
        <v>219</v>
      </c>
    </row>
    <row r="145" spans="1:40">
      <c r="A145" s="29" t="s">
        <v>693</v>
      </c>
      <c r="N145">
        <v>8</v>
      </c>
      <c r="O145">
        <v>5</v>
      </c>
      <c r="AE145" s="32"/>
    </row>
    <row r="146" spans="1:40">
      <c r="A146" s="29" t="s">
        <v>918</v>
      </c>
      <c r="N146">
        <v>-10</v>
      </c>
      <c r="AE146" s="32">
        <v>8</v>
      </c>
    </row>
    <row r="147" spans="1:40">
      <c r="A147" t="s">
        <v>331</v>
      </c>
      <c r="I147">
        <v>9</v>
      </c>
      <c r="AE147" s="32"/>
    </row>
    <row r="148" spans="1:40">
      <c r="A148" t="s">
        <v>597</v>
      </c>
      <c r="O148">
        <v>8</v>
      </c>
      <c r="V148" s="2">
        <v>0.02</v>
      </c>
      <c r="AE148" s="32">
        <v>3</v>
      </c>
    </row>
    <row r="149" spans="1:40">
      <c r="A149" t="s">
        <v>191</v>
      </c>
      <c r="G149">
        <v>5</v>
      </c>
      <c r="N149">
        <v>8</v>
      </c>
      <c r="O149">
        <v>8</v>
      </c>
      <c r="V149" s="2"/>
      <c r="W149" s="2"/>
      <c r="X149" s="2"/>
      <c r="Y149" s="2"/>
      <c r="Z149" s="2"/>
      <c r="AA149" s="2"/>
      <c r="AB149" s="32"/>
      <c r="AC149" s="2"/>
      <c r="AD149" s="2"/>
      <c r="AE149" s="32"/>
      <c r="AF149" s="2"/>
      <c r="AG149" s="2"/>
      <c r="AH149" s="2"/>
      <c r="AL149" s="2"/>
    </row>
    <row r="150" spans="1:40">
      <c r="A150" t="s">
        <v>828</v>
      </c>
      <c r="G150">
        <v>6</v>
      </c>
      <c r="H150">
        <v>6</v>
      </c>
      <c r="O150">
        <v>10</v>
      </c>
      <c r="V150" s="2"/>
      <c r="W150" s="2"/>
      <c r="X150" s="2"/>
      <c r="Y150" s="2"/>
      <c r="Z150" s="2"/>
      <c r="AA150" s="2"/>
      <c r="AB150" s="32"/>
      <c r="AC150" s="2"/>
      <c r="AD150" s="2"/>
      <c r="AE150" s="32"/>
      <c r="AF150" s="2"/>
      <c r="AG150" s="2"/>
      <c r="AH150" s="2"/>
      <c r="AL150" s="2"/>
    </row>
    <row r="151" spans="1:40">
      <c r="A151" t="s">
        <v>812</v>
      </c>
      <c r="B151">
        <v>15</v>
      </c>
      <c r="C151">
        <v>15</v>
      </c>
      <c r="D151">
        <v>15</v>
      </c>
      <c r="E151">
        <v>15</v>
      </c>
      <c r="V151" s="2"/>
      <c r="W151" s="2"/>
      <c r="X151" s="2"/>
      <c r="Y151" s="2"/>
      <c r="Z151" s="2"/>
      <c r="AA151" s="2"/>
      <c r="AB151" s="32"/>
      <c r="AC151" s="2"/>
      <c r="AD151" s="2"/>
      <c r="AE151" s="32">
        <v>4</v>
      </c>
      <c r="AF151" s="2"/>
      <c r="AG151" s="2"/>
      <c r="AH151" s="2"/>
      <c r="AL151" s="2"/>
    </row>
    <row r="152" spans="1:40">
      <c r="A152" t="s">
        <v>829</v>
      </c>
      <c r="N152">
        <v>6</v>
      </c>
      <c r="V152" s="2"/>
      <c r="W152" s="2">
        <v>0.01</v>
      </c>
      <c r="X152" s="2"/>
      <c r="Y152" s="2"/>
      <c r="Z152" s="2"/>
      <c r="AA152" s="2"/>
      <c r="AB152" s="32"/>
      <c r="AC152" s="2"/>
      <c r="AD152" s="2"/>
      <c r="AE152" s="32"/>
      <c r="AF152" s="2"/>
      <c r="AG152" s="2"/>
      <c r="AH152" s="2"/>
      <c r="AL152" s="2"/>
    </row>
    <row r="153" spans="1:40">
      <c r="A153" t="s">
        <v>332</v>
      </c>
      <c r="I153">
        <v>4</v>
      </c>
      <c r="V153" s="2"/>
      <c r="W153" s="2"/>
      <c r="X153" s="2">
        <v>0.02</v>
      </c>
      <c r="Y153" s="2"/>
      <c r="Z153" s="2"/>
      <c r="AA153" s="2"/>
      <c r="AB153" s="32"/>
      <c r="AC153" s="2"/>
      <c r="AD153" s="2"/>
      <c r="AE153" s="32"/>
      <c r="AF153" s="2"/>
      <c r="AG153" s="2"/>
      <c r="AH153" s="2"/>
      <c r="AL153" s="2"/>
    </row>
    <row r="154" spans="1:40">
      <c r="A154" t="s">
        <v>27</v>
      </c>
      <c r="N154">
        <v>10</v>
      </c>
      <c r="V154" s="2"/>
      <c r="W154" s="2"/>
      <c r="X154" s="2"/>
      <c r="Y154" s="2"/>
      <c r="Z154" s="2"/>
      <c r="AA154" s="2"/>
      <c r="AB154" s="32"/>
      <c r="AC154" s="2"/>
      <c r="AD154" s="2"/>
      <c r="AE154" s="32"/>
      <c r="AF154" s="2"/>
      <c r="AG154" s="2"/>
      <c r="AH154" s="2"/>
      <c r="AI154" s="32">
        <v>100</v>
      </c>
      <c r="AL154" s="2"/>
    </row>
    <row r="155" spans="1:40">
      <c r="A155" t="s">
        <v>447</v>
      </c>
      <c r="J155">
        <v>6</v>
      </c>
      <c r="N155">
        <v>6</v>
      </c>
      <c r="V155" s="2"/>
      <c r="W155" s="2"/>
      <c r="X155" s="2"/>
      <c r="Y155" s="2"/>
      <c r="Z155" s="2"/>
      <c r="AA155" s="2"/>
      <c r="AB155" s="32"/>
      <c r="AC155" s="2"/>
      <c r="AD155" s="2"/>
      <c r="AE155" s="32">
        <v>3</v>
      </c>
      <c r="AF155" s="2"/>
      <c r="AG155" s="2"/>
      <c r="AH155" s="2"/>
      <c r="AL155" s="2"/>
    </row>
    <row r="156" spans="1:40">
      <c r="A156" s="29" t="s">
        <v>706</v>
      </c>
      <c r="B156" s="29"/>
      <c r="C156" s="29"/>
      <c r="D156" s="29"/>
      <c r="E156" s="29"/>
      <c r="F156" s="29"/>
      <c r="G156" s="29"/>
      <c r="H156" s="29"/>
      <c r="I156" s="29"/>
      <c r="J156" s="29"/>
      <c r="K156" s="29"/>
      <c r="L156" s="29"/>
      <c r="M156" s="29"/>
      <c r="N156" s="29">
        <v>13</v>
      </c>
      <c r="O156" s="29"/>
      <c r="V156" s="12"/>
      <c r="W156" s="12"/>
      <c r="X156" s="12"/>
      <c r="Y156" s="12"/>
      <c r="Z156" s="12"/>
      <c r="AA156" s="12"/>
      <c r="AB156" s="42"/>
      <c r="AC156" s="12"/>
      <c r="AD156" s="12"/>
      <c r="AE156" s="32"/>
      <c r="AF156" s="12"/>
      <c r="AG156" s="42"/>
      <c r="AH156" s="12"/>
      <c r="AI156" s="42"/>
      <c r="AJ156" s="42"/>
      <c r="AK156" s="12"/>
      <c r="AM156" s="12"/>
      <c r="AN156"/>
    </row>
    <row r="157" spans="1:40">
      <c r="A157" t="s">
        <v>210</v>
      </c>
      <c r="G157">
        <v>7</v>
      </c>
      <c r="N157">
        <v>-3</v>
      </c>
      <c r="V157" s="2"/>
      <c r="W157" s="2"/>
      <c r="X157" s="2"/>
      <c r="Y157" s="2"/>
      <c r="Z157" s="2"/>
      <c r="AA157" s="2"/>
      <c r="AB157" s="32"/>
      <c r="AC157" s="2"/>
      <c r="AD157" s="2"/>
      <c r="AE157" s="32"/>
      <c r="AF157" s="2"/>
      <c r="AG157" s="2"/>
      <c r="AH157" s="2"/>
      <c r="AL157" s="2"/>
    </row>
    <row r="158" spans="1:40">
      <c r="A158" s="29" t="s">
        <v>763</v>
      </c>
      <c r="G158">
        <v>7</v>
      </c>
      <c r="I158">
        <v>-5</v>
      </c>
      <c r="O158">
        <v>8</v>
      </c>
      <c r="V158" s="2"/>
      <c r="W158" s="2"/>
      <c r="X158" s="2"/>
      <c r="Y158" s="2"/>
      <c r="Z158" s="2"/>
      <c r="AA158" s="2"/>
      <c r="AB158" s="32"/>
      <c r="AC158" s="2"/>
      <c r="AD158" s="2"/>
      <c r="AE158" s="32"/>
      <c r="AF158" s="32"/>
      <c r="AG158" s="32"/>
      <c r="AH158" s="2"/>
      <c r="AI158" s="2"/>
      <c r="AJ158" s="2"/>
      <c r="AK158" s="2"/>
      <c r="AM158" s="2"/>
      <c r="AN158"/>
    </row>
    <row r="159" spans="1:40">
      <c r="A159" s="29" t="s">
        <v>811</v>
      </c>
      <c r="N159">
        <v>8</v>
      </c>
      <c r="V159" s="2">
        <v>0.01</v>
      </c>
      <c r="W159" s="2"/>
      <c r="X159" s="2"/>
      <c r="Y159" s="2"/>
      <c r="Z159" s="2"/>
      <c r="AA159" s="2"/>
      <c r="AB159" s="32"/>
      <c r="AC159" s="2"/>
      <c r="AD159" s="2"/>
      <c r="AE159" s="32">
        <v>4</v>
      </c>
      <c r="AF159" s="32"/>
      <c r="AG159" s="32"/>
      <c r="AH159" s="2"/>
      <c r="AI159" s="2"/>
      <c r="AJ159" s="2"/>
      <c r="AK159" s="2"/>
      <c r="AM159" s="2"/>
      <c r="AN159"/>
    </row>
    <row r="160" spans="1:40">
      <c r="A160" s="29" t="s">
        <v>764</v>
      </c>
      <c r="N160">
        <v>3</v>
      </c>
      <c r="S160">
        <v>3</v>
      </c>
      <c r="V160" s="2"/>
      <c r="W160" s="2"/>
      <c r="X160" s="2"/>
      <c r="Y160" s="2"/>
      <c r="Z160" s="2"/>
      <c r="AA160" s="2"/>
      <c r="AB160" s="32"/>
      <c r="AC160" s="2">
        <v>0.03</v>
      </c>
      <c r="AD160" s="2"/>
      <c r="AE160" s="32"/>
      <c r="AF160" s="32"/>
      <c r="AG160" s="32"/>
      <c r="AH160" s="2"/>
      <c r="AI160" s="2"/>
      <c r="AJ160" s="2"/>
      <c r="AK160" s="2"/>
      <c r="AM160" s="2"/>
      <c r="AN160"/>
    </row>
    <row r="161" spans="1:41">
      <c r="A161" s="29" t="s">
        <v>638</v>
      </c>
      <c r="B161" s="29"/>
      <c r="C161" s="29"/>
      <c r="D161" s="29"/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V161" s="12"/>
      <c r="W161" s="12"/>
      <c r="X161" s="12"/>
      <c r="Y161" s="12"/>
      <c r="Z161" s="12"/>
      <c r="AA161" s="12"/>
      <c r="AB161" s="42"/>
      <c r="AC161" s="12"/>
      <c r="AD161" s="12"/>
      <c r="AE161" s="32">
        <v>5</v>
      </c>
      <c r="AF161" s="12"/>
      <c r="AG161" s="42"/>
      <c r="AH161" s="12"/>
      <c r="AI161" s="42"/>
      <c r="AJ161" s="42"/>
      <c r="AK161" s="42"/>
      <c r="AL161" s="12"/>
      <c r="AM161" s="42"/>
    </row>
    <row r="162" spans="1:41">
      <c r="A162" t="s">
        <v>70</v>
      </c>
      <c r="N162">
        <v>10</v>
      </c>
      <c r="V162" s="2"/>
      <c r="W162" s="2"/>
      <c r="X162" s="2"/>
      <c r="Y162" s="2"/>
      <c r="Z162" s="2"/>
      <c r="AA162" s="2"/>
      <c r="AB162" s="32"/>
      <c r="AC162" s="2"/>
      <c r="AD162" s="2"/>
      <c r="AE162" s="32"/>
      <c r="AF162" s="2"/>
      <c r="AG162" s="2"/>
      <c r="AH162" s="2"/>
      <c r="AL162" s="2"/>
    </row>
    <row r="163" spans="1:41">
      <c r="A163" t="s">
        <v>576</v>
      </c>
      <c r="N163">
        <v>5</v>
      </c>
      <c r="O163">
        <v>5</v>
      </c>
      <c r="V163" s="2">
        <v>0.02</v>
      </c>
      <c r="W163" s="2"/>
      <c r="X163" s="2"/>
      <c r="Y163" s="2"/>
      <c r="Z163" s="2"/>
      <c r="AA163" s="2"/>
      <c r="AB163" s="32"/>
      <c r="AC163" s="2"/>
      <c r="AD163" s="2"/>
      <c r="AE163" s="32"/>
      <c r="AF163" s="2"/>
      <c r="AG163" s="2"/>
      <c r="AH163" s="2"/>
      <c r="AL163" s="2"/>
    </row>
    <row r="164" spans="1:41">
      <c r="A164" s="29" t="s">
        <v>762</v>
      </c>
      <c r="H164">
        <v>7</v>
      </c>
      <c r="J164">
        <v>-5</v>
      </c>
      <c r="N164">
        <v>8</v>
      </c>
      <c r="S164" s="29"/>
      <c r="V164" s="2"/>
      <c r="W164" s="2"/>
      <c r="X164" s="2"/>
      <c r="Y164" s="2"/>
      <c r="Z164" s="2"/>
      <c r="AA164" s="2"/>
      <c r="AB164" s="32"/>
      <c r="AC164" s="2"/>
      <c r="AD164" s="2"/>
      <c r="AE164" s="32"/>
      <c r="AF164" s="32"/>
      <c r="AG164" s="32"/>
      <c r="AH164" s="2"/>
      <c r="AI164" s="2"/>
      <c r="AJ164" s="2"/>
      <c r="AK164" s="2"/>
      <c r="AM164" s="2"/>
      <c r="AN164"/>
    </row>
    <row r="165" spans="1:41">
      <c r="A165" s="29" t="s">
        <v>819</v>
      </c>
      <c r="N165">
        <v>15</v>
      </c>
      <c r="S165" s="29"/>
      <c r="V165" s="2"/>
      <c r="W165" s="2"/>
      <c r="X165" s="2"/>
      <c r="Y165" s="2"/>
      <c r="Z165" s="2"/>
      <c r="AA165" s="2"/>
      <c r="AB165" s="32"/>
      <c r="AC165" s="2"/>
      <c r="AD165" s="2"/>
      <c r="AE165" s="32"/>
      <c r="AF165" s="32"/>
      <c r="AG165" s="32"/>
      <c r="AH165" s="2"/>
      <c r="AI165" s="2"/>
      <c r="AJ165" s="2"/>
      <c r="AK165" s="2"/>
      <c r="AM165" s="2"/>
      <c r="AN165"/>
    </row>
    <row r="166" spans="1:41">
      <c r="A166" s="29" t="s">
        <v>894</v>
      </c>
      <c r="I166">
        <v>9</v>
      </c>
      <c r="M166">
        <v>9</v>
      </c>
      <c r="N166">
        <v>5</v>
      </c>
      <c r="S166" s="29"/>
      <c r="V166" s="2"/>
      <c r="W166" s="2"/>
      <c r="X166" s="2"/>
      <c r="Y166" s="2"/>
      <c r="Z166" s="2"/>
      <c r="AA166" s="2"/>
      <c r="AB166" s="32"/>
      <c r="AC166" s="2"/>
      <c r="AD166" s="2"/>
      <c r="AE166" s="32"/>
      <c r="AF166" s="32"/>
      <c r="AG166" s="32"/>
      <c r="AH166" s="2"/>
      <c r="AI166" s="2"/>
      <c r="AJ166" s="2"/>
      <c r="AK166" s="2"/>
      <c r="AM166" s="2"/>
      <c r="AN166"/>
    </row>
    <row r="167" spans="1:41" s="29" customFormat="1">
      <c r="A167" s="29" t="s">
        <v>747</v>
      </c>
      <c r="V167" s="12"/>
      <c r="W167" s="12"/>
      <c r="X167" s="12"/>
      <c r="Y167" s="12"/>
      <c r="Z167" s="12"/>
      <c r="AA167" s="12"/>
      <c r="AB167" s="42"/>
      <c r="AC167" s="12"/>
      <c r="AD167" s="12"/>
      <c r="AE167" s="32"/>
      <c r="AF167" s="42">
        <v>30</v>
      </c>
      <c r="AG167" s="12"/>
      <c r="AH167" s="12"/>
      <c r="AI167" s="42"/>
      <c r="AJ167" s="42"/>
      <c r="AK167" s="42"/>
      <c r="AM167" s="42"/>
    </row>
    <row r="168" spans="1:41" s="29" customFormat="1">
      <c r="A168" s="29" t="s">
        <v>746</v>
      </c>
      <c r="V168" s="12"/>
      <c r="W168" s="12"/>
      <c r="X168" s="12"/>
      <c r="Y168" s="12"/>
      <c r="Z168" s="12"/>
      <c r="AA168" s="12"/>
      <c r="AB168" s="42"/>
      <c r="AC168" s="12"/>
      <c r="AD168" s="12"/>
      <c r="AE168" s="32"/>
      <c r="AF168" s="42">
        <v>30</v>
      </c>
      <c r="AG168" s="12"/>
      <c r="AH168" s="12">
        <v>0.25</v>
      </c>
      <c r="AI168" s="42"/>
      <c r="AJ168" s="42"/>
      <c r="AK168" s="42"/>
      <c r="AM168" s="42"/>
    </row>
    <row r="169" spans="1:41">
      <c r="A169" t="s">
        <v>74</v>
      </c>
      <c r="N169">
        <v>12</v>
      </c>
      <c r="V169" s="2"/>
      <c r="W169" s="2"/>
      <c r="X169" s="2"/>
      <c r="Y169" s="2"/>
      <c r="Z169" s="2"/>
      <c r="AA169" s="2"/>
      <c r="AB169" s="32"/>
      <c r="AC169" s="2"/>
      <c r="AD169" s="2"/>
      <c r="AE169" s="32"/>
      <c r="AF169" s="2"/>
      <c r="AG169" s="2"/>
      <c r="AH169" s="2"/>
      <c r="AL169" s="2"/>
    </row>
    <row r="170" spans="1:41">
      <c r="AE170" s="32"/>
    </row>
    <row r="171" spans="1:41">
      <c r="AE171" s="32"/>
    </row>
    <row r="172" spans="1:41">
      <c r="A172" t="s">
        <v>63</v>
      </c>
      <c r="B172" t="s">
        <v>492</v>
      </c>
      <c r="C172" t="s">
        <v>489</v>
      </c>
      <c r="D172" t="s">
        <v>490</v>
      </c>
      <c r="E172" t="s">
        <v>491</v>
      </c>
      <c r="F172" s="29" t="s">
        <v>636</v>
      </c>
      <c r="G172" t="s">
        <v>3</v>
      </c>
      <c r="H172" t="s">
        <v>4</v>
      </c>
      <c r="I172" t="s">
        <v>5</v>
      </c>
      <c r="J172" t="s">
        <v>42</v>
      </c>
      <c r="K172" t="s">
        <v>182</v>
      </c>
      <c r="L172" t="s">
        <v>183</v>
      </c>
      <c r="M172" t="s">
        <v>245</v>
      </c>
      <c r="N172" t="s">
        <v>10</v>
      </c>
      <c r="O172" t="s">
        <v>9</v>
      </c>
      <c r="P172" t="s">
        <v>437</v>
      </c>
      <c r="Q172" t="s">
        <v>757</v>
      </c>
      <c r="R172" t="s">
        <v>758</v>
      </c>
      <c r="S172" t="s">
        <v>759</v>
      </c>
      <c r="T172" s="32" t="s">
        <v>760</v>
      </c>
      <c r="U172" s="173" t="s">
        <v>761</v>
      </c>
      <c r="V172" t="s">
        <v>12</v>
      </c>
      <c r="W172" t="s">
        <v>150</v>
      </c>
      <c r="X172" t="s">
        <v>416</v>
      </c>
      <c r="Y172" t="s">
        <v>596</v>
      </c>
      <c r="Z172" t="s">
        <v>454</v>
      </c>
      <c r="AA172" t="s">
        <v>266</v>
      </c>
      <c r="AB172" t="s">
        <v>11</v>
      </c>
      <c r="AC172" t="s">
        <v>125</v>
      </c>
      <c r="AD172" t="s">
        <v>124</v>
      </c>
      <c r="AE172" s="32" t="s">
        <v>455</v>
      </c>
      <c r="AF172" t="s">
        <v>122</v>
      </c>
      <c r="AG172" t="s">
        <v>184</v>
      </c>
      <c r="AH172" t="s">
        <v>164</v>
      </c>
      <c r="AI172" s="32" t="s">
        <v>564</v>
      </c>
      <c r="AJ172" s="32" t="s">
        <v>565</v>
      </c>
      <c r="AK172" s="29" t="s">
        <v>538</v>
      </c>
      <c r="AL172" t="s">
        <v>417</v>
      </c>
      <c r="AM172" t="s">
        <v>691</v>
      </c>
      <c r="AN172" s="32" t="s">
        <v>218</v>
      </c>
      <c r="AO172" t="s">
        <v>219</v>
      </c>
    </row>
    <row r="173" spans="1:41">
      <c r="A173" t="s">
        <v>191</v>
      </c>
      <c r="G173">
        <v>4</v>
      </c>
      <c r="O173">
        <v>8</v>
      </c>
      <c r="V173" s="2"/>
      <c r="W173" s="2"/>
      <c r="X173" s="2"/>
      <c r="Y173" s="2"/>
      <c r="Z173" s="2"/>
      <c r="AA173" s="2"/>
      <c r="AB173" s="32"/>
      <c r="AC173" s="2"/>
      <c r="AD173" s="2"/>
      <c r="AE173" s="32"/>
      <c r="AF173" s="2"/>
      <c r="AH173" s="2"/>
      <c r="AL173" s="2"/>
    </row>
    <row r="174" spans="1:41">
      <c r="A174" t="s">
        <v>604</v>
      </c>
      <c r="O174">
        <v>8</v>
      </c>
      <c r="V174" s="2"/>
      <c r="W174" s="2"/>
      <c r="X174" s="2"/>
      <c r="Y174" s="2"/>
      <c r="Z174" s="2"/>
      <c r="AA174" s="2"/>
      <c r="AB174" s="32"/>
      <c r="AC174" s="2"/>
      <c r="AD174" s="2"/>
      <c r="AE174" s="32">
        <v>1</v>
      </c>
      <c r="AF174" s="32"/>
      <c r="AG174" s="32"/>
      <c r="AH174" s="2"/>
      <c r="AI174" s="2"/>
      <c r="AJ174" s="2"/>
      <c r="AK174" s="2"/>
      <c r="AL174" s="2"/>
      <c r="AM174" s="2"/>
    </row>
    <row r="175" spans="1:41">
      <c r="A175" t="s">
        <v>313</v>
      </c>
      <c r="V175" s="2"/>
      <c r="W175" s="2"/>
      <c r="X175" s="2"/>
      <c r="Y175" s="2"/>
      <c r="Z175" s="2"/>
      <c r="AA175" s="2"/>
      <c r="AB175" s="32"/>
      <c r="AC175" s="2"/>
      <c r="AD175" s="2"/>
      <c r="AE175" s="32"/>
      <c r="AF175" s="2"/>
      <c r="AH175" s="2"/>
      <c r="AL175" s="2"/>
      <c r="AN175" s="32">
        <v>35</v>
      </c>
    </row>
    <row r="176" spans="1:41">
      <c r="A176" t="s">
        <v>25</v>
      </c>
      <c r="V176" s="2">
        <v>0.05</v>
      </c>
      <c r="W176" s="2"/>
      <c r="X176" s="2"/>
      <c r="Y176" s="2"/>
      <c r="Z176" s="2"/>
      <c r="AA176" s="2"/>
      <c r="AB176" s="32"/>
      <c r="AC176" s="2"/>
      <c r="AD176" s="2"/>
      <c r="AE176" s="32">
        <v>1</v>
      </c>
      <c r="AF176" s="2"/>
      <c r="AH176" s="2"/>
      <c r="AL176" s="2"/>
    </row>
    <row r="177" spans="1:40">
      <c r="A177" t="s">
        <v>211</v>
      </c>
      <c r="O177">
        <v>10</v>
      </c>
      <c r="V177" s="2"/>
      <c r="W177" s="2"/>
      <c r="X177" s="2"/>
      <c r="Y177" s="2"/>
      <c r="Z177" s="2"/>
      <c r="AA177" s="2"/>
      <c r="AB177" s="32"/>
      <c r="AC177" s="2"/>
      <c r="AD177" s="2"/>
      <c r="AE177" s="32"/>
      <c r="AF177" s="2"/>
      <c r="AH177" s="2"/>
      <c r="AL177" s="2"/>
    </row>
    <row r="178" spans="1:40">
      <c r="A178" s="29" t="s">
        <v>854</v>
      </c>
      <c r="N178">
        <v>6</v>
      </c>
      <c r="V178" s="2">
        <v>0.03</v>
      </c>
      <c r="W178" s="2"/>
      <c r="X178" s="2"/>
      <c r="Y178" s="2"/>
      <c r="Z178" s="2"/>
      <c r="AA178" s="2"/>
      <c r="AB178" s="32"/>
      <c r="AC178" s="2"/>
      <c r="AD178" s="2"/>
      <c r="AE178" s="32">
        <v>3</v>
      </c>
      <c r="AF178" s="2"/>
      <c r="AH178" s="2"/>
      <c r="AL178" s="2"/>
    </row>
    <row r="179" spans="1:40">
      <c r="A179" s="29" t="s">
        <v>897</v>
      </c>
      <c r="N179">
        <v>-10</v>
      </c>
      <c r="O179">
        <v>-10</v>
      </c>
      <c r="V179" s="2"/>
      <c r="W179" s="2"/>
      <c r="X179" s="2"/>
      <c r="Y179" s="2"/>
      <c r="Z179" s="2"/>
      <c r="AA179" s="2"/>
      <c r="AB179" s="32"/>
      <c r="AC179" s="2"/>
      <c r="AD179" s="2"/>
      <c r="AE179" s="32">
        <v>8</v>
      </c>
      <c r="AF179" s="2"/>
      <c r="AH179" s="2"/>
      <c r="AL179" s="2"/>
    </row>
    <row r="180" spans="1:40">
      <c r="A180" s="29" t="s">
        <v>855</v>
      </c>
      <c r="N180">
        <v>10</v>
      </c>
      <c r="S180">
        <v>10</v>
      </c>
      <c r="V180" s="2"/>
      <c r="W180" s="2"/>
      <c r="X180" s="2"/>
      <c r="Y180" s="2"/>
      <c r="Z180" s="2"/>
      <c r="AA180" s="2"/>
      <c r="AB180" s="32"/>
      <c r="AC180" s="2"/>
      <c r="AD180" s="2"/>
      <c r="AE180" s="32">
        <v>3</v>
      </c>
      <c r="AF180" s="2"/>
      <c r="AH180" s="2"/>
      <c r="AL180" s="2"/>
    </row>
    <row r="181" spans="1:40">
      <c r="A181" t="s">
        <v>830</v>
      </c>
      <c r="H181">
        <v>4</v>
      </c>
      <c r="N181">
        <v>5</v>
      </c>
      <c r="V181" s="2"/>
      <c r="W181" s="2"/>
      <c r="X181" s="2"/>
      <c r="Y181" s="2"/>
      <c r="Z181" s="2"/>
      <c r="AA181" s="2"/>
      <c r="AB181" s="32"/>
      <c r="AC181" s="2"/>
      <c r="AD181" s="2"/>
      <c r="AE181" s="32"/>
      <c r="AF181" s="2"/>
      <c r="AH181" s="2"/>
      <c r="AL181" s="2"/>
    </row>
    <row r="182" spans="1:40">
      <c r="A182" t="s">
        <v>602</v>
      </c>
      <c r="O182">
        <v>8</v>
      </c>
      <c r="V182" s="2"/>
      <c r="W182" s="2"/>
      <c r="X182" s="2"/>
      <c r="Y182" s="2"/>
      <c r="Z182" s="2"/>
      <c r="AA182" s="2"/>
      <c r="AB182" s="32"/>
      <c r="AC182" s="2"/>
      <c r="AD182" s="2"/>
      <c r="AE182" s="32"/>
      <c r="AF182" s="32"/>
      <c r="AG182" s="32"/>
      <c r="AH182" s="2"/>
      <c r="AI182" s="2"/>
      <c r="AJ182" s="2"/>
      <c r="AK182" s="2"/>
      <c r="AL182" s="2"/>
      <c r="AM182" s="2"/>
    </row>
    <row r="183" spans="1:40">
      <c r="A183" t="s">
        <v>314</v>
      </c>
      <c r="O183">
        <v>5</v>
      </c>
      <c r="V183" s="2"/>
      <c r="W183" s="2"/>
      <c r="X183" s="2"/>
      <c r="Y183" s="2"/>
      <c r="Z183" s="2"/>
      <c r="AA183" s="2"/>
      <c r="AB183" s="32"/>
      <c r="AC183" s="2"/>
      <c r="AD183" s="2"/>
      <c r="AE183" s="32"/>
      <c r="AF183" s="2"/>
      <c r="AH183" s="2"/>
      <c r="AL183" s="2"/>
      <c r="AN183" s="32">
        <v>15</v>
      </c>
    </row>
    <row r="184" spans="1:40">
      <c r="A184" t="s">
        <v>603</v>
      </c>
      <c r="N184">
        <v>8</v>
      </c>
      <c r="V184" s="2"/>
      <c r="W184" s="2"/>
      <c r="X184" s="2"/>
      <c r="Y184" s="2"/>
      <c r="Z184" s="2"/>
      <c r="AA184" s="2"/>
      <c r="AB184" s="32"/>
      <c r="AC184" s="2"/>
      <c r="AD184" s="2"/>
      <c r="AE184" s="32"/>
      <c r="AF184" s="32"/>
      <c r="AG184" s="32"/>
      <c r="AH184" s="2"/>
      <c r="AI184" s="2"/>
      <c r="AJ184" s="2"/>
      <c r="AK184" s="2"/>
      <c r="AL184" s="2"/>
      <c r="AM184" s="2"/>
    </row>
    <row r="185" spans="1:40">
      <c r="A185" t="s">
        <v>75</v>
      </c>
      <c r="H185">
        <v>2</v>
      </c>
      <c r="N185">
        <v>3</v>
      </c>
      <c r="V185" s="2"/>
      <c r="W185" s="2"/>
      <c r="X185" s="2"/>
      <c r="Y185" s="2"/>
      <c r="Z185" s="2"/>
      <c r="AA185" s="2"/>
      <c r="AB185" s="32"/>
      <c r="AC185" s="2"/>
      <c r="AD185" s="2"/>
      <c r="AE185" s="32"/>
      <c r="AF185" s="2"/>
      <c r="AH185" s="2"/>
      <c r="AL185" s="2"/>
    </row>
    <row r="186" spans="1:40">
      <c r="A186" t="s">
        <v>782</v>
      </c>
      <c r="V186" s="2"/>
      <c r="W186" s="2"/>
      <c r="X186" s="2"/>
      <c r="Y186" s="2"/>
      <c r="Z186" s="2"/>
      <c r="AA186" s="2"/>
      <c r="AB186" s="32"/>
      <c r="AC186" s="2"/>
      <c r="AD186" s="2"/>
      <c r="AE186" s="32"/>
      <c r="AF186" s="2"/>
      <c r="AH186" s="2">
        <v>0.02</v>
      </c>
      <c r="AL186" s="2"/>
    </row>
    <row r="187" spans="1:40">
      <c r="A187" t="s">
        <v>567</v>
      </c>
      <c r="G187">
        <v>4</v>
      </c>
      <c r="N187">
        <v>4</v>
      </c>
      <c r="V187" s="2"/>
      <c r="W187" s="2"/>
      <c r="X187" s="2"/>
      <c r="Y187" s="2"/>
      <c r="Z187" s="2"/>
      <c r="AA187" s="2"/>
      <c r="AB187" s="32"/>
      <c r="AC187" s="2"/>
      <c r="AD187" s="2"/>
      <c r="AE187" s="32">
        <v>1</v>
      </c>
      <c r="AF187" s="2"/>
      <c r="AH187" s="2"/>
      <c r="AL187" s="2"/>
    </row>
    <row r="188" spans="1:40">
      <c r="A188" t="s">
        <v>791</v>
      </c>
      <c r="G188">
        <v>7</v>
      </c>
      <c r="H188">
        <v>7</v>
      </c>
      <c r="I188">
        <v>7</v>
      </c>
      <c r="K188">
        <v>7</v>
      </c>
      <c r="V188" s="2">
        <v>0.03</v>
      </c>
      <c r="W188" s="2"/>
      <c r="X188" s="2"/>
      <c r="Y188" s="2"/>
      <c r="Z188" s="2"/>
      <c r="AA188" s="2"/>
      <c r="AB188" s="32"/>
      <c r="AC188" s="2"/>
      <c r="AD188" s="2"/>
      <c r="AE188" s="32"/>
      <c r="AF188" s="2"/>
      <c r="AH188" s="2"/>
      <c r="AL188" s="2"/>
    </row>
    <row r="189" spans="1:40">
      <c r="A189" t="s">
        <v>792</v>
      </c>
      <c r="G189">
        <v>8</v>
      </c>
      <c r="H189">
        <v>8</v>
      </c>
      <c r="I189">
        <v>8</v>
      </c>
      <c r="K189">
        <v>8</v>
      </c>
      <c r="V189" s="2">
        <v>0.03</v>
      </c>
      <c r="W189" s="2"/>
      <c r="X189" s="2"/>
      <c r="Y189" s="2"/>
      <c r="Z189" s="2"/>
      <c r="AA189" s="2"/>
      <c r="AB189" s="32"/>
      <c r="AC189" s="2"/>
      <c r="AD189" s="2"/>
      <c r="AE189" s="32"/>
      <c r="AF189" s="2"/>
      <c r="AH189" s="2"/>
      <c r="AL189" s="2"/>
    </row>
    <row r="190" spans="1:40">
      <c r="A190" t="s">
        <v>212</v>
      </c>
      <c r="O190">
        <v>4</v>
      </c>
      <c r="V190" s="2"/>
      <c r="W190" s="2"/>
      <c r="X190" s="2"/>
      <c r="Y190" s="2"/>
      <c r="Z190" s="2"/>
      <c r="AA190" s="2"/>
      <c r="AB190" s="32"/>
      <c r="AC190" s="2"/>
      <c r="AD190" s="2"/>
      <c r="AE190" s="32"/>
      <c r="AF190" s="2"/>
      <c r="AG190">
        <v>250</v>
      </c>
      <c r="AH190" s="2"/>
      <c r="AL190" s="2"/>
    </row>
    <row r="191" spans="1:40">
      <c r="A191" t="s">
        <v>883</v>
      </c>
      <c r="J191">
        <v>2</v>
      </c>
      <c r="V191" s="2"/>
      <c r="W191" s="2"/>
      <c r="X191" s="2"/>
      <c r="Y191" s="2"/>
      <c r="Z191" s="2"/>
      <c r="AA191" s="2"/>
      <c r="AB191" s="32"/>
      <c r="AC191" s="2"/>
      <c r="AD191" s="2"/>
      <c r="AE191" s="32">
        <v>4</v>
      </c>
      <c r="AF191" s="2"/>
      <c r="AH191" s="2"/>
      <c r="AL191" s="2"/>
    </row>
    <row r="192" spans="1:40">
      <c r="A192" t="s">
        <v>605</v>
      </c>
      <c r="N192">
        <v>8</v>
      </c>
      <c r="V192" s="2"/>
      <c r="W192" s="2"/>
      <c r="X192" s="2"/>
      <c r="Y192" s="2"/>
      <c r="Z192" s="2"/>
      <c r="AA192" s="2"/>
      <c r="AB192" s="32"/>
      <c r="AC192" s="2"/>
      <c r="AD192" s="2"/>
      <c r="AE192" s="32">
        <v>1</v>
      </c>
      <c r="AF192" s="32"/>
      <c r="AG192" s="32"/>
      <c r="AH192" s="2"/>
      <c r="AI192" s="2"/>
      <c r="AJ192" s="2"/>
      <c r="AK192" s="2"/>
      <c r="AL192" s="2"/>
      <c r="AM192" s="2"/>
    </row>
    <row r="193" spans="1:42">
      <c r="A193" t="s">
        <v>600</v>
      </c>
      <c r="N193">
        <v>5</v>
      </c>
      <c r="O193">
        <v>15</v>
      </c>
      <c r="V193" s="2"/>
      <c r="W193" s="2"/>
      <c r="X193" s="2"/>
      <c r="Y193" s="2"/>
      <c r="Z193" s="32"/>
      <c r="AA193" s="2"/>
      <c r="AB193" s="32"/>
      <c r="AC193" s="2"/>
      <c r="AD193" s="2"/>
      <c r="AE193" s="32"/>
      <c r="AF193" s="32"/>
      <c r="AG193" s="32"/>
      <c r="AH193" s="2"/>
      <c r="AL193" s="32"/>
    </row>
    <row r="194" spans="1:42">
      <c r="A194" t="s">
        <v>601</v>
      </c>
      <c r="N194">
        <v>6</v>
      </c>
      <c r="O194">
        <v>16</v>
      </c>
      <c r="V194" s="2"/>
      <c r="W194" s="2"/>
      <c r="X194" s="2"/>
      <c r="Y194" s="2"/>
      <c r="Z194" s="32"/>
      <c r="AA194" s="2"/>
      <c r="AB194" s="32"/>
      <c r="AC194" s="2"/>
      <c r="AD194" s="2"/>
      <c r="AE194" s="32"/>
      <c r="AF194" s="32"/>
      <c r="AG194" s="32"/>
      <c r="AH194" s="2"/>
      <c r="AL194" s="32"/>
    </row>
    <row r="195" spans="1:42">
      <c r="A195" t="s">
        <v>920</v>
      </c>
      <c r="N195">
        <v>10</v>
      </c>
      <c r="O195">
        <v>10</v>
      </c>
      <c r="V195" s="2">
        <v>0.01</v>
      </c>
      <c r="W195" s="2"/>
      <c r="X195" s="2"/>
      <c r="Y195" s="2"/>
      <c r="Z195" s="32"/>
      <c r="AA195" s="2"/>
      <c r="AB195" s="32"/>
      <c r="AC195" s="2"/>
      <c r="AD195" s="2"/>
      <c r="AE195" s="32">
        <v>5</v>
      </c>
      <c r="AF195" s="32"/>
      <c r="AG195" s="32"/>
      <c r="AH195" s="2"/>
      <c r="AL195" s="32"/>
    </row>
    <row r="196" spans="1:42">
      <c r="A196" t="s">
        <v>695</v>
      </c>
      <c r="O196">
        <v>6</v>
      </c>
      <c r="V196" s="2"/>
      <c r="W196" s="2"/>
      <c r="X196" s="2"/>
      <c r="Y196" s="2"/>
      <c r="Z196" s="32"/>
      <c r="AA196" s="2"/>
      <c r="AB196" s="32"/>
      <c r="AC196" s="2"/>
      <c r="AD196" s="2"/>
      <c r="AE196" s="32">
        <v>5</v>
      </c>
      <c r="AF196" s="32"/>
      <c r="AG196" s="32"/>
      <c r="AH196" s="2"/>
      <c r="AL196" s="32"/>
    </row>
    <row r="197" spans="1:42">
      <c r="A197" s="29" t="s">
        <v>696</v>
      </c>
      <c r="V197" s="2">
        <v>0.03</v>
      </c>
      <c r="W197" s="2"/>
      <c r="X197" s="2"/>
      <c r="Y197" s="2"/>
      <c r="Z197" s="2"/>
      <c r="AA197" s="2"/>
      <c r="AB197" s="32"/>
      <c r="AC197" s="2"/>
      <c r="AD197" s="2"/>
      <c r="AE197" s="32"/>
      <c r="AF197" s="32"/>
      <c r="AG197" s="32"/>
      <c r="AH197" s="2"/>
      <c r="AN197"/>
    </row>
    <row r="198" spans="1:42">
      <c r="A198" t="s">
        <v>141</v>
      </c>
      <c r="G198">
        <v>3</v>
      </c>
      <c r="V198" s="2"/>
      <c r="W198" s="2"/>
      <c r="X198" s="2"/>
      <c r="Y198" s="2"/>
      <c r="Z198" s="2"/>
      <c r="AA198" s="2"/>
      <c r="AB198" s="32"/>
      <c r="AC198" s="2"/>
      <c r="AD198" s="2"/>
      <c r="AE198" s="32"/>
      <c r="AF198" s="2"/>
      <c r="AH198" s="2"/>
      <c r="AL198" s="2"/>
    </row>
    <row r="199" spans="1:42">
      <c r="A199" t="s">
        <v>560</v>
      </c>
      <c r="G199">
        <v>4</v>
      </c>
      <c r="V199" s="2"/>
      <c r="W199" s="2"/>
      <c r="X199" s="2"/>
      <c r="Y199" s="2"/>
      <c r="Z199" s="2"/>
      <c r="AA199" s="2"/>
      <c r="AB199" s="32"/>
      <c r="AC199" s="2"/>
      <c r="AD199" s="2"/>
      <c r="AE199" s="32"/>
      <c r="AF199" s="2"/>
      <c r="AH199" s="2"/>
      <c r="AL199" s="2"/>
    </row>
    <row r="200" spans="1:42">
      <c r="A200" s="29" t="s">
        <v>820</v>
      </c>
      <c r="G200">
        <v>5</v>
      </c>
      <c r="N200">
        <v>10</v>
      </c>
      <c r="V200" s="2"/>
      <c r="W200" s="2"/>
      <c r="X200" s="2"/>
      <c r="Y200" s="2"/>
      <c r="Z200" s="2"/>
      <c r="AA200" s="2"/>
      <c r="AB200" s="32"/>
      <c r="AC200" s="2"/>
      <c r="AD200" s="2"/>
      <c r="AE200" s="32"/>
      <c r="AF200" s="32"/>
      <c r="AG200" s="32"/>
      <c r="AH200" s="2"/>
      <c r="AI200" s="2"/>
      <c r="AJ200" s="2"/>
      <c r="AK200" s="2"/>
      <c r="AM200" s="2"/>
      <c r="AN200"/>
    </row>
    <row r="201" spans="1:42">
      <c r="A201" s="29" t="s">
        <v>766</v>
      </c>
      <c r="N201">
        <v>12</v>
      </c>
      <c r="V201" s="2"/>
      <c r="W201" s="2"/>
      <c r="X201" s="2"/>
      <c r="Y201" s="2"/>
      <c r="Z201" s="2"/>
      <c r="AA201" s="2"/>
      <c r="AB201" s="32"/>
      <c r="AC201" s="2"/>
      <c r="AD201" s="2"/>
      <c r="AE201" s="32"/>
      <c r="AF201" s="32"/>
      <c r="AG201" s="32"/>
      <c r="AH201" s="2"/>
      <c r="AI201" s="2"/>
      <c r="AJ201" s="2"/>
      <c r="AK201" s="2"/>
      <c r="AM201" s="2"/>
      <c r="AN201"/>
    </row>
    <row r="202" spans="1:42">
      <c r="AE202" s="32"/>
    </row>
    <row r="203" spans="1:42">
      <c r="AE203" s="32"/>
    </row>
    <row r="204" spans="1:42">
      <c r="A204" t="s">
        <v>18</v>
      </c>
      <c r="B204" t="s">
        <v>492</v>
      </c>
      <c r="C204" t="s">
        <v>489</v>
      </c>
      <c r="D204" t="s">
        <v>490</v>
      </c>
      <c r="E204" t="s">
        <v>491</v>
      </c>
      <c r="F204" s="29" t="s">
        <v>636</v>
      </c>
      <c r="G204" t="s">
        <v>3</v>
      </c>
      <c r="H204" t="s">
        <v>4</v>
      </c>
      <c r="I204" t="s">
        <v>5</v>
      </c>
      <c r="J204" t="s">
        <v>42</v>
      </c>
      <c r="K204" t="s">
        <v>182</v>
      </c>
      <c r="L204" t="s">
        <v>183</v>
      </c>
      <c r="M204" t="s">
        <v>245</v>
      </c>
      <c r="N204" t="s">
        <v>10</v>
      </c>
      <c r="O204" t="s">
        <v>9</v>
      </c>
      <c r="P204" t="s">
        <v>437</v>
      </c>
      <c r="Q204" t="s">
        <v>757</v>
      </c>
      <c r="R204" t="s">
        <v>758</v>
      </c>
      <c r="S204" t="s">
        <v>759</v>
      </c>
      <c r="T204" s="32" t="s">
        <v>760</v>
      </c>
      <c r="U204" s="173" t="s">
        <v>761</v>
      </c>
      <c r="V204" t="s">
        <v>12</v>
      </c>
      <c r="W204" t="s">
        <v>150</v>
      </c>
      <c r="X204" t="s">
        <v>416</v>
      </c>
      <c r="Y204" t="s">
        <v>596</v>
      </c>
      <c r="Z204" t="s">
        <v>454</v>
      </c>
      <c r="AA204" t="s">
        <v>266</v>
      </c>
      <c r="AB204" t="s">
        <v>11</v>
      </c>
      <c r="AC204" t="s">
        <v>125</v>
      </c>
      <c r="AD204" t="s">
        <v>124</v>
      </c>
      <c r="AE204" s="32" t="s">
        <v>455</v>
      </c>
      <c r="AF204" t="s">
        <v>122</v>
      </c>
      <c r="AG204" t="s">
        <v>184</v>
      </c>
      <c r="AH204" t="s">
        <v>164</v>
      </c>
      <c r="AI204" s="32" t="s">
        <v>564</v>
      </c>
      <c r="AJ204" s="32" t="s">
        <v>565</v>
      </c>
      <c r="AK204" s="29" t="s">
        <v>538</v>
      </c>
      <c r="AL204" t="s">
        <v>417</v>
      </c>
      <c r="AM204" t="s">
        <v>691</v>
      </c>
      <c r="AN204" s="32" t="s">
        <v>218</v>
      </c>
      <c r="AO204" t="s">
        <v>219</v>
      </c>
    </row>
    <row r="205" spans="1:42">
      <c r="A205" s="29" t="s">
        <v>788</v>
      </c>
      <c r="G205">
        <f>25+7</f>
        <v>32</v>
      </c>
      <c r="H205">
        <f>20+7</f>
        <v>27</v>
      </c>
      <c r="I205">
        <v>24</v>
      </c>
      <c r="J205">
        <v>19</v>
      </c>
      <c r="K205">
        <v>19</v>
      </c>
      <c r="L205">
        <v>19</v>
      </c>
      <c r="M205">
        <v>19</v>
      </c>
      <c r="N205">
        <f>10+23</f>
        <v>33</v>
      </c>
      <c r="O205">
        <v>10</v>
      </c>
      <c r="V205" s="2">
        <v>0.04</v>
      </c>
      <c r="W205" s="2"/>
      <c r="X205" s="2"/>
      <c r="Y205" s="2"/>
      <c r="Z205" s="2"/>
      <c r="AA205" s="2"/>
      <c r="AB205" s="32">
        <v>31</v>
      </c>
      <c r="AC205" s="2"/>
      <c r="AD205" s="2"/>
      <c r="AE205" s="32"/>
      <c r="AF205" s="2"/>
      <c r="AG205" s="2"/>
      <c r="AH205" s="2"/>
      <c r="AL205" s="2"/>
      <c r="AN205" s="32">
        <v>61</v>
      </c>
      <c r="AO205" s="32"/>
      <c r="AP205" s="32"/>
    </row>
    <row r="206" spans="1:42">
      <c r="A206" s="29" t="s">
        <v>775</v>
      </c>
      <c r="G206">
        <f>25+7</f>
        <v>32</v>
      </c>
      <c r="H206">
        <f>20+7</f>
        <v>27</v>
      </c>
      <c r="I206">
        <v>24</v>
      </c>
      <c r="J206">
        <v>19</v>
      </c>
      <c r="K206">
        <v>19</v>
      </c>
      <c r="L206">
        <v>19</v>
      </c>
      <c r="M206">
        <v>19</v>
      </c>
      <c r="N206">
        <f t="shared" ref="N206:O208" si="0">10+20</f>
        <v>30</v>
      </c>
      <c r="O206">
        <f t="shared" si="0"/>
        <v>30</v>
      </c>
      <c r="V206" s="2">
        <v>0.05</v>
      </c>
      <c r="W206" s="2"/>
      <c r="X206" s="2"/>
      <c r="Y206" s="2"/>
      <c r="Z206" s="2"/>
      <c r="AA206" s="2"/>
      <c r="AB206" s="32">
        <v>31</v>
      </c>
      <c r="AC206" s="2"/>
      <c r="AD206" s="2"/>
      <c r="AE206" s="32"/>
      <c r="AF206" s="2"/>
      <c r="AG206" s="2"/>
      <c r="AH206" s="2"/>
      <c r="AL206" s="2"/>
      <c r="AN206" s="32">
        <v>61</v>
      </c>
      <c r="AO206" s="32"/>
      <c r="AP206" s="32"/>
    </row>
    <row r="207" spans="1:42">
      <c r="A207" s="29" t="s">
        <v>793</v>
      </c>
      <c r="G207">
        <f>25+7</f>
        <v>32</v>
      </c>
      <c r="H207">
        <f>20+7</f>
        <v>27</v>
      </c>
      <c r="I207">
        <v>24</v>
      </c>
      <c r="J207">
        <v>19</v>
      </c>
      <c r="K207">
        <v>19</v>
      </c>
      <c r="L207">
        <v>19</v>
      </c>
      <c r="M207">
        <v>19</v>
      </c>
      <c r="N207">
        <f t="shared" si="0"/>
        <v>30</v>
      </c>
      <c r="O207">
        <f t="shared" si="0"/>
        <v>30</v>
      </c>
      <c r="V207" s="2">
        <v>0.02</v>
      </c>
      <c r="W207" s="2"/>
      <c r="X207" s="2"/>
      <c r="Y207" s="2"/>
      <c r="Z207" s="2"/>
      <c r="AA207" s="2"/>
      <c r="AB207" s="32">
        <v>31</v>
      </c>
      <c r="AC207" s="2"/>
      <c r="AD207" s="2"/>
      <c r="AE207" s="32">
        <v>6</v>
      </c>
      <c r="AF207" s="2"/>
      <c r="AG207" s="2"/>
      <c r="AH207" s="2"/>
      <c r="AL207" s="2"/>
      <c r="AN207" s="32">
        <v>61</v>
      </c>
      <c r="AO207" s="32"/>
      <c r="AP207" s="32"/>
    </row>
    <row r="208" spans="1:42">
      <c r="A208" s="29" t="s">
        <v>794</v>
      </c>
      <c r="G208">
        <f>25</f>
        <v>25</v>
      </c>
      <c r="H208">
        <f>20</f>
        <v>20</v>
      </c>
      <c r="I208">
        <v>24</v>
      </c>
      <c r="J208">
        <v>19</v>
      </c>
      <c r="K208">
        <v>19</v>
      </c>
      <c r="L208">
        <v>19</v>
      </c>
      <c r="M208">
        <v>19</v>
      </c>
      <c r="N208">
        <f t="shared" si="0"/>
        <v>30</v>
      </c>
      <c r="O208">
        <f t="shared" si="0"/>
        <v>30</v>
      </c>
      <c r="V208" s="2">
        <v>0.02</v>
      </c>
      <c r="W208" s="2"/>
      <c r="X208" s="2"/>
      <c r="Y208" s="2"/>
      <c r="Z208" s="2"/>
      <c r="AA208" s="2"/>
      <c r="AB208" s="32">
        <v>31</v>
      </c>
      <c r="AC208" s="2"/>
      <c r="AD208" s="2"/>
      <c r="AE208" s="32"/>
      <c r="AF208" s="2"/>
      <c r="AG208" s="2"/>
      <c r="AH208" s="2">
        <v>0.03</v>
      </c>
      <c r="AL208" s="2"/>
      <c r="AN208" s="32">
        <v>61</v>
      </c>
      <c r="AO208" s="32"/>
      <c r="AP208" s="32"/>
    </row>
    <row r="209" spans="1:53">
      <c r="A209" t="s">
        <v>809</v>
      </c>
      <c r="G209">
        <v>44</v>
      </c>
      <c r="H209">
        <v>44</v>
      </c>
      <c r="N209">
        <v>30</v>
      </c>
      <c r="O209">
        <v>45</v>
      </c>
      <c r="P209" s="2"/>
      <c r="Q209" s="2"/>
      <c r="R209" s="2"/>
      <c r="U209" s="2"/>
      <c r="V209" s="2">
        <v>0.04</v>
      </c>
      <c r="W209" s="2"/>
      <c r="X209" s="2"/>
      <c r="Y209" s="2"/>
      <c r="Z209" s="2"/>
      <c r="AA209" s="2"/>
      <c r="AB209" s="32">
        <v>31</v>
      </c>
      <c r="AC209" s="2"/>
      <c r="AD209" s="2"/>
      <c r="AE209" s="32"/>
      <c r="AF209" s="2"/>
      <c r="AG209" s="2"/>
      <c r="AH209" s="2"/>
      <c r="AL209" s="2"/>
      <c r="AO209" s="2"/>
    </row>
    <row r="210" spans="1:53" s="185" customFormat="1" ht="12.75" customHeight="1">
      <c r="A210" s="29" t="s">
        <v>810</v>
      </c>
      <c r="B210" s="29"/>
      <c r="C210" s="29"/>
      <c r="D210" s="29"/>
      <c r="E210" s="29"/>
      <c r="F210" s="29"/>
      <c r="G210" s="29">
        <v>44</v>
      </c>
      <c r="H210" s="29">
        <v>34</v>
      </c>
      <c r="I210" s="29"/>
      <c r="J210" s="29"/>
      <c r="K210" s="29"/>
      <c r="L210" s="29"/>
      <c r="M210" s="29"/>
      <c r="N210" s="29">
        <v>30</v>
      </c>
      <c r="O210" s="29">
        <v>45</v>
      </c>
      <c r="P210" s="29"/>
      <c r="Q210" s="29"/>
      <c r="R210" s="29"/>
      <c r="S210" s="29"/>
      <c r="T210" s="29"/>
      <c r="U210" s="29"/>
      <c r="V210" s="12">
        <v>0.04</v>
      </c>
      <c r="W210" s="12"/>
      <c r="X210" s="12"/>
      <c r="Y210" s="12"/>
      <c r="Z210" s="12"/>
      <c r="AA210" s="12"/>
      <c r="AB210" s="29">
        <v>30</v>
      </c>
      <c r="AC210" s="12"/>
      <c r="AD210" s="12"/>
      <c r="AE210" s="29">
        <v>5</v>
      </c>
      <c r="AF210" s="12"/>
      <c r="AG210" s="12"/>
      <c r="AH210" s="12"/>
      <c r="AI210" s="29"/>
      <c r="AJ210" s="29"/>
      <c r="AK210" s="29"/>
      <c r="AL210" s="29"/>
      <c r="AM210" s="12"/>
      <c r="AN210" s="29"/>
      <c r="AO210" s="29"/>
      <c r="AP210" s="29"/>
      <c r="AQ210" s="29"/>
      <c r="AR210" s="29"/>
      <c r="AS210" s="29"/>
      <c r="AT210" s="29"/>
      <c r="AU210" s="29"/>
      <c r="AV210" s="29"/>
      <c r="AW210" s="29"/>
      <c r="AX210" s="29"/>
      <c r="AY210" s="29"/>
      <c r="AZ210" s="29"/>
      <c r="BA210" s="29"/>
    </row>
    <row r="211" spans="1:53">
      <c r="A211" t="s">
        <v>824</v>
      </c>
      <c r="G211">
        <v>46</v>
      </c>
      <c r="H211">
        <v>46</v>
      </c>
      <c r="N211">
        <v>40</v>
      </c>
      <c r="O211">
        <v>60</v>
      </c>
      <c r="P211" s="2"/>
      <c r="Q211" s="2"/>
      <c r="R211" s="2"/>
      <c r="U211" s="2"/>
      <c r="V211" s="2">
        <v>0.05</v>
      </c>
      <c r="W211" s="2"/>
      <c r="X211" s="2"/>
      <c r="Y211" s="2"/>
      <c r="Z211" s="2"/>
      <c r="AA211" s="2"/>
      <c r="AB211" s="32">
        <v>31</v>
      </c>
      <c r="AC211" s="2"/>
      <c r="AD211" s="2"/>
      <c r="AE211" s="32"/>
      <c r="AF211" s="2"/>
      <c r="AG211" s="2"/>
      <c r="AH211" s="2"/>
      <c r="AL211" s="2"/>
      <c r="AO211" s="2"/>
    </row>
    <row r="212" spans="1:53" s="185" customFormat="1" ht="12.75" customHeight="1">
      <c r="A212" s="29" t="s">
        <v>874</v>
      </c>
      <c r="B212" s="29"/>
      <c r="C212" s="29"/>
      <c r="D212" s="29"/>
      <c r="E212" s="29"/>
      <c r="F212" s="29"/>
      <c r="G212" s="29">
        <v>46</v>
      </c>
      <c r="H212" s="29">
        <v>34</v>
      </c>
      <c r="I212" s="29"/>
      <c r="J212" s="29"/>
      <c r="K212" s="29"/>
      <c r="L212" s="29"/>
      <c r="M212" s="29"/>
      <c r="N212" s="29">
        <v>40</v>
      </c>
      <c r="O212" s="29">
        <v>60</v>
      </c>
      <c r="P212" s="29"/>
      <c r="Q212" s="29"/>
      <c r="R212" s="29"/>
      <c r="S212" s="29"/>
      <c r="T212" s="29"/>
      <c r="U212" s="29"/>
      <c r="V212" s="12">
        <v>0.04</v>
      </c>
      <c r="W212" s="12"/>
      <c r="X212" s="12"/>
      <c r="Y212" s="12"/>
      <c r="Z212" s="12"/>
      <c r="AA212" s="12"/>
      <c r="AB212" s="29">
        <v>30</v>
      </c>
      <c r="AC212" s="12"/>
      <c r="AD212" s="12"/>
      <c r="AE212" s="29">
        <v>6</v>
      </c>
      <c r="AF212" s="12"/>
      <c r="AG212" s="12"/>
      <c r="AH212" s="12"/>
      <c r="AI212" s="29"/>
      <c r="AJ212" s="29"/>
      <c r="AK212" s="29"/>
      <c r="AL212" s="29"/>
      <c r="AM212" s="12"/>
      <c r="AN212" s="29"/>
      <c r="AO212" s="29"/>
      <c r="AP212" s="29"/>
      <c r="AQ212" s="29"/>
      <c r="AR212" s="29"/>
      <c r="AS212" s="29"/>
      <c r="AT212" s="29"/>
      <c r="AU212" s="29"/>
      <c r="AV212" s="29"/>
      <c r="AW212" s="29"/>
      <c r="AX212" s="29"/>
      <c r="AY212" s="29"/>
      <c r="AZ212" s="29"/>
      <c r="BA212" s="29"/>
    </row>
    <row r="213" spans="1:53" s="185" customFormat="1" ht="12.75" customHeight="1">
      <c r="A213" s="29" t="s">
        <v>929</v>
      </c>
      <c r="B213" s="29"/>
      <c r="C213" s="29"/>
      <c r="D213" s="29"/>
      <c r="E213" s="29"/>
      <c r="F213" s="29"/>
      <c r="G213" s="29">
        <v>40</v>
      </c>
      <c r="H213" s="29">
        <v>30</v>
      </c>
      <c r="I213" s="29">
        <v>40</v>
      </c>
      <c r="J213" s="29">
        <v>30</v>
      </c>
      <c r="K213" s="29">
        <v>30</v>
      </c>
      <c r="L213" s="29">
        <v>30</v>
      </c>
      <c r="M213" s="29">
        <v>30</v>
      </c>
      <c r="N213" s="29">
        <v>45</v>
      </c>
      <c r="O213" s="29">
        <v>45</v>
      </c>
      <c r="P213" s="29"/>
      <c r="Q213" s="29"/>
      <c r="R213" s="29"/>
      <c r="S213" s="29"/>
      <c r="T213" s="29"/>
      <c r="U213" s="29"/>
      <c r="V213" s="12"/>
      <c r="W213" s="12">
        <v>0.05</v>
      </c>
      <c r="X213" s="12"/>
      <c r="Y213" s="12"/>
      <c r="Z213" s="12"/>
      <c r="AA213" s="12"/>
      <c r="AB213" s="29">
        <v>11</v>
      </c>
      <c r="AC213" s="12">
        <v>0.04</v>
      </c>
      <c r="AD213" s="12"/>
      <c r="AE213" s="29"/>
      <c r="AF213" s="12"/>
      <c r="AG213" s="12"/>
      <c r="AH213" s="12"/>
      <c r="AI213" s="29"/>
      <c r="AJ213" s="29"/>
      <c r="AK213" s="29"/>
      <c r="AL213" s="29"/>
      <c r="AM213" s="12"/>
      <c r="AN213" s="29">
        <v>136</v>
      </c>
      <c r="AO213" s="29"/>
      <c r="AP213" s="29"/>
      <c r="AQ213" s="29"/>
      <c r="AR213" s="29"/>
      <c r="AS213" s="29"/>
      <c r="AT213" s="29"/>
      <c r="AU213" s="29"/>
      <c r="AV213" s="29"/>
      <c r="AW213" s="29"/>
      <c r="AX213" s="29"/>
      <c r="AY213" s="29"/>
      <c r="AZ213" s="29"/>
      <c r="BA213" s="29"/>
    </row>
    <row r="214" spans="1:53">
      <c r="A214" s="29" t="s">
        <v>851</v>
      </c>
      <c r="G214">
        <v>28</v>
      </c>
      <c r="H214">
        <v>39</v>
      </c>
      <c r="I214">
        <v>24</v>
      </c>
      <c r="J214">
        <v>29</v>
      </c>
      <c r="K214">
        <v>25</v>
      </c>
      <c r="L214">
        <v>24</v>
      </c>
      <c r="M214">
        <v>24</v>
      </c>
      <c r="N214">
        <f>27+15</f>
        <v>42</v>
      </c>
      <c r="O214">
        <v>27</v>
      </c>
      <c r="P214" s="2"/>
      <c r="Q214" s="2"/>
      <c r="R214" s="2"/>
      <c r="U214" s="2"/>
      <c r="V214" s="2">
        <v>0.04</v>
      </c>
      <c r="W214" s="2"/>
      <c r="X214" s="2"/>
      <c r="Y214" s="2"/>
      <c r="Z214" s="2"/>
      <c r="AA214" s="2"/>
      <c r="AB214" s="32">
        <v>31</v>
      </c>
      <c r="AC214" s="2"/>
      <c r="AD214" s="2"/>
      <c r="AE214" s="32"/>
      <c r="AF214" s="2"/>
      <c r="AG214" s="2"/>
      <c r="AH214" s="2"/>
      <c r="AL214" s="2"/>
      <c r="AO214" s="2"/>
    </row>
    <row r="215" spans="1:53">
      <c r="A215" s="29" t="s">
        <v>709</v>
      </c>
      <c r="G215">
        <v>21</v>
      </c>
      <c r="H215">
        <v>15</v>
      </c>
      <c r="I215">
        <v>18</v>
      </c>
      <c r="J215">
        <v>12</v>
      </c>
      <c r="K215">
        <v>15</v>
      </c>
      <c r="L215">
        <v>15</v>
      </c>
      <c r="M215">
        <v>12</v>
      </c>
      <c r="N215">
        <v>15</v>
      </c>
      <c r="O215">
        <v>15</v>
      </c>
      <c r="V215" s="2"/>
      <c r="W215" s="2"/>
      <c r="X215" s="2"/>
      <c r="Y215" s="2"/>
      <c r="Z215" s="2"/>
      <c r="AA215" s="2"/>
      <c r="AB215" s="32">
        <v>31</v>
      </c>
      <c r="AC215" s="2"/>
      <c r="AD215" s="2"/>
      <c r="AE215" s="32"/>
      <c r="AF215" s="2"/>
      <c r="AG215" s="2"/>
      <c r="AH215" s="2"/>
      <c r="AL215" s="2"/>
    </row>
    <row r="216" spans="1:53">
      <c r="A216" s="29" t="s">
        <v>710</v>
      </c>
      <c r="G216">
        <v>32</v>
      </c>
      <c r="H216">
        <v>22</v>
      </c>
      <c r="I216">
        <v>29</v>
      </c>
      <c r="J216">
        <v>19</v>
      </c>
      <c r="K216">
        <v>22</v>
      </c>
      <c r="L216">
        <v>22</v>
      </c>
      <c r="M216">
        <v>19</v>
      </c>
      <c r="N216">
        <v>17</v>
      </c>
      <c r="O216">
        <v>17</v>
      </c>
      <c r="V216" s="2"/>
      <c r="W216" s="2"/>
      <c r="X216" s="2"/>
      <c r="Y216" s="2"/>
      <c r="Z216" s="2"/>
      <c r="AA216" s="2"/>
      <c r="AB216" s="32">
        <v>31</v>
      </c>
      <c r="AC216" s="2"/>
      <c r="AD216" s="2"/>
      <c r="AE216" s="32"/>
      <c r="AF216" s="2"/>
      <c r="AG216" s="2"/>
      <c r="AH216" s="2"/>
      <c r="AL216" s="2"/>
    </row>
    <row r="217" spans="1:53">
      <c r="A217" s="29" t="s">
        <v>919</v>
      </c>
      <c r="G217">
        <v>39</v>
      </c>
      <c r="H217">
        <v>35</v>
      </c>
      <c r="I217">
        <v>32</v>
      </c>
      <c r="J217">
        <v>20</v>
      </c>
      <c r="K217">
        <v>20</v>
      </c>
      <c r="L217">
        <v>20</v>
      </c>
      <c r="M217">
        <v>20</v>
      </c>
      <c r="N217">
        <v>40</v>
      </c>
      <c r="V217" s="2"/>
      <c r="W217" s="2"/>
      <c r="X217" s="2"/>
      <c r="Y217" s="2"/>
      <c r="Z217" s="2"/>
      <c r="AA217" s="2"/>
      <c r="AB217" s="32">
        <v>21</v>
      </c>
      <c r="AC217" s="2"/>
      <c r="AD217" s="2"/>
      <c r="AE217" s="32">
        <v>8</v>
      </c>
      <c r="AF217" s="2"/>
      <c r="AG217" s="2"/>
      <c r="AH217" s="2"/>
      <c r="AL217" s="2"/>
    </row>
    <row r="218" spans="1:53">
      <c r="A218" s="29" t="s">
        <v>798</v>
      </c>
      <c r="G218">
        <v>30</v>
      </c>
      <c r="H218">
        <v>26</v>
      </c>
      <c r="I218">
        <v>30</v>
      </c>
      <c r="J218">
        <v>21</v>
      </c>
      <c r="K218">
        <v>21</v>
      </c>
      <c r="L218">
        <v>21</v>
      </c>
      <c r="M218">
        <v>21</v>
      </c>
      <c r="N218">
        <v>28</v>
      </c>
      <c r="O218">
        <v>20</v>
      </c>
      <c r="S218">
        <v>27</v>
      </c>
      <c r="T218">
        <v>27</v>
      </c>
      <c r="V218" s="2">
        <v>0.03</v>
      </c>
      <c r="W218" s="2"/>
      <c r="X218" s="2"/>
      <c r="Y218" s="2"/>
      <c r="Z218" s="2"/>
      <c r="AA218" s="2"/>
      <c r="AB218" s="32">
        <v>31</v>
      </c>
      <c r="AC218" s="2"/>
      <c r="AD218" s="2"/>
      <c r="AE218" s="32"/>
      <c r="AF218" s="2"/>
      <c r="AG218" s="2"/>
      <c r="AH218" s="2"/>
      <c r="AL218" s="2"/>
      <c r="AN218" s="32">
        <v>70</v>
      </c>
    </row>
    <row r="219" spans="1:53">
      <c r="A219" s="29" t="s">
        <v>716</v>
      </c>
      <c r="G219">
        <v>32</v>
      </c>
      <c r="H219">
        <v>23</v>
      </c>
      <c r="I219">
        <v>32</v>
      </c>
      <c r="J219">
        <v>23</v>
      </c>
      <c r="K219">
        <v>23</v>
      </c>
      <c r="L219">
        <v>23</v>
      </c>
      <c r="M219">
        <v>23</v>
      </c>
      <c r="N219">
        <v>17</v>
      </c>
      <c r="V219" s="2">
        <v>0.02</v>
      </c>
      <c r="W219" s="2"/>
      <c r="X219" s="2"/>
      <c r="Y219" s="2"/>
      <c r="Z219" s="2"/>
      <c r="AA219" s="2"/>
      <c r="AB219" s="32">
        <v>31</v>
      </c>
      <c r="AC219" s="2"/>
      <c r="AD219" s="2"/>
      <c r="AE219" s="32"/>
      <c r="AF219" s="2"/>
      <c r="AG219" s="2"/>
      <c r="AH219" s="2"/>
      <c r="AL219" s="2"/>
      <c r="AN219" s="32">
        <f>57+120</f>
        <v>177</v>
      </c>
    </row>
    <row r="220" spans="1:53">
      <c r="A220" t="s">
        <v>768</v>
      </c>
      <c r="G220">
        <v>20</v>
      </c>
      <c r="H220">
        <v>10</v>
      </c>
      <c r="I220">
        <v>18</v>
      </c>
      <c r="J220">
        <v>12</v>
      </c>
      <c r="K220">
        <v>12</v>
      </c>
      <c r="L220">
        <v>12</v>
      </c>
      <c r="M220">
        <v>12</v>
      </c>
      <c r="O220">
        <v>38</v>
      </c>
      <c r="V220" s="2"/>
      <c r="W220" s="2"/>
      <c r="X220" s="2"/>
      <c r="Y220" s="2"/>
      <c r="Z220" s="2"/>
      <c r="AA220" s="2"/>
      <c r="AB220" s="32">
        <v>31</v>
      </c>
      <c r="AC220" s="2">
        <v>0.04</v>
      </c>
      <c r="AD220" s="2"/>
      <c r="AE220" s="32"/>
      <c r="AF220" s="2"/>
      <c r="AG220" s="2"/>
      <c r="AH220" s="2"/>
      <c r="AL220" s="2"/>
      <c r="AN220" s="32">
        <v>30</v>
      </c>
    </row>
    <row r="221" spans="1:53">
      <c r="A221" t="s">
        <v>769</v>
      </c>
      <c r="G221">
        <v>32</v>
      </c>
      <c r="H221">
        <v>16</v>
      </c>
      <c r="I221">
        <v>29</v>
      </c>
      <c r="J221">
        <v>19</v>
      </c>
      <c r="K221">
        <v>20</v>
      </c>
      <c r="L221">
        <v>20</v>
      </c>
      <c r="M221">
        <v>20</v>
      </c>
      <c r="O221">
        <v>44</v>
      </c>
      <c r="V221" s="2"/>
      <c r="W221" s="2"/>
      <c r="X221" s="2"/>
      <c r="Y221" s="2"/>
      <c r="Z221" s="2"/>
      <c r="AA221" s="2"/>
      <c r="AB221" s="32">
        <v>41</v>
      </c>
      <c r="AC221" s="2">
        <v>0.05</v>
      </c>
      <c r="AD221" s="2"/>
      <c r="AE221" s="32"/>
      <c r="AF221" s="2"/>
      <c r="AG221" s="2"/>
      <c r="AH221" s="2"/>
      <c r="AL221" s="2"/>
      <c r="AN221" s="32">
        <v>63</v>
      </c>
    </row>
    <row r="222" spans="1:53">
      <c r="A222" s="29" t="s">
        <v>645</v>
      </c>
      <c r="G222">
        <v>25</v>
      </c>
      <c r="H222">
        <v>12</v>
      </c>
      <c r="I222">
        <v>18</v>
      </c>
      <c r="J222">
        <v>12</v>
      </c>
      <c r="K222">
        <v>12</v>
      </c>
      <c r="L222">
        <v>12</v>
      </c>
      <c r="M222">
        <v>12</v>
      </c>
      <c r="O222">
        <v>23</v>
      </c>
      <c r="P222" s="2"/>
      <c r="Q222" s="2"/>
      <c r="R222" s="2"/>
      <c r="U222" s="2"/>
      <c r="V222" s="2"/>
      <c r="W222" s="2"/>
      <c r="X222" s="2"/>
      <c r="Y222" s="2"/>
      <c r="Z222" s="2"/>
      <c r="AA222" s="2"/>
      <c r="AB222" s="32">
        <v>31</v>
      </c>
      <c r="AC222" s="2"/>
      <c r="AD222" s="2"/>
      <c r="AE222" s="32"/>
      <c r="AF222" s="2"/>
      <c r="AG222" s="2"/>
      <c r="AH222" s="2"/>
      <c r="AL222" s="2"/>
      <c r="AN222" s="32">
        <v>70</v>
      </c>
      <c r="AO222" s="2"/>
    </row>
    <row r="223" spans="1:53">
      <c r="A223" s="29" t="s">
        <v>692</v>
      </c>
      <c r="G223">
        <v>36</v>
      </c>
      <c r="H223">
        <v>19</v>
      </c>
      <c r="I223">
        <v>29</v>
      </c>
      <c r="J223">
        <v>19</v>
      </c>
      <c r="K223">
        <v>19</v>
      </c>
      <c r="L223">
        <v>19</v>
      </c>
      <c r="M223">
        <v>19</v>
      </c>
      <c r="O223">
        <v>28</v>
      </c>
      <c r="P223" s="2"/>
      <c r="Q223" s="2"/>
      <c r="R223" s="2"/>
      <c r="U223" s="2"/>
      <c r="V223" s="2"/>
      <c r="W223" s="2"/>
      <c r="X223" s="2"/>
      <c r="Y223" s="2"/>
      <c r="Z223" s="2"/>
      <c r="AA223" s="2"/>
      <c r="AB223" s="32">
        <v>31</v>
      </c>
      <c r="AC223" s="2"/>
      <c r="AD223" s="2"/>
      <c r="AE223" s="32"/>
      <c r="AF223" s="2"/>
      <c r="AG223" s="2"/>
      <c r="AH223" s="2"/>
      <c r="AL223" s="2"/>
      <c r="AN223" s="32">
        <v>103</v>
      </c>
      <c r="AO223" s="2"/>
    </row>
    <row r="224" spans="1:53">
      <c r="A224" s="29" t="s">
        <v>930</v>
      </c>
      <c r="G224">
        <v>41</v>
      </c>
      <c r="H224">
        <v>24</v>
      </c>
      <c r="I224">
        <v>34</v>
      </c>
      <c r="J224">
        <v>24</v>
      </c>
      <c r="K224">
        <v>24</v>
      </c>
      <c r="L224">
        <v>24</v>
      </c>
      <c r="M224">
        <v>24</v>
      </c>
      <c r="N224">
        <v>40</v>
      </c>
      <c r="O224">
        <v>38</v>
      </c>
      <c r="P224" s="2"/>
      <c r="Q224" s="2"/>
      <c r="R224" s="2"/>
      <c r="U224" s="2"/>
      <c r="V224" s="2"/>
      <c r="W224" s="2"/>
      <c r="X224" s="2"/>
      <c r="Y224" s="2"/>
      <c r="Z224" s="2"/>
      <c r="AA224" s="2"/>
      <c r="AB224" s="32">
        <v>31</v>
      </c>
      <c r="AC224" s="2"/>
      <c r="AD224" s="2"/>
      <c r="AE224" s="32"/>
      <c r="AF224" s="2"/>
      <c r="AG224" s="2"/>
      <c r="AH224" s="2">
        <v>0.05</v>
      </c>
      <c r="AL224" s="2"/>
      <c r="AN224" s="32">
        <v>154</v>
      </c>
      <c r="AO224" s="2"/>
    </row>
    <row r="225" spans="1:53">
      <c r="A225" s="29" t="s">
        <v>931</v>
      </c>
      <c r="G225">
        <v>46</v>
      </c>
      <c r="H225">
        <v>29</v>
      </c>
      <c r="I225">
        <v>39</v>
      </c>
      <c r="J225">
        <v>29</v>
      </c>
      <c r="K225">
        <v>29</v>
      </c>
      <c r="L225">
        <v>29</v>
      </c>
      <c r="M225">
        <v>29</v>
      </c>
      <c r="N225">
        <v>50</v>
      </c>
      <c r="O225">
        <v>48</v>
      </c>
      <c r="P225" s="2"/>
      <c r="Q225" s="2"/>
      <c r="R225" s="2"/>
      <c r="U225" s="2"/>
      <c r="V225" s="2"/>
      <c r="W225" s="2"/>
      <c r="X225" s="2"/>
      <c r="Y225" s="2"/>
      <c r="Z225" s="2"/>
      <c r="AA225" s="2"/>
      <c r="AB225" s="32">
        <v>31</v>
      </c>
      <c r="AC225" s="2"/>
      <c r="AD225" s="2"/>
      <c r="AE225" s="32"/>
      <c r="AF225" s="2"/>
      <c r="AG225" s="2"/>
      <c r="AH225" s="2">
        <v>0.1</v>
      </c>
      <c r="AL225" s="2"/>
      <c r="AN225" s="32">
        <v>164</v>
      </c>
      <c r="AO225" s="2"/>
    </row>
    <row r="226" spans="1:53">
      <c r="A226" s="29" t="s">
        <v>797</v>
      </c>
      <c r="G226">
        <v>29</v>
      </c>
      <c r="H226">
        <v>17</v>
      </c>
      <c r="I226">
        <v>32</v>
      </c>
      <c r="J226">
        <v>17</v>
      </c>
      <c r="K226">
        <v>18</v>
      </c>
      <c r="L226">
        <v>16</v>
      </c>
      <c r="M226">
        <v>16</v>
      </c>
      <c r="O226">
        <v>35</v>
      </c>
      <c r="P226" s="2"/>
      <c r="Q226" s="2"/>
      <c r="R226" s="2"/>
      <c r="T226">
        <v>20</v>
      </c>
      <c r="U226" s="2"/>
      <c r="V226" s="2"/>
      <c r="W226" s="2"/>
      <c r="X226" s="2"/>
      <c r="Y226" s="2"/>
      <c r="Z226" s="2"/>
      <c r="AA226" s="2"/>
      <c r="AB226" s="32">
        <v>31</v>
      </c>
      <c r="AC226" s="2"/>
      <c r="AD226" s="2"/>
      <c r="AE226" s="32"/>
      <c r="AF226" s="2"/>
      <c r="AG226" s="2"/>
      <c r="AH226" s="2"/>
      <c r="AL226" s="2"/>
      <c r="AO226" s="2"/>
    </row>
    <row r="227" spans="1:53">
      <c r="A227" t="s">
        <v>745</v>
      </c>
      <c r="G227">
        <v>29</v>
      </c>
      <c r="H227">
        <v>29</v>
      </c>
      <c r="I227">
        <v>29</v>
      </c>
      <c r="J227">
        <v>6</v>
      </c>
      <c r="K227">
        <v>6</v>
      </c>
      <c r="L227">
        <v>6</v>
      </c>
      <c r="M227">
        <v>6</v>
      </c>
      <c r="N227">
        <v>30</v>
      </c>
      <c r="O227">
        <v>30</v>
      </c>
      <c r="V227" s="2">
        <v>0.02</v>
      </c>
      <c r="W227" s="2"/>
      <c r="X227" s="2"/>
      <c r="Y227" s="2"/>
      <c r="Z227" s="2"/>
      <c r="AA227" s="2"/>
      <c r="AB227" s="32">
        <v>31</v>
      </c>
      <c r="AC227" s="2"/>
      <c r="AD227" s="2"/>
      <c r="AE227" s="32"/>
      <c r="AF227" s="2"/>
      <c r="AG227" s="2"/>
      <c r="AH227" s="2"/>
      <c r="AL227" s="2"/>
    </row>
    <row r="228" spans="1:53">
      <c r="A228" s="29" t="s">
        <v>816</v>
      </c>
      <c r="G228">
        <v>30</v>
      </c>
      <c r="H228">
        <v>17</v>
      </c>
      <c r="I228">
        <v>30</v>
      </c>
      <c r="J228">
        <v>19</v>
      </c>
      <c r="K228">
        <v>19</v>
      </c>
      <c r="L228">
        <v>19</v>
      </c>
      <c r="M228">
        <v>19</v>
      </c>
      <c r="O228">
        <v>14</v>
      </c>
      <c r="V228" s="2"/>
      <c r="W228" s="2"/>
      <c r="X228" s="2"/>
      <c r="Y228" s="2"/>
      <c r="Z228" s="2"/>
      <c r="AA228" s="2"/>
      <c r="AB228" s="32">
        <v>31</v>
      </c>
      <c r="AC228" s="2"/>
      <c r="AD228" s="2"/>
      <c r="AE228" s="32">
        <v>5</v>
      </c>
      <c r="AF228" s="2"/>
      <c r="AG228" s="2"/>
      <c r="AH228" s="2"/>
      <c r="AL228" s="2"/>
    </row>
    <row r="229" spans="1:53" s="185" customFormat="1" ht="12.75" customHeight="1">
      <c r="A229" s="29" t="s">
        <v>880</v>
      </c>
      <c r="B229" s="29"/>
      <c r="C229" s="29"/>
      <c r="D229" s="29"/>
      <c r="E229" s="29"/>
      <c r="F229" s="29"/>
      <c r="G229" s="29">
        <v>30</v>
      </c>
      <c r="H229" s="29">
        <v>17</v>
      </c>
      <c r="I229" s="29">
        <v>30</v>
      </c>
      <c r="J229" s="29">
        <v>19</v>
      </c>
      <c r="K229" s="29">
        <v>19</v>
      </c>
      <c r="L229" s="29">
        <v>19</v>
      </c>
      <c r="M229" s="29">
        <v>19</v>
      </c>
      <c r="N229" s="29">
        <v>30</v>
      </c>
      <c r="O229" s="29">
        <v>14</v>
      </c>
      <c r="P229" s="29"/>
      <c r="Q229" s="29"/>
      <c r="R229" s="29"/>
      <c r="S229" s="29"/>
      <c r="T229" s="29"/>
      <c r="U229" s="29"/>
      <c r="V229" s="12">
        <v>0.05</v>
      </c>
      <c r="W229" s="12"/>
      <c r="X229" s="12"/>
      <c r="Y229" s="12"/>
      <c r="Z229" s="12"/>
      <c r="AA229" s="12"/>
      <c r="AB229" s="29">
        <v>30</v>
      </c>
      <c r="AC229" s="12"/>
      <c r="AD229" s="12"/>
      <c r="AE229" s="29">
        <v>5</v>
      </c>
      <c r="AF229" s="12"/>
      <c r="AG229" s="12"/>
      <c r="AH229" s="12"/>
      <c r="AI229" s="29"/>
      <c r="AJ229" s="29"/>
      <c r="AK229" s="29"/>
      <c r="AL229" s="29"/>
      <c r="AM229" s="12"/>
      <c r="AN229" s="29"/>
      <c r="AO229" s="29"/>
      <c r="AP229" s="29"/>
      <c r="AQ229" s="29"/>
      <c r="AR229" s="29"/>
      <c r="AS229" s="29"/>
      <c r="AT229" s="29"/>
      <c r="AU229" s="29"/>
      <c r="AV229" s="29"/>
      <c r="AW229" s="29"/>
      <c r="AX229" s="29"/>
      <c r="AY229" s="29"/>
      <c r="AZ229" s="29"/>
      <c r="BA229" s="29"/>
    </row>
    <row r="230" spans="1:53" s="185" customFormat="1" ht="12.75" customHeight="1">
      <c r="A230" s="29" t="s">
        <v>881</v>
      </c>
      <c r="B230" s="29"/>
      <c r="C230" s="29"/>
      <c r="D230" s="29"/>
      <c r="E230" s="29"/>
      <c r="F230" s="29"/>
      <c r="G230" s="29">
        <v>30</v>
      </c>
      <c r="H230" s="29">
        <v>17</v>
      </c>
      <c r="I230" s="29">
        <v>30</v>
      </c>
      <c r="J230" s="29">
        <v>19</v>
      </c>
      <c r="K230" s="29">
        <v>19</v>
      </c>
      <c r="L230" s="29">
        <v>19</v>
      </c>
      <c r="M230" s="29">
        <v>19</v>
      </c>
      <c r="N230" s="29">
        <v>30</v>
      </c>
      <c r="O230" s="29">
        <v>14</v>
      </c>
      <c r="P230" s="29"/>
      <c r="Q230" s="29"/>
      <c r="R230" s="29"/>
      <c r="S230" s="29"/>
      <c r="T230" s="29"/>
      <c r="U230" s="29"/>
      <c r="V230" s="12"/>
      <c r="W230" s="12"/>
      <c r="X230" s="12"/>
      <c r="Y230" s="12"/>
      <c r="Z230" s="12"/>
      <c r="AA230" s="12"/>
      <c r="AB230" s="29">
        <v>30</v>
      </c>
      <c r="AC230" s="12"/>
      <c r="AD230" s="12"/>
      <c r="AE230" s="29">
        <v>13</v>
      </c>
      <c r="AF230" s="12"/>
      <c r="AG230" s="12"/>
      <c r="AH230" s="12"/>
      <c r="AI230" s="29"/>
      <c r="AJ230" s="29"/>
      <c r="AK230" s="29"/>
      <c r="AL230" s="29"/>
      <c r="AM230" s="12"/>
      <c r="AN230" s="29"/>
      <c r="AO230" s="29"/>
      <c r="AP230" s="29"/>
      <c r="AQ230" s="29"/>
      <c r="AR230" s="29"/>
      <c r="AS230" s="29"/>
      <c r="AT230" s="29"/>
      <c r="AU230" s="29"/>
      <c r="AV230" s="29"/>
      <c r="AW230" s="29"/>
      <c r="AX230" s="29"/>
      <c r="AY230" s="29"/>
      <c r="AZ230" s="29"/>
      <c r="BA230" s="29"/>
    </row>
    <row r="231" spans="1:53" s="185" customFormat="1" ht="12.75" customHeight="1">
      <c r="A231" s="29" t="s">
        <v>882</v>
      </c>
      <c r="B231" s="29"/>
      <c r="C231" s="29"/>
      <c r="D231" s="29"/>
      <c r="E231" s="29"/>
      <c r="F231" s="29"/>
      <c r="G231" s="29">
        <v>30</v>
      </c>
      <c r="H231" s="29">
        <v>17</v>
      </c>
      <c r="I231" s="29">
        <v>30</v>
      </c>
      <c r="J231" s="29">
        <v>19</v>
      </c>
      <c r="K231" s="29">
        <v>19</v>
      </c>
      <c r="L231" s="29">
        <v>19</v>
      </c>
      <c r="M231" s="29">
        <v>19</v>
      </c>
      <c r="N231" s="29">
        <v>30</v>
      </c>
      <c r="O231" s="29">
        <v>14</v>
      </c>
      <c r="P231" s="29"/>
      <c r="Q231" s="29"/>
      <c r="R231" s="29"/>
      <c r="S231" s="29"/>
      <c r="T231" s="29"/>
      <c r="U231" s="29"/>
      <c r="V231" s="12"/>
      <c r="W231" s="12"/>
      <c r="X231" s="12"/>
      <c r="Y231" s="12"/>
      <c r="Z231" s="12"/>
      <c r="AA231" s="12"/>
      <c r="AB231" s="29">
        <v>30</v>
      </c>
      <c r="AC231" s="12"/>
      <c r="AD231" s="12"/>
      <c r="AE231" s="29">
        <v>5</v>
      </c>
      <c r="AF231" s="12"/>
      <c r="AG231" s="12"/>
      <c r="AH231" s="12">
        <v>0.05</v>
      </c>
      <c r="AI231" s="29"/>
      <c r="AJ231" s="29"/>
      <c r="AK231" s="29"/>
      <c r="AL231" s="29"/>
      <c r="AM231" s="12"/>
      <c r="AN231" s="29"/>
      <c r="AO231" s="29"/>
      <c r="AP231" s="29"/>
      <c r="AQ231" s="29"/>
      <c r="AR231" s="29"/>
      <c r="AS231" s="29"/>
      <c r="AT231" s="29"/>
      <c r="AU231" s="29"/>
      <c r="AV231" s="29"/>
      <c r="AW231" s="29"/>
      <c r="AX231" s="29"/>
      <c r="AY231" s="29"/>
      <c r="AZ231" s="29"/>
      <c r="BA231" s="29"/>
    </row>
    <row r="232" spans="1:53">
      <c r="A232" s="29" t="s">
        <v>898</v>
      </c>
      <c r="G232">
        <v>30</v>
      </c>
      <c r="H232">
        <v>17</v>
      </c>
      <c r="I232">
        <f>30+10</f>
        <v>40</v>
      </c>
      <c r="J232">
        <v>19</v>
      </c>
      <c r="K232">
        <v>19</v>
      </c>
      <c r="L232">
        <v>19</v>
      </c>
      <c r="M232">
        <v>19</v>
      </c>
      <c r="N232" s="29">
        <v>14</v>
      </c>
      <c r="O232">
        <f>14+14</f>
        <v>28</v>
      </c>
      <c r="V232" s="2"/>
      <c r="W232" s="2"/>
      <c r="X232" s="2"/>
      <c r="Y232" s="2"/>
      <c r="Z232" s="2"/>
      <c r="AA232" s="2"/>
      <c r="AB232" s="32">
        <v>31</v>
      </c>
      <c r="AC232" s="2"/>
      <c r="AD232" s="2"/>
      <c r="AE232" s="32">
        <f>5+6</f>
        <v>11</v>
      </c>
      <c r="AF232" s="2"/>
      <c r="AG232" s="2"/>
      <c r="AH232" s="2"/>
      <c r="AL232" s="2"/>
    </row>
    <row r="233" spans="1:53">
      <c r="A233" s="29" t="s">
        <v>893</v>
      </c>
      <c r="G233">
        <v>30</v>
      </c>
      <c r="H233">
        <v>17</v>
      </c>
      <c r="I233">
        <v>44</v>
      </c>
      <c r="J233">
        <v>19</v>
      </c>
      <c r="K233">
        <v>19</v>
      </c>
      <c r="L233">
        <v>19</v>
      </c>
      <c r="M233">
        <v>19</v>
      </c>
      <c r="N233" s="29">
        <v>12</v>
      </c>
      <c r="O233">
        <v>24</v>
      </c>
      <c r="V233" s="2"/>
      <c r="W233" s="2"/>
      <c r="X233" s="2"/>
      <c r="Y233" s="2"/>
      <c r="Z233" s="2"/>
      <c r="AA233" s="2"/>
      <c r="AB233" s="32">
        <v>31</v>
      </c>
      <c r="AC233" s="2"/>
      <c r="AD233" s="2"/>
      <c r="AE233" s="32">
        <v>5</v>
      </c>
      <c r="AF233" s="2"/>
      <c r="AG233" s="2"/>
      <c r="AH233" s="2">
        <v>0.03</v>
      </c>
      <c r="AL233" s="2"/>
    </row>
    <row r="234" spans="1:53">
      <c r="A234" s="29" t="s">
        <v>924</v>
      </c>
      <c r="G234">
        <v>30</v>
      </c>
      <c r="H234">
        <v>17</v>
      </c>
      <c r="I234">
        <v>30</v>
      </c>
      <c r="J234">
        <v>19</v>
      </c>
      <c r="K234">
        <v>19</v>
      </c>
      <c r="L234">
        <v>19</v>
      </c>
      <c r="M234">
        <v>19</v>
      </c>
      <c r="N234" s="29">
        <v>27</v>
      </c>
      <c r="O234">
        <f>14+12</f>
        <v>26</v>
      </c>
      <c r="V234" s="2">
        <v>0.04</v>
      </c>
      <c r="W234" s="2"/>
      <c r="X234" s="2"/>
      <c r="Y234" s="2"/>
      <c r="Z234" s="2"/>
      <c r="AA234" s="2"/>
      <c r="AB234" s="32">
        <v>31</v>
      </c>
      <c r="AC234" s="2"/>
      <c r="AD234" s="2"/>
      <c r="AE234" s="32">
        <v>5</v>
      </c>
      <c r="AF234" s="2"/>
      <c r="AG234" s="2"/>
      <c r="AH234" s="2"/>
      <c r="AL234" s="2"/>
    </row>
    <row r="235" spans="1:53">
      <c r="A235" s="29" t="s">
        <v>436</v>
      </c>
      <c r="G235">
        <v>16</v>
      </c>
      <c r="P235" s="2">
        <v>0.05</v>
      </c>
      <c r="T235">
        <v>7</v>
      </c>
      <c r="V235" s="2"/>
      <c r="W235" s="2"/>
      <c r="X235" s="2"/>
      <c r="Y235" s="2"/>
      <c r="Z235" s="2"/>
      <c r="AA235" s="2"/>
      <c r="AB235" s="32"/>
      <c r="AC235" s="2"/>
      <c r="AD235" s="2"/>
      <c r="AE235" s="32"/>
      <c r="AF235" s="2"/>
      <c r="AG235" s="2"/>
      <c r="AH235" s="2">
        <v>7.0000000000000007E-2</v>
      </c>
      <c r="AL235" s="2"/>
    </row>
    <row r="236" spans="1:53">
      <c r="A236" s="29" t="s">
        <v>862</v>
      </c>
      <c r="G236">
        <v>38</v>
      </c>
      <c r="H236">
        <v>21</v>
      </c>
      <c r="I236">
        <v>38</v>
      </c>
      <c r="J236">
        <v>16</v>
      </c>
      <c r="K236">
        <v>16</v>
      </c>
      <c r="L236">
        <v>24</v>
      </c>
      <c r="M236">
        <v>24</v>
      </c>
      <c r="N236">
        <v>40</v>
      </c>
      <c r="O236">
        <v>44</v>
      </c>
      <c r="V236" s="2"/>
      <c r="W236" s="2"/>
      <c r="X236" s="2"/>
      <c r="Y236" s="2"/>
      <c r="Z236" s="2"/>
      <c r="AA236" s="2"/>
      <c r="AB236" s="32">
        <v>11</v>
      </c>
      <c r="AC236" s="2"/>
      <c r="AD236" s="2"/>
      <c r="AE236" s="32"/>
      <c r="AF236" s="2"/>
      <c r="AG236" s="2"/>
      <c r="AH236" s="2"/>
      <c r="AL236" s="2"/>
    </row>
    <row r="237" spans="1:53">
      <c r="A237" s="29" t="s">
        <v>947</v>
      </c>
      <c r="G237">
        <v>41</v>
      </c>
      <c r="H237">
        <v>24</v>
      </c>
      <c r="I237">
        <v>41</v>
      </c>
      <c r="J237">
        <v>16</v>
      </c>
      <c r="K237">
        <v>16</v>
      </c>
      <c r="L237">
        <v>27</v>
      </c>
      <c r="M237">
        <v>27</v>
      </c>
      <c r="N237">
        <v>46</v>
      </c>
      <c r="O237">
        <v>50</v>
      </c>
      <c r="V237" s="2"/>
      <c r="W237" s="2"/>
      <c r="X237" s="2"/>
      <c r="Y237" s="2"/>
      <c r="Z237" s="2"/>
      <c r="AA237" s="2"/>
      <c r="AB237" s="32">
        <v>11</v>
      </c>
      <c r="AC237" s="2"/>
      <c r="AD237" s="2"/>
      <c r="AE237" s="32"/>
      <c r="AF237" s="2"/>
      <c r="AG237" s="2"/>
      <c r="AH237" s="2"/>
      <c r="AL237" s="2"/>
    </row>
    <row r="238" spans="1:53">
      <c r="A238" s="29" t="s">
        <v>872</v>
      </c>
      <c r="G238">
        <v>29</v>
      </c>
      <c r="H238">
        <v>19</v>
      </c>
      <c r="I238">
        <v>29</v>
      </c>
      <c r="J238">
        <v>19</v>
      </c>
      <c r="K238">
        <v>19</v>
      </c>
      <c r="L238">
        <v>19</v>
      </c>
      <c r="M238">
        <v>19</v>
      </c>
      <c r="O238">
        <v>20</v>
      </c>
      <c r="V238" s="2">
        <v>0.03</v>
      </c>
      <c r="W238" s="2"/>
      <c r="X238" s="2"/>
      <c r="Y238" s="2"/>
      <c r="Z238" s="2"/>
      <c r="AA238" s="2"/>
      <c r="AB238" s="32">
        <v>31</v>
      </c>
      <c r="AC238" s="2">
        <v>0.03</v>
      </c>
      <c r="AD238" s="2"/>
      <c r="AE238" s="32"/>
      <c r="AF238" s="2"/>
      <c r="AG238" s="2"/>
      <c r="AH238" s="2"/>
      <c r="AL238" s="2"/>
    </row>
    <row r="239" spans="1:53" s="185" customFormat="1" ht="12.75" customHeight="1">
      <c r="A239" s="29" t="s">
        <v>815</v>
      </c>
      <c r="B239" s="29"/>
      <c r="C239" s="29"/>
      <c r="D239" s="29"/>
      <c r="E239" s="29"/>
      <c r="F239" s="29"/>
      <c r="G239" s="29">
        <v>29</v>
      </c>
      <c r="H239" s="29">
        <v>25</v>
      </c>
      <c r="I239" s="29">
        <v>29</v>
      </c>
      <c r="J239" s="29">
        <v>20</v>
      </c>
      <c r="K239" s="29">
        <v>20</v>
      </c>
      <c r="L239" s="29">
        <v>20</v>
      </c>
      <c r="M239" s="29">
        <v>20</v>
      </c>
      <c r="N239" s="29">
        <v>20</v>
      </c>
      <c r="O239" s="29"/>
      <c r="P239" s="29"/>
      <c r="Q239" s="29"/>
      <c r="R239" s="29"/>
      <c r="S239" s="29"/>
      <c r="T239" s="29"/>
      <c r="U239" s="29"/>
      <c r="V239" s="12">
        <v>0.02</v>
      </c>
      <c r="W239" s="12"/>
      <c r="X239" s="12"/>
      <c r="Y239" s="12"/>
      <c r="Z239" s="12"/>
      <c r="AA239" s="12"/>
      <c r="AB239" s="29">
        <v>31</v>
      </c>
      <c r="AC239" s="12"/>
      <c r="AD239" s="12"/>
      <c r="AE239" s="29">
        <v>3</v>
      </c>
      <c r="AF239" s="12"/>
      <c r="AG239" s="12"/>
      <c r="AH239" s="12"/>
      <c r="AI239" s="29"/>
      <c r="AJ239" s="29"/>
      <c r="AK239" s="29"/>
      <c r="AL239" s="29"/>
      <c r="AM239" s="12"/>
      <c r="AN239" s="29"/>
      <c r="AO239" s="29"/>
      <c r="AP239" s="29"/>
      <c r="AQ239" s="29"/>
      <c r="AR239" s="29"/>
      <c r="AS239" s="29"/>
      <c r="AT239" s="29"/>
      <c r="AU239" s="29"/>
      <c r="AV239" s="29"/>
      <c r="AW239" s="29"/>
      <c r="AX239" s="29"/>
      <c r="AY239" s="29"/>
      <c r="AZ239" s="29"/>
      <c r="BA239" s="29"/>
    </row>
    <row r="240" spans="1:53" s="185" customFormat="1" ht="12.75" customHeight="1">
      <c r="A240" s="29" t="s">
        <v>877</v>
      </c>
      <c r="B240" s="29"/>
      <c r="C240" s="29"/>
      <c r="D240" s="29"/>
      <c r="E240" s="29"/>
      <c r="F240" s="29"/>
      <c r="G240" s="29">
        <v>29</v>
      </c>
      <c r="H240" s="29">
        <v>25</v>
      </c>
      <c r="I240" s="29">
        <v>29</v>
      </c>
      <c r="J240" s="29">
        <v>20</v>
      </c>
      <c r="K240" s="29">
        <v>20</v>
      </c>
      <c r="L240" s="29">
        <v>20</v>
      </c>
      <c r="M240" s="29">
        <v>20</v>
      </c>
      <c r="N240" s="29">
        <v>50</v>
      </c>
      <c r="O240" s="29"/>
      <c r="P240" s="29"/>
      <c r="Q240" s="29"/>
      <c r="R240" s="29"/>
      <c r="S240" s="29"/>
      <c r="T240" s="29"/>
      <c r="U240" s="29"/>
      <c r="V240" s="12">
        <v>7.0000000000000007E-2</v>
      </c>
      <c r="W240" s="12"/>
      <c r="X240" s="12"/>
      <c r="Y240" s="12"/>
      <c r="Z240" s="12"/>
      <c r="AA240" s="12"/>
      <c r="AB240" s="29">
        <v>31</v>
      </c>
      <c r="AC240" s="12"/>
      <c r="AD240" s="12"/>
      <c r="AE240" s="29">
        <v>3</v>
      </c>
      <c r="AF240" s="12"/>
      <c r="AG240" s="12"/>
      <c r="AH240" s="12"/>
      <c r="AI240" s="29"/>
      <c r="AJ240" s="29"/>
      <c r="AK240" s="29"/>
      <c r="AL240" s="29"/>
      <c r="AM240" s="12"/>
      <c r="AN240" s="29"/>
      <c r="AO240" s="29"/>
      <c r="AP240" s="29"/>
      <c r="AQ240" s="29"/>
      <c r="AR240" s="29"/>
      <c r="AS240" s="29"/>
      <c r="AT240" s="29"/>
      <c r="AU240" s="29"/>
      <c r="AV240" s="29"/>
      <c r="AW240" s="29"/>
      <c r="AX240" s="29"/>
      <c r="AY240" s="29"/>
      <c r="AZ240" s="29"/>
      <c r="BA240" s="29"/>
    </row>
    <row r="241" spans="1:54" s="185" customFormat="1" ht="12.75" customHeight="1">
      <c r="A241" s="29" t="s">
        <v>878</v>
      </c>
      <c r="B241" s="29"/>
      <c r="C241" s="29"/>
      <c r="D241" s="29"/>
      <c r="E241" s="29"/>
      <c r="F241" s="29"/>
      <c r="G241" s="29">
        <v>29</v>
      </c>
      <c r="H241" s="29">
        <v>25</v>
      </c>
      <c r="I241" s="29">
        <v>29</v>
      </c>
      <c r="J241" s="29">
        <v>20</v>
      </c>
      <c r="K241" s="29">
        <v>20</v>
      </c>
      <c r="L241" s="29">
        <v>20</v>
      </c>
      <c r="M241" s="29">
        <v>20</v>
      </c>
      <c r="N241" s="29">
        <v>50</v>
      </c>
      <c r="O241" s="29"/>
      <c r="P241" s="29"/>
      <c r="Q241" s="29"/>
      <c r="R241" s="29"/>
      <c r="S241" s="29"/>
      <c r="T241" s="29"/>
      <c r="U241" s="29"/>
      <c r="V241" s="12">
        <v>0.02</v>
      </c>
      <c r="W241" s="12"/>
      <c r="X241" s="12"/>
      <c r="Y241" s="12"/>
      <c r="Z241" s="12"/>
      <c r="AA241" s="12"/>
      <c r="AB241" s="29">
        <v>31</v>
      </c>
      <c r="AC241" s="12"/>
      <c r="AD241" s="12"/>
      <c r="AE241" s="29">
        <v>11</v>
      </c>
      <c r="AF241" s="12"/>
      <c r="AG241" s="12"/>
      <c r="AH241" s="12"/>
      <c r="AI241" s="29"/>
      <c r="AJ241" s="29"/>
      <c r="AK241" s="29"/>
      <c r="AL241" s="29"/>
      <c r="AM241" s="12"/>
      <c r="AN241" s="29"/>
      <c r="AO241" s="29"/>
      <c r="AP241" s="29"/>
      <c r="AQ241" s="29"/>
      <c r="AR241" s="29"/>
      <c r="AS241" s="29"/>
      <c r="AT241" s="29"/>
      <c r="AU241" s="29"/>
      <c r="AV241" s="29"/>
      <c r="AW241" s="29"/>
      <c r="AX241" s="29"/>
      <c r="AY241" s="29"/>
      <c r="AZ241" s="29"/>
      <c r="BA241" s="29"/>
    </row>
    <row r="242" spans="1:54" s="185" customFormat="1" ht="12.75" customHeight="1">
      <c r="A242" s="29" t="s">
        <v>879</v>
      </c>
      <c r="B242" s="29"/>
      <c r="C242" s="29"/>
      <c r="D242" s="29"/>
      <c r="E242" s="29"/>
      <c r="F242" s="29"/>
      <c r="G242" s="29">
        <v>29</v>
      </c>
      <c r="H242" s="29">
        <v>25</v>
      </c>
      <c r="I242" s="29">
        <v>29</v>
      </c>
      <c r="J242" s="29">
        <v>20</v>
      </c>
      <c r="K242" s="29">
        <v>20</v>
      </c>
      <c r="L242" s="29">
        <v>20</v>
      </c>
      <c r="M242" s="29">
        <v>20</v>
      </c>
      <c r="N242" s="29">
        <v>50</v>
      </c>
      <c r="O242" s="29"/>
      <c r="P242" s="29"/>
      <c r="Q242" s="29"/>
      <c r="R242" s="29"/>
      <c r="S242" s="29"/>
      <c r="T242" s="29"/>
      <c r="U242" s="29"/>
      <c r="V242" s="12">
        <v>0.02</v>
      </c>
      <c r="W242" s="12"/>
      <c r="X242" s="12"/>
      <c r="Y242" s="12"/>
      <c r="Z242" s="12"/>
      <c r="AA242" s="12"/>
      <c r="AB242" s="29">
        <v>31</v>
      </c>
      <c r="AC242" s="12"/>
      <c r="AD242" s="12"/>
      <c r="AE242" s="29">
        <v>3</v>
      </c>
      <c r="AF242" s="12"/>
      <c r="AG242" s="12"/>
      <c r="AH242" s="12">
        <v>0.05</v>
      </c>
      <c r="AI242" s="29"/>
      <c r="AJ242" s="29"/>
      <c r="AK242" s="29"/>
      <c r="AL242" s="29"/>
      <c r="AM242" s="12"/>
      <c r="AN242" s="29"/>
      <c r="AO242" s="29"/>
      <c r="AP242" s="29"/>
      <c r="AQ242" s="29"/>
      <c r="AR242" s="29"/>
      <c r="AS242" s="29"/>
      <c r="AT242" s="29"/>
      <c r="AU242" s="29"/>
      <c r="AV242" s="29"/>
      <c r="AW242" s="29"/>
      <c r="AX242" s="29"/>
      <c r="AY242" s="29"/>
      <c r="AZ242" s="29"/>
      <c r="BA242" s="29"/>
    </row>
    <row r="243" spans="1:54" s="185" customFormat="1" ht="12.75" customHeight="1">
      <c r="A243" s="29" t="s">
        <v>939</v>
      </c>
      <c r="B243" s="29"/>
      <c r="C243" s="29"/>
      <c r="D243" s="29"/>
      <c r="E243" s="29"/>
      <c r="F243" s="29"/>
      <c r="G243" s="29">
        <v>29</v>
      </c>
      <c r="H243" s="29">
        <v>40</v>
      </c>
      <c r="I243" s="29">
        <v>29</v>
      </c>
      <c r="J243" s="29">
        <v>20</v>
      </c>
      <c r="K243" s="29">
        <v>20</v>
      </c>
      <c r="L243" s="29">
        <v>20</v>
      </c>
      <c r="M243" s="29">
        <v>20</v>
      </c>
      <c r="N243" s="29">
        <v>60</v>
      </c>
      <c r="O243" s="29">
        <v>40</v>
      </c>
      <c r="P243" s="29"/>
      <c r="Q243" s="29"/>
      <c r="R243" s="29"/>
      <c r="S243" s="29"/>
      <c r="T243" s="29"/>
      <c r="U243" s="29"/>
      <c r="V243" s="12">
        <v>0.02</v>
      </c>
      <c r="W243" s="12">
        <v>0.03</v>
      </c>
      <c r="X243" s="12">
        <v>0.03</v>
      </c>
      <c r="Y243" s="12"/>
      <c r="Z243" s="12"/>
      <c r="AA243" s="12"/>
      <c r="AB243" s="29">
        <v>31</v>
      </c>
      <c r="AC243" s="12"/>
      <c r="AD243" s="12"/>
      <c r="AE243" s="29">
        <v>3</v>
      </c>
      <c r="AF243" s="12"/>
      <c r="AG243" s="12"/>
      <c r="AH243" s="12"/>
      <c r="AI243" s="29"/>
      <c r="AJ243" s="29"/>
      <c r="AK243" s="29"/>
      <c r="AL243" s="29"/>
      <c r="AM243" s="12"/>
      <c r="AN243" s="29"/>
      <c r="AO243" s="29"/>
      <c r="AP243" s="29"/>
      <c r="AQ243" s="29"/>
      <c r="AR243" s="29"/>
      <c r="AS243" s="29"/>
      <c r="AT243" s="29"/>
      <c r="AU243" s="29"/>
      <c r="AV243" s="29"/>
      <c r="AW243" s="29"/>
      <c r="AX243" s="29"/>
      <c r="AY243" s="29"/>
      <c r="AZ243" s="29"/>
      <c r="BA243" s="29"/>
    </row>
    <row r="244" spans="1:54">
      <c r="A244" s="29" t="s">
        <v>871</v>
      </c>
      <c r="G244">
        <v>29</v>
      </c>
      <c r="H244">
        <f>25+7</f>
        <v>32</v>
      </c>
      <c r="I244">
        <v>29</v>
      </c>
      <c r="J244">
        <v>20</v>
      </c>
      <c r="K244">
        <v>20</v>
      </c>
      <c r="L244">
        <v>20</v>
      </c>
      <c r="M244">
        <v>20</v>
      </c>
      <c r="N244">
        <f>20+18</f>
        <v>38</v>
      </c>
      <c r="V244" s="2">
        <v>7.0000000000000007E-2</v>
      </c>
      <c r="W244" s="2"/>
      <c r="X244" s="2"/>
      <c r="Y244" s="2"/>
      <c r="Z244" s="2"/>
      <c r="AA244" s="2"/>
      <c r="AB244" s="32">
        <v>31</v>
      </c>
      <c r="AC244" s="2"/>
      <c r="AD244" s="2"/>
      <c r="AE244" s="32">
        <v>3</v>
      </c>
      <c r="AF244" s="2"/>
      <c r="AG244" s="2"/>
      <c r="AH244" s="2"/>
      <c r="AL244" s="2"/>
    </row>
    <row r="245" spans="1:54">
      <c r="AE245" s="32"/>
    </row>
    <row r="246" spans="1:54">
      <c r="AE246" s="32"/>
    </row>
    <row r="247" spans="1:54">
      <c r="A247" t="s">
        <v>19</v>
      </c>
      <c r="B247" t="s">
        <v>492</v>
      </c>
      <c r="C247" t="s">
        <v>489</v>
      </c>
      <c r="D247" t="s">
        <v>490</v>
      </c>
      <c r="E247" t="s">
        <v>491</v>
      </c>
      <c r="F247" s="29" t="s">
        <v>636</v>
      </c>
      <c r="G247" t="s">
        <v>3</v>
      </c>
      <c r="H247" t="s">
        <v>4</v>
      </c>
      <c r="I247" t="s">
        <v>5</v>
      </c>
      <c r="J247" t="s">
        <v>42</v>
      </c>
      <c r="K247" t="s">
        <v>182</v>
      </c>
      <c r="L247" t="s">
        <v>183</v>
      </c>
      <c r="M247" t="s">
        <v>245</v>
      </c>
      <c r="N247" t="s">
        <v>10</v>
      </c>
      <c r="O247" t="s">
        <v>9</v>
      </c>
      <c r="P247" t="s">
        <v>437</v>
      </c>
      <c r="Q247" t="s">
        <v>757</v>
      </c>
      <c r="R247" t="s">
        <v>758</v>
      </c>
      <c r="S247" t="s">
        <v>759</v>
      </c>
      <c r="T247" t="s">
        <v>760</v>
      </c>
      <c r="U247" s="173" t="s">
        <v>761</v>
      </c>
      <c r="V247" t="s">
        <v>12</v>
      </c>
      <c r="W247" t="s">
        <v>150</v>
      </c>
      <c r="X247" t="s">
        <v>416</v>
      </c>
      <c r="Y247" t="s">
        <v>596</v>
      </c>
      <c r="Z247" t="s">
        <v>454</v>
      </c>
      <c r="AA247" t="s">
        <v>266</v>
      </c>
      <c r="AB247" t="s">
        <v>11</v>
      </c>
      <c r="AC247" t="s">
        <v>125</v>
      </c>
      <c r="AD247" t="s">
        <v>124</v>
      </c>
      <c r="AE247" s="32" t="s">
        <v>455</v>
      </c>
      <c r="AF247" t="s">
        <v>122</v>
      </c>
      <c r="AG247" t="s">
        <v>184</v>
      </c>
      <c r="AH247" t="s">
        <v>164</v>
      </c>
      <c r="AI247" s="32" t="s">
        <v>564</v>
      </c>
      <c r="AJ247" s="32" t="s">
        <v>565</v>
      </c>
      <c r="AK247" s="29" t="s">
        <v>538</v>
      </c>
      <c r="AL247" t="s">
        <v>417</v>
      </c>
      <c r="AM247" t="s">
        <v>691</v>
      </c>
      <c r="AN247" s="32" t="s">
        <v>218</v>
      </c>
      <c r="AO247" t="s">
        <v>219</v>
      </c>
    </row>
    <row r="248" spans="1:54">
      <c r="A248" s="29" t="s">
        <v>831</v>
      </c>
      <c r="G248">
        <f>4+7</f>
        <v>11</v>
      </c>
      <c r="H248">
        <f>31+7</f>
        <v>38</v>
      </c>
      <c r="I248">
        <v>28</v>
      </c>
      <c r="J248">
        <v>5</v>
      </c>
      <c r="K248">
        <v>8</v>
      </c>
      <c r="L248">
        <v>24</v>
      </c>
      <c r="M248">
        <v>18</v>
      </c>
      <c r="N248">
        <v>20</v>
      </c>
      <c r="O248">
        <v>27</v>
      </c>
      <c r="V248" s="2">
        <v>0.03</v>
      </c>
      <c r="W248" s="2"/>
      <c r="X248" s="2"/>
      <c r="Y248" s="2"/>
      <c r="Z248" s="2"/>
      <c r="AA248" s="2"/>
      <c r="AB248" s="32">
        <v>41</v>
      </c>
      <c r="AC248" s="2"/>
      <c r="AD248" s="2"/>
      <c r="AE248" s="32">
        <v>4</v>
      </c>
      <c r="AF248" s="2"/>
      <c r="AG248" s="2"/>
      <c r="AH248" s="2"/>
      <c r="AL248" s="2"/>
      <c r="AN248" s="32">
        <v>57</v>
      </c>
      <c r="AO248" s="32"/>
      <c r="AP248" s="32"/>
    </row>
    <row r="249" spans="1:54">
      <c r="A249" s="29" t="s">
        <v>793</v>
      </c>
      <c r="G249">
        <f>4+7</f>
        <v>11</v>
      </c>
      <c r="H249">
        <f>31+7</f>
        <v>38</v>
      </c>
      <c r="I249">
        <v>28</v>
      </c>
      <c r="J249">
        <v>5</v>
      </c>
      <c r="K249">
        <v>8</v>
      </c>
      <c r="L249">
        <v>24</v>
      </c>
      <c r="M249">
        <v>18</v>
      </c>
      <c r="N249">
        <v>20</v>
      </c>
      <c r="O249">
        <v>27</v>
      </c>
      <c r="V249" s="2"/>
      <c r="W249" s="2"/>
      <c r="X249" s="2"/>
      <c r="Y249" s="2"/>
      <c r="Z249" s="2"/>
      <c r="AA249" s="2"/>
      <c r="AB249" s="32">
        <v>41</v>
      </c>
      <c r="AC249" s="2"/>
      <c r="AD249" s="2"/>
      <c r="AE249" s="32">
        <v>10</v>
      </c>
      <c r="AF249" s="2"/>
      <c r="AG249" s="2"/>
      <c r="AH249" s="2"/>
      <c r="AL249" s="2"/>
      <c r="AN249" s="32">
        <v>57</v>
      </c>
      <c r="AO249" s="32"/>
      <c r="AP249" s="32"/>
    </row>
    <row r="250" spans="1:54">
      <c r="A250" s="29" t="s">
        <v>809</v>
      </c>
      <c r="G250">
        <v>29</v>
      </c>
      <c r="H250">
        <v>45</v>
      </c>
      <c r="N250">
        <v>15</v>
      </c>
      <c r="O250">
        <v>45</v>
      </c>
      <c r="V250" s="2"/>
      <c r="W250" s="2"/>
      <c r="X250" s="2"/>
      <c r="Y250" s="2"/>
      <c r="Z250" s="2"/>
      <c r="AA250" s="2"/>
      <c r="AB250" s="32">
        <v>41</v>
      </c>
      <c r="AC250" s="2"/>
      <c r="AD250" s="2"/>
      <c r="AE250" s="32">
        <v>5</v>
      </c>
      <c r="AF250" s="2"/>
      <c r="AG250" s="2"/>
      <c r="AH250" s="2"/>
      <c r="AL250" s="2"/>
      <c r="AO250" s="32"/>
      <c r="AP250" s="32"/>
    </row>
    <row r="251" spans="1:54" s="185" customFormat="1" ht="12.75" customHeight="1">
      <c r="A251" s="29" t="s">
        <v>810</v>
      </c>
      <c r="B251" s="29"/>
      <c r="C251" s="29"/>
      <c r="D251" s="29"/>
      <c r="E251" s="29"/>
      <c r="F251" s="29"/>
      <c r="G251" s="29">
        <v>34</v>
      </c>
      <c r="H251" s="29">
        <v>35</v>
      </c>
      <c r="I251" s="29"/>
      <c r="J251" s="29"/>
      <c r="K251" s="29"/>
      <c r="L251" s="29"/>
      <c r="M251" s="29"/>
      <c r="N251" s="29">
        <v>15</v>
      </c>
      <c r="O251" s="29">
        <v>30</v>
      </c>
      <c r="P251" s="29"/>
      <c r="Q251" s="29"/>
      <c r="R251" s="29"/>
      <c r="S251" s="29"/>
      <c r="T251" s="29"/>
      <c r="U251" s="29"/>
      <c r="V251" s="12">
        <v>0.02</v>
      </c>
      <c r="W251" s="12"/>
      <c r="X251" s="12"/>
      <c r="Y251" s="12"/>
      <c r="Z251" s="12"/>
      <c r="AA251" s="12"/>
      <c r="AB251" s="29">
        <v>60</v>
      </c>
      <c r="AC251" s="12"/>
      <c r="AD251" s="12"/>
      <c r="AE251" s="29">
        <v>5</v>
      </c>
      <c r="AF251" s="12"/>
      <c r="AG251" s="12"/>
      <c r="AH251" s="12"/>
      <c r="AI251" s="29"/>
      <c r="AJ251" s="29"/>
      <c r="AK251" s="29"/>
      <c r="AL251" s="29"/>
      <c r="AM251" s="12"/>
      <c r="AN251" s="29"/>
      <c r="AO251" s="29"/>
      <c r="AP251" s="29"/>
      <c r="AQ251" s="29"/>
      <c r="AR251" s="29"/>
      <c r="AS251" s="29"/>
      <c r="AT251" s="29"/>
      <c r="AU251" s="29"/>
      <c r="AV251" s="29"/>
      <c r="AW251" s="29"/>
      <c r="AX251" s="29"/>
      <c r="AY251" s="29"/>
      <c r="AZ251" s="29"/>
      <c r="BA251" s="29"/>
    </row>
    <row r="252" spans="1:54">
      <c r="A252" s="29" t="s">
        <v>824</v>
      </c>
      <c r="G252">
        <v>31</v>
      </c>
      <c r="H252">
        <v>47</v>
      </c>
      <c r="N252">
        <v>25</v>
      </c>
      <c r="O252">
        <v>60</v>
      </c>
      <c r="V252" s="2"/>
      <c r="W252" s="2"/>
      <c r="X252" s="2"/>
      <c r="Y252" s="2"/>
      <c r="Z252" s="2"/>
      <c r="AA252" s="2"/>
      <c r="AB252" s="32">
        <v>41</v>
      </c>
      <c r="AC252" s="2"/>
      <c r="AD252" s="2"/>
      <c r="AE252" s="32">
        <v>6</v>
      </c>
      <c r="AF252" s="2"/>
      <c r="AG252" s="2"/>
      <c r="AH252" s="2"/>
      <c r="AL252" s="2"/>
      <c r="AO252" s="32"/>
      <c r="AP252" s="32"/>
    </row>
    <row r="253" spans="1:54" s="188" customFormat="1" ht="12.75" customHeight="1">
      <c r="A253" s="186" t="s">
        <v>874</v>
      </c>
      <c r="B253" s="186"/>
      <c r="C253" s="186"/>
      <c r="D253" s="186"/>
      <c r="E253" s="186"/>
      <c r="F253" s="186"/>
      <c r="G253" s="186">
        <v>39</v>
      </c>
      <c r="H253" s="186">
        <v>35</v>
      </c>
      <c r="I253" s="186"/>
      <c r="J253" s="186"/>
      <c r="K253" s="186"/>
      <c r="L253" s="186"/>
      <c r="M253" s="186"/>
      <c r="N253" s="186">
        <v>25</v>
      </c>
      <c r="O253" s="186">
        <v>40</v>
      </c>
      <c r="P253" s="186"/>
      <c r="Q253" s="186"/>
      <c r="R253" s="186"/>
      <c r="S253" s="186"/>
      <c r="T253" s="186"/>
      <c r="U253" s="186"/>
      <c r="V253" s="187">
        <v>0.03</v>
      </c>
      <c r="W253" s="187"/>
      <c r="X253" s="187"/>
      <c r="Y253" s="187"/>
      <c r="Z253" s="187"/>
      <c r="AA253" s="187"/>
      <c r="AB253" s="186">
        <v>70</v>
      </c>
      <c r="AC253" s="187"/>
      <c r="AD253" s="187"/>
      <c r="AE253" s="186">
        <v>6</v>
      </c>
      <c r="AF253" s="187"/>
      <c r="AG253" s="187"/>
      <c r="AH253" s="187"/>
      <c r="AI253" s="186"/>
      <c r="AJ253" s="186"/>
      <c r="AK253" s="186"/>
      <c r="AL253" s="186"/>
      <c r="AM253" s="187"/>
      <c r="AN253" s="186"/>
      <c r="AO253" s="186"/>
      <c r="AP253" s="186"/>
      <c r="AQ253" s="186"/>
      <c r="AR253" s="186"/>
      <c r="AS253" s="186"/>
      <c r="AT253" s="186"/>
      <c r="AU253" s="186"/>
      <c r="AV253" s="186"/>
      <c r="AW253" s="186"/>
      <c r="AX253" s="186"/>
      <c r="AY253" s="186"/>
      <c r="AZ253" s="186"/>
      <c r="BA253" s="186"/>
      <c r="BB253" s="186"/>
    </row>
    <row r="254" spans="1:54">
      <c r="A254" s="29" t="s">
        <v>637</v>
      </c>
      <c r="G254">
        <v>9</v>
      </c>
      <c r="H254">
        <v>31</v>
      </c>
      <c r="I254">
        <v>27</v>
      </c>
      <c r="J254">
        <v>4</v>
      </c>
      <c r="K254">
        <v>11</v>
      </c>
      <c r="L254">
        <v>26</v>
      </c>
      <c r="M254">
        <v>15</v>
      </c>
      <c r="N254">
        <v>20</v>
      </c>
      <c r="V254" s="2"/>
      <c r="W254" s="2"/>
      <c r="X254" s="2"/>
      <c r="Y254" s="2"/>
      <c r="Z254" s="2"/>
      <c r="AA254" s="2"/>
      <c r="AB254" s="32">
        <v>30</v>
      </c>
      <c r="AD254" s="2"/>
      <c r="AE254" s="32"/>
      <c r="AG254" s="2"/>
      <c r="AH254" s="32"/>
      <c r="AI254" s="2"/>
      <c r="AL254" s="32"/>
    </row>
    <row r="255" spans="1:54">
      <c r="A255" s="29" t="s">
        <v>851</v>
      </c>
      <c r="G255">
        <v>11</v>
      </c>
      <c r="H255">
        <v>44</v>
      </c>
      <c r="I255">
        <v>32</v>
      </c>
      <c r="J255">
        <v>7</v>
      </c>
      <c r="K255">
        <v>16</v>
      </c>
      <c r="L255">
        <v>30</v>
      </c>
      <c r="M255">
        <v>19</v>
      </c>
      <c r="N255">
        <f>27+15</f>
        <v>42</v>
      </c>
      <c r="V255" s="2"/>
      <c r="W255" s="2"/>
      <c r="X255" s="2"/>
      <c r="Y255" s="2"/>
      <c r="Z255" s="2"/>
      <c r="AA255" s="2"/>
      <c r="AB255" s="32">
        <v>41</v>
      </c>
      <c r="AD255" s="2"/>
      <c r="AE255" s="32">
        <v>6</v>
      </c>
      <c r="AG255" s="2"/>
      <c r="AH255" s="32"/>
      <c r="AI255" s="2"/>
      <c r="AL255" s="32"/>
    </row>
    <row r="256" spans="1:54">
      <c r="A256" s="29" t="s">
        <v>709</v>
      </c>
      <c r="G256">
        <v>12</v>
      </c>
      <c r="H256">
        <v>18</v>
      </c>
      <c r="I256">
        <v>21</v>
      </c>
      <c r="K256">
        <v>11</v>
      </c>
      <c r="L256">
        <v>22</v>
      </c>
      <c r="M256">
        <v>12</v>
      </c>
      <c r="O256">
        <v>12</v>
      </c>
      <c r="V256" s="2"/>
      <c r="W256" s="2"/>
      <c r="X256" s="2"/>
      <c r="Y256" s="2"/>
      <c r="Z256" s="2"/>
      <c r="AA256" s="2"/>
      <c r="AB256" s="32">
        <v>30</v>
      </c>
      <c r="AC256" s="2"/>
      <c r="AD256" s="2"/>
      <c r="AE256" s="32"/>
      <c r="AF256" s="2"/>
      <c r="AG256" s="2"/>
      <c r="AH256" s="2"/>
      <c r="AL256" s="2"/>
    </row>
    <row r="257" spans="1:41">
      <c r="A257" s="29" t="s">
        <v>710</v>
      </c>
      <c r="G257">
        <v>16</v>
      </c>
      <c r="H257">
        <v>29</v>
      </c>
      <c r="I257">
        <v>33</v>
      </c>
      <c r="K257">
        <v>14</v>
      </c>
      <c r="L257">
        <v>31</v>
      </c>
      <c r="M257">
        <v>19</v>
      </c>
      <c r="O257">
        <v>14</v>
      </c>
      <c r="V257" s="2"/>
      <c r="W257" s="2"/>
      <c r="X257" s="2"/>
      <c r="Y257" s="2"/>
      <c r="Z257" s="2"/>
      <c r="AA257" s="2"/>
      <c r="AB257" s="32">
        <v>40</v>
      </c>
      <c r="AC257" s="2"/>
      <c r="AD257" s="2"/>
      <c r="AE257" s="32"/>
      <c r="AF257" s="2"/>
      <c r="AG257" s="2"/>
      <c r="AH257" s="2"/>
      <c r="AL257" s="2"/>
    </row>
    <row r="258" spans="1:41">
      <c r="A258" s="29" t="s">
        <v>919</v>
      </c>
      <c r="G258">
        <v>19</v>
      </c>
      <c r="H258">
        <v>42</v>
      </c>
      <c r="I258">
        <v>35</v>
      </c>
      <c r="J258">
        <v>8</v>
      </c>
      <c r="K258">
        <v>7</v>
      </c>
      <c r="L258">
        <v>24</v>
      </c>
      <c r="M258">
        <v>17</v>
      </c>
      <c r="N258">
        <v>37</v>
      </c>
      <c r="V258" s="2"/>
      <c r="W258" s="2"/>
      <c r="X258" s="2"/>
      <c r="Y258" s="2"/>
      <c r="Z258" s="2"/>
      <c r="AA258" s="2"/>
      <c r="AB258" s="32">
        <v>41</v>
      </c>
      <c r="AC258" s="2">
        <v>7.0000000000000007E-2</v>
      </c>
      <c r="AD258" s="2"/>
      <c r="AE258" s="32">
        <v>5</v>
      </c>
      <c r="AF258" s="2"/>
      <c r="AG258" s="2"/>
      <c r="AH258" s="2"/>
      <c r="AL258" s="2"/>
    </row>
    <row r="259" spans="1:41">
      <c r="A259" s="29" t="s">
        <v>800</v>
      </c>
      <c r="G259">
        <f>11+10</f>
        <v>21</v>
      </c>
      <c r="H259">
        <v>34</v>
      </c>
      <c r="I259">
        <v>34</v>
      </c>
      <c r="J259">
        <v>10</v>
      </c>
      <c r="K259">
        <v>8</v>
      </c>
      <c r="L259">
        <v>25</v>
      </c>
      <c r="M259">
        <v>19</v>
      </c>
      <c r="O259">
        <f>20+15</f>
        <v>35</v>
      </c>
      <c r="T259">
        <v>35</v>
      </c>
      <c r="V259" s="2">
        <v>0.02</v>
      </c>
      <c r="W259" s="2"/>
      <c r="X259" s="2"/>
      <c r="Y259" s="2"/>
      <c r="Z259" s="2"/>
      <c r="AA259" s="2"/>
      <c r="AB259" s="32">
        <v>41</v>
      </c>
      <c r="AC259" s="2"/>
      <c r="AD259" s="2"/>
      <c r="AE259" s="32"/>
      <c r="AF259" s="2"/>
      <c r="AG259" s="2"/>
      <c r="AH259" s="2"/>
      <c r="AL259" s="2"/>
      <c r="AN259" s="32">
        <v>31</v>
      </c>
    </row>
    <row r="260" spans="1:41">
      <c r="A260" s="29" t="s">
        <v>716</v>
      </c>
      <c r="G260">
        <v>9</v>
      </c>
      <c r="H260">
        <v>27</v>
      </c>
      <c r="I260">
        <v>31</v>
      </c>
      <c r="K260">
        <v>8</v>
      </c>
      <c r="L260">
        <v>24</v>
      </c>
      <c r="M260">
        <v>18</v>
      </c>
      <c r="O260">
        <v>12</v>
      </c>
      <c r="V260" s="2"/>
      <c r="W260" s="2"/>
      <c r="X260" s="2"/>
      <c r="Y260" s="2"/>
      <c r="Z260" s="2"/>
      <c r="AA260" s="2"/>
      <c r="AB260" s="32">
        <v>51</v>
      </c>
      <c r="AC260" s="2"/>
      <c r="AD260" s="2"/>
      <c r="AE260" s="32"/>
      <c r="AF260" s="2"/>
      <c r="AG260" s="2"/>
      <c r="AH260" s="2"/>
      <c r="AL260" s="2"/>
      <c r="AN260" s="32">
        <f>42+40</f>
        <v>82</v>
      </c>
    </row>
    <row r="261" spans="1:41">
      <c r="A261" t="s">
        <v>768</v>
      </c>
      <c r="C261">
        <v>15</v>
      </c>
      <c r="G261">
        <v>8</v>
      </c>
      <c r="H261">
        <v>17</v>
      </c>
      <c r="I261">
        <v>21</v>
      </c>
      <c r="K261">
        <v>6</v>
      </c>
      <c r="L261">
        <v>17</v>
      </c>
      <c r="M261">
        <v>12</v>
      </c>
      <c r="N261">
        <v>10</v>
      </c>
      <c r="O261">
        <v>10</v>
      </c>
      <c r="V261" s="2"/>
      <c r="W261" s="2"/>
      <c r="X261" s="2"/>
      <c r="Y261" s="2"/>
      <c r="Z261" s="2"/>
      <c r="AA261" s="2"/>
      <c r="AB261" s="32">
        <v>51</v>
      </c>
      <c r="AC261" s="2"/>
      <c r="AD261" s="2"/>
      <c r="AE261" s="32"/>
      <c r="AF261" s="2"/>
      <c r="AG261" s="2"/>
      <c r="AH261" s="2"/>
      <c r="AL261" s="2"/>
      <c r="AN261" s="32">
        <v>14</v>
      </c>
    </row>
    <row r="262" spans="1:41">
      <c r="A262" t="s">
        <v>769</v>
      </c>
      <c r="C262">
        <v>18</v>
      </c>
      <c r="G262">
        <v>12</v>
      </c>
      <c r="H262">
        <v>28</v>
      </c>
      <c r="I262">
        <v>33</v>
      </c>
      <c r="K262">
        <v>10</v>
      </c>
      <c r="L262">
        <v>26</v>
      </c>
      <c r="M262">
        <v>20</v>
      </c>
      <c r="N262">
        <v>18</v>
      </c>
      <c r="O262">
        <v>18</v>
      </c>
      <c r="V262" s="2"/>
      <c r="W262" s="2"/>
      <c r="X262" s="2"/>
      <c r="Y262" s="2"/>
      <c r="Z262" s="2"/>
      <c r="AA262" s="2"/>
      <c r="AB262" s="32">
        <v>61</v>
      </c>
      <c r="AC262" s="2"/>
      <c r="AD262" s="2"/>
      <c r="AE262" s="32"/>
      <c r="AF262" s="2"/>
      <c r="AG262" s="2"/>
      <c r="AH262" s="2"/>
      <c r="AL262" s="2"/>
      <c r="AN262" s="32">
        <v>29</v>
      </c>
    </row>
    <row r="263" spans="1:41">
      <c r="A263" s="29" t="s">
        <v>645</v>
      </c>
      <c r="G263">
        <v>11</v>
      </c>
      <c r="H263">
        <v>23</v>
      </c>
      <c r="I263">
        <v>21</v>
      </c>
      <c r="K263">
        <v>5</v>
      </c>
      <c r="L263">
        <v>16</v>
      </c>
      <c r="M263">
        <v>12</v>
      </c>
      <c r="N263">
        <v>10</v>
      </c>
      <c r="O263">
        <v>10</v>
      </c>
      <c r="P263" s="2"/>
      <c r="Q263" s="2"/>
      <c r="R263" s="2"/>
      <c r="U263" s="2"/>
      <c r="V263" s="2"/>
      <c r="W263" s="2"/>
      <c r="X263" s="2"/>
      <c r="Y263" s="2"/>
      <c r="Z263" s="2"/>
      <c r="AA263" s="2"/>
      <c r="AB263" s="32">
        <v>31</v>
      </c>
      <c r="AC263" s="2"/>
      <c r="AD263" s="2"/>
      <c r="AE263" s="32"/>
      <c r="AF263" s="2"/>
      <c r="AG263" s="2"/>
      <c r="AH263" s="2"/>
      <c r="AL263" s="2"/>
      <c r="AN263" s="32">
        <v>29</v>
      </c>
      <c r="AO263" s="2"/>
    </row>
    <row r="264" spans="1:41">
      <c r="A264" s="29" t="s">
        <v>692</v>
      </c>
      <c r="G264">
        <v>15</v>
      </c>
      <c r="H264">
        <v>34</v>
      </c>
      <c r="I264">
        <v>33</v>
      </c>
      <c r="K264">
        <v>8</v>
      </c>
      <c r="L264">
        <v>25</v>
      </c>
      <c r="M264">
        <v>19</v>
      </c>
      <c r="N264">
        <v>13</v>
      </c>
      <c r="O264">
        <v>13</v>
      </c>
      <c r="P264" s="2"/>
      <c r="Q264" s="2"/>
      <c r="R264" s="2"/>
      <c r="U264" s="2"/>
      <c r="V264" s="2"/>
      <c r="W264" s="2"/>
      <c r="X264" s="2"/>
      <c r="Y264" s="2"/>
      <c r="Z264" s="2"/>
      <c r="AA264" s="2"/>
      <c r="AB264" s="32">
        <v>41</v>
      </c>
      <c r="AC264" s="2"/>
      <c r="AD264" s="2"/>
      <c r="AE264" s="32"/>
      <c r="AF264" s="2"/>
      <c r="AG264" s="2"/>
      <c r="AH264" s="2"/>
      <c r="AL264" s="2"/>
      <c r="AN264" s="32">
        <v>44</v>
      </c>
      <c r="AO264" s="2"/>
    </row>
    <row r="265" spans="1:41">
      <c r="A265" s="29" t="s">
        <v>930</v>
      </c>
      <c r="G265">
        <v>20</v>
      </c>
      <c r="H265">
        <v>38</v>
      </c>
      <c r="I265">
        <v>38</v>
      </c>
      <c r="K265">
        <v>13</v>
      </c>
      <c r="L265">
        <v>30</v>
      </c>
      <c r="M265">
        <v>24</v>
      </c>
      <c r="N265">
        <v>44</v>
      </c>
      <c r="O265">
        <v>23</v>
      </c>
      <c r="P265" s="2"/>
      <c r="Q265" s="2"/>
      <c r="R265" s="2"/>
      <c r="U265" s="2"/>
      <c r="V265" s="2"/>
      <c r="W265" s="2"/>
      <c r="X265" s="2"/>
      <c r="Y265" s="2"/>
      <c r="Z265" s="2"/>
      <c r="AA265" s="2"/>
      <c r="AB265" s="32">
        <v>41</v>
      </c>
      <c r="AC265" s="2"/>
      <c r="AD265" s="2"/>
      <c r="AE265" s="32"/>
      <c r="AF265" s="2"/>
      <c r="AG265" s="2"/>
      <c r="AH265" s="2"/>
      <c r="AL265" s="2"/>
      <c r="AN265" s="32">
        <v>66</v>
      </c>
      <c r="AO265" s="2"/>
    </row>
    <row r="266" spans="1:41">
      <c r="A266" s="29" t="s">
        <v>931</v>
      </c>
      <c r="G266">
        <v>25</v>
      </c>
      <c r="H266">
        <v>44</v>
      </c>
      <c r="I266">
        <v>43</v>
      </c>
      <c r="K266">
        <v>18</v>
      </c>
      <c r="L266">
        <v>35</v>
      </c>
      <c r="M266">
        <v>29</v>
      </c>
      <c r="N266">
        <v>54</v>
      </c>
      <c r="O266">
        <v>33</v>
      </c>
      <c r="P266" s="2"/>
      <c r="Q266" s="2"/>
      <c r="R266" s="2"/>
      <c r="U266" s="2"/>
      <c r="V266" s="2"/>
      <c r="W266" s="2"/>
      <c r="X266" s="2"/>
      <c r="Y266" s="2"/>
      <c r="Z266" s="2"/>
      <c r="AA266" s="2"/>
      <c r="AB266" s="32">
        <v>41</v>
      </c>
      <c r="AC266" s="2"/>
      <c r="AD266" s="2"/>
      <c r="AE266" s="32"/>
      <c r="AF266" s="2"/>
      <c r="AG266" s="2"/>
      <c r="AH266" s="2"/>
      <c r="AL266" s="2"/>
      <c r="AN266" s="32">
        <v>76</v>
      </c>
      <c r="AO266" s="2"/>
    </row>
    <row r="267" spans="1:41">
      <c r="A267" s="29" t="s">
        <v>804</v>
      </c>
      <c r="G267">
        <v>11</v>
      </c>
      <c r="H267">
        <v>35</v>
      </c>
      <c r="I267">
        <v>32</v>
      </c>
      <c r="J267">
        <v>5</v>
      </c>
      <c r="K267">
        <v>12</v>
      </c>
      <c r="L267">
        <v>30</v>
      </c>
      <c r="M267">
        <v>17</v>
      </c>
      <c r="N267">
        <f>18+15</f>
        <v>33</v>
      </c>
      <c r="S267">
        <v>33</v>
      </c>
      <c r="T267">
        <v>30</v>
      </c>
      <c r="V267" s="2"/>
      <c r="W267" s="2"/>
      <c r="X267" s="2"/>
      <c r="Y267" s="2"/>
      <c r="Z267" s="2"/>
      <c r="AA267" s="2"/>
      <c r="AB267" s="32">
        <v>51</v>
      </c>
      <c r="AC267" s="2"/>
      <c r="AD267" s="2"/>
      <c r="AE267" s="32"/>
      <c r="AF267" s="2"/>
      <c r="AG267" s="2"/>
      <c r="AH267" s="2"/>
      <c r="AL267" s="2"/>
      <c r="AN267" s="32">
        <v>25</v>
      </c>
    </row>
    <row r="268" spans="1:41">
      <c r="A268" s="29" t="s">
        <v>825</v>
      </c>
      <c r="G268">
        <v>24</v>
      </c>
      <c r="H268">
        <v>41</v>
      </c>
      <c r="O268">
        <v>15</v>
      </c>
      <c r="V268" s="2">
        <v>0.02</v>
      </c>
      <c r="W268" s="2"/>
      <c r="X268" s="2"/>
      <c r="Y268" s="2"/>
      <c r="Z268" s="2"/>
      <c r="AA268" s="2"/>
      <c r="AB268" s="32"/>
      <c r="AC268" s="2"/>
      <c r="AD268" s="2"/>
      <c r="AE268" s="32"/>
      <c r="AF268" s="2"/>
      <c r="AG268" s="2"/>
      <c r="AH268" s="2"/>
      <c r="AL268" s="2"/>
    </row>
    <row r="269" spans="1:41">
      <c r="A269" s="29" t="s">
        <v>816</v>
      </c>
      <c r="G269">
        <v>12</v>
      </c>
      <c r="H269">
        <v>28</v>
      </c>
      <c r="I269">
        <v>34</v>
      </c>
      <c r="K269">
        <v>8</v>
      </c>
      <c r="L269">
        <v>24</v>
      </c>
      <c r="M269">
        <v>19</v>
      </c>
      <c r="N269">
        <v>10</v>
      </c>
      <c r="V269" s="2"/>
      <c r="W269" s="2"/>
      <c r="X269" s="2"/>
      <c r="Y269" s="2"/>
      <c r="Z269" s="2"/>
      <c r="AA269" s="2"/>
      <c r="AB269" s="32">
        <v>41</v>
      </c>
      <c r="AC269" s="2"/>
      <c r="AD269" s="2"/>
      <c r="AE269" s="32"/>
      <c r="AF269" s="2"/>
      <c r="AG269" s="2"/>
      <c r="AH269" s="2">
        <v>0.02</v>
      </c>
      <c r="AL269" s="2"/>
    </row>
    <row r="270" spans="1:41">
      <c r="A270" s="29" t="s">
        <v>821</v>
      </c>
      <c r="G270">
        <f>12+13</f>
        <v>25</v>
      </c>
      <c r="H270">
        <v>28</v>
      </c>
      <c r="I270">
        <v>34</v>
      </c>
      <c r="K270">
        <v>8</v>
      </c>
      <c r="L270">
        <v>24</v>
      </c>
      <c r="M270">
        <v>19</v>
      </c>
      <c r="N270">
        <f>10+14</f>
        <v>24</v>
      </c>
      <c r="O270">
        <v>21</v>
      </c>
      <c r="V270" s="2">
        <v>0.02</v>
      </c>
      <c r="W270" s="2"/>
      <c r="X270" s="2"/>
      <c r="Y270" s="2"/>
      <c r="Z270" s="2"/>
      <c r="AA270" s="2"/>
      <c r="AB270" s="32">
        <v>41</v>
      </c>
      <c r="AC270" s="2"/>
      <c r="AD270" s="2"/>
      <c r="AE270" s="32"/>
      <c r="AF270" s="2"/>
      <c r="AG270" s="2"/>
      <c r="AH270" s="2">
        <v>0.02</v>
      </c>
      <c r="AL270" s="2"/>
    </row>
    <row r="271" spans="1:41">
      <c r="A271" s="29" t="s">
        <v>859</v>
      </c>
      <c r="G271">
        <v>12</v>
      </c>
      <c r="H271">
        <v>38</v>
      </c>
      <c r="I271">
        <v>34</v>
      </c>
      <c r="K271">
        <v>8</v>
      </c>
      <c r="L271">
        <v>24</v>
      </c>
      <c r="M271">
        <v>19</v>
      </c>
      <c r="N271">
        <v>50</v>
      </c>
      <c r="O271">
        <v>40</v>
      </c>
      <c r="V271" s="2"/>
      <c r="W271" s="2"/>
      <c r="X271" s="2"/>
      <c r="Y271" s="2"/>
      <c r="Z271" s="2"/>
      <c r="AA271" s="2"/>
      <c r="AB271" s="32">
        <v>41</v>
      </c>
      <c r="AC271" s="2"/>
      <c r="AD271" s="2"/>
      <c r="AE271" s="32">
        <v>10</v>
      </c>
      <c r="AF271" s="2"/>
      <c r="AG271" s="2"/>
      <c r="AH271" s="2">
        <v>0.02</v>
      </c>
      <c r="AL271" s="2"/>
    </row>
    <row r="272" spans="1:41">
      <c r="A272" s="29" t="s">
        <v>866</v>
      </c>
      <c r="G272">
        <v>12</v>
      </c>
      <c r="H272">
        <v>28</v>
      </c>
      <c r="I272">
        <v>34</v>
      </c>
      <c r="J272">
        <v>7</v>
      </c>
      <c r="K272">
        <v>8</v>
      </c>
      <c r="L272">
        <v>24</v>
      </c>
      <c r="M272">
        <v>19</v>
      </c>
      <c r="N272">
        <v>14</v>
      </c>
      <c r="O272">
        <v>27</v>
      </c>
      <c r="V272" s="2"/>
      <c r="W272" s="2"/>
      <c r="X272" s="2"/>
      <c r="Y272" s="2"/>
      <c r="Z272" s="2"/>
      <c r="AA272" s="2"/>
      <c r="AB272" s="32">
        <v>41</v>
      </c>
      <c r="AC272" s="2"/>
      <c r="AD272" s="2"/>
      <c r="AE272" s="32"/>
      <c r="AF272" s="2"/>
      <c r="AG272" s="2"/>
      <c r="AH272" s="2">
        <v>0.06</v>
      </c>
      <c r="AL272" s="2"/>
    </row>
    <row r="273" spans="1:64">
      <c r="A273" s="29" t="s">
        <v>862</v>
      </c>
      <c r="G273">
        <v>20</v>
      </c>
      <c r="H273">
        <v>31</v>
      </c>
      <c r="I273">
        <v>42</v>
      </c>
      <c r="K273">
        <v>6</v>
      </c>
      <c r="L273">
        <v>29</v>
      </c>
      <c r="M273">
        <v>24</v>
      </c>
      <c r="N273">
        <v>37</v>
      </c>
      <c r="O273">
        <v>41</v>
      </c>
      <c r="V273" s="2">
        <v>0.05</v>
      </c>
      <c r="W273" s="2"/>
      <c r="X273" s="2"/>
      <c r="Y273" s="2"/>
      <c r="Z273" s="2"/>
      <c r="AA273" s="2"/>
      <c r="AB273" s="32">
        <v>31</v>
      </c>
      <c r="AC273" s="2"/>
      <c r="AD273" s="2"/>
      <c r="AE273" s="32"/>
      <c r="AF273" s="2"/>
      <c r="AG273" s="2"/>
      <c r="AH273" s="2"/>
      <c r="AL273" s="2"/>
    </row>
    <row r="274" spans="1:64">
      <c r="A274" s="29" t="s">
        <v>947</v>
      </c>
      <c r="G274">
        <v>23</v>
      </c>
      <c r="H274">
        <v>34</v>
      </c>
      <c r="I274">
        <v>45</v>
      </c>
      <c r="K274">
        <v>6</v>
      </c>
      <c r="L274">
        <v>32</v>
      </c>
      <c r="M274">
        <v>27</v>
      </c>
      <c r="N274">
        <v>43</v>
      </c>
      <c r="O274">
        <v>47</v>
      </c>
      <c r="V274" s="2">
        <v>0.06</v>
      </c>
      <c r="W274" s="2"/>
      <c r="X274" s="2"/>
      <c r="Y274" s="2"/>
      <c r="Z274" s="2"/>
      <c r="AA274" s="2"/>
      <c r="AB274" s="32">
        <v>31</v>
      </c>
      <c r="AC274" s="2"/>
      <c r="AD274" s="2"/>
      <c r="AE274" s="32"/>
      <c r="AF274" s="2"/>
      <c r="AG274" s="2"/>
      <c r="AH274" s="2"/>
      <c r="AL274" s="2"/>
    </row>
    <row r="275" spans="1:64" s="29" customFormat="1">
      <c r="A275" s="29" t="s">
        <v>705</v>
      </c>
      <c r="G275" s="29">
        <v>11</v>
      </c>
      <c r="H275" s="29">
        <v>35</v>
      </c>
      <c r="I275" s="29">
        <v>36</v>
      </c>
      <c r="J275" s="29">
        <v>5</v>
      </c>
      <c r="K275" s="29">
        <v>12</v>
      </c>
      <c r="L275" s="29">
        <v>30</v>
      </c>
      <c r="M275" s="29">
        <v>17</v>
      </c>
      <c r="N275" s="29">
        <v>13</v>
      </c>
      <c r="S275"/>
      <c r="T275"/>
      <c r="V275" s="12"/>
      <c r="W275" s="12"/>
      <c r="X275" s="12"/>
      <c r="Y275" s="12"/>
      <c r="Z275" s="12"/>
      <c r="AA275" s="12"/>
      <c r="AB275" s="42">
        <v>51</v>
      </c>
      <c r="AC275" s="12"/>
      <c r="AD275" s="12"/>
      <c r="AE275" s="32"/>
      <c r="AF275" s="42"/>
      <c r="AG275" s="12"/>
      <c r="AH275" s="12"/>
      <c r="AI275" s="42"/>
      <c r="AJ275" s="42"/>
      <c r="AK275" s="42"/>
      <c r="AM275" s="42"/>
    </row>
    <row r="276" spans="1:64" s="29" customFormat="1">
      <c r="A276" s="29" t="s">
        <v>815</v>
      </c>
      <c r="G276" s="29">
        <v>13</v>
      </c>
      <c r="H276" s="29">
        <v>33</v>
      </c>
      <c r="I276" s="29">
        <v>33</v>
      </c>
      <c r="J276" s="29">
        <v>8</v>
      </c>
      <c r="K276" s="29">
        <v>7</v>
      </c>
      <c r="L276" s="29">
        <v>24</v>
      </c>
      <c r="M276" s="29">
        <v>17</v>
      </c>
      <c r="N276" s="29">
        <v>10</v>
      </c>
      <c r="O276" s="29">
        <v>10</v>
      </c>
      <c r="S276"/>
      <c r="T276"/>
      <c r="V276" s="12"/>
      <c r="W276" s="12"/>
      <c r="X276" s="12"/>
      <c r="Y276" s="12"/>
      <c r="Z276" s="12"/>
      <c r="AA276" s="12"/>
      <c r="AB276" s="42">
        <v>41</v>
      </c>
      <c r="AC276" s="12"/>
      <c r="AD276" s="12"/>
      <c r="AE276" s="32"/>
      <c r="AF276" s="42"/>
      <c r="AG276" s="12"/>
      <c r="AH276" s="12"/>
      <c r="AI276" s="42"/>
      <c r="AJ276" s="42"/>
      <c r="AK276" s="42"/>
      <c r="AM276" s="42"/>
    </row>
    <row r="277" spans="1:64" s="185" customFormat="1" ht="12.75" customHeight="1">
      <c r="A277" s="29" t="s">
        <v>877</v>
      </c>
      <c r="B277" s="29"/>
      <c r="C277" s="29"/>
      <c r="D277" s="29"/>
      <c r="E277" s="29"/>
      <c r="F277" s="29"/>
      <c r="G277" s="29">
        <v>13</v>
      </c>
      <c r="H277" s="29">
        <v>33</v>
      </c>
      <c r="I277" s="29">
        <v>33</v>
      </c>
      <c r="J277" s="29">
        <v>8</v>
      </c>
      <c r="K277" s="29">
        <v>7</v>
      </c>
      <c r="L277" s="29">
        <v>24</v>
      </c>
      <c r="M277" s="29">
        <v>17</v>
      </c>
      <c r="N277" s="29">
        <v>40</v>
      </c>
      <c r="O277" s="29">
        <v>10</v>
      </c>
      <c r="P277" s="29"/>
      <c r="Q277" s="29"/>
      <c r="R277" s="29"/>
      <c r="S277" s="29"/>
      <c r="T277" s="29"/>
      <c r="U277" s="29"/>
      <c r="V277" s="12">
        <v>0.05</v>
      </c>
      <c r="W277" s="12"/>
      <c r="X277" s="12"/>
      <c r="Y277" s="12"/>
      <c r="Z277" s="12"/>
      <c r="AA277" s="12"/>
      <c r="AB277" s="29">
        <v>40</v>
      </c>
      <c r="AC277" s="12"/>
      <c r="AD277" s="12"/>
      <c r="AE277" s="29"/>
      <c r="AF277" s="29"/>
      <c r="AG277" s="12"/>
      <c r="AH277" s="12"/>
      <c r="AI277" s="29"/>
      <c r="AJ277" s="29"/>
      <c r="AK277" s="29"/>
      <c r="AL277" s="29"/>
      <c r="AM277" s="29"/>
      <c r="AN277" s="29"/>
      <c r="AO277" s="29"/>
      <c r="AP277" s="29"/>
      <c r="AQ277" s="29"/>
      <c r="AR277" s="29"/>
      <c r="AS277" s="29"/>
      <c r="AT277" s="29"/>
      <c r="AU277" s="29"/>
      <c r="AV277" s="29"/>
      <c r="AW277" s="29"/>
      <c r="AX277" s="29"/>
      <c r="AY277" s="29"/>
      <c r="AZ277" s="29"/>
      <c r="BA277" s="29"/>
      <c r="BB277" s="29"/>
    </row>
    <row r="278" spans="1:64" s="185" customFormat="1" ht="12.75" customHeight="1">
      <c r="A278" s="29" t="s">
        <v>878</v>
      </c>
      <c r="B278" s="29"/>
      <c r="C278" s="29"/>
      <c r="D278" s="29"/>
      <c r="E278" s="29"/>
      <c r="F278" s="29"/>
      <c r="G278" s="29">
        <v>13</v>
      </c>
      <c r="H278" s="29">
        <v>33</v>
      </c>
      <c r="I278" s="29">
        <v>33</v>
      </c>
      <c r="J278" s="29">
        <v>8</v>
      </c>
      <c r="K278" s="29">
        <v>7</v>
      </c>
      <c r="L278" s="29">
        <v>24</v>
      </c>
      <c r="M278" s="29">
        <v>17</v>
      </c>
      <c r="N278" s="29">
        <v>40</v>
      </c>
      <c r="O278" s="29">
        <v>10</v>
      </c>
      <c r="P278" s="29"/>
      <c r="Q278" s="29"/>
      <c r="R278" s="29"/>
      <c r="S278" s="29"/>
      <c r="T278" s="29"/>
      <c r="U278" s="29"/>
      <c r="V278" s="12"/>
      <c r="W278" s="12"/>
      <c r="X278" s="12"/>
      <c r="Y278" s="12"/>
      <c r="Z278" s="12"/>
      <c r="AA278" s="12"/>
      <c r="AB278" s="29">
        <v>40</v>
      </c>
      <c r="AC278" s="12"/>
      <c r="AD278" s="12"/>
      <c r="AE278" s="29">
        <v>8</v>
      </c>
      <c r="AF278" s="29"/>
      <c r="AG278" s="12"/>
      <c r="AH278" s="12"/>
      <c r="AI278" s="29"/>
      <c r="AJ278" s="29"/>
      <c r="AK278" s="29"/>
      <c r="AL278" s="29"/>
      <c r="AM278" s="29"/>
      <c r="AN278" s="29"/>
      <c r="AO278" s="29"/>
      <c r="AP278" s="29"/>
      <c r="AQ278" s="29"/>
      <c r="AR278" s="29"/>
      <c r="AS278" s="29"/>
      <c r="AT278" s="29"/>
      <c r="AU278" s="29"/>
      <c r="AV278" s="29"/>
      <c r="AW278" s="29"/>
      <c r="AX278" s="29"/>
      <c r="AY278" s="29"/>
      <c r="AZ278" s="29"/>
      <c r="BA278" s="29"/>
      <c r="BB278" s="29"/>
    </row>
    <row r="279" spans="1:64" s="185" customFormat="1" ht="12.75" customHeight="1">
      <c r="A279" s="29" t="s">
        <v>879</v>
      </c>
      <c r="B279" s="29"/>
      <c r="C279" s="29"/>
      <c r="D279" s="29"/>
      <c r="E279" s="29"/>
      <c r="F279" s="29"/>
      <c r="G279" s="29">
        <v>13</v>
      </c>
      <c r="H279" s="29">
        <v>33</v>
      </c>
      <c r="I279" s="29">
        <v>33</v>
      </c>
      <c r="J279" s="29">
        <v>8</v>
      </c>
      <c r="K279" s="29">
        <v>7</v>
      </c>
      <c r="L279" s="29">
        <v>24</v>
      </c>
      <c r="M279" s="29">
        <v>17</v>
      </c>
      <c r="N279" s="29">
        <v>40</v>
      </c>
      <c r="O279" s="29">
        <v>10</v>
      </c>
      <c r="P279" s="29"/>
      <c r="Q279" s="29"/>
      <c r="R279" s="29"/>
      <c r="S279" s="29"/>
      <c r="T279" s="29"/>
      <c r="U279" s="29"/>
      <c r="V279" s="12"/>
      <c r="W279" s="12"/>
      <c r="X279" s="12"/>
      <c r="Y279" s="12"/>
      <c r="Z279" s="12"/>
      <c r="AA279" s="12"/>
      <c r="AB279" s="29">
        <v>40</v>
      </c>
      <c r="AC279" s="12"/>
      <c r="AD279" s="12"/>
      <c r="AE279" s="29"/>
      <c r="AF279" s="29"/>
      <c r="AG279" s="12"/>
      <c r="AH279" s="12">
        <v>0.05</v>
      </c>
      <c r="AI279" s="29"/>
      <c r="AJ279" s="29"/>
      <c r="AK279" s="29"/>
      <c r="AL279" s="29"/>
      <c r="AM279" s="29"/>
      <c r="AN279" s="29"/>
      <c r="AO279" s="29"/>
      <c r="AP279" s="29"/>
      <c r="AQ279" s="29"/>
      <c r="AR279" s="29"/>
      <c r="AS279" s="29"/>
      <c r="AT279" s="29"/>
      <c r="AU279" s="29"/>
      <c r="AV279" s="29"/>
      <c r="AW279" s="29"/>
      <c r="AX279" s="29"/>
      <c r="AY279" s="29"/>
      <c r="AZ279" s="29"/>
      <c r="BA279" s="29"/>
      <c r="BB279" s="29"/>
    </row>
    <row r="280" spans="1:64" s="29" customFormat="1">
      <c r="A280" s="29" t="s">
        <v>939</v>
      </c>
      <c r="G280" s="29">
        <v>13</v>
      </c>
      <c r="H280" s="29">
        <v>48</v>
      </c>
      <c r="I280" s="29">
        <v>33</v>
      </c>
      <c r="J280" s="29">
        <v>8</v>
      </c>
      <c r="K280" s="29">
        <v>7</v>
      </c>
      <c r="L280" s="29">
        <v>24</v>
      </c>
      <c r="M280" s="29">
        <v>17</v>
      </c>
      <c r="N280" s="29">
        <v>60</v>
      </c>
      <c r="O280" s="29">
        <v>60</v>
      </c>
      <c r="S280"/>
      <c r="T280"/>
      <c r="V280" s="12"/>
      <c r="W280" s="12">
        <v>0.03</v>
      </c>
      <c r="X280" s="12">
        <v>0.03</v>
      </c>
      <c r="Y280" s="12"/>
      <c r="Z280" s="12"/>
      <c r="AA280" s="12"/>
      <c r="AB280" s="42">
        <v>41</v>
      </c>
      <c r="AC280" s="12"/>
      <c r="AD280" s="12"/>
      <c r="AE280" s="32"/>
      <c r="AF280" s="42"/>
      <c r="AG280" s="12"/>
      <c r="AH280" s="12"/>
      <c r="AI280" s="42"/>
      <c r="AJ280" s="42"/>
      <c r="AK280" s="42"/>
      <c r="AM280" s="42"/>
    </row>
    <row r="281" spans="1:64" s="29" customFormat="1">
      <c r="A281" s="29" t="s">
        <v>871</v>
      </c>
      <c r="G281" s="29">
        <v>18</v>
      </c>
      <c r="H281" s="29">
        <v>33</v>
      </c>
      <c r="I281" s="29">
        <v>33</v>
      </c>
      <c r="J281" s="29">
        <v>8</v>
      </c>
      <c r="K281" s="29">
        <v>7</v>
      </c>
      <c r="L281" s="29">
        <v>24</v>
      </c>
      <c r="M281" s="29">
        <v>17</v>
      </c>
      <c r="N281" s="29">
        <v>35</v>
      </c>
      <c r="O281" s="29">
        <v>35</v>
      </c>
      <c r="S281"/>
      <c r="T281"/>
      <c r="V281" s="12">
        <v>0.04</v>
      </c>
      <c r="W281" s="12"/>
      <c r="X281" s="12"/>
      <c r="Y281" s="12"/>
      <c r="Z281" s="12"/>
      <c r="AA281" s="12"/>
      <c r="AB281" s="42">
        <v>41</v>
      </c>
      <c r="AC281" s="12"/>
      <c r="AD281" s="12"/>
      <c r="AE281" s="32"/>
      <c r="AF281" s="42"/>
      <c r="AG281" s="12"/>
      <c r="AH281" s="12"/>
      <c r="AI281" s="42"/>
      <c r="AJ281" s="42"/>
      <c r="AK281" s="42"/>
      <c r="AM281" s="42"/>
    </row>
    <row r="282" spans="1:64">
      <c r="AE282" s="32"/>
    </row>
    <row r="283" spans="1:64">
      <c r="AE283" s="32"/>
    </row>
    <row r="284" spans="1:64">
      <c r="A284" t="s">
        <v>64</v>
      </c>
      <c r="B284" t="s">
        <v>492</v>
      </c>
      <c r="C284" t="s">
        <v>489</v>
      </c>
      <c r="D284" t="s">
        <v>490</v>
      </c>
      <c r="E284" t="s">
        <v>491</v>
      </c>
      <c r="F284" s="29" t="s">
        <v>636</v>
      </c>
      <c r="G284" t="s">
        <v>3</v>
      </c>
      <c r="H284" t="s">
        <v>4</v>
      </c>
      <c r="I284" t="s">
        <v>5</v>
      </c>
      <c r="J284" t="s">
        <v>42</v>
      </c>
      <c r="K284" t="s">
        <v>182</v>
      </c>
      <c r="L284" t="s">
        <v>183</v>
      </c>
      <c r="M284" t="s">
        <v>245</v>
      </c>
      <c r="N284" t="s">
        <v>10</v>
      </c>
      <c r="O284" t="s">
        <v>9</v>
      </c>
      <c r="P284" t="s">
        <v>437</v>
      </c>
      <c r="Q284" t="s">
        <v>757</v>
      </c>
      <c r="R284" t="s">
        <v>758</v>
      </c>
      <c r="S284" t="s">
        <v>759</v>
      </c>
      <c r="T284" t="s">
        <v>760</v>
      </c>
      <c r="U284" s="173" t="s">
        <v>761</v>
      </c>
      <c r="V284" t="s">
        <v>12</v>
      </c>
      <c r="W284" t="s">
        <v>150</v>
      </c>
      <c r="X284" t="s">
        <v>416</v>
      </c>
      <c r="Y284" t="s">
        <v>596</v>
      </c>
      <c r="Z284" t="s">
        <v>454</v>
      </c>
      <c r="AA284" t="s">
        <v>266</v>
      </c>
      <c r="AB284" t="s">
        <v>11</v>
      </c>
      <c r="AC284" t="s">
        <v>125</v>
      </c>
      <c r="AD284" t="s">
        <v>124</v>
      </c>
      <c r="AE284" s="32" t="s">
        <v>455</v>
      </c>
      <c r="AF284" t="s">
        <v>122</v>
      </c>
      <c r="AG284" t="s">
        <v>184</v>
      </c>
      <c r="AH284" t="s">
        <v>164</v>
      </c>
      <c r="AI284" s="32" t="s">
        <v>564</v>
      </c>
      <c r="AJ284" s="32" t="s">
        <v>565</v>
      </c>
      <c r="AK284" s="29" t="s">
        <v>538</v>
      </c>
      <c r="AL284" t="s">
        <v>417</v>
      </c>
      <c r="AM284" t="s">
        <v>691</v>
      </c>
      <c r="AN284" s="32" t="s">
        <v>218</v>
      </c>
      <c r="AO284" t="s">
        <v>219</v>
      </c>
    </row>
    <row r="285" spans="1:64">
      <c r="A285" s="29" t="s">
        <v>887</v>
      </c>
      <c r="B285" s="29"/>
      <c r="C285" s="29"/>
      <c r="D285" s="29"/>
      <c r="E285" s="29"/>
      <c r="F285" s="29"/>
      <c r="G285" s="29">
        <v>6</v>
      </c>
      <c r="H285" s="29">
        <v>6</v>
      </c>
      <c r="I285" s="29"/>
      <c r="J285" s="29">
        <v>6</v>
      </c>
      <c r="K285" s="29"/>
      <c r="L285" s="29"/>
      <c r="M285" s="29"/>
      <c r="N285" s="29"/>
      <c r="O285" s="29"/>
      <c r="P285" s="29"/>
      <c r="Q285" s="29"/>
      <c r="R285" s="29"/>
      <c r="U285" s="29"/>
      <c r="V285" s="12"/>
      <c r="W285" s="12"/>
      <c r="X285" s="12"/>
      <c r="Y285" s="12"/>
      <c r="Z285" s="12"/>
      <c r="AA285" s="12"/>
      <c r="AB285" s="42"/>
      <c r="AC285" s="12"/>
      <c r="AD285" s="12"/>
      <c r="AE285" s="32">
        <v>3</v>
      </c>
      <c r="AF285" s="42"/>
      <c r="AG285" s="12"/>
      <c r="AH285" s="12"/>
      <c r="AI285" s="42"/>
      <c r="AJ285" s="42"/>
      <c r="AK285" s="42"/>
      <c r="AL285" s="29"/>
      <c r="AM285" s="42"/>
      <c r="AN285" s="29"/>
      <c r="AO285" s="29"/>
      <c r="AP285" s="29"/>
      <c r="AQ285" s="29"/>
      <c r="AR285" s="29"/>
      <c r="AS285" s="29"/>
      <c r="AT285" s="29"/>
      <c r="AU285" s="29"/>
      <c r="AV285" s="29"/>
      <c r="AW285" s="29"/>
      <c r="AX285" s="29"/>
      <c r="AY285" s="29"/>
      <c r="AZ285" s="29"/>
      <c r="BA285" s="29"/>
      <c r="BB285" s="29"/>
      <c r="BC285" s="29"/>
      <c r="BD285" s="29"/>
      <c r="BE285" s="29"/>
      <c r="BF285" s="29"/>
      <c r="BG285" s="29"/>
      <c r="BH285" s="29"/>
      <c r="BI285" s="29"/>
      <c r="BJ285" s="29"/>
      <c r="BK285" s="29"/>
      <c r="BL285" s="29"/>
    </row>
    <row r="286" spans="1:64">
      <c r="A286" s="29" t="s">
        <v>888</v>
      </c>
      <c r="B286" s="29"/>
      <c r="C286" s="29"/>
      <c r="D286" s="29"/>
      <c r="E286" s="29"/>
      <c r="F286" s="29"/>
      <c r="G286" s="29"/>
      <c r="H286" s="29"/>
      <c r="I286" s="29"/>
      <c r="J286" s="29"/>
      <c r="K286" s="29"/>
      <c r="L286" s="29"/>
      <c r="M286" s="29"/>
      <c r="N286" s="29">
        <v>11</v>
      </c>
      <c r="O286" s="29"/>
      <c r="P286" s="29"/>
      <c r="Q286" s="29"/>
      <c r="R286" s="29"/>
      <c r="U286" s="29"/>
      <c r="V286" s="12"/>
      <c r="W286" s="12"/>
      <c r="X286" s="12"/>
      <c r="Y286" s="12"/>
      <c r="Z286" s="12"/>
      <c r="AA286" s="12"/>
      <c r="AB286" s="42"/>
      <c r="AC286" s="12"/>
      <c r="AD286" s="12"/>
      <c r="AE286" s="32"/>
      <c r="AF286" s="42"/>
      <c r="AG286" s="12"/>
      <c r="AH286" s="12"/>
      <c r="AI286" s="42"/>
      <c r="AJ286" s="42"/>
      <c r="AK286" s="42"/>
      <c r="AL286" s="29"/>
      <c r="AM286" s="42"/>
      <c r="AN286" s="29"/>
      <c r="AO286" s="29"/>
      <c r="AP286" s="29"/>
      <c r="AQ286" s="29"/>
      <c r="AR286" s="29"/>
      <c r="AS286" s="29"/>
      <c r="AT286" s="29"/>
      <c r="AU286" s="29"/>
      <c r="AV286" s="29"/>
      <c r="AW286" s="29"/>
      <c r="AX286" s="29"/>
      <c r="AY286" s="29"/>
      <c r="AZ286" s="29"/>
      <c r="BA286" s="29"/>
      <c r="BB286" s="29"/>
      <c r="BC286" s="29"/>
      <c r="BD286" s="29"/>
      <c r="BE286" s="29"/>
      <c r="BF286" s="29"/>
      <c r="BG286" s="29"/>
      <c r="BH286" s="29"/>
      <c r="BI286" s="29"/>
      <c r="BJ286" s="29"/>
      <c r="BK286" s="29"/>
      <c r="BL286" s="29"/>
    </row>
    <row r="287" spans="1:64">
      <c r="A287" s="29" t="s">
        <v>926</v>
      </c>
      <c r="B287" s="29"/>
      <c r="C287" s="29"/>
      <c r="D287" s="29"/>
      <c r="E287" s="29"/>
      <c r="F287" s="29"/>
      <c r="G287" s="29"/>
      <c r="H287" s="29"/>
      <c r="I287" s="29"/>
      <c r="J287" s="29"/>
      <c r="K287" s="29"/>
      <c r="L287" s="29"/>
      <c r="M287" s="29"/>
      <c r="N287" s="29">
        <v>7</v>
      </c>
      <c r="O287" s="29"/>
      <c r="P287" s="29"/>
      <c r="Q287" s="29"/>
      <c r="R287" s="29"/>
      <c r="U287" s="29"/>
      <c r="V287" s="12"/>
      <c r="W287" s="12"/>
      <c r="X287" s="12"/>
      <c r="Y287" s="12"/>
      <c r="Z287" s="12"/>
      <c r="AA287" s="12"/>
      <c r="AB287" s="42"/>
      <c r="AC287" s="12"/>
      <c r="AD287" s="12"/>
      <c r="AE287" s="32">
        <v>5</v>
      </c>
      <c r="AF287" s="42"/>
      <c r="AG287" s="12"/>
      <c r="AH287" s="12"/>
      <c r="AI287" s="42"/>
      <c r="AJ287" s="42"/>
      <c r="AK287" s="42"/>
      <c r="AL287" s="29"/>
      <c r="AM287" s="42"/>
      <c r="AN287" s="29"/>
      <c r="AO287" s="29"/>
      <c r="AP287" s="29"/>
      <c r="AQ287" s="29"/>
      <c r="AR287" s="29"/>
      <c r="AS287" s="29"/>
      <c r="AT287" s="29"/>
      <c r="AU287" s="29"/>
      <c r="AV287" s="29"/>
      <c r="AW287" s="29"/>
      <c r="AX287" s="29"/>
      <c r="AY287" s="29"/>
      <c r="AZ287" s="29"/>
      <c r="BA287" s="29"/>
      <c r="BB287" s="29"/>
      <c r="BC287" s="29"/>
      <c r="BD287" s="29"/>
      <c r="BE287" s="29"/>
      <c r="BF287" s="29"/>
      <c r="BG287" s="29"/>
      <c r="BH287" s="29"/>
      <c r="BI287" s="29"/>
      <c r="BJ287" s="29"/>
      <c r="BK287" s="29"/>
      <c r="BL287" s="29"/>
    </row>
    <row r="288" spans="1:64">
      <c r="A288" s="29" t="s">
        <v>927</v>
      </c>
      <c r="B288" s="29"/>
      <c r="C288" s="29"/>
      <c r="D288" s="29"/>
      <c r="E288" s="29"/>
      <c r="F288" s="29"/>
      <c r="G288" s="29"/>
      <c r="H288" s="29"/>
      <c r="I288" s="29"/>
      <c r="J288" s="29"/>
      <c r="K288" s="29"/>
      <c r="L288" s="29"/>
      <c r="M288" s="29"/>
      <c r="N288" s="29">
        <v>10</v>
      </c>
      <c r="O288" s="29"/>
      <c r="P288" s="29"/>
      <c r="Q288" s="29"/>
      <c r="R288" s="29"/>
      <c r="U288" s="29"/>
      <c r="V288" s="12"/>
      <c r="W288" s="12"/>
      <c r="X288" s="12"/>
      <c r="Y288" s="12"/>
      <c r="Z288" s="12"/>
      <c r="AA288" s="12"/>
      <c r="AB288" s="42"/>
      <c r="AC288" s="12"/>
      <c r="AD288" s="12"/>
      <c r="AE288" s="32">
        <v>6</v>
      </c>
      <c r="AF288" s="42"/>
      <c r="AG288" s="12"/>
      <c r="AH288" s="12"/>
      <c r="AI288" s="42"/>
      <c r="AJ288" s="42"/>
      <c r="AK288" s="42"/>
      <c r="AL288" s="29"/>
      <c r="AM288" s="42"/>
      <c r="AN288" s="29"/>
      <c r="AO288" s="29"/>
      <c r="AP288" s="29"/>
      <c r="AQ288" s="29"/>
      <c r="AR288" s="29"/>
      <c r="AS288" s="29"/>
      <c r="AT288" s="29"/>
      <c r="AU288" s="29"/>
      <c r="AV288" s="29"/>
      <c r="AW288" s="29"/>
      <c r="AX288" s="29"/>
      <c r="AY288" s="29"/>
      <c r="AZ288" s="29"/>
      <c r="BA288" s="29"/>
      <c r="BB288" s="29"/>
      <c r="BC288" s="29"/>
      <c r="BD288" s="29"/>
      <c r="BE288" s="29"/>
      <c r="BF288" s="29"/>
      <c r="BG288" s="29"/>
      <c r="BH288" s="29"/>
      <c r="BI288" s="29"/>
      <c r="BJ288" s="29"/>
      <c r="BK288" s="29"/>
      <c r="BL288" s="29"/>
    </row>
    <row r="289" spans="1:64">
      <c r="A289" s="29" t="s">
        <v>717</v>
      </c>
      <c r="B289" s="29"/>
      <c r="C289" s="29"/>
      <c r="D289" s="29"/>
      <c r="E289" s="29"/>
      <c r="F289" s="29"/>
      <c r="G289" s="29"/>
      <c r="H289" s="29">
        <v>2</v>
      </c>
      <c r="I289" s="29"/>
      <c r="J289" s="29"/>
      <c r="K289" s="29"/>
      <c r="L289" s="29"/>
      <c r="M289" s="29"/>
      <c r="N289" s="29">
        <v>7</v>
      </c>
      <c r="O289" s="29"/>
      <c r="P289" s="29"/>
      <c r="Q289" s="29"/>
      <c r="R289" s="29"/>
      <c r="U289" s="29"/>
      <c r="V289" s="12"/>
      <c r="W289" s="12"/>
      <c r="X289" s="12"/>
      <c r="Y289" s="12"/>
      <c r="Z289" s="12"/>
      <c r="AA289" s="12"/>
      <c r="AB289" s="42"/>
      <c r="AC289" s="12"/>
      <c r="AD289" s="12"/>
      <c r="AE289" s="32"/>
      <c r="AF289" s="42"/>
      <c r="AG289" s="12"/>
      <c r="AH289" s="12"/>
      <c r="AI289" s="42"/>
      <c r="AJ289" s="42"/>
      <c r="AK289" s="42"/>
      <c r="AL289" s="29"/>
      <c r="AM289" s="42"/>
      <c r="AN289" s="29"/>
      <c r="AO289" s="29"/>
      <c r="AP289" s="29"/>
      <c r="AQ289" s="29"/>
      <c r="AR289" s="29"/>
      <c r="AS289" s="29"/>
      <c r="AT289" s="29"/>
      <c r="AU289" s="29"/>
      <c r="AV289" s="29"/>
      <c r="AW289" s="29"/>
      <c r="AX289" s="29"/>
      <c r="AY289" s="29"/>
      <c r="AZ289" s="29"/>
      <c r="BA289" s="29"/>
      <c r="BB289" s="29"/>
      <c r="BC289" s="29"/>
      <c r="BD289" s="29"/>
      <c r="BE289" s="29"/>
      <c r="BF289" s="29"/>
      <c r="BG289" s="29"/>
      <c r="BH289" s="29"/>
      <c r="BI289" s="29"/>
      <c r="BJ289" s="29"/>
      <c r="BK289" s="29"/>
      <c r="BL289" s="29"/>
    </row>
    <row r="290" spans="1:64">
      <c r="A290" t="s">
        <v>73</v>
      </c>
      <c r="O290">
        <v>8</v>
      </c>
      <c r="V290" s="2"/>
      <c r="W290" s="2"/>
      <c r="X290" s="2"/>
      <c r="Y290" s="2"/>
      <c r="Z290" s="2"/>
      <c r="AA290" s="2"/>
      <c r="AB290" s="32"/>
      <c r="AC290" s="2"/>
      <c r="AD290" s="2"/>
      <c r="AE290" s="32"/>
      <c r="AF290" s="2"/>
      <c r="AG290" s="2"/>
      <c r="AH290" s="2"/>
      <c r="AL290" s="2"/>
    </row>
    <row r="291" spans="1:64">
      <c r="A291" s="29" t="s">
        <v>743</v>
      </c>
      <c r="S291">
        <v>2</v>
      </c>
      <c r="T291">
        <v>2</v>
      </c>
      <c r="V291" s="2"/>
      <c r="W291" s="2"/>
      <c r="X291" s="2"/>
      <c r="Y291" s="2"/>
      <c r="Z291" s="2"/>
      <c r="AA291" s="2"/>
      <c r="AB291" s="32"/>
      <c r="AC291" s="2"/>
      <c r="AD291" s="2"/>
      <c r="AE291" s="32"/>
      <c r="AF291" s="32"/>
      <c r="AG291" s="32"/>
      <c r="AH291" s="2"/>
      <c r="AK291" s="2"/>
      <c r="AN291"/>
      <c r="AP291" s="2"/>
    </row>
    <row r="292" spans="1:64">
      <c r="A292" s="29" t="s">
        <v>744</v>
      </c>
      <c r="S292">
        <v>3</v>
      </c>
      <c r="T292">
        <v>3</v>
      </c>
      <c r="U292">
        <v>5</v>
      </c>
      <c r="V292" s="2"/>
      <c r="W292" s="2"/>
      <c r="X292" s="2"/>
      <c r="Y292" s="2"/>
      <c r="Z292" s="2"/>
      <c r="AA292" s="2"/>
      <c r="AB292" s="32"/>
      <c r="AC292" s="2"/>
      <c r="AD292" s="2"/>
      <c r="AE292" s="32"/>
      <c r="AF292" s="32"/>
      <c r="AG292" s="32"/>
      <c r="AH292" s="2"/>
      <c r="AK292" s="2"/>
      <c r="AN292"/>
      <c r="AP292" s="2"/>
    </row>
    <row r="293" spans="1:64">
      <c r="A293" t="s">
        <v>65</v>
      </c>
      <c r="G293">
        <v>5</v>
      </c>
      <c r="V293" s="2"/>
      <c r="W293" s="2"/>
      <c r="X293" s="2"/>
      <c r="Y293" s="2"/>
      <c r="Z293" s="2"/>
      <c r="AA293" s="2"/>
      <c r="AB293" s="32"/>
      <c r="AC293" s="2"/>
      <c r="AD293" s="2"/>
      <c r="AE293" s="32"/>
      <c r="AF293" s="2"/>
      <c r="AG293" s="2"/>
      <c r="AH293" s="2"/>
      <c r="AL293" s="2"/>
    </row>
    <row r="294" spans="1:64">
      <c r="A294" t="s">
        <v>896</v>
      </c>
      <c r="V294" s="2"/>
      <c r="W294" s="2">
        <v>0.02</v>
      </c>
      <c r="X294" s="2"/>
      <c r="Y294" s="2"/>
      <c r="Z294" s="2"/>
      <c r="AA294" s="2"/>
      <c r="AB294" s="32"/>
      <c r="AC294" s="2">
        <v>0.01</v>
      </c>
      <c r="AD294" s="2"/>
      <c r="AE294" s="32"/>
      <c r="AF294" s="2"/>
      <c r="AG294" s="2"/>
      <c r="AH294" s="2"/>
      <c r="AL294" s="2"/>
    </row>
    <row r="295" spans="1:64">
      <c r="A295" t="s">
        <v>128</v>
      </c>
      <c r="G295">
        <v>-4</v>
      </c>
      <c r="H295">
        <v>-4</v>
      </c>
      <c r="V295" s="2"/>
      <c r="W295" s="2"/>
      <c r="X295" s="2"/>
      <c r="Y295" s="2"/>
      <c r="Z295" s="2"/>
      <c r="AA295" s="2"/>
      <c r="AB295" s="32"/>
      <c r="AC295" s="2"/>
      <c r="AD295" s="2"/>
      <c r="AE295" s="32">
        <v>4</v>
      </c>
      <c r="AF295" s="2"/>
      <c r="AG295" s="2"/>
      <c r="AH295" s="2"/>
      <c r="AL295" s="2"/>
    </row>
    <row r="296" spans="1:64">
      <c r="A296" t="s">
        <v>431</v>
      </c>
      <c r="G296">
        <v>-3</v>
      </c>
      <c r="K296">
        <v>7</v>
      </c>
      <c r="V296" s="2"/>
      <c r="W296" s="2"/>
      <c r="X296" s="2"/>
      <c r="Y296" s="2"/>
      <c r="Z296" s="2"/>
      <c r="AA296" s="2"/>
      <c r="AB296" s="32"/>
      <c r="AC296" s="2"/>
      <c r="AD296" s="2"/>
      <c r="AE296" s="32"/>
      <c r="AF296" s="2"/>
      <c r="AG296" s="2"/>
      <c r="AH296" s="2"/>
      <c r="AL296" s="2"/>
    </row>
    <row r="297" spans="1:64">
      <c r="A297" s="29" t="s">
        <v>735</v>
      </c>
      <c r="G297">
        <v>8</v>
      </c>
      <c r="V297" s="2"/>
      <c r="W297" s="2"/>
      <c r="X297" s="2"/>
      <c r="Y297" s="2"/>
      <c r="Z297" s="2"/>
      <c r="AA297" s="2"/>
      <c r="AB297" s="32"/>
      <c r="AC297" s="2"/>
      <c r="AD297" s="2"/>
      <c r="AE297" s="32"/>
      <c r="AF297" s="32"/>
      <c r="AG297" s="32"/>
      <c r="AH297" s="2"/>
      <c r="AK297" s="2"/>
      <c r="AN297"/>
      <c r="AP297" s="2"/>
    </row>
    <row r="298" spans="1:64">
      <c r="A298" s="29" t="s">
        <v>736</v>
      </c>
      <c r="G298">
        <v>9</v>
      </c>
      <c r="O298">
        <v>5</v>
      </c>
      <c r="V298" s="2"/>
      <c r="W298" s="2"/>
      <c r="X298" s="2"/>
      <c r="Y298" s="2"/>
      <c r="Z298" s="2"/>
      <c r="AA298" s="2"/>
      <c r="AB298" s="32"/>
      <c r="AC298" s="2"/>
      <c r="AD298" s="2"/>
      <c r="AE298" s="32"/>
      <c r="AF298" s="32"/>
      <c r="AG298" s="32"/>
      <c r="AH298" s="2"/>
      <c r="AK298" s="2"/>
      <c r="AN298"/>
      <c r="AP298" s="2"/>
    </row>
    <row r="299" spans="1:64">
      <c r="A299" t="s">
        <v>599</v>
      </c>
      <c r="O299">
        <v>5</v>
      </c>
      <c r="V299" s="2"/>
      <c r="W299" s="2"/>
      <c r="X299" s="2"/>
      <c r="Y299" s="2"/>
      <c r="Z299" s="2"/>
      <c r="AA299" s="2"/>
      <c r="AB299" s="32"/>
      <c r="AC299" s="2"/>
      <c r="AD299" s="2"/>
      <c r="AE299" s="32">
        <v>5</v>
      </c>
      <c r="AF299" s="32"/>
      <c r="AG299" s="32"/>
      <c r="AH299" s="2"/>
      <c r="AI299" s="2"/>
      <c r="AJ299" s="2"/>
      <c r="AK299" s="2"/>
      <c r="AL299" s="2"/>
      <c r="AM299" s="2"/>
      <c r="AN299" s="32">
        <v>70</v>
      </c>
    </row>
    <row r="300" spans="1:64">
      <c r="A300" t="s">
        <v>936</v>
      </c>
      <c r="V300" s="2"/>
      <c r="W300" s="2"/>
      <c r="X300" s="2"/>
      <c r="Y300" s="2"/>
      <c r="Z300" s="2"/>
      <c r="AA300" s="2"/>
      <c r="AB300" s="32"/>
      <c r="AC300" s="2"/>
      <c r="AD300" s="2"/>
      <c r="AE300" s="32"/>
      <c r="AF300" s="32">
        <v>5</v>
      </c>
      <c r="AG300" s="32"/>
      <c r="AH300" s="2">
        <v>0.03</v>
      </c>
      <c r="AI300" s="2"/>
      <c r="AJ300" s="2"/>
      <c r="AK300" s="2"/>
      <c r="AL300" s="2"/>
      <c r="AM300" s="2"/>
    </row>
    <row r="301" spans="1:64">
      <c r="A301" s="29" t="s">
        <v>730</v>
      </c>
      <c r="N301">
        <v>8</v>
      </c>
      <c r="O301">
        <v>8</v>
      </c>
      <c r="V301" s="2"/>
      <c r="W301" s="2"/>
      <c r="X301" s="2"/>
      <c r="Y301" s="2"/>
      <c r="Z301" s="2"/>
      <c r="AA301" s="2"/>
      <c r="AB301" s="32"/>
      <c r="AC301" s="2"/>
      <c r="AD301" s="2"/>
      <c r="AE301" s="32"/>
      <c r="AF301" s="2"/>
      <c r="AG301" s="2"/>
      <c r="AH301" s="2"/>
      <c r="AL301" s="2"/>
    </row>
    <row r="302" spans="1:64">
      <c r="A302" t="s">
        <v>315</v>
      </c>
      <c r="V302" s="2"/>
      <c r="W302" s="2"/>
      <c r="X302" s="2"/>
      <c r="Y302" s="2"/>
      <c r="Z302" s="2"/>
      <c r="AA302" s="2"/>
      <c r="AB302" s="32"/>
      <c r="AC302" s="2"/>
      <c r="AD302" s="2"/>
      <c r="AE302" s="32"/>
      <c r="AF302" s="2"/>
      <c r="AG302" s="2"/>
      <c r="AH302" s="2"/>
      <c r="AL302" s="2"/>
      <c r="AN302" s="32">
        <v>90</v>
      </c>
    </row>
    <row r="303" spans="1:64">
      <c r="A303" t="s">
        <v>932</v>
      </c>
      <c r="G303">
        <v>10</v>
      </c>
      <c r="H303">
        <v>10</v>
      </c>
      <c r="I303">
        <v>10</v>
      </c>
      <c r="V303" s="2"/>
      <c r="W303" s="2"/>
      <c r="X303" s="2">
        <v>0.03</v>
      </c>
      <c r="Y303" s="2"/>
      <c r="Z303" s="2"/>
      <c r="AA303" s="2"/>
      <c r="AB303" s="32"/>
      <c r="AC303" s="2"/>
      <c r="AD303" s="2"/>
      <c r="AE303" s="32"/>
      <c r="AF303" s="2"/>
      <c r="AG303" s="2"/>
      <c r="AH303" s="2"/>
      <c r="AL303" s="2"/>
    </row>
    <row r="304" spans="1:64">
      <c r="A304" t="s">
        <v>312</v>
      </c>
      <c r="J304">
        <v>-5</v>
      </c>
      <c r="N304">
        <v>9</v>
      </c>
      <c r="V304" s="2"/>
      <c r="W304" s="2"/>
      <c r="X304" s="2"/>
      <c r="Y304" s="2"/>
      <c r="Z304" s="2"/>
      <c r="AA304" s="2"/>
      <c r="AB304" s="32"/>
      <c r="AC304" s="2"/>
      <c r="AD304" s="2"/>
      <c r="AE304" s="32"/>
      <c r="AF304" s="2"/>
      <c r="AG304" s="2"/>
      <c r="AH304" s="2"/>
      <c r="AL304" s="2"/>
    </row>
    <row r="305" spans="1:63">
      <c r="A305" s="29" t="s">
        <v>694</v>
      </c>
      <c r="N305">
        <v>7</v>
      </c>
      <c r="V305" s="2"/>
      <c r="W305" s="2"/>
      <c r="X305" s="2"/>
      <c r="Y305" s="2"/>
      <c r="Z305" s="2"/>
      <c r="AA305" s="2"/>
      <c r="AB305" s="32"/>
      <c r="AC305" s="2"/>
      <c r="AD305" s="2"/>
      <c r="AE305" s="32"/>
      <c r="AF305" s="32"/>
      <c r="AG305" s="32"/>
      <c r="AH305" s="2"/>
      <c r="AK305" s="2"/>
      <c r="AM305" s="2"/>
      <c r="AN305"/>
      <c r="AP305" s="2"/>
    </row>
    <row r="306" spans="1:63">
      <c r="A306" s="29" t="s">
        <v>779</v>
      </c>
      <c r="V306" s="2">
        <v>0.01</v>
      </c>
      <c r="W306" s="2"/>
      <c r="X306" s="2"/>
      <c r="Y306" s="2"/>
      <c r="Z306" s="2"/>
      <c r="AA306" s="2"/>
      <c r="AB306" s="32"/>
      <c r="AC306" s="2"/>
      <c r="AD306" s="2"/>
      <c r="AE306" s="32">
        <v>4</v>
      </c>
      <c r="AF306" s="32"/>
      <c r="AG306" s="32"/>
      <c r="AH306" s="2"/>
      <c r="AK306" s="2"/>
      <c r="AM306" s="2"/>
      <c r="AN306">
        <v>30</v>
      </c>
      <c r="AP306" s="2"/>
    </row>
    <row r="307" spans="1:63">
      <c r="A307" s="29" t="s">
        <v>818</v>
      </c>
      <c r="G307">
        <v>3</v>
      </c>
      <c r="H307">
        <v>3</v>
      </c>
      <c r="I307">
        <v>3</v>
      </c>
      <c r="J307">
        <v>3</v>
      </c>
      <c r="V307" s="2">
        <v>0.01</v>
      </c>
      <c r="W307" s="2"/>
      <c r="X307" s="2"/>
      <c r="Y307" s="2"/>
      <c r="Z307" s="2"/>
      <c r="AA307" s="2"/>
      <c r="AB307" s="32"/>
      <c r="AC307" s="2"/>
      <c r="AD307" s="2"/>
      <c r="AE307" s="32">
        <v>5</v>
      </c>
      <c r="AF307" s="32"/>
      <c r="AG307" s="32"/>
      <c r="AH307" s="2"/>
      <c r="AL307" s="2"/>
      <c r="AM307"/>
      <c r="AN307" s="2"/>
    </row>
    <row r="308" spans="1:63">
      <c r="A308" t="s">
        <v>430</v>
      </c>
      <c r="G308">
        <v>7</v>
      </c>
      <c r="L308">
        <v>-3</v>
      </c>
      <c r="V308" s="2"/>
      <c r="W308" s="2"/>
      <c r="X308" s="2"/>
      <c r="Y308" s="2"/>
      <c r="Z308" s="2"/>
      <c r="AA308" s="2"/>
      <c r="AB308" s="32"/>
      <c r="AC308" s="2"/>
      <c r="AD308" s="2"/>
      <c r="AE308" s="32"/>
      <c r="AF308" s="2"/>
      <c r="AG308" s="2"/>
      <c r="AH308" s="2"/>
      <c r="AL308" s="2"/>
    </row>
    <row r="309" spans="1:63">
      <c r="A309" t="s">
        <v>26</v>
      </c>
      <c r="G309">
        <v>5</v>
      </c>
      <c r="H309">
        <v>5</v>
      </c>
      <c r="V309" s="2"/>
      <c r="W309" s="2"/>
      <c r="X309" s="2"/>
      <c r="Y309" s="2"/>
      <c r="Z309" s="2"/>
      <c r="AA309" s="2"/>
      <c r="AB309" s="32"/>
      <c r="AC309" s="2"/>
      <c r="AD309" s="2"/>
      <c r="AE309" s="32">
        <v>5</v>
      </c>
      <c r="AF309" s="2"/>
      <c r="AG309" s="2"/>
      <c r="AH309" s="2"/>
      <c r="AL309" s="2"/>
    </row>
    <row r="310" spans="1:63">
      <c r="A310" s="29" t="s">
        <v>737</v>
      </c>
      <c r="H310">
        <v>8</v>
      </c>
      <c r="V310" s="2"/>
      <c r="W310" s="2"/>
      <c r="X310" s="2"/>
      <c r="Y310" s="2"/>
      <c r="Z310" s="2"/>
      <c r="AA310" s="2"/>
      <c r="AB310" s="32"/>
      <c r="AC310" s="2"/>
      <c r="AD310" s="2"/>
      <c r="AE310" s="32"/>
      <c r="AF310" s="32"/>
      <c r="AG310" s="32"/>
      <c r="AH310" s="2"/>
      <c r="AK310" s="2"/>
      <c r="AN310"/>
      <c r="AP310" s="2"/>
    </row>
    <row r="311" spans="1:63">
      <c r="A311" s="29" t="s">
        <v>738</v>
      </c>
      <c r="H311">
        <v>9</v>
      </c>
      <c r="N311">
        <v>5</v>
      </c>
      <c r="V311" s="2"/>
      <c r="W311" s="2"/>
      <c r="X311" s="2"/>
      <c r="Y311" s="2"/>
      <c r="Z311" s="2"/>
      <c r="AA311" s="2"/>
      <c r="AB311" s="32"/>
      <c r="AC311" s="2"/>
      <c r="AD311" s="2"/>
      <c r="AE311" s="32"/>
      <c r="AF311" s="32"/>
      <c r="AG311" s="32"/>
      <c r="AH311" s="2"/>
      <c r="AK311" s="2"/>
      <c r="AN311"/>
      <c r="AP311" s="2"/>
    </row>
    <row r="312" spans="1:63">
      <c r="A312" s="29" t="s">
        <v>741</v>
      </c>
      <c r="K312">
        <v>8</v>
      </c>
      <c r="V312" s="2"/>
      <c r="W312" s="2"/>
      <c r="X312" s="2"/>
      <c r="Y312" s="2"/>
      <c r="Z312" s="2"/>
      <c r="AA312" s="2"/>
      <c r="AB312" s="32"/>
      <c r="AC312" s="2"/>
      <c r="AD312" s="2"/>
      <c r="AE312" s="32"/>
      <c r="AF312" s="32"/>
      <c r="AG312" s="32"/>
      <c r="AH312" s="2"/>
      <c r="AK312" s="2"/>
      <c r="AN312"/>
      <c r="AP312" s="2"/>
    </row>
    <row r="313" spans="1:63">
      <c r="A313" s="29" t="s">
        <v>742</v>
      </c>
      <c r="K313">
        <v>9</v>
      </c>
      <c r="V313" s="2"/>
      <c r="W313" s="2"/>
      <c r="X313" s="2"/>
      <c r="Y313" s="2"/>
      <c r="Z313" s="2"/>
      <c r="AA313" s="2"/>
      <c r="AB313" s="32"/>
      <c r="AC313" s="2"/>
      <c r="AD313" s="2"/>
      <c r="AE313" s="32"/>
      <c r="AF313" s="32"/>
      <c r="AG313" s="32"/>
      <c r="AH313" s="2"/>
      <c r="AK313" s="2"/>
      <c r="AN313"/>
      <c r="AP313" s="2"/>
    </row>
    <row r="314" spans="1:63">
      <c r="A314" s="29" t="s">
        <v>895</v>
      </c>
      <c r="G314">
        <v>7</v>
      </c>
      <c r="O314">
        <v>15</v>
      </c>
      <c r="V314" s="2"/>
      <c r="W314" s="2"/>
      <c r="X314" s="2"/>
      <c r="Y314" s="2"/>
      <c r="Z314" s="2"/>
      <c r="AA314" s="2"/>
      <c r="AB314" s="32"/>
      <c r="AC314" s="2"/>
      <c r="AD314" s="2"/>
      <c r="AE314" s="32"/>
      <c r="AF314" s="32"/>
      <c r="AG314" s="32"/>
      <c r="AH314" s="2"/>
      <c r="AK314" s="2"/>
      <c r="AN314"/>
      <c r="AP314" s="2"/>
    </row>
    <row r="315" spans="1:63">
      <c r="A315" t="s">
        <v>566</v>
      </c>
      <c r="G315">
        <v>3</v>
      </c>
      <c r="V315" s="2">
        <v>0.01</v>
      </c>
      <c r="W315" s="2"/>
      <c r="X315" s="2"/>
      <c r="Y315" s="2"/>
      <c r="Z315" s="2"/>
      <c r="AA315" s="2"/>
      <c r="AB315" s="32">
        <v>-20</v>
      </c>
      <c r="AC315" s="2"/>
      <c r="AD315" s="2"/>
      <c r="AE315" s="32"/>
      <c r="AF315" s="2"/>
      <c r="AG315" s="2"/>
      <c r="AH315" s="2"/>
      <c r="AL315" s="2"/>
    </row>
    <row r="316" spans="1:63">
      <c r="A316" t="s">
        <v>79</v>
      </c>
      <c r="G316">
        <v>5</v>
      </c>
      <c r="I316">
        <v>5</v>
      </c>
      <c r="K316">
        <v>5</v>
      </c>
      <c r="V316" s="2"/>
      <c r="W316" s="2"/>
      <c r="X316" s="2"/>
      <c r="Y316" s="2"/>
      <c r="Z316" s="2"/>
      <c r="AA316" s="2"/>
      <c r="AB316" s="32"/>
      <c r="AC316" s="2"/>
      <c r="AD316" s="2"/>
      <c r="AE316" s="32"/>
      <c r="AF316" s="2"/>
      <c r="AG316" s="2"/>
      <c r="AH316" s="2"/>
      <c r="AL316" s="2"/>
    </row>
    <row r="317" spans="1:63">
      <c r="A317" s="29" t="s">
        <v>739</v>
      </c>
      <c r="I317">
        <v>8</v>
      </c>
      <c r="V317" s="2"/>
      <c r="W317" s="2"/>
      <c r="X317" s="2"/>
      <c r="Y317" s="2"/>
      <c r="Z317" s="2"/>
      <c r="AA317" s="2"/>
      <c r="AB317" s="32"/>
      <c r="AC317" s="2"/>
      <c r="AD317" s="2"/>
      <c r="AE317" s="32"/>
      <c r="AF317" s="32"/>
      <c r="AG317" s="32"/>
      <c r="AH317" s="2"/>
      <c r="AK317" s="2"/>
      <c r="AN317"/>
      <c r="AP317" s="2"/>
    </row>
    <row r="318" spans="1:63">
      <c r="A318" s="29" t="s">
        <v>740</v>
      </c>
      <c r="I318">
        <v>9</v>
      </c>
      <c r="V318" s="2"/>
      <c r="W318" s="2"/>
      <c r="X318" s="2"/>
      <c r="Y318" s="2"/>
      <c r="Z318" s="2"/>
      <c r="AA318" s="2"/>
      <c r="AB318" s="32"/>
      <c r="AC318" s="2"/>
      <c r="AD318" s="2"/>
      <c r="AE318" s="32"/>
      <c r="AF318" s="32"/>
      <c r="AG318" s="32"/>
      <c r="AH318" s="2"/>
      <c r="AK318" s="2"/>
      <c r="AN318"/>
      <c r="AP318" s="2"/>
    </row>
    <row r="319" spans="1:63">
      <c r="A319" t="s">
        <v>429</v>
      </c>
      <c r="J319">
        <v>-4</v>
      </c>
      <c r="O319">
        <v>8</v>
      </c>
      <c r="V319" s="2"/>
      <c r="W319" s="2"/>
      <c r="X319" s="2"/>
      <c r="Y319" s="2"/>
      <c r="Z319" s="2"/>
      <c r="AA319" s="2"/>
      <c r="AB319" s="32"/>
      <c r="AC319" s="2"/>
      <c r="AD319" s="2"/>
      <c r="AE319" s="32">
        <v>4</v>
      </c>
      <c r="AF319" s="2"/>
      <c r="AG319" s="2"/>
      <c r="AH319" s="2"/>
      <c r="AL319" s="2"/>
    </row>
    <row r="320" spans="1:63">
      <c r="A320" s="29" t="s">
        <v>718</v>
      </c>
      <c r="B320" s="29"/>
      <c r="C320" s="29"/>
      <c r="D320" s="29"/>
      <c r="E320" s="29"/>
      <c r="F320" s="29"/>
      <c r="G320" s="29">
        <v>2</v>
      </c>
      <c r="H320" s="29"/>
      <c r="I320" s="29"/>
      <c r="J320" s="29"/>
      <c r="K320" s="29"/>
      <c r="L320" s="29"/>
      <c r="M320" s="29"/>
      <c r="N320" s="29"/>
      <c r="O320" s="29">
        <v>10</v>
      </c>
      <c r="P320" s="29"/>
      <c r="Q320" s="29"/>
      <c r="R320" s="29"/>
      <c r="U320" s="29"/>
      <c r="V320" s="12"/>
      <c r="W320" s="12"/>
      <c r="X320" s="12"/>
      <c r="Y320" s="12"/>
      <c r="Z320" s="12"/>
      <c r="AA320" s="12"/>
      <c r="AB320" s="42"/>
      <c r="AC320" s="12"/>
      <c r="AD320" s="12"/>
      <c r="AE320" s="32"/>
      <c r="AF320" s="42"/>
      <c r="AG320" s="12"/>
      <c r="AH320" s="12"/>
      <c r="AI320" s="42"/>
      <c r="AJ320" s="42"/>
      <c r="AK320" s="42"/>
      <c r="AL320" s="29"/>
      <c r="AM320" s="42"/>
      <c r="AN320" s="29"/>
      <c r="AO320" s="29"/>
      <c r="AP320" s="29"/>
      <c r="AQ320" s="29"/>
      <c r="AR320" s="29"/>
      <c r="AS320" s="29"/>
      <c r="AT320" s="29"/>
      <c r="AU320" s="29"/>
      <c r="AV320" s="29"/>
      <c r="AW320" s="29"/>
      <c r="AX320" s="29"/>
      <c r="AY320" s="29"/>
      <c r="AZ320" s="29"/>
      <c r="BA320" s="29"/>
      <c r="BB320" s="29"/>
      <c r="BC320" s="29"/>
      <c r="BD320" s="29"/>
      <c r="BE320" s="29"/>
      <c r="BF320" s="29"/>
      <c r="BG320" s="29"/>
      <c r="BH320" s="29"/>
      <c r="BI320" s="29"/>
      <c r="BJ320" s="29"/>
      <c r="BK320" s="29"/>
    </row>
    <row r="321" spans="1:43">
      <c r="AE321" s="32"/>
    </row>
    <row r="322" spans="1:43">
      <c r="AE322" s="32"/>
    </row>
    <row r="323" spans="1:43">
      <c r="A323" t="s">
        <v>20</v>
      </c>
      <c r="B323" t="s">
        <v>492</v>
      </c>
      <c r="C323" t="s">
        <v>489</v>
      </c>
      <c r="D323" t="s">
        <v>490</v>
      </c>
      <c r="E323" t="s">
        <v>491</v>
      </c>
      <c r="F323" s="29" t="s">
        <v>636</v>
      </c>
      <c r="G323" t="s">
        <v>3</v>
      </c>
      <c r="H323" t="s">
        <v>4</v>
      </c>
      <c r="I323" t="s">
        <v>5</v>
      </c>
      <c r="J323" t="s">
        <v>42</v>
      </c>
      <c r="K323" t="s">
        <v>182</v>
      </c>
      <c r="L323" t="s">
        <v>183</v>
      </c>
      <c r="M323" t="s">
        <v>245</v>
      </c>
      <c r="N323" t="s">
        <v>10</v>
      </c>
      <c r="O323" t="s">
        <v>9</v>
      </c>
      <c r="P323" t="s">
        <v>437</v>
      </c>
      <c r="Q323" t="s">
        <v>757</v>
      </c>
      <c r="R323" t="s">
        <v>758</v>
      </c>
      <c r="S323" t="s">
        <v>759</v>
      </c>
      <c r="T323" t="s">
        <v>760</v>
      </c>
      <c r="U323" s="173" t="s">
        <v>761</v>
      </c>
      <c r="V323" t="s">
        <v>12</v>
      </c>
      <c r="W323" t="s">
        <v>150</v>
      </c>
      <c r="X323" t="s">
        <v>416</v>
      </c>
      <c r="Y323" t="s">
        <v>596</v>
      </c>
      <c r="Z323" t="s">
        <v>454</v>
      </c>
      <c r="AA323" t="s">
        <v>266</v>
      </c>
      <c r="AB323" t="s">
        <v>11</v>
      </c>
      <c r="AC323" t="s">
        <v>125</v>
      </c>
      <c r="AD323" t="s">
        <v>124</v>
      </c>
      <c r="AE323" s="32" t="s">
        <v>455</v>
      </c>
      <c r="AF323" t="s">
        <v>122</v>
      </c>
      <c r="AG323" t="s">
        <v>184</v>
      </c>
      <c r="AH323" t="s">
        <v>164</v>
      </c>
      <c r="AI323" s="32" t="s">
        <v>564</v>
      </c>
      <c r="AJ323" s="32" t="s">
        <v>565</v>
      </c>
      <c r="AK323" s="29" t="s">
        <v>538</v>
      </c>
      <c r="AL323" t="s">
        <v>417</v>
      </c>
      <c r="AM323" t="s">
        <v>691</v>
      </c>
      <c r="AN323" s="32" t="s">
        <v>218</v>
      </c>
      <c r="AO323" t="s">
        <v>219</v>
      </c>
    </row>
    <row r="324" spans="1:43">
      <c r="A324" t="s">
        <v>54</v>
      </c>
      <c r="O324">
        <v>8</v>
      </c>
      <c r="V324" s="2">
        <v>0.01</v>
      </c>
      <c r="W324" s="2"/>
      <c r="X324" s="2"/>
      <c r="Y324" s="2"/>
      <c r="Z324" s="2"/>
      <c r="AA324" s="2"/>
      <c r="AB324" s="32"/>
      <c r="AC324" s="2"/>
      <c r="AD324" s="2"/>
      <c r="AE324" s="32"/>
      <c r="AF324" s="2"/>
      <c r="AG324" s="2"/>
      <c r="AH324" s="2"/>
      <c r="AL324" s="2"/>
    </row>
    <row r="325" spans="1:43">
      <c r="A325" s="29" t="s">
        <v>885</v>
      </c>
      <c r="H325">
        <v>30</v>
      </c>
      <c r="N325">
        <v>20</v>
      </c>
      <c r="O325">
        <v>20</v>
      </c>
      <c r="V325" s="2"/>
      <c r="W325" s="2"/>
      <c r="X325" s="2"/>
      <c r="Y325" s="2"/>
      <c r="Z325" s="2"/>
      <c r="AA325" s="2"/>
      <c r="AB325" s="32"/>
      <c r="AC325" s="2"/>
      <c r="AD325" s="2"/>
      <c r="AE325" s="32">
        <v>10</v>
      </c>
      <c r="AF325" s="2"/>
      <c r="AG325" s="2"/>
      <c r="AH325" s="2"/>
      <c r="AL325" s="2"/>
    </row>
    <row r="326" spans="1:43">
      <c r="A326" s="29" t="s">
        <v>941</v>
      </c>
      <c r="H326">
        <v>30</v>
      </c>
      <c r="N326">
        <v>20</v>
      </c>
      <c r="O326">
        <v>20</v>
      </c>
      <c r="V326" s="2">
        <v>0.1</v>
      </c>
      <c r="W326" s="2"/>
      <c r="X326" s="2"/>
      <c r="Y326" s="2"/>
      <c r="Z326" s="2"/>
      <c r="AA326" s="2"/>
      <c r="AB326" s="32"/>
      <c r="AC326" s="2"/>
      <c r="AD326" s="2"/>
      <c r="AE326" s="32"/>
      <c r="AF326" s="2"/>
      <c r="AG326" s="2"/>
      <c r="AH326" s="2"/>
      <c r="AL326" s="2"/>
    </row>
    <row r="327" spans="1:43">
      <c r="A327" s="29" t="s">
        <v>946</v>
      </c>
      <c r="H327">
        <v>30</v>
      </c>
      <c r="N327">
        <v>20</v>
      </c>
      <c r="O327">
        <v>20</v>
      </c>
      <c r="V327" s="2"/>
      <c r="W327" s="2"/>
      <c r="X327" s="2"/>
      <c r="Y327" s="2"/>
      <c r="Z327" s="2"/>
      <c r="AA327" s="2"/>
      <c r="AB327" s="32"/>
      <c r="AC327" s="2">
        <v>0.1</v>
      </c>
      <c r="AD327" s="2"/>
      <c r="AE327" s="32"/>
      <c r="AF327" s="2"/>
      <c r="AG327" s="2"/>
      <c r="AH327" s="2"/>
      <c r="AL327" s="2"/>
    </row>
    <row r="328" spans="1:43">
      <c r="A328" s="29" t="s">
        <v>884</v>
      </c>
      <c r="G328">
        <v>30</v>
      </c>
      <c r="N328">
        <v>20</v>
      </c>
      <c r="O328">
        <v>20</v>
      </c>
      <c r="V328" s="2"/>
      <c r="W328" s="2"/>
      <c r="X328" s="2"/>
      <c r="Y328" s="2"/>
      <c r="Z328" s="2"/>
      <c r="AA328" s="2"/>
      <c r="AB328" s="32"/>
      <c r="AC328" s="2"/>
      <c r="AD328" s="2"/>
      <c r="AE328" s="32">
        <v>10</v>
      </c>
      <c r="AF328" s="2"/>
      <c r="AG328" s="2"/>
      <c r="AH328" s="2"/>
      <c r="AL328" s="2"/>
    </row>
    <row r="329" spans="1:43">
      <c r="A329" s="29" t="s">
        <v>915</v>
      </c>
      <c r="I329">
        <v>30</v>
      </c>
      <c r="N329">
        <v>20</v>
      </c>
      <c r="O329">
        <v>20</v>
      </c>
      <c r="V329" s="2"/>
      <c r="W329" s="2"/>
      <c r="X329" s="2"/>
      <c r="Y329" s="2"/>
      <c r="Z329" s="2"/>
      <c r="AA329" s="2"/>
      <c r="AB329" s="32"/>
      <c r="AC329" s="2"/>
      <c r="AD329" s="2"/>
      <c r="AE329" s="32"/>
      <c r="AF329" s="2"/>
      <c r="AG329" s="2"/>
      <c r="AH329" s="2">
        <v>0.1</v>
      </c>
      <c r="AL329" s="2"/>
    </row>
    <row r="330" spans="1:43">
      <c r="A330" s="29" t="s">
        <v>916</v>
      </c>
      <c r="G330">
        <v>30</v>
      </c>
      <c r="N330">
        <v>20</v>
      </c>
      <c r="O330">
        <v>20</v>
      </c>
      <c r="V330" s="2">
        <v>0.1</v>
      </c>
      <c r="W330" s="2"/>
      <c r="X330" s="2"/>
      <c r="Y330" s="2"/>
      <c r="Z330" s="2"/>
      <c r="AA330" s="2"/>
      <c r="AB330" s="32"/>
      <c r="AC330" s="2"/>
      <c r="AD330" s="2"/>
      <c r="AE330" s="32"/>
      <c r="AF330" s="2"/>
      <c r="AG330" s="2"/>
      <c r="AH330" s="2"/>
      <c r="AL330" s="2"/>
    </row>
    <row r="331" spans="1:43">
      <c r="A331" s="29" t="s">
        <v>917</v>
      </c>
      <c r="G331">
        <v>30</v>
      </c>
      <c r="N331">
        <v>20</v>
      </c>
      <c r="O331">
        <v>20</v>
      </c>
      <c r="V331" s="2"/>
      <c r="W331" s="2"/>
      <c r="X331" s="2"/>
      <c r="Y331" s="2"/>
      <c r="Z331" s="2"/>
      <c r="AA331" s="2"/>
      <c r="AB331" s="32"/>
      <c r="AC331" s="2"/>
      <c r="AD331" s="2"/>
      <c r="AE331" s="32"/>
      <c r="AF331" s="2"/>
      <c r="AG331" s="2"/>
      <c r="AH331" s="2">
        <v>0.1</v>
      </c>
      <c r="AL331" s="2"/>
    </row>
    <row r="332" spans="1:43">
      <c r="A332" t="s">
        <v>166</v>
      </c>
      <c r="O332">
        <v>20</v>
      </c>
      <c r="V332" s="2">
        <v>0.03</v>
      </c>
      <c r="W332" s="2"/>
      <c r="X332" s="2"/>
      <c r="Y332" s="2"/>
      <c r="Z332" s="2"/>
      <c r="AA332" s="2"/>
      <c r="AB332" s="32"/>
      <c r="AC332" s="2"/>
      <c r="AD332" s="2"/>
      <c r="AE332" s="32"/>
      <c r="AF332" s="2"/>
      <c r="AG332" s="2"/>
      <c r="AH332" s="2"/>
      <c r="AL332" s="2"/>
      <c r="AQ332" s="2"/>
    </row>
    <row r="333" spans="1:43">
      <c r="A333" t="s">
        <v>772</v>
      </c>
      <c r="O333">
        <v>20</v>
      </c>
      <c r="V333" s="2"/>
      <c r="W333" s="2">
        <v>0.02</v>
      </c>
      <c r="X333" s="2"/>
      <c r="Y333" s="2"/>
      <c r="Z333" s="2"/>
      <c r="AA333" s="2"/>
      <c r="AB333" s="32"/>
      <c r="AC333" s="2"/>
      <c r="AD333" s="2"/>
      <c r="AE333" s="32"/>
      <c r="AF333" s="2"/>
      <c r="AG333" s="2"/>
      <c r="AH333" s="2"/>
      <c r="AL333" s="2"/>
      <c r="AQ333" s="2"/>
    </row>
    <row r="334" spans="1:43">
      <c r="A334" t="s">
        <v>643</v>
      </c>
      <c r="G334">
        <v>8</v>
      </c>
      <c r="O334">
        <v>10</v>
      </c>
      <c r="V334" s="2"/>
      <c r="W334" s="2"/>
      <c r="X334" s="2"/>
      <c r="Y334" s="2"/>
      <c r="Z334" s="2"/>
      <c r="AA334" s="2"/>
      <c r="AB334" s="32"/>
      <c r="AC334" s="2"/>
      <c r="AD334" s="2"/>
      <c r="AE334" s="32"/>
      <c r="AF334" s="32"/>
      <c r="AG334" s="32"/>
      <c r="AH334" s="2"/>
      <c r="AL334" s="2"/>
      <c r="AQ334" s="2"/>
    </row>
    <row r="335" spans="1:43">
      <c r="A335" t="s">
        <v>832</v>
      </c>
      <c r="H335">
        <v>7</v>
      </c>
      <c r="N335">
        <v>20</v>
      </c>
      <c r="V335" s="2"/>
      <c r="W335" s="2"/>
      <c r="X335" s="2"/>
      <c r="Y335" s="2"/>
      <c r="Z335" s="2"/>
      <c r="AA335" s="2"/>
      <c r="AB335" s="32">
        <v>11</v>
      </c>
      <c r="AC335" s="2"/>
      <c r="AD335" s="2"/>
      <c r="AE335" s="32"/>
      <c r="AF335" s="32"/>
      <c r="AG335" s="32"/>
      <c r="AH335" s="2"/>
      <c r="AL335" s="2"/>
      <c r="AQ335" s="2"/>
    </row>
    <row r="336" spans="1:43">
      <c r="A336" t="s">
        <v>644</v>
      </c>
      <c r="H336">
        <v>8</v>
      </c>
      <c r="N336">
        <v>10</v>
      </c>
      <c r="V336" s="2"/>
      <c r="W336" s="2"/>
      <c r="X336" s="2"/>
      <c r="Y336" s="2"/>
      <c r="Z336" s="2"/>
      <c r="AA336" s="2"/>
      <c r="AB336" s="32"/>
      <c r="AC336" s="2"/>
      <c r="AD336" s="2"/>
      <c r="AE336" s="32"/>
      <c r="AF336" s="32"/>
      <c r="AG336" s="32"/>
      <c r="AH336" s="2"/>
      <c r="AL336" s="2"/>
    </row>
    <row r="337" spans="1:42">
      <c r="A337" t="s">
        <v>606</v>
      </c>
      <c r="N337">
        <v>15</v>
      </c>
      <c r="O337">
        <v>5</v>
      </c>
      <c r="V337" s="2">
        <v>0.03</v>
      </c>
      <c r="W337" s="2"/>
      <c r="X337" s="2"/>
      <c r="Y337" s="2"/>
      <c r="Z337" s="2"/>
      <c r="AA337" s="2"/>
      <c r="AB337" s="32"/>
      <c r="AC337" s="2"/>
      <c r="AD337" s="2"/>
      <c r="AE337" s="32"/>
      <c r="AF337" s="2"/>
      <c r="AG337" s="2"/>
      <c r="AH337" s="2"/>
      <c r="AL337" s="2"/>
    </row>
    <row r="338" spans="1:42">
      <c r="A338" t="s">
        <v>776</v>
      </c>
      <c r="G338">
        <v>5</v>
      </c>
      <c r="J338">
        <v>5</v>
      </c>
      <c r="N338">
        <v>15</v>
      </c>
      <c r="V338" s="2"/>
      <c r="W338" s="2"/>
      <c r="X338" s="2"/>
      <c r="Y338" s="2"/>
      <c r="Z338" s="2"/>
      <c r="AA338" s="2"/>
      <c r="AB338" s="32"/>
      <c r="AC338" s="2"/>
      <c r="AD338" s="2"/>
      <c r="AE338" s="32">
        <v>4</v>
      </c>
      <c r="AF338" s="32"/>
      <c r="AG338" s="32"/>
      <c r="AH338" s="2"/>
      <c r="AL338" s="2"/>
      <c r="AO338" s="32"/>
    </row>
    <row r="339" spans="1:42">
      <c r="A339" s="29" t="s">
        <v>783</v>
      </c>
      <c r="G339">
        <v>5</v>
      </c>
      <c r="O339">
        <f>35+15</f>
        <v>50</v>
      </c>
      <c r="V339" s="2"/>
      <c r="W339" s="2"/>
      <c r="X339" s="2"/>
      <c r="Y339" s="2"/>
      <c r="Z339" s="2"/>
      <c r="AA339" s="2"/>
      <c r="AB339" s="32"/>
      <c r="AC339" s="2"/>
      <c r="AD339" s="2"/>
      <c r="AE339" s="32"/>
      <c r="AF339" s="2"/>
      <c r="AG339" s="2"/>
      <c r="AH339" s="2">
        <v>0.05</v>
      </c>
      <c r="AL339" s="2"/>
    </row>
    <row r="340" spans="1:42">
      <c r="A340" s="29" t="s">
        <v>734</v>
      </c>
      <c r="G340">
        <v>10</v>
      </c>
      <c r="H340">
        <v>10</v>
      </c>
      <c r="I340">
        <v>10</v>
      </c>
      <c r="J340">
        <v>10</v>
      </c>
      <c r="K340">
        <v>10</v>
      </c>
      <c r="L340">
        <v>10</v>
      </c>
      <c r="M340">
        <v>10</v>
      </c>
      <c r="V340" s="2"/>
      <c r="W340" s="2"/>
      <c r="X340" s="2"/>
      <c r="Y340" s="2"/>
      <c r="Z340" s="2"/>
      <c r="AA340" s="2"/>
      <c r="AB340" s="32"/>
      <c r="AC340" s="2"/>
      <c r="AD340" s="2"/>
      <c r="AE340" s="32"/>
      <c r="AF340" s="32"/>
      <c r="AG340" s="32"/>
      <c r="AH340" s="2"/>
      <c r="AK340" s="2"/>
      <c r="AN340"/>
      <c r="AP340" s="2"/>
    </row>
    <row r="341" spans="1:42">
      <c r="AB341" s="32"/>
      <c r="AC341" s="2"/>
      <c r="AD341" s="2"/>
      <c r="AE341" s="32"/>
      <c r="AF341" s="2"/>
      <c r="AG341" s="2"/>
      <c r="AH341" s="2"/>
      <c r="AL341" s="2"/>
    </row>
    <row r="342" spans="1:42">
      <c r="AE342" s="32"/>
    </row>
    <row r="343" spans="1:42">
      <c r="A343" t="s">
        <v>21</v>
      </c>
      <c r="B343" t="s">
        <v>492</v>
      </c>
      <c r="C343" t="s">
        <v>489</v>
      </c>
      <c r="D343" t="s">
        <v>490</v>
      </c>
      <c r="E343" t="s">
        <v>491</v>
      </c>
      <c r="F343" s="29" t="s">
        <v>636</v>
      </c>
      <c r="G343" t="s">
        <v>3</v>
      </c>
      <c r="H343" t="s">
        <v>4</v>
      </c>
      <c r="I343" t="s">
        <v>5</v>
      </c>
      <c r="J343" t="s">
        <v>42</v>
      </c>
      <c r="K343" t="s">
        <v>182</v>
      </c>
      <c r="L343" t="s">
        <v>183</v>
      </c>
      <c r="M343" t="s">
        <v>245</v>
      </c>
      <c r="N343" t="s">
        <v>10</v>
      </c>
      <c r="O343" t="s">
        <v>9</v>
      </c>
      <c r="P343" t="s">
        <v>437</v>
      </c>
      <c r="Q343" t="s">
        <v>757</v>
      </c>
      <c r="R343" t="s">
        <v>758</v>
      </c>
      <c r="S343" t="s">
        <v>759</v>
      </c>
      <c r="T343" t="s">
        <v>760</v>
      </c>
      <c r="U343" s="173" t="s">
        <v>761</v>
      </c>
      <c r="V343" t="s">
        <v>12</v>
      </c>
      <c r="W343" t="s">
        <v>150</v>
      </c>
      <c r="X343" t="s">
        <v>416</v>
      </c>
      <c r="Y343" t="s">
        <v>596</v>
      </c>
      <c r="Z343" t="s">
        <v>454</v>
      </c>
      <c r="AA343" t="s">
        <v>266</v>
      </c>
      <c r="AB343" t="s">
        <v>11</v>
      </c>
      <c r="AC343" t="s">
        <v>125</v>
      </c>
      <c r="AD343" t="s">
        <v>124</v>
      </c>
      <c r="AE343" s="32" t="s">
        <v>455</v>
      </c>
      <c r="AF343" t="s">
        <v>122</v>
      </c>
      <c r="AG343" t="s">
        <v>184</v>
      </c>
      <c r="AH343" t="s">
        <v>164</v>
      </c>
      <c r="AI343" s="32" t="s">
        <v>564</v>
      </c>
      <c r="AJ343" s="32" t="s">
        <v>565</v>
      </c>
      <c r="AK343" s="29" t="s">
        <v>538</v>
      </c>
      <c r="AL343" t="s">
        <v>417</v>
      </c>
      <c r="AM343" t="s">
        <v>691</v>
      </c>
      <c r="AN343" s="32" t="s">
        <v>218</v>
      </c>
      <c r="AO343" t="s">
        <v>219</v>
      </c>
    </row>
    <row r="344" spans="1:42">
      <c r="A344" t="s">
        <v>77</v>
      </c>
      <c r="N344">
        <v>15</v>
      </c>
      <c r="O344">
        <v>15</v>
      </c>
      <c r="V344" s="2">
        <v>0.01</v>
      </c>
      <c r="W344" s="2"/>
      <c r="X344" s="2"/>
      <c r="Y344" s="2"/>
      <c r="Z344" s="2"/>
      <c r="AA344" s="2"/>
      <c r="AB344" s="32"/>
      <c r="AC344" s="2"/>
      <c r="AD344" s="2"/>
      <c r="AE344" s="32"/>
      <c r="AF344" s="2"/>
      <c r="AG344" s="2"/>
      <c r="AH344" s="2"/>
      <c r="AL344" s="2"/>
    </row>
    <row r="345" spans="1:42">
      <c r="A345" t="s">
        <v>191</v>
      </c>
      <c r="G345">
        <v>6</v>
      </c>
      <c r="K345">
        <v>6</v>
      </c>
      <c r="N345">
        <v>6</v>
      </c>
      <c r="V345" s="2"/>
      <c r="W345" s="2"/>
      <c r="X345" s="2"/>
      <c r="Y345" s="2"/>
      <c r="Z345" s="2"/>
      <c r="AA345" s="2"/>
      <c r="AB345" s="32"/>
      <c r="AC345" s="2"/>
      <c r="AD345" s="2"/>
      <c r="AE345" s="32"/>
      <c r="AF345" s="2"/>
      <c r="AG345" s="2"/>
      <c r="AH345" s="2"/>
      <c r="AL345" s="2"/>
    </row>
    <row r="346" spans="1:42">
      <c r="A346" t="s">
        <v>161</v>
      </c>
      <c r="G346">
        <v>8</v>
      </c>
      <c r="H346">
        <v>-8</v>
      </c>
      <c r="V346" s="2"/>
      <c r="W346" s="2"/>
      <c r="X346" s="2"/>
      <c r="Y346" s="2"/>
      <c r="Z346" s="2"/>
      <c r="AA346" s="2"/>
      <c r="AB346" s="32"/>
      <c r="AC346" s="2"/>
      <c r="AD346" s="2"/>
      <c r="AE346" s="32"/>
      <c r="AF346" s="2"/>
      <c r="AG346" s="2"/>
      <c r="AH346" s="2"/>
      <c r="AL346" s="2"/>
    </row>
    <row r="347" spans="1:42">
      <c r="A347" t="s">
        <v>162</v>
      </c>
      <c r="G347">
        <v>9</v>
      </c>
      <c r="H347">
        <v>-7</v>
      </c>
      <c r="V347" s="2"/>
      <c r="W347" s="2"/>
      <c r="X347" s="2"/>
      <c r="Y347" s="2"/>
      <c r="Z347" s="2"/>
      <c r="AA347" s="2"/>
      <c r="AB347" s="32"/>
      <c r="AC347" s="2"/>
      <c r="AD347" s="2"/>
      <c r="AE347" s="32"/>
      <c r="AF347" s="2"/>
      <c r="AG347" s="2"/>
      <c r="AH347" s="2"/>
      <c r="AL347" s="2"/>
    </row>
    <row r="348" spans="1:42">
      <c r="A348" t="s">
        <v>577</v>
      </c>
      <c r="G348">
        <v>6</v>
      </c>
      <c r="I348">
        <v>6</v>
      </c>
      <c r="K348">
        <v>6</v>
      </c>
      <c r="N348">
        <v>10</v>
      </c>
      <c r="O348">
        <v>15</v>
      </c>
      <c r="V348" s="2"/>
      <c r="W348" s="2"/>
      <c r="X348" s="2"/>
      <c r="Y348" s="2"/>
      <c r="Z348" s="2"/>
      <c r="AA348" s="2"/>
      <c r="AB348" s="32"/>
      <c r="AC348" s="2"/>
      <c r="AD348" s="2"/>
      <c r="AE348" s="32"/>
      <c r="AF348" s="2"/>
      <c r="AG348" s="2"/>
      <c r="AH348" s="2"/>
      <c r="AL348" s="2"/>
    </row>
    <row r="349" spans="1:42">
      <c r="A349" t="s">
        <v>642</v>
      </c>
      <c r="V349" s="2">
        <v>0.04</v>
      </c>
      <c r="W349" s="2"/>
      <c r="X349" s="2"/>
      <c r="Y349" s="2"/>
      <c r="Z349" s="2"/>
      <c r="AA349" s="2"/>
      <c r="AB349" s="32">
        <v>51</v>
      </c>
      <c r="AC349" s="2"/>
      <c r="AD349" s="2"/>
      <c r="AE349" s="32"/>
      <c r="AF349" s="2"/>
      <c r="AG349" s="32"/>
      <c r="AH349" s="2"/>
      <c r="AL349" s="2"/>
    </row>
    <row r="350" spans="1:42">
      <c r="A350" t="s">
        <v>158</v>
      </c>
      <c r="N350">
        <v>10</v>
      </c>
      <c r="V350" s="2"/>
      <c r="W350" s="2"/>
      <c r="X350" s="2"/>
      <c r="Y350" s="2"/>
      <c r="Z350" s="2"/>
      <c r="AA350" s="2"/>
      <c r="AB350" s="32"/>
      <c r="AC350" s="2"/>
      <c r="AD350" s="2"/>
      <c r="AE350" s="32"/>
      <c r="AF350" s="2"/>
      <c r="AG350" s="2"/>
      <c r="AH350" s="2"/>
      <c r="AI350" s="32">
        <v>100</v>
      </c>
      <c r="AL350" s="2">
        <v>7.0000000000000007E-2</v>
      </c>
    </row>
    <row r="351" spans="1:42">
      <c r="A351" s="29" t="s">
        <v>704</v>
      </c>
      <c r="N351">
        <v>10</v>
      </c>
      <c r="O351">
        <v>10</v>
      </c>
      <c r="V351" s="2">
        <v>0.05</v>
      </c>
      <c r="W351" s="2"/>
      <c r="X351" s="2"/>
      <c r="Y351" s="2"/>
      <c r="Z351" s="2"/>
      <c r="AA351" s="2"/>
      <c r="AB351" s="32"/>
      <c r="AC351" s="2"/>
      <c r="AD351" s="2"/>
      <c r="AE351" s="32"/>
      <c r="AF351" s="2"/>
      <c r="AG351" s="2"/>
      <c r="AH351" s="2"/>
      <c r="AL351" s="2"/>
    </row>
    <row r="352" spans="1:42">
      <c r="A352" t="s">
        <v>136</v>
      </c>
      <c r="V352" s="2"/>
      <c r="W352" s="2"/>
      <c r="X352" s="2"/>
      <c r="Y352" s="2"/>
      <c r="Z352" s="2"/>
      <c r="AA352" s="2"/>
      <c r="AB352" s="32">
        <v>50</v>
      </c>
      <c r="AC352" s="2"/>
      <c r="AD352" s="2"/>
      <c r="AE352" s="32">
        <v>5</v>
      </c>
      <c r="AF352" s="2"/>
      <c r="AG352" s="2"/>
      <c r="AH352" s="2"/>
      <c r="AL352" s="2"/>
    </row>
    <row r="353" spans="1:42">
      <c r="A353" t="s">
        <v>781</v>
      </c>
      <c r="G353">
        <v>5</v>
      </c>
      <c r="H353">
        <v>5</v>
      </c>
      <c r="N353">
        <v>10</v>
      </c>
      <c r="O353">
        <v>20</v>
      </c>
      <c r="V353" s="2">
        <v>0.02</v>
      </c>
      <c r="W353" s="2"/>
      <c r="X353" s="2"/>
      <c r="Y353" s="2"/>
      <c r="Z353" s="2"/>
      <c r="AA353" s="2"/>
      <c r="AB353" s="32"/>
      <c r="AC353" s="2"/>
      <c r="AD353" s="2"/>
      <c r="AE353" s="32"/>
      <c r="AF353" s="2"/>
      <c r="AG353" s="2"/>
      <c r="AH353" s="2"/>
      <c r="AL353" s="2"/>
    </row>
    <row r="354" spans="1:42">
      <c r="A354" t="s">
        <v>921</v>
      </c>
      <c r="N354">
        <v>12</v>
      </c>
      <c r="V354" s="2">
        <v>0.08</v>
      </c>
      <c r="W354" s="2"/>
      <c r="X354" s="2"/>
      <c r="Y354" s="2"/>
      <c r="Z354" s="2"/>
      <c r="AA354" s="2"/>
      <c r="AB354" s="32">
        <v>71</v>
      </c>
      <c r="AC354" s="2"/>
      <c r="AD354" s="2"/>
      <c r="AE354" s="32"/>
      <c r="AF354" s="2"/>
      <c r="AG354" s="2"/>
      <c r="AH354" s="2"/>
      <c r="AL354" s="2"/>
    </row>
    <row r="355" spans="1:42">
      <c r="A355" t="s">
        <v>795</v>
      </c>
      <c r="N355">
        <v>14</v>
      </c>
      <c r="V355" s="2">
        <v>0.02</v>
      </c>
      <c r="W355" s="2"/>
      <c r="X355" s="2"/>
      <c r="Y355" s="2"/>
      <c r="Z355" s="2"/>
      <c r="AA355" s="2"/>
      <c r="AB355" s="32"/>
      <c r="AC355" s="2"/>
      <c r="AD355" s="2"/>
      <c r="AE355" s="32">
        <v>5</v>
      </c>
      <c r="AF355" s="2"/>
      <c r="AG355" s="2"/>
      <c r="AH355" s="2"/>
      <c r="AL355" s="2"/>
    </row>
    <row r="356" spans="1:42">
      <c r="A356" s="29" t="s">
        <v>703</v>
      </c>
      <c r="G356">
        <v>13</v>
      </c>
      <c r="N356">
        <v>5</v>
      </c>
      <c r="V356" s="2">
        <v>0.01</v>
      </c>
      <c r="W356" s="2"/>
      <c r="X356" s="2"/>
      <c r="Y356" s="2"/>
      <c r="Z356" s="2"/>
      <c r="AA356" s="2"/>
      <c r="AB356" s="32"/>
      <c r="AC356" s="2"/>
      <c r="AD356" s="2"/>
      <c r="AE356" s="32"/>
      <c r="AF356" s="2"/>
      <c r="AG356" s="2"/>
      <c r="AH356" s="2"/>
      <c r="AL356" s="2"/>
    </row>
    <row r="357" spans="1:42">
      <c r="A357" s="29" t="s">
        <v>864</v>
      </c>
      <c r="O357">
        <v>15</v>
      </c>
      <c r="V357" s="2"/>
      <c r="W357" s="2">
        <v>0.02</v>
      </c>
      <c r="X357" s="2"/>
      <c r="Y357" s="2"/>
      <c r="Z357" s="2"/>
      <c r="AA357" s="2"/>
      <c r="AB357" s="32">
        <v>91</v>
      </c>
      <c r="AC357" s="2"/>
      <c r="AD357" s="2"/>
      <c r="AE357" s="32"/>
      <c r="AF357" s="2"/>
      <c r="AG357" s="2"/>
      <c r="AH357" s="2"/>
      <c r="AL357" s="2"/>
    </row>
    <row r="358" spans="1:42">
      <c r="A358" s="29" t="s">
        <v>857</v>
      </c>
      <c r="V358" s="2">
        <v>0.02</v>
      </c>
      <c r="W358" s="2">
        <v>0.02</v>
      </c>
      <c r="X358" s="2"/>
      <c r="Y358" s="2"/>
      <c r="Z358" s="2"/>
      <c r="AA358" s="2"/>
      <c r="AB358" s="32">
        <v>31</v>
      </c>
      <c r="AC358" s="2"/>
      <c r="AD358" s="2"/>
      <c r="AE358" s="32"/>
      <c r="AF358" s="2"/>
      <c r="AG358" s="2"/>
      <c r="AH358" s="2"/>
      <c r="AL358" s="2"/>
    </row>
    <row r="359" spans="1:42">
      <c r="A359" s="29" t="s">
        <v>863</v>
      </c>
      <c r="V359" s="2"/>
      <c r="W359" s="2"/>
      <c r="X359" s="2"/>
      <c r="Y359" s="2"/>
      <c r="Z359" s="2"/>
      <c r="AA359" s="2"/>
      <c r="AB359" s="32">
        <v>141</v>
      </c>
      <c r="AC359" s="2"/>
      <c r="AD359" s="2"/>
      <c r="AE359" s="32"/>
      <c r="AF359" s="2"/>
      <c r="AG359" s="2"/>
      <c r="AH359" s="2"/>
      <c r="AL359" s="2"/>
    </row>
    <row r="360" spans="1:42">
      <c r="A360" t="s">
        <v>434</v>
      </c>
      <c r="V360" s="2"/>
      <c r="W360" s="2">
        <v>0.02</v>
      </c>
      <c r="X360" s="2">
        <v>0.01</v>
      </c>
      <c r="Y360" s="2"/>
      <c r="Z360" s="2"/>
      <c r="AA360" s="2"/>
      <c r="AB360" s="32"/>
      <c r="AC360" s="2"/>
      <c r="AD360" s="2"/>
      <c r="AE360" s="32"/>
      <c r="AF360" s="2"/>
      <c r="AG360" s="2"/>
      <c r="AH360" s="2"/>
      <c r="AL360" s="2"/>
    </row>
    <row r="361" spans="1:42">
      <c r="A361" s="29" t="s">
        <v>765</v>
      </c>
      <c r="N361">
        <v>2</v>
      </c>
      <c r="V361" s="2"/>
      <c r="W361" s="2">
        <v>0.02</v>
      </c>
      <c r="X361" s="2">
        <v>0.02</v>
      </c>
      <c r="Y361" s="2"/>
      <c r="Z361" s="2"/>
      <c r="AA361" s="2"/>
      <c r="AB361" s="32"/>
      <c r="AC361" s="2"/>
      <c r="AD361" s="2"/>
      <c r="AE361" s="32"/>
      <c r="AF361" s="32"/>
      <c r="AG361" s="32"/>
      <c r="AH361" s="2"/>
      <c r="AI361" s="2"/>
      <c r="AJ361" s="2"/>
      <c r="AK361" s="2"/>
      <c r="AM361" s="2"/>
      <c r="AN361"/>
    </row>
    <row r="362" spans="1:42">
      <c r="AE362" s="32"/>
    </row>
    <row r="363" spans="1:42">
      <c r="AE363" s="32"/>
    </row>
    <row r="364" spans="1:42">
      <c r="A364" t="s">
        <v>22</v>
      </c>
      <c r="B364" t="s">
        <v>492</v>
      </c>
      <c r="C364" t="s">
        <v>489</v>
      </c>
      <c r="D364" t="s">
        <v>490</v>
      </c>
      <c r="E364" t="s">
        <v>491</v>
      </c>
      <c r="F364" s="29" t="s">
        <v>636</v>
      </c>
      <c r="G364" t="s">
        <v>3</v>
      </c>
      <c r="H364" t="s">
        <v>4</v>
      </c>
      <c r="I364" t="s">
        <v>5</v>
      </c>
      <c r="J364" t="s">
        <v>42</v>
      </c>
      <c r="K364" t="s">
        <v>182</v>
      </c>
      <c r="L364" t="s">
        <v>183</v>
      </c>
      <c r="M364" t="s">
        <v>245</v>
      </c>
      <c r="N364" t="s">
        <v>10</v>
      </c>
      <c r="O364" t="s">
        <v>9</v>
      </c>
      <c r="P364" t="s">
        <v>437</v>
      </c>
      <c r="Q364" t="s">
        <v>757</v>
      </c>
      <c r="R364" t="s">
        <v>758</v>
      </c>
      <c r="S364" t="s">
        <v>759</v>
      </c>
      <c r="T364" t="s">
        <v>760</v>
      </c>
      <c r="U364" s="173" t="s">
        <v>761</v>
      </c>
      <c r="V364" t="s">
        <v>12</v>
      </c>
      <c r="W364" t="s">
        <v>150</v>
      </c>
      <c r="X364" t="s">
        <v>416</v>
      </c>
      <c r="Y364" t="s">
        <v>596</v>
      </c>
      <c r="Z364" t="s">
        <v>454</v>
      </c>
      <c r="AA364" t="s">
        <v>266</v>
      </c>
      <c r="AB364" t="s">
        <v>11</v>
      </c>
      <c r="AC364" t="s">
        <v>125</v>
      </c>
      <c r="AD364" t="s">
        <v>124</v>
      </c>
      <c r="AE364" s="32" t="s">
        <v>455</v>
      </c>
      <c r="AF364" t="s">
        <v>122</v>
      </c>
      <c r="AG364" t="s">
        <v>184</v>
      </c>
      <c r="AH364" t="s">
        <v>164</v>
      </c>
      <c r="AI364" s="32" t="s">
        <v>564</v>
      </c>
      <c r="AJ364" s="32" t="s">
        <v>565</v>
      </c>
      <c r="AK364" s="29" t="s">
        <v>538</v>
      </c>
      <c r="AL364" t="s">
        <v>417</v>
      </c>
      <c r="AM364" t="s">
        <v>691</v>
      </c>
      <c r="AN364" s="32" t="s">
        <v>218</v>
      </c>
      <c r="AO364" t="s">
        <v>219</v>
      </c>
    </row>
    <row r="365" spans="1:42">
      <c r="A365" s="29" t="s">
        <v>788</v>
      </c>
      <c r="G365">
        <f>33+5</f>
        <v>38</v>
      </c>
      <c r="H365">
        <v>5</v>
      </c>
      <c r="I365">
        <v>19</v>
      </c>
      <c r="J365">
        <v>13</v>
      </c>
      <c r="K365">
        <v>24</v>
      </c>
      <c r="L365">
        <v>14</v>
      </c>
      <c r="M365">
        <v>10</v>
      </c>
      <c r="N365">
        <v>27</v>
      </c>
      <c r="V365" s="2"/>
      <c r="W365" s="2"/>
      <c r="X365" s="2"/>
      <c r="Y365" s="2"/>
      <c r="Z365" s="2"/>
      <c r="AA365" s="2"/>
      <c r="AB365" s="32">
        <v>51</v>
      </c>
      <c r="AC365" s="2"/>
      <c r="AD365" s="2"/>
      <c r="AE365" s="32">
        <v>9</v>
      </c>
      <c r="AF365" s="2"/>
      <c r="AG365" s="2"/>
      <c r="AH365" s="2"/>
      <c r="AL365" s="2"/>
      <c r="AN365" s="32">
        <v>50</v>
      </c>
      <c r="AO365" s="32"/>
      <c r="AP365" s="32"/>
    </row>
    <row r="366" spans="1:42">
      <c r="A366" s="29" t="s">
        <v>775</v>
      </c>
      <c r="G366">
        <f>33+7</f>
        <v>40</v>
      </c>
      <c r="H366">
        <v>7</v>
      </c>
      <c r="I366">
        <v>19</v>
      </c>
      <c r="J366">
        <v>13</v>
      </c>
      <c r="K366">
        <v>24</v>
      </c>
      <c r="L366">
        <v>14</v>
      </c>
      <c r="M366">
        <v>10</v>
      </c>
      <c r="N366">
        <f>10+20</f>
        <v>30</v>
      </c>
      <c r="O366">
        <v>20</v>
      </c>
      <c r="V366" s="2">
        <v>0.03</v>
      </c>
      <c r="W366" s="2"/>
      <c r="X366" s="2"/>
      <c r="Y366" s="2"/>
      <c r="Z366" s="2"/>
      <c r="AA366" s="2"/>
      <c r="AB366" s="32">
        <v>51</v>
      </c>
      <c r="AC366" s="2"/>
      <c r="AD366" s="2"/>
      <c r="AE366" s="32">
        <v>4</v>
      </c>
      <c r="AF366" s="2"/>
      <c r="AG366" s="2"/>
      <c r="AH366" s="2"/>
      <c r="AL366" s="2"/>
      <c r="AN366" s="32">
        <v>50</v>
      </c>
      <c r="AO366" s="32"/>
      <c r="AP366" s="32"/>
    </row>
    <row r="367" spans="1:42">
      <c r="A367" s="29" t="s">
        <v>793</v>
      </c>
      <c r="G367">
        <f>33+7</f>
        <v>40</v>
      </c>
      <c r="H367">
        <v>7</v>
      </c>
      <c r="I367">
        <v>19</v>
      </c>
      <c r="J367">
        <v>13</v>
      </c>
      <c r="K367">
        <v>24</v>
      </c>
      <c r="L367">
        <v>14</v>
      </c>
      <c r="M367">
        <v>10</v>
      </c>
      <c r="N367">
        <f>10+20</f>
        <v>30</v>
      </c>
      <c r="O367">
        <v>20</v>
      </c>
      <c r="V367" s="2"/>
      <c r="W367" s="2"/>
      <c r="X367" s="2"/>
      <c r="Y367" s="2"/>
      <c r="Z367" s="2"/>
      <c r="AA367" s="2"/>
      <c r="AB367" s="32">
        <v>51</v>
      </c>
      <c r="AC367" s="2"/>
      <c r="AD367" s="2"/>
      <c r="AE367" s="32">
        <v>10</v>
      </c>
      <c r="AF367" s="2"/>
      <c r="AG367" s="2"/>
      <c r="AH367" s="2"/>
      <c r="AL367" s="2"/>
      <c r="AN367" s="32">
        <v>50</v>
      </c>
      <c r="AO367" s="32"/>
      <c r="AP367" s="32"/>
    </row>
    <row r="368" spans="1:42">
      <c r="A368" s="29" t="s">
        <v>794</v>
      </c>
      <c r="G368">
        <f>33</f>
        <v>33</v>
      </c>
      <c r="I368">
        <v>19</v>
      </c>
      <c r="J368">
        <v>13</v>
      </c>
      <c r="K368">
        <v>24</v>
      </c>
      <c r="L368">
        <v>14</v>
      </c>
      <c r="M368">
        <v>10</v>
      </c>
      <c r="N368">
        <f>10+20</f>
        <v>30</v>
      </c>
      <c r="O368">
        <v>20</v>
      </c>
      <c r="V368" s="2"/>
      <c r="W368" s="2"/>
      <c r="X368" s="2"/>
      <c r="Y368" s="2"/>
      <c r="Z368" s="2"/>
      <c r="AA368" s="2"/>
      <c r="AB368" s="32">
        <v>51</v>
      </c>
      <c r="AC368" s="2"/>
      <c r="AD368" s="2"/>
      <c r="AE368" s="32">
        <v>4</v>
      </c>
      <c r="AF368" s="2"/>
      <c r="AG368" s="2"/>
      <c r="AH368" s="2">
        <v>0.03</v>
      </c>
      <c r="AL368" s="2"/>
      <c r="AN368" s="32">
        <v>50</v>
      </c>
      <c r="AO368" s="32"/>
      <c r="AP368" s="32"/>
    </row>
    <row r="369" spans="1:54">
      <c r="A369" t="s">
        <v>809</v>
      </c>
      <c r="G369">
        <v>53</v>
      </c>
      <c r="H369">
        <v>21</v>
      </c>
      <c r="N369">
        <v>22</v>
      </c>
      <c r="O369">
        <v>37</v>
      </c>
      <c r="V369" s="2">
        <v>0.03</v>
      </c>
      <c r="W369" s="2"/>
      <c r="X369" s="2"/>
      <c r="Y369" s="2"/>
      <c r="Z369" s="2"/>
      <c r="AA369" s="2"/>
      <c r="AB369" s="32">
        <v>51</v>
      </c>
      <c r="AC369" s="2"/>
      <c r="AD369" s="2"/>
      <c r="AE369" s="32"/>
      <c r="AF369" s="2"/>
      <c r="AG369" s="2"/>
      <c r="AH369" s="2"/>
      <c r="AL369" s="2"/>
      <c r="AO369" s="2"/>
    </row>
    <row r="370" spans="1:54" s="185" customFormat="1" ht="12.75" customHeight="1">
      <c r="A370" s="29" t="s">
        <v>810</v>
      </c>
      <c r="B370" s="29"/>
      <c r="C370" s="29"/>
      <c r="D370" s="29"/>
      <c r="E370" s="29"/>
      <c r="F370" s="29"/>
      <c r="G370" s="29">
        <v>53</v>
      </c>
      <c r="H370" s="29">
        <v>11</v>
      </c>
      <c r="I370" s="29"/>
      <c r="J370" s="29"/>
      <c r="K370" s="29"/>
      <c r="L370" s="29"/>
      <c r="M370" s="29"/>
      <c r="N370" s="29">
        <v>22</v>
      </c>
      <c r="O370" s="29">
        <v>42</v>
      </c>
      <c r="P370" s="29"/>
      <c r="Q370" s="29"/>
      <c r="R370" s="29"/>
      <c r="S370" s="29"/>
      <c r="T370" s="29"/>
      <c r="U370" s="29"/>
      <c r="V370" s="12">
        <v>0.03</v>
      </c>
      <c r="W370" s="12"/>
      <c r="X370" s="12"/>
      <c r="Y370" s="12"/>
      <c r="Z370" s="12"/>
      <c r="AA370" s="12"/>
      <c r="AB370" s="29">
        <v>51</v>
      </c>
      <c r="AC370" s="12"/>
      <c r="AD370" s="12"/>
      <c r="AE370" s="29">
        <v>5</v>
      </c>
      <c r="AF370" s="12"/>
      <c r="AG370" s="12"/>
      <c r="AH370" s="12"/>
      <c r="AI370" s="29"/>
      <c r="AJ370" s="29"/>
      <c r="AK370" s="29"/>
      <c r="AL370" s="29"/>
      <c r="AM370" s="12"/>
      <c r="AN370" s="29"/>
      <c r="AO370" s="29"/>
      <c r="AP370" s="29"/>
      <c r="AQ370" s="29"/>
      <c r="AR370" s="29"/>
      <c r="AS370" s="29"/>
      <c r="AT370" s="29"/>
      <c r="AU370" s="29"/>
      <c r="AV370" s="29"/>
      <c r="AW370" s="29"/>
      <c r="AX370" s="29"/>
      <c r="AY370" s="29"/>
      <c r="AZ370" s="29"/>
      <c r="BA370" s="29"/>
    </row>
    <row r="371" spans="1:54">
      <c r="A371" t="s">
        <v>824</v>
      </c>
      <c r="G371">
        <v>55</v>
      </c>
      <c r="H371">
        <v>23</v>
      </c>
      <c r="N371">
        <v>32</v>
      </c>
      <c r="O371">
        <v>52</v>
      </c>
      <c r="V371" s="2">
        <v>0.04</v>
      </c>
      <c r="W371" s="2"/>
      <c r="X371" s="2"/>
      <c r="Y371" s="2"/>
      <c r="Z371" s="2"/>
      <c r="AA371" s="2"/>
      <c r="AB371" s="32">
        <v>51</v>
      </c>
      <c r="AC371" s="2"/>
      <c r="AD371" s="2"/>
      <c r="AE371" s="32"/>
      <c r="AF371" s="2"/>
      <c r="AG371" s="2"/>
      <c r="AH371" s="2"/>
      <c r="AL371" s="2"/>
      <c r="AO371" s="2"/>
    </row>
    <row r="372" spans="1:54" s="188" customFormat="1" ht="12.75" customHeight="1">
      <c r="A372" s="186" t="s">
        <v>874</v>
      </c>
      <c r="B372" s="186"/>
      <c r="C372" s="186"/>
      <c r="D372" s="186"/>
      <c r="E372" s="186"/>
      <c r="F372" s="186"/>
      <c r="G372" s="186">
        <v>55</v>
      </c>
      <c r="H372" s="186">
        <v>11</v>
      </c>
      <c r="I372" s="186"/>
      <c r="J372" s="186"/>
      <c r="K372" s="186"/>
      <c r="L372" s="186"/>
      <c r="M372" s="186"/>
      <c r="N372" s="186">
        <v>32</v>
      </c>
      <c r="O372" s="186">
        <v>57</v>
      </c>
      <c r="P372" s="186"/>
      <c r="Q372" s="186"/>
      <c r="R372" s="186"/>
      <c r="S372" s="186"/>
      <c r="T372" s="186"/>
      <c r="U372" s="186"/>
      <c r="V372" s="187">
        <v>0.04</v>
      </c>
      <c r="W372" s="187"/>
      <c r="X372" s="187"/>
      <c r="Y372" s="187"/>
      <c r="Z372" s="187"/>
      <c r="AA372" s="187"/>
      <c r="AB372" s="186">
        <v>51</v>
      </c>
      <c r="AC372" s="187"/>
      <c r="AD372" s="187"/>
      <c r="AE372" s="186">
        <v>6</v>
      </c>
      <c r="AF372" s="187"/>
      <c r="AG372" s="187"/>
      <c r="AH372" s="187"/>
      <c r="AI372" s="186"/>
      <c r="AJ372" s="186"/>
      <c r="AK372" s="186"/>
      <c r="AL372" s="186"/>
      <c r="AM372" s="187"/>
      <c r="AN372" s="186"/>
      <c r="AO372" s="186"/>
      <c r="AP372" s="186"/>
      <c r="AQ372" s="186"/>
      <c r="AR372" s="186"/>
      <c r="AS372" s="186"/>
      <c r="AT372" s="186"/>
      <c r="AU372" s="186"/>
      <c r="AV372" s="186"/>
      <c r="AW372" s="186"/>
      <c r="AX372" s="186"/>
      <c r="AY372" s="186"/>
      <c r="AZ372" s="186"/>
      <c r="BA372" s="186"/>
      <c r="BB372" s="186"/>
    </row>
    <row r="373" spans="1:54">
      <c r="A373" t="s">
        <v>827</v>
      </c>
      <c r="G373">
        <v>40</v>
      </c>
      <c r="I373">
        <v>17</v>
      </c>
      <c r="J373">
        <v>17</v>
      </c>
      <c r="K373">
        <v>39</v>
      </c>
      <c r="L373">
        <v>16</v>
      </c>
      <c r="M373">
        <v>16</v>
      </c>
      <c r="N373">
        <v>25</v>
      </c>
      <c r="O373">
        <v>25</v>
      </c>
      <c r="V373" s="2"/>
      <c r="W373" s="2"/>
      <c r="X373" s="2"/>
      <c r="Y373" s="2"/>
      <c r="Z373" s="2"/>
      <c r="AA373" s="2"/>
      <c r="AB373" s="32">
        <v>61</v>
      </c>
      <c r="AC373" s="2"/>
      <c r="AD373" s="2"/>
      <c r="AE373" s="32"/>
      <c r="AF373" s="2"/>
      <c r="AG373" s="2"/>
      <c r="AH373" s="2"/>
      <c r="AL373" s="2"/>
      <c r="AO373" s="2"/>
    </row>
    <row r="374" spans="1:54">
      <c r="A374" s="29" t="s">
        <v>851</v>
      </c>
      <c r="G374">
        <v>33</v>
      </c>
      <c r="H374">
        <v>10</v>
      </c>
      <c r="I374">
        <v>16</v>
      </c>
      <c r="J374">
        <v>21</v>
      </c>
      <c r="K374">
        <v>33</v>
      </c>
      <c r="L374">
        <v>17</v>
      </c>
      <c r="M374">
        <v>12</v>
      </c>
      <c r="O374">
        <v>30</v>
      </c>
      <c r="V374" s="2"/>
      <c r="W374" s="2"/>
      <c r="X374" s="2"/>
      <c r="Y374" s="2"/>
      <c r="Z374" s="2"/>
      <c r="AA374" s="2"/>
      <c r="AB374" s="32">
        <v>51</v>
      </c>
      <c r="AC374" s="2"/>
      <c r="AD374" s="2"/>
      <c r="AE374" s="32"/>
      <c r="AF374" s="2"/>
      <c r="AG374" s="2"/>
      <c r="AH374" s="2"/>
      <c r="AL374" s="2"/>
      <c r="AO374" s="2"/>
    </row>
    <row r="375" spans="1:54">
      <c r="A375" s="29" t="s">
        <v>709</v>
      </c>
      <c r="G375">
        <v>22</v>
      </c>
      <c r="I375">
        <v>13</v>
      </c>
      <c r="J375">
        <v>10</v>
      </c>
      <c r="K375">
        <v>21</v>
      </c>
      <c r="L375">
        <v>13</v>
      </c>
      <c r="M375">
        <v>6</v>
      </c>
      <c r="V375" s="2"/>
      <c r="W375" s="2"/>
      <c r="X375" s="2"/>
      <c r="Y375" s="2"/>
      <c r="Z375" s="2"/>
      <c r="AA375" s="2"/>
      <c r="AB375" s="32">
        <v>51</v>
      </c>
      <c r="AC375" s="2"/>
      <c r="AD375" s="2"/>
      <c r="AE375" s="32"/>
      <c r="AF375" s="2"/>
      <c r="AG375" s="2"/>
      <c r="AH375" s="2"/>
      <c r="AL375" s="2"/>
    </row>
    <row r="376" spans="1:54">
      <c r="A376" s="29" t="s">
        <v>710</v>
      </c>
      <c r="G376">
        <v>35</v>
      </c>
      <c r="I376">
        <v>21</v>
      </c>
      <c r="J376">
        <v>16</v>
      </c>
      <c r="K376">
        <v>30</v>
      </c>
      <c r="L376">
        <v>17</v>
      </c>
      <c r="M376">
        <v>10</v>
      </c>
      <c r="V376" s="2"/>
      <c r="W376" s="2"/>
      <c r="X376" s="2"/>
      <c r="Y376" s="2"/>
      <c r="Z376" s="2"/>
      <c r="AA376" s="2"/>
      <c r="AB376" s="32">
        <v>51</v>
      </c>
      <c r="AC376" s="2"/>
      <c r="AD376" s="2"/>
      <c r="AE376" s="32"/>
      <c r="AF376" s="2"/>
      <c r="AG376" s="2"/>
      <c r="AH376" s="2"/>
      <c r="AL376" s="2"/>
    </row>
    <row r="377" spans="1:54">
      <c r="A377" s="29" t="s">
        <v>919</v>
      </c>
      <c r="G377">
        <v>49</v>
      </c>
      <c r="H377">
        <v>7</v>
      </c>
      <c r="I377">
        <v>29</v>
      </c>
      <c r="J377">
        <v>16</v>
      </c>
      <c r="K377">
        <v>24</v>
      </c>
      <c r="L377">
        <v>14</v>
      </c>
      <c r="M377">
        <v>11</v>
      </c>
      <c r="N377">
        <v>39</v>
      </c>
      <c r="V377" s="2"/>
      <c r="W377" s="2"/>
      <c r="X377" s="2"/>
      <c r="Y377" s="2"/>
      <c r="Z377" s="2"/>
      <c r="AA377" s="2"/>
      <c r="AB377" s="32">
        <v>41</v>
      </c>
      <c r="AC377" s="2"/>
      <c r="AD377" s="2"/>
      <c r="AE377" s="32">
        <v>7</v>
      </c>
      <c r="AF377" s="2"/>
      <c r="AG377" s="2"/>
      <c r="AH377" s="2"/>
      <c r="AL377" s="2"/>
    </row>
    <row r="378" spans="1:54">
      <c r="A378" s="29" t="s">
        <v>800</v>
      </c>
      <c r="G378">
        <v>40</v>
      </c>
      <c r="I378">
        <v>28</v>
      </c>
      <c r="J378">
        <v>17</v>
      </c>
      <c r="K378">
        <v>25</v>
      </c>
      <c r="L378">
        <f>15+10</f>
        <v>25</v>
      </c>
      <c r="M378">
        <v>12</v>
      </c>
      <c r="O378">
        <f>20+15</f>
        <v>35</v>
      </c>
      <c r="V378" s="2">
        <v>0.02</v>
      </c>
      <c r="W378" s="2"/>
      <c r="X378" s="2"/>
      <c r="Y378" s="2"/>
      <c r="Z378" s="2"/>
      <c r="AA378" s="2"/>
      <c r="AB378" s="32">
        <v>51</v>
      </c>
      <c r="AC378" s="2"/>
      <c r="AD378" s="2"/>
      <c r="AE378" s="32"/>
      <c r="AF378" s="2"/>
      <c r="AG378" s="2"/>
      <c r="AH378" s="2"/>
      <c r="AL378" s="2"/>
      <c r="AN378" s="32">
        <v>54</v>
      </c>
    </row>
    <row r="379" spans="1:54">
      <c r="A379" s="29" t="s">
        <v>716</v>
      </c>
      <c r="G379">
        <v>33</v>
      </c>
      <c r="I379">
        <v>20</v>
      </c>
      <c r="J379">
        <v>15</v>
      </c>
      <c r="K379">
        <v>24</v>
      </c>
      <c r="L379">
        <v>12</v>
      </c>
      <c r="M379">
        <v>9</v>
      </c>
      <c r="V379" s="2"/>
      <c r="W379" s="2"/>
      <c r="X379" s="2"/>
      <c r="Y379" s="2"/>
      <c r="Z379" s="2"/>
      <c r="AA379" s="2"/>
      <c r="AB379" s="32">
        <v>51</v>
      </c>
      <c r="AC379" s="2"/>
      <c r="AD379" s="2"/>
      <c r="AE379" s="32"/>
      <c r="AF379" s="2"/>
      <c r="AG379" s="2"/>
      <c r="AH379" s="2"/>
      <c r="AL379" s="2"/>
      <c r="AN379" s="32">
        <f>60+65</f>
        <v>125</v>
      </c>
    </row>
    <row r="380" spans="1:54">
      <c r="A380" s="29" t="s">
        <v>768</v>
      </c>
      <c r="G380">
        <v>29</v>
      </c>
      <c r="I380">
        <v>13</v>
      </c>
      <c r="J380">
        <v>10</v>
      </c>
      <c r="K380">
        <v>17</v>
      </c>
      <c r="L380">
        <v>8</v>
      </c>
      <c r="M380">
        <v>7</v>
      </c>
      <c r="N380">
        <v>17</v>
      </c>
      <c r="O380">
        <v>17</v>
      </c>
      <c r="V380" s="2"/>
      <c r="W380" s="2"/>
      <c r="X380" s="2"/>
      <c r="Y380" s="2"/>
      <c r="Z380" s="2"/>
      <c r="AA380" s="2"/>
      <c r="AB380" s="32">
        <v>51</v>
      </c>
      <c r="AC380" s="2"/>
      <c r="AD380" s="2"/>
      <c r="AE380" s="32"/>
      <c r="AF380" s="2"/>
      <c r="AG380" s="2"/>
      <c r="AH380" s="2"/>
      <c r="AL380" s="2"/>
      <c r="AN380" s="32">
        <v>24</v>
      </c>
    </row>
    <row r="381" spans="1:54">
      <c r="A381" s="29" t="s">
        <v>769</v>
      </c>
      <c r="G381">
        <v>43</v>
      </c>
      <c r="I381">
        <v>21</v>
      </c>
      <c r="J381">
        <v>16</v>
      </c>
      <c r="K381">
        <v>26</v>
      </c>
      <c r="L381">
        <v>14</v>
      </c>
      <c r="M381">
        <v>11</v>
      </c>
      <c r="N381">
        <v>27</v>
      </c>
      <c r="O381">
        <v>27</v>
      </c>
      <c r="V381" s="2"/>
      <c r="W381" s="2"/>
      <c r="X381" s="2"/>
      <c r="Y381" s="2"/>
      <c r="Z381" s="2"/>
      <c r="AA381" s="2"/>
      <c r="AB381" s="32">
        <v>51</v>
      </c>
      <c r="AC381" s="2"/>
      <c r="AD381" s="2"/>
      <c r="AE381" s="32"/>
      <c r="AF381" s="2"/>
      <c r="AG381" s="2"/>
      <c r="AH381" s="2"/>
      <c r="AL381" s="2"/>
      <c r="AN381" s="32">
        <v>52</v>
      </c>
    </row>
    <row r="382" spans="1:54">
      <c r="A382" s="29" t="s">
        <v>645</v>
      </c>
      <c r="G382">
        <v>27</v>
      </c>
      <c r="H382">
        <v>5</v>
      </c>
      <c r="I382">
        <v>13</v>
      </c>
      <c r="J382">
        <v>10</v>
      </c>
      <c r="K382">
        <v>21</v>
      </c>
      <c r="L382">
        <v>8</v>
      </c>
      <c r="M382">
        <v>6</v>
      </c>
      <c r="O382">
        <v>20</v>
      </c>
      <c r="P382" s="2"/>
      <c r="Q382" s="2"/>
      <c r="R382" s="2"/>
      <c r="U382" s="2"/>
      <c r="V382" s="2"/>
      <c r="W382" s="2"/>
      <c r="X382" s="2"/>
      <c r="Y382" s="2"/>
      <c r="Z382" s="2"/>
      <c r="AA382" s="2"/>
      <c r="AB382" s="32">
        <v>51</v>
      </c>
      <c r="AC382" s="2"/>
      <c r="AD382" s="2"/>
      <c r="AE382" s="32"/>
      <c r="AF382" s="2"/>
      <c r="AG382" s="2"/>
      <c r="AH382" s="2"/>
      <c r="AL382" s="2"/>
      <c r="AN382" s="32">
        <v>24</v>
      </c>
      <c r="AO382" s="2"/>
    </row>
    <row r="383" spans="1:54">
      <c r="A383" s="29" t="s">
        <v>692</v>
      </c>
      <c r="G383">
        <v>40</v>
      </c>
      <c r="H383">
        <v>5</v>
      </c>
      <c r="I383">
        <v>21</v>
      </c>
      <c r="J383">
        <v>16</v>
      </c>
      <c r="K383">
        <v>30</v>
      </c>
      <c r="L383">
        <v>12</v>
      </c>
      <c r="M383">
        <v>10</v>
      </c>
      <c r="O383">
        <v>25</v>
      </c>
      <c r="P383" s="2"/>
      <c r="Q383" s="2"/>
      <c r="R383" s="2"/>
      <c r="U383" s="2"/>
      <c r="V383" s="2"/>
      <c r="W383" s="2"/>
      <c r="X383" s="2"/>
      <c r="Y383" s="2"/>
      <c r="Z383" s="2"/>
      <c r="AA383" s="2"/>
      <c r="AB383" s="32">
        <v>51</v>
      </c>
      <c r="AC383" s="2"/>
      <c r="AD383" s="2"/>
      <c r="AE383" s="32"/>
      <c r="AF383" s="2"/>
      <c r="AG383" s="2"/>
      <c r="AH383" s="2"/>
      <c r="AL383" s="2"/>
      <c r="AN383" s="32">
        <v>52</v>
      </c>
      <c r="AO383" s="2"/>
    </row>
    <row r="384" spans="1:54">
      <c r="A384" s="29" t="s">
        <v>930</v>
      </c>
      <c r="G384">
        <v>45</v>
      </c>
      <c r="H384">
        <v>10</v>
      </c>
      <c r="I384">
        <v>26</v>
      </c>
      <c r="J384">
        <v>21</v>
      </c>
      <c r="K384">
        <v>35</v>
      </c>
      <c r="L384">
        <v>17</v>
      </c>
      <c r="M384">
        <v>15</v>
      </c>
      <c r="N384">
        <v>39</v>
      </c>
      <c r="O384">
        <v>35</v>
      </c>
      <c r="P384" s="2"/>
      <c r="Q384" s="2"/>
      <c r="R384" s="2"/>
      <c r="U384" s="2"/>
      <c r="V384" s="2">
        <v>0.05</v>
      </c>
      <c r="W384" s="2"/>
      <c r="X384" s="2"/>
      <c r="Y384" s="2"/>
      <c r="Z384" s="2"/>
      <c r="AA384" s="2"/>
      <c r="AB384" s="32">
        <v>51</v>
      </c>
      <c r="AC384" s="2"/>
      <c r="AD384" s="2"/>
      <c r="AE384" s="32"/>
      <c r="AF384" s="2"/>
      <c r="AG384" s="2"/>
      <c r="AH384" s="2"/>
      <c r="AL384" s="2"/>
      <c r="AN384" s="32">
        <v>78</v>
      </c>
      <c r="AO384" s="2"/>
    </row>
    <row r="385" spans="1:53">
      <c r="A385" s="29" t="s">
        <v>931</v>
      </c>
      <c r="G385">
        <v>50</v>
      </c>
      <c r="H385">
        <v>15</v>
      </c>
      <c r="I385">
        <v>31</v>
      </c>
      <c r="J385">
        <v>26</v>
      </c>
      <c r="K385">
        <v>40</v>
      </c>
      <c r="L385">
        <v>22</v>
      </c>
      <c r="M385">
        <v>20</v>
      </c>
      <c r="N385">
        <v>49</v>
      </c>
      <c r="O385">
        <v>45</v>
      </c>
      <c r="P385" s="2"/>
      <c r="Q385" s="2"/>
      <c r="R385" s="2"/>
      <c r="U385" s="2"/>
      <c r="V385" s="2">
        <v>0.1</v>
      </c>
      <c r="W385" s="2"/>
      <c r="X385" s="2"/>
      <c r="Y385" s="2"/>
      <c r="Z385" s="2"/>
      <c r="AA385" s="2"/>
      <c r="AB385" s="32">
        <v>51</v>
      </c>
      <c r="AC385" s="2"/>
      <c r="AD385" s="2"/>
      <c r="AE385" s="32"/>
      <c r="AF385" s="2"/>
      <c r="AG385" s="2"/>
      <c r="AH385" s="2"/>
      <c r="AL385" s="2"/>
      <c r="AN385" s="32">
        <v>88</v>
      </c>
      <c r="AO385" s="2"/>
    </row>
    <row r="386" spans="1:53">
      <c r="A386" s="29" t="s">
        <v>816</v>
      </c>
      <c r="G386">
        <v>37</v>
      </c>
      <c r="I386">
        <v>23</v>
      </c>
      <c r="J386">
        <v>16</v>
      </c>
      <c r="K386">
        <v>26</v>
      </c>
      <c r="L386">
        <v>12</v>
      </c>
      <c r="M386">
        <v>10</v>
      </c>
      <c r="N386">
        <v>15</v>
      </c>
      <c r="V386" s="2">
        <v>0.02</v>
      </c>
      <c r="W386" s="2"/>
      <c r="X386" s="2"/>
      <c r="Y386" s="2"/>
      <c r="Z386" s="2"/>
      <c r="AA386" s="2"/>
      <c r="AB386" s="32">
        <v>51</v>
      </c>
      <c r="AC386" s="2"/>
      <c r="AD386" s="2"/>
      <c r="AE386" s="32">
        <v>5</v>
      </c>
      <c r="AF386" s="2"/>
      <c r="AG386" s="2"/>
      <c r="AH386" s="2"/>
      <c r="AL386" s="2"/>
    </row>
    <row r="387" spans="1:53" s="185" customFormat="1" ht="12.75" customHeight="1">
      <c r="A387" s="29" t="s">
        <v>880</v>
      </c>
      <c r="B387" s="29"/>
      <c r="C387" s="29"/>
      <c r="D387" s="29"/>
      <c r="E387" s="29"/>
      <c r="F387" s="29"/>
      <c r="G387" s="29">
        <v>37</v>
      </c>
      <c r="H387" s="29"/>
      <c r="I387" s="29">
        <v>23</v>
      </c>
      <c r="J387" s="29">
        <v>16</v>
      </c>
      <c r="K387" s="29">
        <v>26</v>
      </c>
      <c r="L387" s="29">
        <v>12</v>
      </c>
      <c r="M387" s="29">
        <v>10</v>
      </c>
      <c r="N387" s="29">
        <v>45</v>
      </c>
      <c r="O387" s="29"/>
      <c r="P387" s="29"/>
      <c r="Q387" s="29"/>
      <c r="R387" s="29"/>
      <c r="S387" s="29"/>
      <c r="T387" s="29"/>
      <c r="U387" s="29"/>
      <c r="V387" s="12">
        <v>7.0000000000000007E-2</v>
      </c>
      <c r="W387" s="12"/>
      <c r="X387" s="12"/>
      <c r="Y387" s="12"/>
      <c r="Z387" s="12"/>
      <c r="AA387" s="12"/>
      <c r="AB387" s="29">
        <v>51</v>
      </c>
      <c r="AC387" s="12"/>
      <c r="AD387" s="12"/>
      <c r="AE387" s="29">
        <v>5</v>
      </c>
      <c r="AF387" s="12"/>
      <c r="AG387" s="12"/>
      <c r="AH387" s="12"/>
      <c r="AI387" s="29"/>
      <c r="AJ387" s="29"/>
      <c r="AK387" s="29"/>
      <c r="AL387" s="29"/>
      <c r="AM387" s="12"/>
      <c r="AN387" s="29"/>
      <c r="AO387" s="29"/>
      <c r="AP387" s="29"/>
      <c r="AQ387" s="29"/>
      <c r="AR387" s="29"/>
      <c r="AS387" s="29"/>
      <c r="AT387" s="29"/>
      <c r="AU387" s="29"/>
      <c r="AV387" s="29"/>
      <c r="AW387" s="29"/>
      <c r="AX387" s="29"/>
      <c r="AY387" s="29"/>
      <c r="AZ387" s="29"/>
      <c r="BA387" s="29"/>
    </row>
    <row r="388" spans="1:53" s="185" customFormat="1" ht="12.75" customHeight="1">
      <c r="A388" s="29" t="s">
        <v>881</v>
      </c>
      <c r="B388" s="29"/>
      <c r="C388" s="29"/>
      <c r="D388" s="29"/>
      <c r="E388" s="29"/>
      <c r="F388" s="29"/>
      <c r="G388" s="29">
        <v>37</v>
      </c>
      <c r="H388" s="29"/>
      <c r="I388" s="29">
        <v>23</v>
      </c>
      <c r="J388" s="29">
        <v>16</v>
      </c>
      <c r="K388" s="29">
        <v>26</v>
      </c>
      <c r="L388" s="29">
        <v>12</v>
      </c>
      <c r="M388" s="29">
        <v>10</v>
      </c>
      <c r="N388" s="29">
        <v>45</v>
      </c>
      <c r="O388" s="29"/>
      <c r="P388" s="29"/>
      <c r="Q388" s="29"/>
      <c r="R388" s="29"/>
      <c r="S388" s="29"/>
      <c r="T388" s="29"/>
      <c r="U388" s="29"/>
      <c r="V388" s="12">
        <v>0.02</v>
      </c>
      <c r="W388" s="12"/>
      <c r="X388" s="12"/>
      <c r="Y388" s="12"/>
      <c r="Z388" s="12"/>
      <c r="AA388" s="12"/>
      <c r="AB388" s="29">
        <v>51</v>
      </c>
      <c r="AC388" s="12"/>
      <c r="AD388" s="12"/>
      <c r="AE388" s="29">
        <v>13</v>
      </c>
      <c r="AF388" s="12"/>
      <c r="AG388" s="12"/>
      <c r="AH388" s="12"/>
      <c r="AI388" s="29"/>
      <c r="AJ388" s="29"/>
      <c r="AK388" s="29"/>
      <c r="AL388" s="29"/>
      <c r="AM388" s="12"/>
      <c r="AN388" s="29"/>
      <c r="AO388" s="29"/>
      <c r="AP388" s="29"/>
      <c r="AQ388" s="29"/>
      <c r="AR388" s="29"/>
      <c r="AS388" s="29"/>
      <c r="AT388" s="29"/>
      <c r="AU388" s="29"/>
      <c r="AV388" s="29"/>
      <c r="AW388" s="29"/>
      <c r="AX388" s="29"/>
      <c r="AY388" s="29"/>
      <c r="AZ388" s="29"/>
      <c r="BA388" s="29"/>
    </row>
    <row r="389" spans="1:53" s="185" customFormat="1" ht="12.75" customHeight="1">
      <c r="A389" s="29" t="s">
        <v>882</v>
      </c>
      <c r="B389" s="29"/>
      <c r="C389" s="29"/>
      <c r="D389" s="29"/>
      <c r="E389" s="29"/>
      <c r="F389" s="29"/>
      <c r="G389" s="29">
        <v>37</v>
      </c>
      <c r="H389" s="29"/>
      <c r="I389" s="29">
        <v>23</v>
      </c>
      <c r="J389" s="29">
        <v>16</v>
      </c>
      <c r="K389" s="29">
        <v>26</v>
      </c>
      <c r="L389" s="29">
        <v>12</v>
      </c>
      <c r="M389" s="29">
        <v>10</v>
      </c>
      <c r="N389" s="29">
        <v>45</v>
      </c>
      <c r="O389" s="29"/>
      <c r="P389" s="29"/>
      <c r="Q389" s="29"/>
      <c r="R389" s="29"/>
      <c r="S389" s="29"/>
      <c r="T389" s="29"/>
      <c r="U389" s="29"/>
      <c r="V389" s="12">
        <v>0.02</v>
      </c>
      <c r="W389" s="12"/>
      <c r="X389" s="12"/>
      <c r="Y389" s="12"/>
      <c r="Z389" s="12"/>
      <c r="AA389" s="12"/>
      <c r="AB389" s="29">
        <v>51</v>
      </c>
      <c r="AC389" s="12"/>
      <c r="AD389" s="12"/>
      <c r="AE389" s="29">
        <v>5</v>
      </c>
      <c r="AF389" s="12"/>
      <c r="AG389" s="12"/>
      <c r="AH389" s="12">
        <v>0.05</v>
      </c>
      <c r="AI389" s="29"/>
      <c r="AJ389" s="29"/>
      <c r="AK389" s="29"/>
      <c r="AL389" s="29"/>
      <c r="AM389" s="12"/>
      <c r="AN389" s="29"/>
      <c r="AO389" s="29"/>
      <c r="AP389" s="29"/>
      <c r="AQ389" s="29"/>
      <c r="AR389" s="29"/>
      <c r="AS389" s="29"/>
      <c r="AT389" s="29"/>
      <c r="AU389" s="29"/>
      <c r="AV389" s="29"/>
      <c r="AW389" s="29"/>
      <c r="AX389" s="29"/>
      <c r="AY389" s="29"/>
      <c r="AZ389" s="29"/>
      <c r="BA389" s="29"/>
    </row>
    <row r="390" spans="1:53">
      <c r="A390" s="29" t="s">
        <v>859</v>
      </c>
      <c r="G390">
        <v>37</v>
      </c>
      <c r="I390">
        <v>23</v>
      </c>
      <c r="J390">
        <v>16</v>
      </c>
      <c r="K390">
        <v>26</v>
      </c>
      <c r="L390">
        <v>12</v>
      </c>
      <c r="M390">
        <v>10</v>
      </c>
      <c r="N390">
        <f>15+14</f>
        <v>29</v>
      </c>
      <c r="O390">
        <f>6+14</f>
        <v>20</v>
      </c>
      <c r="V390" s="2">
        <v>0.02</v>
      </c>
      <c r="W390" s="2"/>
      <c r="X390" s="2"/>
      <c r="Y390" s="2"/>
      <c r="Z390" s="2"/>
      <c r="AA390" s="2"/>
      <c r="AB390" s="32">
        <v>51</v>
      </c>
      <c r="AC390" s="2"/>
      <c r="AD390" s="2"/>
      <c r="AE390" s="32">
        <v>15</v>
      </c>
      <c r="AF390" s="2"/>
      <c r="AG390" s="2"/>
      <c r="AH390" s="2"/>
      <c r="AL390" s="2"/>
    </row>
    <row r="391" spans="1:53">
      <c r="A391" s="29" t="s">
        <v>833</v>
      </c>
      <c r="G391">
        <v>37</v>
      </c>
      <c r="I391">
        <v>24</v>
      </c>
      <c r="J391">
        <v>16</v>
      </c>
      <c r="K391">
        <v>26</v>
      </c>
      <c r="L391">
        <v>12</v>
      </c>
      <c r="M391">
        <v>10</v>
      </c>
      <c r="N391">
        <f>15+36</f>
        <v>51</v>
      </c>
      <c r="O391">
        <v>24</v>
      </c>
      <c r="V391" s="2">
        <v>0.02</v>
      </c>
      <c r="W391" s="2"/>
      <c r="X391" s="2"/>
      <c r="Y391" s="2"/>
      <c r="Z391" s="2"/>
      <c r="AA391" s="2"/>
      <c r="AB391" s="32">
        <v>51</v>
      </c>
      <c r="AC391" s="2"/>
      <c r="AD391" s="2"/>
      <c r="AE391" s="32">
        <v>5</v>
      </c>
      <c r="AF391" s="2"/>
      <c r="AG391" s="2"/>
      <c r="AH391" s="2"/>
      <c r="AL391" s="2"/>
    </row>
    <row r="392" spans="1:53">
      <c r="A392" s="29" t="s">
        <v>866</v>
      </c>
      <c r="G392">
        <f>37+15</f>
        <v>52</v>
      </c>
      <c r="I392">
        <v>23</v>
      </c>
      <c r="J392">
        <v>16</v>
      </c>
      <c r="K392">
        <v>26</v>
      </c>
      <c r="L392">
        <v>12</v>
      </c>
      <c r="M392">
        <v>10</v>
      </c>
      <c r="N392">
        <f>15+20</f>
        <v>35</v>
      </c>
      <c r="O392">
        <v>20</v>
      </c>
      <c r="V392" s="2">
        <v>0.02</v>
      </c>
      <c r="W392" s="2"/>
      <c r="X392" s="2"/>
      <c r="Y392" s="2"/>
      <c r="Z392" s="2"/>
      <c r="AA392" s="2"/>
      <c r="AB392" s="32">
        <v>51</v>
      </c>
      <c r="AC392" s="2"/>
      <c r="AD392" s="2"/>
      <c r="AE392" s="32">
        <v>5</v>
      </c>
      <c r="AF392" s="2"/>
      <c r="AG392" s="2"/>
      <c r="AH392" s="2">
        <v>0.05</v>
      </c>
      <c r="AL392" s="2"/>
    </row>
    <row r="393" spans="1:53">
      <c r="A393" s="29" t="s">
        <v>940</v>
      </c>
      <c r="G393">
        <v>37</v>
      </c>
      <c r="H393">
        <v>15</v>
      </c>
      <c r="I393">
        <v>23</v>
      </c>
      <c r="J393">
        <v>16</v>
      </c>
      <c r="K393">
        <v>26</v>
      </c>
      <c r="L393">
        <v>12</v>
      </c>
      <c r="M393">
        <v>10</v>
      </c>
      <c r="N393">
        <v>65</v>
      </c>
      <c r="O393">
        <v>40</v>
      </c>
      <c r="V393" s="2">
        <v>0.02</v>
      </c>
      <c r="W393" s="2">
        <v>0.03</v>
      </c>
      <c r="X393" s="2">
        <v>0.03</v>
      </c>
      <c r="Y393" s="2"/>
      <c r="Z393" s="2"/>
      <c r="AA393" s="2"/>
      <c r="AB393" s="32">
        <v>51</v>
      </c>
      <c r="AC393" s="2"/>
      <c r="AD393" s="2"/>
      <c r="AE393" s="32">
        <v>5</v>
      </c>
      <c r="AF393" s="2"/>
      <c r="AG393" s="2"/>
      <c r="AH393" s="2"/>
      <c r="AL393" s="2"/>
    </row>
    <row r="394" spans="1:53">
      <c r="A394" s="29" t="s">
        <v>893</v>
      </c>
      <c r="G394">
        <v>37</v>
      </c>
      <c r="I394">
        <f>23+12</f>
        <v>35</v>
      </c>
      <c r="J394">
        <v>16</v>
      </c>
      <c r="K394">
        <v>26</v>
      </c>
      <c r="L394">
        <v>12</v>
      </c>
      <c r="M394">
        <v>10</v>
      </c>
      <c r="N394">
        <v>15</v>
      </c>
      <c r="O394">
        <v>4</v>
      </c>
      <c r="V394" s="2">
        <v>0.02</v>
      </c>
      <c r="W394" s="2"/>
      <c r="X394" s="2"/>
      <c r="Y394" s="2"/>
      <c r="Z394" s="2"/>
      <c r="AA394" s="2"/>
      <c r="AB394" s="32">
        <v>51</v>
      </c>
      <c r="AC394" s="2"/>
      <c r="AD394" s="2"/>
      <c r="AE394" s="32">
        <v>5</v>
      </c>
      <c r="AF394" s="2"/>
      <c r="AG394" s="2"/>
      <c r="AH394" s="2">
        <v>0.03</v>
      </c>
      <c r="AL394" s="2"/>
    </row>
    <row r="395" spans="1:53">
      <c r="A395" s="29" t="s">
        <v>862</v>
      </c>
      <c r="G395">
        <v>44</v>
      </c>
      <c r="I395">
        <v>30</v>
      </c>
      <c r="J395">
        <v>14</v>
      </c>
      <c r="K395">
        <v>24</v>
      </c>
      <c r="L395">
        <v>17</v>
      </c>
      <c r="M395">
        <v>15</v>
      </c>
      <c r="N395">
        <v>39</v>
      </c>
      <c r="O395">
        <v>43</v>
      </c>
      <c r="V395" s="2"/>
      <c r="W395" s="2">
        <v>0.03</v>
      </c>
      <c r="X395" s="2"/>
      <c r="Y395" s="2"/>
      <c r="Z395" s="2"/>
      <c r="AA395" s="2"/>
      <c r="AB395" s="32">
        <v>21</v>
      </c>
      <c r="AC395" s="2"/>
      <c r="AD395" s="2"/>
      <c r="AE395" s="32"/>
      <c r="AF395" s="2"/>
      <c r="AG395" s="2"/>
      <c r="AH395" s="2"/>
      <c r="AL395" s="2"/>
    </row>
    <row r="396" spans="1:53">
      <c r="A396" s="29" t="s">
        <v>947</v>
      </c>
      <c r="G396">
        <v>47</v>
      </c>
      <c r="I396">
        <v>33</v>
      </c>
      <c r="J396">
        <v>14</v>
      </c>
      <c r="K396">
        <v>24</v>
      </c>
      <c r="L396">
        <v>20</v>
      </c>
      <c r="M396">
        <v>18</v>
      </c>
      <c r="N396">
        <v>45</v>
      </c>
      <c r="O396">
        <v>49</v>
      </c>
      <c r="V396" s="2"/>
      <c r="W396" s="2">
        <v>0.04</v>
      </c>
      <c r="X396" s="2"/>
      <c r="Y396" s="2"/>
      <c r="Z396" s="2"/>
      <c r="AA396" s="2"/>
      <c r="AB396" s="32">
        <v>21</v>
      </c>
      <c r="AC396" s="2"/>
      <c r="AD396" s="2"/>
      <c r="AE396" s="32"/>
      <c r="AF396" s="2"/>
      <c r="AG396" s="2"/>
      <c r="AH396" s="2"/>
      <c r="AL396" s="2"/>
    </row>
    <row r="397" spans="1:53">
      <c r="A397" s="29" t="s">
        <v>815</v>
      </c>
      <c r="G397">
        <v>39</v>
      </c>
      <c r="I397">
        <v>26</v>
      </c>
      <c r="J397">
        <v>16</v>
      </c>
      <c r="K397">
        <v>24</v>
      </c>
      <c r="L397">
        <v>14</v>
      </c>
      <c r="M397">
        <v>11</v>
      </c>
      <c r="O397">
        <v>15</v>
      </c>
      <c r="V397" s="2">
        <v>0.03</v>
      </c>
      <c r="W397" s="2"/>
      <c r="X397" s="2"/>
      <c r="Y397" s="2"/>
      <c r="Z397" s="2"/>
      <c r="AA397" s="2"/>
      <c r="AB397" s="32">
        <v>51</v>
      </c>
      <c r="AC397" s="2"/>
      <c r="AD397" s="2"/>
      <c r="AE397" s="32"/>
      <c r="AF397" s="2"/>
      <c r="AG397" s="2"/>
      <c r="AH397" s="2"/>
      <c r="AL397" s="2"/>
      <c r="AN397" s="32">
        <v>95</v>
      </c>
    </row>
    <row r="398" spans="1:53">
      <c r="A398" s="29" t="s">
        <v>865</v>
      </c>
      <c r="G398">
        <v>39</v>
      </c>
      <c r="I398">
        <v>26</v>
      </c>
      <c r="J398">
        <v>16</v>
      </c>
      <c r="K398">
        <v>25</v>
      </c>
      <c r="L398">
        <v>14</v>
      </c>
      <c r="M398">
        <v>11</v>
      </c>
      <c r="O398">
        <f>15+18</f>
        <v>33</v>
      </c>
      <c r="V398" s="2">
        <v>0.03</v>
      </c>
      <c r="W398" s="2"/>
      <c r="X398" s="2"/>
      <c r="Y398" s="2"/>
      <c r="Z398" s="2"/>
      <c r="AA398" s="2"/>
      <c r="AB398" s="32">
        <v>51</v>
      </c>
      <c r="AC398" s="2"/>
      <c r="AD398" s="2"/>
      <c r="AE398" s="32"/>
      <c r="AF398" s="2"/>
      <c r="AG398" s="2"/>
      <c r="AH398" s="2">
        <v>0.05</v>
      </c>
      <c r="AL398" s="2"/>
      <c r="AN398" s="32">
        <v>95</v>
      </c>
    </row>
    <row r="399" spans="1:53">
      <c r="A399" s="29" t="s">
        <v>867</v>
      </c>
      <c r="G399">
        <v>39</v>
      </c>
      <c r="H399">
        <v>15</v>
      </c>
      <c r="I399">
        <v>26</v>
      </c>
      <c r="J399">
        <v>16</v>
      </c>
      <c r="K399">
        <v>24</v>
      </c>
      <c r="L399">
        <v>14</v>
      </c>
      <c r="M399">
        <v>11</v>
      </c>
      <c r="N399">
        <v>20</v>
      </c>
      <c r="O399">
        <f>15+17</f>
        <v>32</v>
      </c>
      <c r="V399" s="2">
        <v>0.03</v>
      </c>
      <c r="W399" s="2"/>
      <c r="X399" s="2"/>
      <c r="Y399" s="2"/>
      <c r="Z399" s="2"/>
      <c r="AA399" s="2"/>
      <c r="AB399" s="32">
        <v>51</v>
      </c>
      <c r="AC399" s="2"/>
      <c r="AD399" s="2"/>
      <c r="AE399" s="32"/>
      <c r="AF399" s="2"/>
      <c r="AG399" s="2"/>
      <c r="AH399" s="2"/>
      <c r="AL399" s="2"/>
      <c r="AN399" s="32">
        <v>95</v>
      </c>
    </row>
    <row r="400" spans="1:53">
      <c r="A400" s="29" t="s">
        <v>868</v>
      </c>
      <c r="G400">
        <v>39</v>
      </c>
      <c r="I400">
        <v>26</v>
      </c>
      <c r="J400">
        <v>22</v>
      </c>
      <c r="K400">
        <v>24</v>
      </c>
      <c r="L400">
        <v>14</v>
      </c>
      <c r="M400">
        <v>11</v>
      </c>
      <c r="N400">
        <v>8</v>
      </c>
      <c r="O400">
        <v>20</v>
      </c>
      <c r="V400" s="2">
        <v>0.08</v>
      </c>
      <c r="W400" s="2"/>
      <c r="X400" s="2"/>
      <c r="Y400" s="2"/>
      <c r="Z400" s="2"/>
      <c r="AA400" s="2"/>
      <c r="AB400" s="32">
        <v>51</v>
      </c>
      <c r="AC400" s="2"/>
      <c r="AD400" s="2"/>
      <c r="AE400" s="32"/>
      <c r="AF400" s="2"/>
      <c r="AG400" s="2"/>
      <c r="AH400" s="2"/>
      <c r="AL400" s="2"/>
      <c r="AN400" s="32">
        <v>95</v>
      </c>
    </row>
    <row r="401" spans="1:42">
      <c r="AC401" s="2"/>
      <c r="AD401" s="2"/>
      <c r="AE401" s="32"/>
      <c r="AF401" s="2"/>
      <c r="AG401" s="2"/>
      <c r="AH401" s="2"/>
      <c r="AL401" s="2"/>
    </row>
    <row r="402" spans="1:42">
      <c r="AE402" s="32"/>
    </row>
    <row r="403" spans="1:42">
      <c r="A403" t="s">
        <v>23</v>
      </c>
      <c r="B403" t="s">
        <v>492</v>
      </c>
      <c r="C403" t="s">
        <v>489</v>
      </c>
      <c r="D403" t="s">
        <v>490</v>
      </c>
      <c r="E403" t="s">
        <v>491</v>
      </c>
      <c r="F403" s="29" t="s">
        <v>636</v>
      </c>
      <c r="G403" t="s">
        <v>3</v>
      </c>
      <c r="H403" t="s">
        <v>4</v>
      </c>
      <c r="I403" t="s">
        <v>5</v>
      </c>
      <c r="J403" t="s">
        <v>42</v>
      </c>
      <c r="K403" t="s">
        <v>182</v>
      </c>
      <c r="L403" t="s">
        <v>183</v>
      </c>
      <c r="M403" t="s">
        <v>245</v>
      </c>
      <c r="N403" t="s">
        <v>10</v>
      </c>
      <c r="O403" t="s">
        <v>9</v>
      </c>
      <c r="P403" t="s">
        <v>437</v>
      </c>
      <c r="Q403" t="s">
        <v>757</v>
      </c>
      <c r="R403" t="s">
        <v>758</v>
      </c>
      <c r="S403" t="s">
        <v>759</v>
      </c>
      <c r="T403" t="s">
        <v>760</v>
      </c>
      <c r="U403" s="173" t="s">
        <v>761</v>
      </c>
      <c r="V403" t="s">
        <v>12</v>
      </c>
      <c r="W403" t="s">
        <v>150</v>
      </c>
      <c r="X403" t="s">
        <v>416</v>
      </c>
      <c r="Y403" t="s">
        <v>596</v>
      </c>
      <c r="Z403" t="s">
        <v>454</v>
      </c>
      <c r="AA403" t="s">
        <v>266</v>
      </c>
      <c r="AB403" t="s">
        <v>11</v>
      </c>
      <c r="AC403" t="s">
        <v>125</v>
      </c>
      <c r="AD403" t="s">
        <v>124</v>
      </c>
      <c r="AE403" s="32" t="s">
        <v>455</v>
      </c>
      <c r="AF403" t="s">
        <v>122</v>
      </c>
      <c r="AG403" t="s">
        <v>184</v>
      </c>
      <c r="AH403" t="s">
        <v>164</v>
      </c>
      <c r="AI403" s="32" t="s">
        <v>564</v>
      </c>
      <c r="AJ403" s="32" t="s">
        <v>565</v>
      </c>
      <c r="AK403" s="29" t="s">
        <v>538</v>
      </c>
      <c r="AL403" t="s">
        <v>417</v>
      </c>
      <c r="AM403" t="s">
        <v>691</v>
      </c>
      <c r="AN403" s="32" t="s">
        <v>218</v>
      </c>
      <c r="AO403" t="s">
        <v>219</v>
      </c>
    </row>
    <row r="404" spans="1:42">
      <c r="A404" s="29" t="s">
        <v>788</v>
      </c>
      <c r="G404">
        <f t="shared" ref="G404:H406" si="1">15+7</f>
        <v>22</v>
      </c>
      <c r="H404">
        <f t="shared" si="1"/>
        <v>22</v>
      </c>
      <c r="I404">
        <v>13</v>
      </c>
      <c r="J404">
        <v>30</v>
      </c>
      <c r="L404">
        <v>8</v>
      </c>
      <c r="M404">
        <v>24</v>
      </c>
      <c r="N404">
        <f>7+23</f>
        <v>30</v>
      </c>
      <c r="V404" s="2">
        <v>0.05</v>
      </c>
      <c r="W404" s="2"/>
      <c r="X404" s="2"/>
      <c r="Y404" s="2"/>
      <c r="Z404" s="2"/>
      <c r="AA404" s="2"/>
      <c r="AB404" s="32">
        <v>31</v>
      </c>
      <c r="AC404" s="2"/>
      <c r="AD404" s="2"/>
      <c r="AE404" s="32"/>
      <c r="AF404" s="2"/>
      <c r="AG404" s="2"/>
      <c r="AH404" s="2"/>
      <c r="AL404" s="2"/>
      <c r="AN404" s="32">
        <v>18</v>
      </c>
      <c r="AO404" s="32"/>
      <c r="AP404" s="32"/>
    </row>
    <row r="405" spans="1:42">
      <c r="A405" s="29" t="s">
        <v>775</v>
      </c>
      <c r="G405">
        <f t="shared" si="1"/>
        <v>22</v>
      </c>
      <c r="H405">
        <f t="shared" si="1"/>
        <v>22</v>
      </c>
      <c r="I405">
        <v>13</v>
      </c>
      <c r="J405">
        <v>30</v>
      </c>
      <c r="L405">
        <v>8</v>
      </c>
      <c r="M405">
        <v>24</v>
      </c>
      <c r="N405">
        <f>7+20</f>
        <v>27</v>
      </c>
      <c r="O405">
        <v>20</v>
      </c>
      <c r="V405" s="2">
        <v>0.05</v>
      </c>
      <c r="W405" s="2"/>
      <c r="X405" s="2"/>
      <c r="Y405" s="2"/>
      <c r="Z405" s="2"/>
      <c r="AA405" s="2"/>
      <c r="AB405" s="32">
        <v>31</v>
      </c>
      <c r="AC405" s="2"/>
      <c r="AD405" s="2"/>
      <c r="AE405" s="32"/>
      <c r="AF405" s="2"/>
      <c r="AG405" s="2"/>
      <c r="AH405" s="2"/>
      <c r="AL405" s="2"/>
      <c r="AN405" s="32">
        <v>18</v>
      </c>
      <c r="AO405" s="32"/>
      <c r="AP405" s="32"/>
    </row>
    <row r="406" spans="1:42">
      <c r="A406" s="29" t="s">
        <v>793</v>
      </c>
      <c r="G406">
        <f t="shared" si="1"/>
        <v>22</v>
      </c>
      <c r="H406">
        <f t="shared" si="1"/>
        <v>22</v>
      </c>
      <c r="I406">
        <v>13</v>
      </c>
      <c r="J406">
        <v>30</v>
      </c>
      <c r="L406">
        <v>8</v>
      </c>
      <c r="M406">
        <v>24</v>
      </c>
      <c r="N406">
        <f>7+20</f>
        <v>27</v>
      </c>
      <c r="O406">
        <v>20</v>
      </c>
      <c r="V406" s="2">
        <v>0.02</v>
      </c>
      <c r="W406" s="2"/>
      <c r="X406" s="2"/>
      <c r="Y406" s="2"/>
      <c r="Z406" s="2"/>
      <c r="AA406" s="2"/>
      <c r="AB406" s="32">
        <v>31</v>
      </c>
      <c r="AC406" s="2"/>
      <c r="AD406" s="2"/>
      <c r="AE406" s="32">
        <v>6</v>
      </c>
      <c r="AF406" s="2"/>
      <c r="AG406" s="2"/>
      <c r="AH406" s="2"/>
      <c r="AL406" s="2"/>
      <c r="AN406" s="32">
        <v>18</v>
      </c>
      <c r="AO406" s="32"/>
      <c r="AP406" s="32"/>
    </row>
    <row r="407" spans="1:42">
      <c r="A407" s="29" t="s">
        <v>794</v>
      </c>
      <c r="G407">
        <f>15</f>
        <v>15</v>
      </c>
      <c r="H407">
        <f>15</f>
        <v>15</v>
      </c>
      <c r="I407">
        <v>13</v>
      </c>
      <c r="J407">
        <v>30</v>
      </c>
      <c r="L407">
        <v>8</v>
      </c>
      <c r="M407">
        <v>24</v>
      </c>
      <c r="N407">
        <f>7+20</f>
        <v>27</v>
      </c>
      <c r="O407">
        <v>20</v>
      </c>
      <c r="V407" s="2">
        <v>0.02</v>
      </c>
      <c r="W407" s="2"/>
      <c r="X407" s="2"/>
      <c r="Y407" s="2"/>
      <c r="Z407" s="2"/>
      <c r="AA407" s="2"/>
      <c r="AB407" s="32">
        <v>31</v>
      </c>
      <c r="AC407" s="2"/>
      <c r="AD407" s="2"/>
      <c r="AE407" s="32"/>
      <c r="AF407" s="2"/>
      <c r="AG407" s="2"/>
      <c r="AH407" s="2">
        <v>0.03</v>
      </c>
      <c r="AL407" s="2"/>
      <c r="AN407" s="32">
        <v>18</v>
      </c>
      <c r="AO407" s="32"/>
      <c r="AP407" s="32"/>
    </row>
    <row r="408" spans="1:42">
      <c r="A408" s="29" t="s">
        <v>803</v>
      </c>
      <c r="G408">
        <v>15</v>
      </c>
      <c r="H408">
        <v>17</v>
      </c>
      <c r="I408">
        <f>21+10</f>
        <v>31</v>
      </c>
      <c r="J408">
        <v>32</v>
      </c>
      <c r="L408">
        <v>10</v>
      </c>
      <c r="M408">
        <v>26</v>
      </c>
      <c r="N408">
        <v>15</v>
      </c>
      <c r="V408" s="2">
        <v>0.03</v>
      </c>
      <c r="W408" s="2"/>
      <c r="X408" s="2"/>
      <c r="Y408" s="2"/>
      <c r="Z408" s="2"/>
      <c r="AA408" s="2"/>
      <c r="AB408" s="32">
        <v>31</v>
      </c>
      <c r="AC408" s="2"/>
      <c r="AD408" s="2"/>
      <c r="AE408" s="32"/>
      <c r="AF408" s="2"/>
      <c r="AG408" s="2"/>
      <c r="AH408" s="2"/>
      <c r="AL408" s="2"/>
      <c r="AN408" s="32">
        <f>75+50</f>
        <v>125</v>
      </c>
    </row>
    <row r="409" spans="1:42">
      <c r="A409" t="s">
        <v>578</v>
      </c>
      <c r="I409">
        <v>8</v>
      </c>
      <c r="J409">
        <v>8</v>
      </c>
      <c r="N409">
        <v>11</v>
      </c>
      <c r="O409">
        <v>17</v>
      </c>
      <c r="V409" s="2"/>
      <c r="W409" s="2"/>
      <c r="X409" s="2"/>
      <c r="Y409" s="2"/>
      <c r="Z409" s="2"/>
      <c r="AA409" s="2"/>
      <c r="AB409" s="32"/>
      <c r="AC409" s="2"/>
      <c r="AD409" s="2"/>
      <c r="AE409" s="32"/>
      <c r="AF409" s="2"/>
      <c r="AG409" s="2"/>
      <c r="AH409" s="2"/>
      <c r="AL409" s="2"/>
      <c r="AO409" s="2">
        <v>0.03</v>
      </c>
    </row>
    <row r="410" spans="1:42">
      <c r="A410" t="s">
        <v>809</v>
      </c>
      <c r="G410">
        <v>34</v>
      </c>
      <c r="H410">
        <v>30</v>
      </c>
      <c r="N410">
        <v>25</v>
      </c>
      <c r="O410">
        <v>35</v>
      </c>
      <c r="V410" s="2"/>
      <c r="W410" s="2"/>
      <c r="X410" s="2"/>
      <c r="Y410" s="2"/>
      <c r="Z410" s="2"/>
      <c r="AA410" s="2"/>
      <c r="AB410" s="32">
        <v>31</v>
      </c>
      <c r="AC410" s="2"/>
      <c r="AD410" s="2"/>
      <c r="AE410" s="32">
        <v>4</v>
      </c>
      <c r="AF410" s="2"/>
      <c r="AG410" s="2"/>
      <c r="AH410" s="2"/>
      <c r="AL410" s="2"/>
      <c r="AO410" s="2"/>
    </row>
    <row r="411" spans="1:42">
      <c r="A411" t="s">
        <v>810</v>
      </c>
      <c r="G411">
        <v>24</v>
      </c>
      <c r="H411">
        <v>20</v>
      </c>
      <c r="N411">
        <v>25</v>
      </c>
      <c r="O411">
        <v>20</v>
      </c>
      <c r="V411" s="2">
        <v>0.02</v>
      </c>
      <c r="W411" s="2"/>
      <c r="X411" s="2"/>
      <c r="Y411" s="2"/>
      <c r="Z411" s="2"/>
      <c r="AA411" s="2"/>
      <c r="AB411" s="32">
        <v>31</v>
      </c>
      <c r="AC411" s="2"/>
      <c r="AD411" s="2"/>
      <c r="AE411" s="32">
        <v>6</v>
      </c>
      <c r="AF411" s="2"/>
      <c r="AG411" s="2"/>
      <c r="AH411" s="2"/>
      <c r="AL411" s="2"/>
      <c r="AO411" s="2"/>
    </row>
    <row r="412" spans="1:42">
      <c r="A412" t="s">
        <v>824</v>
      </c>
      <c r="G412">
        <v>36</v>
      </c>
      <c r="H412">
        <v>32</v>
      </c>
      <c r="N412">
        <v>35</v>
      </c>
      <c r="O412">
        <v>50</v>
      </c>
      <c r="V412" s="2"/>
      <c r="W412" s="2"/>
      <c r="X412" s="2"/>
      <c r="Y412" s="2"/>
      <c r="Z412" s="2"/>
      <c r="AA412" s="2"/>
      <c r="AB412" s="32">
        <v>31</v>
      </c>
      <c r="AC412" s="2"/>
      <c r="AD412" s="2"/>
      <c r="AE412" s="32">
        <v>5</v>
      </c>
      <c r="AF412" s="2"/>
      <c r="AG412" s="2"/>
      <c r="AH412" s="2"/>
      <c r="AL412" s="2"/>
      <c r="AO412" s="2"/>
    </row>
    <row r="413" spans="1:42">
      <c r="A413" t="s">
        <v>874</v>
      </c>
      <c r="G413">
        <v>24</v>
      </c>
      <c r="H413">
        <v>20</v>
      </c>
      <c r="N413">
        <v>35</v>
      </c>
      <c r="O413">
        <v>30</v>
      </c>
      <c r="V413" s="2">
        <v>0.03</v>
      </c>
      <c r="W413" s="2"/>
      <c r="X413" s="2"/>
      <c r="Y413" s="2"/>
      <c r="Z413" s="2"/>
      <c r="AA413" s="2"/>
      <c r="AB413" s="32">
        <v>31</v>
      </c>
      <c r="AC413" s="2"/>
      <c r="AD413" s="2"/>
      <c r="AE413" s="32">
        <v>10</v>
      </c>
      <c r="AF413" s="2"/>
      <c r="AG413" s="2"/>
      <c r="AH413" s="2"/>
      <c r="AL413" s="2"/>
      <c r="AO413" s="2"/>
    </row>
    <row r="414" spans="1:42">
      <c r="A414" t="s">
        <v>827</v>
      </c>
      <c r="G414">
        <v>14</v>
      </c>
      <c r="H414">
        <v>14</v>
      </c>
      <c r="I414">
        <v>15</v>
      </c>
      <c r="J414">
        <v>33</v>
      </c>
      <c r="L414">
        <v>11</v>
      </c>
      <c r="M414">
        <v>28</v>
      </c>
      <c r="V414" s="2">
        <v>0.03</v>
      </c>
      <c r="W414" s="2"/>
      <c r="X414" s="2"/>
      <c r="Y414" s="2"/>
      <c r="Z414" s="2"/>
      <c r="AA414" s="2"/>
      <c r="AB414" s="32">
        <v>41</v>
      </c>
      <c r="AC414" s="2"/>
      <c r="AD414" s="2"/>
      <c r="AE414" s="32">
        <v>7</v>
      </c>
      <c r="AF414" s="2"/>
      <c r="AG414" s="2"/>
      <c r="AH414" s="2"/>
      <c r="AL414" s="2"/>
      <c r="AN414" s="32">
        <v>75</v>
      </c>
      <c r="AO414" s="2"/>
    </row>
    <row r="415" spans="1:42">
      <c r="A415" s="29" t="s">
        <v>851</v>
      </c>
      <c r="G415">
        <v>17</v>
      </c>
      <c r="H415">
        <v>33</v>
      </c>
      <c r="I415">
        <v>12</v>
      </c>
      <c r="J415">
        <v>38</v>
      </c>
      <c r="L415">
        <v>16</v>
      </c>
      <c r="M415">
        <v>32</v>
      </c>
      <c r="N415">
        <f>23+15</f>
        <v>38</v>
      </c>
      <c r="O415">
        <v>23</v>
      </c>
      <c r="V415" s="2"/>
      <c r="W415" s="2"/>
      <c r="X415" s="2"/>
      <c r="Y415" s="2"/>
      <c r="Z415" s="2"/>
      <c r="AA415" s="2"/>
      <c r="AB415" s="32">
        <v>31</v>
      </c>
      <c r="AC415" s="2"/>
      <c r="AD415" s="2"/>
      <c r="AE415" s="32"/>
      <c r="AF415" s="2"/>
      <c r="AG415" s="2"/>
      <c r="AH415" s="2"/>
      <c r="AL415" s="2"/>
      <c r="AO415" s="2"/>
    </row>
    <row r="416" spans="1:42">
      <c r="A416" s="29" t="s">
        <v>709</v>
      </c>
      <c r="G416">
        <v>14</v>
      </c>
      <c r="H416">
        <v>12</v>
      </c>
      <c r="I416">
        <v>11</v>
      </c>
      <c r="J416">
        <v>18</v>
      </c>
      <c r="L416">
        <v>6</v>
      </c>
      <c r="M416">
        <v>17</v>
      </c>
      <c r="O416">
        <v>12</v>
      </c>
      <c r="V416" s="2"/>
      <c r="W416" s="2"/>
      <c r="X416" s="2"/>
      <c r="Y416" s="2"/>
      <c r="Z416" s="2"/>
      <c r="AA416" s="2"/>
      <c r="AB416" s="32">
        <v>30</v>
      </c>
      <c r="AC416" s="2"/>
      <c r="AD416" s="2"/>
      <c r="AE416" s="32"/>
      <c r="AF416" s="2"/>
      <c r="AG416" s="2"/>
      <c r="AH416" s="2"/>
      <c r="AL416" s="2"/>
    </row>
    <row r="417" spans="1:53">
      <c r="A417" s="29" t="s">
        <v>710</v>
      </c>
      <c r="G417">
        <v>21</v>
      </c>
      <c r="H417">
        <v>17</v>
      </c>
      <c r="I417">
        <v>17</v>
      </c>
      <c r="J417">
        <v>29</v>
      </c>
      <c r="L417">
        <v>10</v>
      </c>
      <c r="M417">
        <v>26</v>
      </c>
      <c r="O417">
        <v>15</v>
      </c>
      <c r="V417" s="2"/>
      <c r="W417" s="2"/>
      <c r="X417" s="2"/>
      <c r="Y417" s="2"/>
      <c r="Z417" s="2"/>
      <c r="AA417" s="2"/>
      <c r="AB417" s="32">
        <v>30</v>
      </c>
      <c r="AC417" s="2"/>
      <c r="AD417" s="2"/>
      <c r="AE417" s="32"/>
      <c r="AF417" s="2"/>
      <c r="AG417" s="2"/>
      <c r="AH417" s="2"/>
      <c r="AL417" s="2"/>
    </row>
    <row r="418" spans="1:53">
      <c r="A418" s="29" t="s">
        <v>919</v>
      </c>
      <c r="G418">
        <v>27</v>
      </c>
      <c r="H418">
        <v>30</v>
      </c>
      <c r="I418">
        <v>20</v>
      </c>
      <c r="J418">
        <v>26</v>
      </c>
      <c r="L418">
        <v>8</v>
      </c>
      <c r="M418">
        <v>20</v>
      </c>
      <c r="N418">
        <v>36</v>
      </c>
      <c r="V418" s="2">
        <v>0.05</v>
      </c>
      <c r="W418" s="2"/>
      <c r="X418" s="2"/>
      <c r="Y418" s="2"/>
      <c r="Z418" s="2"/>
      <c r="AA418" s="2"/>
      <c r="AB418" s="32">
        <v>21</v>
      </c>
      <c r="AC418" s="2"/>
      <c r="AD418" s="2"/>
      <c r="AE418" s="32">
        <v>5</v>
      </c>
      <c r="AF418" s="2"/>
      <c r="AG418" s="2"/>
      <c r="AH418" s="2"/>
      <c r="AL418" s="2"/>
    </row>
    <row r="419" spans="1:53">
      <c r="A419" s="29" t="s">
        <v>800</v>
      </c>
      <c r="G419">
        <v>19</v>
      </c>
      <c r="H419">
        <v>21</v>
      </c>
      <c r="I419">
        <f>19+10</f>
        <v>29</v>
      </c>
      <c r="J419">
        <v>28</v>
      </c>
      <c r="L419">
        <v>7</v>
      </c>
      <c r="M419">
        <v>21</v>
      </c>
      <c r="N419">
        <f>20+15</f>
        <v>35</v>
      </c>
      <c r="V419" s="2">
        <v>0.02</v>
      </c>
      <c r="W419" s="2"/>
      <c r="X419" s="2"/>
      <c r="Y419" s="2"/>
      <c r="Z419" s="2"/>
      <c r="AA419" s="2"/>
      <c r="AB419" s="32">
        <v>31</v>
      </c>
      <c r="AC419" s="2"/>
      <c r="AD419" s="2"/>
      <c r="AE419" s="32"/>
      <c r="AF419" s="2"/>
      <c r="AG419" s="2"/>
      <c r="AH419" s="2"/>
      <c r="AL419" s="2"/>
      <c r="AN419" s="32">
        <v>20</v>
      </c>
    </row>
    <row r="420" spans="1:53">
      <c r="A420" s="29" t="s">
        <v>716</v>
      </c>
      <c r="G420">
        <v>19</v>
      </c>
      <c r="H420">
        <v>16</v>
      </c>
      <c r="I420">
        <v>16</v>
      </c>
      <c r="J420">
        <v>27</v>
      </c>
      <c r="L420">
        <v>9</v>
      </c>
      <c r="M420">
        <v>25</v>
      </c>
      <c r="N420">
        <v>14</v>
      </c>
      <c r="O420">
        <v>14</v>
      </c>
      <c r="V420" s="2"/>
      <c r="W420" s="2"/>
      <c r="X420" s="2"/>
      <c r="Y420" s="2"/>
      <c r="Z420" s="2"/>
      <c r="AA420" s="2"/>
      <c r="AB420" s="32">
        <v>31</v>
      </c>
      <c r="AC420" s="2"/>
      <c r="AD420" s="2"/>
      <c r="AE420" s="32"/>
      <c r="AF420" s="2"/>
      <c r="AG420" s="2"/>
      <c r="AH420" s="2"/>
      <c r="AL420" s="2"/>
      <c r="AN420" s="32">
        <f>38+40</f>
        <v>78</v>
      </c>
    </row>
    <row r="421" spans="1:53">
      <c r="A421" s="29" t="s">
        <v>768</v>
      </c>
      <c r="G421">
        <v>15</v>
      </c>
      <c r="H421">
        <v>7</v>
      </c>
      <c r="I421">
        <v>11</v>
      </c>
      <c r="J421">
        <v>18</v>
      </c>
      <c r="K421">
        <v>11</v>
      </c>
      <c r="L421">
        <v>10</v>
      </c>
      <c r="M421">
        <v>17</v>
      </c>
      <c r="S421">
        <v>10</v>
      </c>
      <c r="T421">
        <v>10</v>
      </c>
      <c r="V421" s="2"/>
      <c r="W421" s="2"/>
      <c r="X421" s="2"/>
      <c r="Y421" s="2"/>
      <c r="Z421" s="2"/>
      <c r="AA421" s="2"/>
      <c r="AB421" s="32">
        <v>31</v>
      </c>
      <c r="AC421" s="2"/>
      <c r="AD421" s="2"/>
      <c r="AE421" s="32"/>
      <c r="AF421" s="2"/>
      <c r="AG421" s="2"/>
      <c r="AH421" s="2"/>
      <c r="AL421" s="2"/>
      <c r="AN421" s="32">
        <v>8</v>
      </c>
    </row>
    <row r="422" spans="1:53">
      <c r="A422" s="29" t="s">
        <v>769</v>
      </c>
      <c r="G422">
        <v>22</v>
      </c>
      <c r="H422">
        <v>11</v>
      </c>
      <c r="I422">
        <v>17</v>
      </c>
      <c r="J422">
        <v>29</v>
      </c>
      <c r="K422">
        <v>12</v>
      </c>
      <c r="L422">
        <v>14</v>
      </c>
      <c r="M422">
        <v>28</v>
      </c>
      <c r="S422">
        <v>20</v>
      </c>
      <c r="T422">
        <v>20</v>
      </c>
      <c r="V422" s="2"/>
      <c r="W422" s="2"/>
      <c r="X422" s="2"/>
      <c r="Y422" s="2"/>
      <c r="Z422" s="2"/>
      <c r="AA422" s="2"/>
      <c r="AB422" s="32">
        <v>31</v>
      </c>
      <c r="AC422" s="2"/>
      <c r="AD422" s="2"/>
      <c r="AE422" s="32"/>
      <c r="AF422" s="2"/>
      <c r="AG422" s="2"/>
      <c r="AH422" s="2"/>
      <c r="AL422" s="2"/>
      <c r="AN422" s="32">
        <v>18</v>
      </c>
    </row>
    <row r="423" spans="1:53">
      <c r="A423" s="29" t="s">
        <v>645</v>
      </c>
      <c r="G423">
        <v>10</v>
      </c>
      <c r="H423">
        <v>8</v>
      </c>
      <c r="I423">
        <v>11</v>
      </c>
      <c r="J423">
        <v>18</v>
      </c>
      <c r="L423">
        <v>6</v>
      </c>
      <c r="M423">
        <v>17</v>
      </c>
      <c r="O423">
        <v>15</v>
      </c>
      <c r="P423" s="2"/>
      <c r="Q423" s="2"/>
      <c r="R423" s="2"/>
      <c r="U423" s="2"/>
      <c r="V423" s="2"/>
      <c r="W423" s="2"/>
      <c r="X423" s="2"/>
      <c r="Y423" s="2"/>
      <c r="Z423" s="2"/>
      <c r="AA423" s="2"/>
      <c r="AB423" s="32">
        <v>31</v>
      </c>
      <c r="AC423" s="2"/>
      <c r="AD423" s="2"/>
      <c r="AE423" s="32"/>
      <c r="AF423" s="2"/>
      <c r="AG423" s="2"/>
      <c r="AH423" s="2"/>
      <c r="AL423" s="2"/>
      <c r="AN423" s="32">
        <v>28</v>
      </c>
      <c r="AO423" s="2"/>
    </row>
    <row r="424" spans="1:53">
      <c r="A424" s="29" t="s">
        <v>692</v>
      </c>
      <c r="G424">
        <v>16</v>
      </c>
      <c r="H424">
        <v>12</v>
      </c>
      <c r="I424">
        <v>17</v>
      </c>
      <c r="J424">
        <v>29</v>
      </c>
      <c r="L424">
        <v>10</v>
      </c>
      <c r="M424">
        <v>26</v>
      </c>
      <c r="O424">
        <v>20</v>
      </c>
      <c r="P424" s="2"/>
      <c r="Q424" s="2"/>
      <c r="R424" s="2"/>
      <c r="U424" s="2"/>
      <c r="V424" s="2"/>
      <c r="W424" s="2"/>
      <c r="X424" s="2"/>
      <c r="Y424" s="2"/>
      <c r="Z424" s="2"/>
      <c r="AA424" s="2"/>
      <c r="AB424" s="32">
        <v>31</v>
      </c>
      <c r="AC424" s="2"/>
      <c r="AD424" s="2"/>
      <c r="AE424" s="32"/>
      <c r="AF424" s="2"/>
      <c r="AG424" s="2"/>
      <c r="AH424" s="2"/>
      <c r="AL424" s="2"/>
      <c r="AN424" s="32">
        <v>38</v>
      </c>
      <c r="AO424" s="2"/>
    </row>
    <row r="425" spans="1:53">
      <c r="A425" s="29" t="s">
        <v>930</v>
      </c>
      <c r="G425">
        <v>21</v>
      </c>
      <c r="H425">
        <v>17</v>
      </c>
      <c r="I425">
        <v>22</v>
      </c>
      <c r="J425">
        <v>34</v>
      </c>
      <c r="L425">
        <v>15</v>
      </c>
      <c r="M425">
        <v>31</v>
      </c>
      <c r="O425">
        <v>30</v>
      </c>
      <c r="P425" s="2"/>
      <c r="Q425" s="2"/>
      <c r="R425" s="2"/>
      <c r="U425" s="2"/>
      <c r="V425" s="2"/>
      <c r="W425" s="2"/>
      <c r="X425" s="2"/>
      <c r="Y425" s="2"/>
      <c r="Z425" s="2"/>
      <c r="AA425" s="2"/>
      <c r="AB425" s="32">
        <v>31</v>
      </c>
      <c r="AC425" s="2"/>
      <c r="AD425" s="2"/>
      <c r="AE425" s="32"/>
      <c r="AF425" s="2"/>
      <c r="AG425" s="2"/>
      <c r="AH425" s="2"/>
      <c r="AL425" s="2"/>
      <c r="AN425" s="32">
        <v>57</v>
      </c>
      <c r="AO425" s="2"/>
    </row>
    <row r="426" spans="1:53">
      <c r="A426" s="29" t="s">
        <v>931</v>
      </c>
      <c r="G426">
        <v>26</v>
      </c>
      <c r="H426">
        <v>22</v>
      </c>
      <c r="I426">
        <v>27</v>
      </c>
      <c r="J426">
        <v>39</v>
      </c>
      <c r="L426">
        <v>20</v>
      </c>
      <c r="M426">
        <v>36</v>
      </c>
      <c r="O426">
        <v>40</v>
      </c>
      <c r="P426" s="2"/>
      <c r="Q426" s="2"/>
      <c r="R426" s="2"/>
      <c r="U426" s="2"/>
      <c r="V426" s="2"/>
      <c r="W426" s="2"/>
      <c r="X426" s="2"/>
      <c r="Y426" s="2"/>
      <c r="Z426" s="2"/>
      <c r="AA426" s="2"/>
      <c r="AB426" s="32">
        <v>31</v>
      </c>
      <c r="AC426" s="2"/>
      <c r="AD426" s="2"/>
      <c r="AE426" s="32"/>
      <c r="AF426" s="2"/>
      <c r="AG426" s="2"/>
      <c r="AH426" s="2"/>
      <c r="AL426" s="2"/>
      <c r="AN426" s="32">
        <v>67</v>
      </c>
      <c r="AO426" s="2"/>
    </row>
    <row r="427" spans="1:53">
      <c r="A427" s="29" t="s">
        <v>802</v>
      </c>
      <c r="G427">
        <v>16</v>
      </c>
      <c r="H427">
        <v>12</v>
      </c>
      <c r="I427">
        <v>17</v>
      </c>
      <c r="J427">
        <v>29</v>
      </c>
      <c r="L427">
        <v>10</v>
      </c>
      <c r="M427">
        <v>26</v>
      </c>
      <c r="N427">
        <v>18</v>
      </c>
      <c r="O427">
        <v>18</v>
      </c>
      <c r="V427" s="2">
        <v>0.04</v>
      </c>
      <c r="W427" s="2"/>
      <c r="X427" s="2"/>
      <c r="Y427" s="2"/>
      <c r="Z427" s="2"/>
      <c r="AA427" s="2"/>
      <c r="AB427" s="32">
        <v>31</v>
      </c>
      <c r="AC427" s="2"/>
      <c r="AD427" s="2"/>
      <c r="AE427" s="32"/>
      <c r="AF427" s="2"/>
      <c r="AG427" s="2"/>
      <c r="AH427" s="2"/>
      <c r="AL427" s="2"/>
    </row>
    <row r="428" spans="1:53">
      <c r="A428" s="29" t="s">
        <v>801</v>
      </c>
      <c r="G428">
        <f>16+10</f>
        <v>26</v>
      </c>
      <c r="H428">
        <v>12</v>
      </c>
      <c r="I428">
        <v>17</v>
      </c>
      <c r="J428">
        <v>29</v>
      </c>
      <c r="L428">
        <v>10</v>
      </c>
      <c r="M428">
        <v>26</v>
      </c>
      <c r="N428">
        <v>18</v>
      </c>
      <c r="O428">
        <f>18+15</f>
        <v>33</v>
      </c>
      <c r="V428" s="2">
        <v>0.04</v>
      </c>
      <c r="W428" s="2"/>
      <c r="X428" s="2"/>
      <c r="Y428" s="2"/>
      <c r="Z428" s="2"/>
      <c r="AA428" s="2"/>
      <c r="AB428" s="32">
        <v>61</v>
      </c>
      <c r="AC428" s="2"/>
      <c r="AD428" s="2"/>
      <c r="AE428" s="32"/>
      <c r="AF428" s="2"/>
      <c r="AG428" s="2"/>
      <c r="AH428" s="2"/>
      <c r="AL428" s="2"/>
    </row>
    <row r="429" spans="1:53">
      <c r="A429" s="29" t="s">
        <v>825</v>
      </c>
      <c r="G429">
        <v>34</v>
      </c>
      <c r="H429">
        <v>30</v>
      </c>
      <c r="V429" s="2">
        <v>0.02</v>
      </c>
      <c r="W429" s="2"/>
      <c r="X429" s="2"/>
      <c r="Y429" s="2"/>
      <c r="Z429" s="2"/>
      <c r="AA429" s="2"/>
      <c r="AB429" s="32">
        <v>-51</v>
      </c>
      <c r="AC429" s="2"/>
      <c r="AD429" s="2"/>
      <c r="AE429" s="32"/>
      <c r="AF429" s="2"/>
      <c r="AG429" s="2"/>
      <c r="AH429" s="2"/>
      <c r="AL429" s="2"/>
    </row>
    <row r="430" spans="1:53" s="185" customFormat="1" ht="12.75" customHeight="1">
      <c r="A430" s="183" t="s">
        <v>873</v>
      </c>
      <c r="B430" s="183"/>
      <c r="C430" s="183"/>
      <c r="D430" s="183"/>
      <c r="E430" s="183"/>
      <c r="F430" s="183"/>
      <c r="G430" s="183">
        <v>40</v>
      </c>
      <c r="H430" s="183">
        <v>33</v>
      </c>
      <c r="I430" s="183"/>
      <c r="J430" s="183"/>
      <c r="K430" s="183"/>
      <c r="L430" s="183"/>
      <c r="M430" s="183"/>
      <c r="N430" s="183"/>
      <c r="O430" s="183">
        <v>20</v>
      </c>
      <c r="P430" s="183"/>
      <c r="Q430" s="183"/>
      <c r="R430" s="183"/>
      <c r="S430" s="183"/>
      <c r="T430" s="183"/>
      <c r="U430" s="183"/>
      <c r="V430" s="184">
        <v>0.03</v>
      </c>
      <c r="W430" s="183"/>
      <c r="X430" s="183"/>
      <c r="Y430" s="183"/>
      <c r="Z430" s="183"/>
      <c r="AA430" s="183"/>
      <c r="AB430" s="183">
        <v>-71</v>
      </c>
      <c r="AC430" s="184"/>
      <c r="AD430" s="183"/>
      <c r="AF430" s="183"/>
      <c r="AI430" s="183"/>
      <c r="AJ430" s="183"/>
      <c r="AK430" s="183"/>
      <c r="AL430" s="183"/>
      <c r="AM430" s="183"/>
      <c r="AN430" s="183"/>
      <c r="AO430" s="183"/>
      <c r="AP430" s="183"/>
      <c r="AQ430" s="183"/>
      <c r="AR430" s="183"/>
      <c r="AS430" s="183"/>
      <c r="AT430" s="183"/>
      <c r="AU430" s="183"/>
      <c r="AV430" s="183"/>
      <c r="AW430" s="183"/>
      <c r="AX430" s="183"/>
      <c r="AY430" s="183"/>
      <c r="AZ430" s="183"/>
      <c r="BA430" s="183"/>
    </row>
    <row r="431" spans="1:53">
      <c r="A431" s="29" t="s">
        <v>816</v>
      </c>
      <c r="G431">
        <f>19</f>
        <v>19</v>
      </c>
      <c r="H431">
        <v>12</v>
      </c>
      <c r="I431">
        <v>19</v>
      </c>
      <c r="J431">
        <v>29</v>
      </c>
      <c r="L431">
        <v>10</v>
      </c>
      <c r="M431">
        <v>24</v>
      </c>
      <c r="N431">
        <v>10</v>
      </c>
      <c r="S431">
        <v>10</v>
      </c>
      <c r="V431" s="2"/>
      <c r="W431" s="2"/>
      <c r="X431" s="2"/>
      <c r="Y431" s="2"/>
      <c r="Z431" s="2"/>
      <c r="AA431" s="2"/>
      <c r="AB431" s="32">
        <v>31</v>
      </c>
      <c r="AC431" s="2"/>
      <c r="AD431" s="2"/>
      <c r="AE431" s="32"/>
      <c r="AF431" s="2"/>
      <c r="AG431" s="2"/>
      <c r="AH431" s="2"/>
      <c r="AL431" s="2"/>
    </row>
    <row r="432" spans="1:53" s="185" customFormat="1" ht="12.75" customHeight="1">
      <c r="A432" s="29" t="s">
        <v>880</v>
      </c>
      <c r="B432" s="29"/>
      <c r="C432" s="29"/>
      <c r="D432" s="29"/>
      <c r="E432" s="29"/>
      <c r="F432" s="29"/>
      <c r="G432" s="29">
        <v>19</v>
      </c>
      <c r="H432" s="29">
        <v>12</v>
      </c>
      <c r="I432" s="29">
        <v>19</v>
      </c>
      <c r="J432" s="29">
        <v>29</v>
      </c>
      <c r="K432" s="29"/>
      <c r="L432" s="29">
        <v>10</v>
      </c>
      <c r="M432" s="29">
        <v>24</v>
      </c>
      <c r="N432" s="29">
        <v>40</v>
      </c>
      <c r="O432" s="29"/>
      <c r="P432" s="29"/>
      <c r="Q432" s="29"/>
      <c r="R432" s="29"/>
      <c r="S432" s="29">
        <v>10</v>
      </c>
      <c r="T432" s="29"/>
      <c r="U432" s="29"/>
      <c r="V432" s="12">
        <v>0.05</v>
      </c>
      <c r="W432" s="12"/>
      <c r="X432" s="12"/>
      <c r="Y432" s="12"/>
      <c r="Z432" s="12"/>
      <c r="AA432" s="12"/>
      <c r="AB432" s="29">
        <v>30</v>
      </c>
      <c r="AC432" s="12"/>
      <c r="AD432" s="12"/>
      <c r="AF432" s="12"/>
      <c r="AG432" s="12"/>
      <c r="AH432" s="12"/>
      <c r="AI432" s="29"/>
      <c r="AJ432" s="29"/>
      <c r="AK432" s="29"/>
      <c r="AL432" s="29"/>
      <c r="AM432" s="12"/>
      <c r="AN432" s="29"/>
      <c r="AO432" s="29"/>
      <c r="AP432" s="29"/>
      <c r="AQ432" s="29"/>
      <c r="AR432" s="29"/>
      <c r="AS432" s="29"/>
      <c r="AT432" s="29"/>
      <c r="AU432" s="29"/>
      <c r="AV432" s="29"/>
      <c r="AW432" s="29"/>
      <c r="AX432" s="29"/>
      <c r="AY432" s="29"/>
      <c r="AZ432" s="29"/>
      <c r="BA432" s="29"/>
    </row>
    <row r="433" spans="1:53" s="185" customFormat="1" ht="12.75" customHeight="1">
      <c r="A433" s="29" t="s">
        <v>881</v>
      </c>
      <c r="B433" s="29"/>
      <c r="C433" s="29"/>
      <c r="D433" s="29"/>
      <c r="E433" s="29"/>
      <c r="F433" s="29"/>
      <c r="G433" s="29">
        <v>19</v>
      </c>
      <c r="H433" s="29">
        <v>12</v>
      </c>
      <c r="I433" s="29">
        <v>19</v>
      </c>
      <c r="J433" s="29">
        <v>29</v>
      </c>
      <c r="K433" s="29"/>
      <c r="L433" s="29">
        <v>10</v>
      </c>
      <c r="M433" s="29">
        <v>24</v>
      </c>
      <c r="N433" s="29">
        <v>40</v>
      </c>
      <c r="O433" s="29"/>
      <c r="P433" s="29"/>
      <c r="Q433" s="29"/>
      <c r="R433" s="29"/>
      <c r="S433" s="29">
        <v>10</v>
      </c>
      <c r="T433" s="29"/>
      <c r="U433" s="29"/>
      <c r="V433" s="12"/>
      <c r="W433" s="12"/>
      <c r="X433" s="12"/>
      <c r="Y433" s="12"/>
      <c r="Z433" s="12"/>
      <c r="AA433" s="12"/>
      <c r="AB433" s="29">
        <v>30</v>
      </c>
      <c r="AC433" s="12"/>
      <c r="AD433" s="12"/>
      <c r="AE433" s="29">
        <v>8</v>
      </c>
      <c r="AF433" s="12"/>
      <c r="AG433" s="12"/>
      <c r="AH433" s="12"/>
      <c r="AI433" s="29"/>
      <c r="AJ433" s="29"/>
      <c r="AK433" s="29"/>
      <c r="AL433" s="29"/>
      <c r="AM433" s="12"/>
      <c r="AN433" s="29"/>
      <c r="AO433" s="29"/>
      <c r="AP433" s="29"/>
      <c r="AQ433" s="29"/>
      <c r="AR433" s="29"/>
      <c r="AS433" s="29"/>
      <c r="AT433" s="29"/>
      <c r="AU433" s="29"/>
      <c r="AV433" s="29"/>
      <c r="AW433" s="29"/>
      <c r="AX433" s="29"/>
      <c r="AY433" s="29"/>
      <c r="AZ433" s="29"/>
      <c r="BA433" s="29"/>
    </row>
    <row r="434" spans="1:53" s="185" customFormat="1" ht="12.75" customHeight="1">
      <c r="A434" s="29" t="s">
        <v>882</v>
      </c>
      <c r="B434" s="29"/>
      <c r="C434" s="29"/>
      <c r="D434" s="29"/>
      <c r="E434" s="29"/>
      <c r="F434" s="29"/>
      <c r="G434" s="29">
        <v>19</v>
      </c>
      <c r="H434" s="29">
        <v>12</v>
      </c>
      <c r="I434" s="29">
        <v>19</v>
      </c>
      <c r="J434" s="29">
        <v>29</v>
      </c>
      <c r="K434" s="29"/>
      <c r="L434" s="29">
        <v>10</v>
      </c>
      <c r="M434" s="29">
        <v>24</v>
      </c>
      <c r="N434" s="29">
        <v>40</v>
      </c>
      <c r="O434" s="29"/>
      <c r="P434" s="29"/>
      <c r="Q434" s="29"/>
      <c r="R434" s="29"/>
      <c r="S434" s="29">
        <v>10</v>
      </c>
      <c r="T434" s="29"/>
      <c r="U434" s="29"/>
      <c r="V434" s="12"/>
      <c r="W434" s="12"/>
      <c r="X434" s="12"/>
      <c r="Y434" s="12"/>
      <c r="Z434" s="12"/>
      <c r="AA434" s="12"/>
      <c r="AB434" s="29">
        <v>30</v>
      </c>
      <c r="AC434" s="12"/>
      <c r="AD434" s="12"/>
      <c r="AF434" s="12"/>
      <c r="AG434" s="12"/>
      <c r="AH434" s="12">
        <v>0.05</v>
      </c>
      <c r="AI434" s="29"/>
      <c r="AJ434" s="29"/>
      <c r="AK434" s="29"/>
      <c r="AL434" s="29"/>
      <c r="AM434" s="12"/>
      <c r="AN434" s="29"/>
      <c r="AO434" s="29"/>
      <c r="AP434" s="29"/>
      <c r="AQ434" s="29"/>
      <c r="AR434" s="29"/>
      <c r="AS434" s="29"/>
      <c r="AT434" s="29"/>
      <c r="AU434" s="29"/>
      <c r="AV434" s="29"/>
      <c r="AW434" s="29"/>
      <c r="AX434" s="29"/>
      <c r="AY434" s="29"/>
      <c r="AZ434" s="29"/>
      <c r="BA434" s="29"/>
    </row>
    <row r="435" spans="1:53">
      <c r="A435" s="29" t="s">
        <v>834</v>
      </c>
      <c r="G435">
        <f>19</f>
        <v>19</v>
      </c>
      <c r="H435">
        <v>19</v>
      </c>
      <c r="I435">
        <v>19</v>
      </c>
      <c r="J435">
        <v>29</v>
      </c>
      <c r="L435">
        <v>10</v>
      </c>
      <c r="M435">
        <v>24</v>
      </c>
      <c r="N435">
        <f>10+15</f>
        <v>25</v>
      </c>
      <c r="S435">
        <v>21</v>
      </c>
      <c r="T435">
        <v>11</v>
      </c>
      <c r="V435" s="2"/>
      <c r="W435" s="2"/>
      <c r="X435" s="2">
        <v>0.01</v>
      </c>
      <c r="Y435" s="2"/>
      <c r="Z435" s="2"/>
      <c r="AA435" s="2"/>
      <c r="AB435" s="32">
        <v>31</v>
      </c>
      <c r="AC435" s="2"/>
      <c r="AD435" s="2"/>
      <c r="AE435" s="32"/>
      <c r="AF435" s="2"/>
      <c r="AG435" s="2"/>
      <c r="AH435" s="2"/>
      <c r="AL435" s="2"/>
    </row>
    <row r="436" spans="1:53">
      <c r="A436" s="29" t="s">
        <v>833</v>
      </c>
      <c r="G436">
        <f>19</f>
        <v>19</v>
      </c>
      <c r="H436">
        <v>12</v>
      </c>
      <c r="I436">
        <v>19</v>
      </c>
      <c r="J436">
        <v>29</v>
      </c>
      <c r="L436">
        <v>10</v>
      </c>
      <c r="M436">
        <v>24</v>
      </c>
      <c r="N436">
        <f>10+46</f>
        <v>56</v>
      </c>
      <c r="O436">
        <v>18</v>
      </c>
      <c r="S436">
        <v>10</v>
      </c>
      <c r="V436" s="2"/>
      <c r="W436" s="2"/>
      <c r="X436" s="2"/>
      <c r="Y436" s="2"/>
      <c r="Z436" s="2"/>
      <c r="AA436" s="2"/>
      <c r="AB436" s="32">
        <v>31</v>
      </c>
      <c r="AC436" s="2"/>
      <c r="AD436" s="2">
        <v>0.03</v>
      </c>
      <c r="AE436" s="32"/>
      <c r="AF436" s="2"/>
      <c r="AG436" s="2"/>
      <c r="AH436" s="2"/>
      <c r="AL436" s="2"/>
    </row>
    <row r="437" spans="1:53">
      <c r="A437" s="29" t="s">
        <v>866</v>
      </c>
      <c r="G437">
        <f>19+15</f>
        <v>34</v>
      </c>
      <c r="H437">
        <v>12</v>
      </c>
      <c r="I437">
        <v>19</v>
      </c>
      <c r="J437">
        <v>29</v>
      </c>
      <c r="L437">
        <v>10</v>
      </c>
      <c r="M437">
        <v>24</v>
      </c>
      <c r="N437">
        <f>10+20</f>
        <v>30</v>
      </c>
      <c r="O437">
        <v>20</v>
      </c>
      <c r="S437">
        <v>10</v>
      </c>
      <c r="V437" s="2"/>
      <c r="W437" s="2"/>
      <c r="X437" s="2"/>
      <c r="Y437" s="2"/>
      <c r="Z437" s="2"/>
      <c r="AA437" s="2"/>
      <c r="AB437" s="32">
        <v>31</v>
      </c>
      <c r="AC437" s="2"/>
      <c r="AD437" s="2"/>
      <c r="AE437" s="32"/>
      <c r="AF437" s="2"/>
      <c r="AG437" s="2"/>
      <c r="AH437" s="2">
        <v>0.05</v>
      </c>
      <c r="AL437" s="2"/>
    </row>
    <row r="438" spans="1:53">
      <c r="A438" s="29" t="s">
        <v>862</v>
      </c>
      <c r="G438">
        <v>26</v>
      </c>
      <c r="H438">
        <v>16</v>
      </c>
      <c r="I438">
        <v>26</v>
      </c>
      <c r="J438">
        <v>26</v>
      </c>
      <c r="L438">
        <v>15</v>
      </c>
      <c r="M438">
        <v>29</v>
      </c>
      <c r="N438">
        <v>36</v>
      </c>
      <c r="O438">
        <v>40</v>
      </c>
      <c r="V438" s="2"/>
      <c r="W438" s="2"/>
      <c r="X438" s="2"/>
      <c r="Y438" s="2"/>
      <c r="Z438" s="2"/>
      <c r="AA438" s="2"/>
      <c r="AB438" s="32">
        <v>11</v>
      </c>
      <c r="AC438" s="2"/>
      <c r="AD438" s="2"/>
      <c r="AE438" s="32"/>
      <c r="AF438" s="2"/>
      <c r="AG438" s="2"/>
      <c r="AH438" s="2">
        <v>0.06</v>
      </c>
      <c r="AL438" s="2"/>
    </row>
    <row r="439" spans="1:53">
      <c r="A439" s="29" t="s">
        <v>947</v>
      </c>
      <c r="G439">
        <v>29</v>
      </c>
      <c r="H439">
        <v>19</v>
      </c>
      <c r="I439">
        <v>29</v>
      </c>
      <c r="J439">
        <v>26</v>
      </c>
      <c r="L439">
        <v>18</v>
      </c>
      <c r="M439">
        <v>32</v>
      </c>
      <c r="N439">
        <v>42</v>
      </c>
      <c r="O439">
        <v>46</v>
      </c>
      <c r="V439" s="2"/>
      <c r="W439" s="2"/>
      <c r="X439" s="2"/>
      <c r="Y439" s="2"/>
      <c r="Z439" s="2"/>
      <c r="AA439" s="2"/>
      <c r="AB439" s="32">
        <v>11</v>
      </c>
      <c r="AC439" s="2"/>
      <c r="AD439" s="2"/>
      <c r="AE439" s="32"/>
      <c r="AF439" s="2"/>
      <c r="AG439" s="2"/>
      <c r="AH439" s="2">
        <v>7.0000000000000007E-2</v>
      </c>
      <c r="AL439" s="2"/>
    </row>
    <row r="440" spans="1:53">
      <c r="A440" s="29" t="s">
        <v>815</v>
      </c>
      <c r="G440">
        <v>17</v>
      </c>
      <c r="H440">
        <v>20</v>
      </c>
      <c r="I440">
        <v>17</v>
      </c>
      <c r="J440">
        <v>26</v>
      </c>
      <c r="L440">
        <v>6</v>
      </c>
      <c r="M440">
        <v>20</v>
      </c>
      <c r="N440">
        <v>12</v>
      </c>
      <c r="O440">
        <v>12</v>
      </c>
      <c r="V440" s="2"/>
      <c r="W440" s="2"/>
      <c r="X440" s="2"/>
      <c r="Y440" s="2"/>
      <c r="Z440" s="2"/>
      <c r="AA440" s="2"/>
      <c r="AB440" s="32">
        <v>31</v>
      </c>
      <c r="AC440" s="2"/>
      <c r="AD440" s="2">
        <v>0.04</v>
      </c>
      <c r="AE440" s="32">
        <v>5</v>
      </c>
      <c r="AF440" s="2"/>
      <c r="AG440" s="2"/>
      <c r="AH440" s="2"/>
      <c r="AL440" s="2"/>
    </row>
    <row r="441" spans="1:53" s="185" customFormat="1" ht="12.75" customHeight="1">
      <c r="A441" s="29" t="s">
        <v>877</v>
      </c>
      <c r="B441" s="29"/>
      <c r="C441" s="29"/>
      <c r="D441" s="29"/>
      <c r="E441" s="29"/>
      <c r="F441" s="29"/>
      <c r="G441" s="29">
        <v>17</v>
      </c>
      <c r="H441" s="29">
        <v>20</v>
      </c>
      <c r="I441" s="29">
        <v>17</v>
      </c>
      <c r="J441" s="29">
        <v>26</v>
      </c>
      <c r="K441" s="29"/>
      <c r="L441" s="29">
        <v>6</v>
      </c>
      <c r="M441" s="29">
        <v>20</v>
      </c>
      <c r="N441" s="29">
        <v>42</v>
      </c>
      <c r="O441" s="29">
        <v>12</v>
      </c>
      <c r="P441" s="29"/>
      <c r="Q441" s="29"/>
      <c r="R441" s="29"/>
      <c r="S441" s="29"/>
      <c r="T441" s="29"/>
      <c r="U441" s="29"/>
      <c r="V441" s="12">
        <v>0.05</v>
      </c>
      <c r="W441" s="29"/>
      <c r="X441" s="29"/>
      <c r="Y441" s="29"/>
      <c r="Z441" s="29"/>
      <c r="AA441" s="29"/>
      <c r="AB441" s="29">
        <v>30</v>
      </c>
      <c r="AC441" s="29"/>
      <c r="AD441" s="12">
        <v>0.04</v>
      </c>
      <c r="AE441" s="29">
        <v>5</v>
      </c>
      <c r="AF441" s="29"/>
      <c r="AH441" s="12"/>
      <c r="AI441" s="29"/>
      <c r="AJ441" s="29"/>
      <c r="AK441" s="29"/>
      <c r="AL441" s="29"/>
      <c r="AM441" s="29"/>
      <c r="AN441" s="29"/>
      <c r="AO441" s="29"/>
      <c r="AP441" s="29"/>
      <c r="AQ441" s="29"/>
      <c r="AR441" s="29"/>
      <c r="AS441" s="29"/>
      <c r="AT441" s="29"/>
      <c r="AU441" s="29"/>
      <c r="AV441" s="29"/>
      <c r="AW441" s="29"/>
      <c r="AX441" s="29"/>
      <c r="AY441" s="29"/>
      <c r="AZ441" s="29"/>
      <c r="BA441" s="29"/>
    </row>
    <row r="442" spans="1:53" s="185" customFormat="1" ht="12.75" customHeight="1">
      <c r="A442" s="29" t="s">
        <v>878</v>
      </c>
      <c r="B442" s="29"/>
      <c r="C442" s="29"/>
      <c r="D442" s="29"/>
      <c r="E442" s="29"/>
      <c r="F442" s="29"/>
      <c r="G442" s="29">
        <v>17</v>
      </c>
      <c r="H442" s="29">
        <v>20</v>
      </c>
      <c r="I442" s="29">
        <v>17</v>
      </c>
      <c r="J442" s="29">
        <v>26</v>
      </c>
      <c r="K442" s="29"/>
      <c r="L442" s="29">
        <v>6</v>
      </c>
      <c r="M442" s="29">
        <v>20</v>
      </c>
      <c r="N442" s="29">
        <v>42</v>
      </c>
      <c r="O442" s="29">
        <v>12</v>
      </c>
      <c r="P442" s="29"/>
      <c r="Q442" s="29"/>
      <c r="R442" s="29"/>
      <c r="S442" s="29"/>
      <c r="T442" s="29"/>
      <c r="U442" s="29"/>
      <c r="V442" s="29"/>
      <c r="W442" s="29"/>
      <c r="X442" s="29"/>
      <c r="Y442" s="29"/>
      <c r="Z442" s="29"/>
      <c r="AA442" s="29"/>
      <c r="AB442" s="29">
        <v>30</v>
      </c>
      <c r="AC442" s="29"/>
      <c r="AD442" s="12">
        <v>0.04</v>
      </c>
      <c r="AE442" s="29">
        <v>13</v>
      </c>
      <c r="AF442" s="29"/>
      <c r="AH442" s="12"/>
      <c r="AI442" s="29"/>
      <c r="AJ442" s="29"/>
      <c r="AK442" s="29"/>
      <c r="AL442" s="29"/>
      <c r="AM442" s="29"/>
      <c r="AN442" s="29"/>
      <c r="AO442" s="29"/>
      <c r="AP442" s="29"/>
      <c r="AQ442" s="29"/>
      <c r="AR442" s="29"/>
      <c r="AS442" s="29"/>
      <c r="AT442" s="29"/>
      <c r="AU442" s="29"/>
      <c r="AV442" s="29"/>
      <c r="AW442" s="29"/>
      <c r="AX442" s="29"/>
      <c r="AY442" s="29"/>
      <c r="AZ442" s="29"/>
      <c r="BA442" s="29"/>
    </row>
    <row r="443" spans="1:53" s="185" customFormat="1" ht="12.75" customHeight="1">
      <c r="A443" s="29" t="s">
        <v>879</v>
      </c>
      <c r="B443" s="29"/>
      <c r="C443" s="29"/>
      <c r="D443" s="29"/>
      <c r="E443" s="29"/>
      <c r="F443" s="29"/>
      <c r="G443" s="29">
        <v>17</v>
      </c>
      <c r="H443" s="29">
        <v>20</v>
      </c>
      <c r="I443" s="29">
        <v>17</v>
      </c>
      <c r="J443" s="29">
        <v>26</v>
      </c>
      <c r="K443" s="29"/>
      <c r="L443" s="29">
        <v>6</v>
      </c>
      <c r="M443" s="29">
        <v>20</v>
      </c>
      <c r="N443" s="29">
        <v>42</v>
      </c>
      <c r="O443" s="29">
        <v>12</v>
      </c>
      <c r="P443" s="29"/>
      <c r="Q443" s="29"/>
      <c r="R443" s="29"/>
      <c r="S443" s="29"/>
      <c r="T443" s="29"/>
      <c r="U443" s="29"/>
      <c r="V443" s="29"/>
      <c r="W443" s="29"/>
      <c r="X443" s="29"/>
      <c r="Y443" s="29"/>
      <c r="Z443" s="29"/>
      <c r="AA443" s="29"/>
      <c r="AB443" s="29">
        <v>30</v>
      </c>
      <c r="AC443" s="29"/>
      <c r="AD443" s="12">
        <v>0.04</v>
      </c>
      <c r="AE443" s="29">
        <v>5</v>
      </c>
      <c r="AF443" s="29"/>
      <c r="AH443" s="12">
        <v>0.05</v>
      </c>
      <c r="AI443" s="29"/>
      <c r="AJ443" s="29"/>
      <c r="AK443" s="29"/>
      <c r="AL443" s="29"/>
      <c r="AM443" s="29"/>
      <c r="AN443" s="29"/>
      <c r="AO443" s="29"/>
      <c r="AP443" s="29"/>
      <c r="AQ443" s="29"/>
      <c r="AR443" s="29"/>
      <c r="AS443" s="29"/>
      <c r="AT443" s="29"/>
      <c r="AU443" s="29"/>
      <c r="AV443" s="29"/>
      <c r="AW443" s="29"/>
      <c r="AX443" s="29"/>
      <c r="AY443" s="29"/>
      <c r="AZ443" s="29"/>
      <c r="BA443" s="29"/>
    </row>
    <row r="444" spans="1:53">
      <c r="A444" s="29" t="s">
        <v>871</v>
      </c>
      <c r="G444">
        <v>17</v>
      </c>
      <c r="H444">
        <v>20</v>
      </c>
      <c r="I444">
        <v>17</v>
      </c>
      <c r="J444">
        <v>26</v>
      </c>
      <c r="L444">
        <v>6</v>
      </c>
      <c r="M444">
        <v>20</v>
      </c>
      <c r="N444">
        <f>12+25</f>
        <v>37</v>
      </c>
      <c r="O444">
        <f>12+25</f>
        <v>37</v>
      </c>
      <c r="V444" s="2">
        <v>0.04</v>
      </c>
      <c r="W444" s="2"/>
      <c r="X444" s="2"/>
      <c r="Y444" s="2"/>
      <c r="Z444" s="2"/>
      <c r="AA444" s="2"/>
      <c r="AB444" s="32">
        <v>31</v>
      </c>
      <c r="AC444" s="2"/>
      <c r="AD444" s="2">
        <v>0.04</v>
      </c>
      <c r="AE444" s="42">
        <v>5</v>
      </c>
      <c r="AF444" s="2"/>
      <c r="AG444" s="2"/>
      <c r="AH444" s="2"/>
      <c r="AL444" s="2"/>
    </row>
    <row r="445" spans="1:53">
      <c r="A445" s="29" t="s">
        <v>889</v>
      </c>
      <c r="G445">
        <v>27</v>
      </c>
      <c r="H445">
        <v>20</v>
      </c>
      <c r="I445">
        <v>17</v>
      </c>
      <c r="J445">
        <v>26</v>
      </c>
      <c r="L445">
        <v>6</v>
      </c>
      <c r="M445">
        <v>20</v>
      </c>
      <c r="N445">
        <f>12+12</f>
        <v>24</v>
      </c>
      <c r="O445">
        <f>12+13</f>
        <v>25</v>
      </c>
      <c r="V445" s="2"/>
      <c r="W445" s="2"/>
      <c r="X445" s="2"/>
      <c r="Y445" s="2"/>
      <c r="Z445" s="2"/>
      <c r="AA445" s="2"/>
      <c r="AB445" s="32">
        <v>31</v>
      </c>
      <c r="AC445" s="2"/>
      <c r="AD445" s="2">
        <v>0.04</v>
      </c>
      <c r="AE445" s="32">
        <v>10</v>
      </c>
      <c r="AF445" s="2"/>
      <c r="AG445" s="2"/>
      <c r="AH445" s="2"/>
      <c r="AL445" s="2"/>
      <c r="AM445"/>
      <c r="AN445"/>
    </row>
    <row r="446" spans="1:53">
      <c r="A446" s="29" t="s">
        <v>939</v>
      </c>
      <c r="G446">
        <v>17</v>
      </c>
      <c r="H446">
        <v>35</v>
      </c>
      <c r="I446">
        <v>17</v>
      </c>
      <c r="J446">
        <v>26</v>
      </c>
      <c r="L446">
        <v>6</v>
      </c>
      <c r="M446">
        <v>20</v>
      </c>
      <c r="N446">
        <v>62</v>
      </c>
      <c r="O446">
        <v>62</v>
      </c>
      <c r="V446" s="2"/>
      <c r="W446" s="2">
        <v>0.03</v>
      </c>
      <c r="X446" s="2">
        <v>0.03</v>
      </c>
      <c r="Y446" s="2"/>
      <c r="Z446" s="2"/>
      <c r="AA446" s="2"/>
      <c r="AB446" s="32">
        <v>31</v>
      </c>
      <c r="AC446" s="2"/>
      <c r="AD446" s="2">
        <v>0.04</v>
      </c>
      <c r="AE446" s="32">
        <v>5</v>
      </c>
      <c r="AF446" s="2"/>
      <c r="AG446" s="2"/>
      <c r="AH446" s="2"/>
      <c r="AL446" s="2"/>
    </row>
    <row r="447" spans="1:53">
      <c r="A447" t="s">
        <v>598</v>
      </c>
      <c r="G447">
        <v>15</v>
      </c>
      <c r="H447">
        <v>17</v>
      </c>
      <c r="I447">
        <v>15</v>
      </c>
      <c r="J447">
        <v>32</v>
      </c>
      <c r="L447">
        <v>15</v>
      </c>
      <c r="M447">
        <v>26</v>
      </c>
      <c r="N447">
        <f>12+14</f>
        <v>26</v>
      </c>
      <c r="O447">
        <f>12+4</f>
        <v>16</v>
      </c>
      <c r="V447" s="2"/>
      <c r="W447" s="2"/>
      <c r="X447" s="2"/>
      <c r="Y447" s="2"/>
      <c r="Z447" s="2"/>
      <c r="AA447" s="2"/>
      <c r="AB447" s="32">
        <v>51</v>
      </c>
      <c r="AC447" s="2"/>
      <c r="AD447" s="2"/>
      <c r="AE447" s="32"/>
      <c r="AF447" s="2"/>
      <c r="AG447" s="2"/>
      <c r="AH447" s="2"/>
      <c r="AL447" s="2"/>
      <c r="AM447"/>
      <c r="AN447"/>
    </row>
    <row r="448" spans="1:53">
      <c r="AC448" s="2"/>
      <c r="AD448" s="2"/>
      <c r="AE448" s="32"/>
      <c r="AF448" s="2"/>
      <c r="AG448" s="2"/>
      <c r="AH448" s="2"/>
      <c r="AL448" s="2"/>
      <c r="AM448"/>
      <c r="AN448"/>
    </row>
    <row r="453" spans="29:40">
      <c r="AC453" s="2"/>
      <c r="AD453" s="2"/>
      <c r="AF453" s="2"/>
      <c r="AG453" s="2"/>
      <c r="AH453" s="2"/>
      <c r="AL453" s="2"/>
      <c r="AM453"/>
      <c r="AN453"/>
    </row>
  </sheetData>
  <sortState ref="A292:BP293">
    <sortCondition ref="A292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7" enableFormatConditionsCalculation="0">
    <tabColor indexed="46"/>
  </sheetPr>
  <dimension ref="A2:U185"/>
  <sheetViews>
    <sheetView topLeftCell="A145" workbookViewId="0">
      <selection activeCell="A174" sqref="A174:XFD176"/>
    </sheetView>
  </sheetViews>
  <sheetFormatPr defaultRowHeight="12.75"/>
  <cols>
    <col min="1" max="1" width="23.140625" customWidth="1"/>
    <col min="2" max="2" width="13.28515625" customWidth="1"/>
    <col min="3" max="3" width="11.7109375" customWidth="1"/>
    <col min="4" max="4" width="12.140625" customWidth="1"/>
    <col min="5" max="5" width="12.5703125" customWidth="1"/>
    <col min="6" max="6" width="12.28515625" customWidth="1"/>
    <col min="7" max="7" width="12.140625" customWidth="1"/>
    <col min="9" max="9" width="9.28515625" customWidth="1"/>
    <col min="10" max="10" width="12.42578125" customWidth="1"/>
  </cols>
  <sheetData>
    <row r="2" spans="1:17">
      <c r="A2" t="s">
        <v>80</v>
      </c>
      <c r="B2" t="s">
        <v>218</v>
      </c>
      <c r="C2" t="s">
        <v>569</v>
      </c>
      <c r="D2" t="s">
        <v>570</v>
      </c>
      <c r="E2" t="s">
        <v>3</v>
      </c>
      <c r="F2" t="s">
        <v>4</v>
      </c>
      <c r="G2" t="s">
        <v>42</v>
      </c>
      <c r="H2" t="s">
        <v>5</v>
      </c>
      <c r="I2" t="s">
        <v>182</v>
      </c>
      <c r="J2" t="s">
        <v>183</v>
      </c>
      <c r="K2" t="s">
        <v>13</v>
      </c>
      <c r="L2" t="s">
        <v>81</v>
      </c>
      <c r="M2" t="s">
        <v>82</v>
      </c>
      <c r="N2" t="s">
        <v>83</v>
      </c>
      <c r="O2" t="s">
        <v>84</v>
      </c>
      <c r="P2" t="s">
        <v>85</v>
      </c>
      <c r="Q2" t="s">
        <v>86</v>
      </c>
    </row>
    <row r="3" spans="1:17">
      <c r="A3" t="s">
        <v>53</v>
      </c>
      <c r="L3" s="2"/>
      <c r="O3" s="2"/>
    </row>
    <row r="4" spans="1:17">
      <c r="A4" t="s">
        <v>96</v>
      </c>
      <c r="L4" s="2">
        <v>0.2</v>
      </c>
      <c r="M4">
        <v>50</v>
      </c>
      <c r="O4" s="2">
        <v>0.1</v>
      </c>
      <c r="P4">
        <v>48</v>
      </c>
    </row>
    <row r="5" spans="1:17">
      <c r="A5" t="s">
        <v>97</v>
      </c>
      <c r="L5" s="2">
        <v>0.21</v>
      </c>
      <c r="M5">
        <v>55</v>
      </c>
      <c r="O5" s="2">
        <v>0.11</v>
      </c>
      <c r="P5">
        <v>52</v>
      </c>
    </row>
    <row r="6" spans="1:17">
      <c r="A6" t="s">
        <v>93</v>
      </c>
      <c r="F6">
        <v>6</v>
      </c>
      <c r="H6">
        <v>5</v>
      </c>
      <c r="L6" s="2"/>
      <c r="O6" s="2">
        <v>0.16</v>
      </c>
      <c r="P6">
        <v>76</v>
      </c>
    </row>
    <row r="7" spans="1:17">
      <c r="A7" t="s">
        <v>94</v>
      </c>
      <c r="L7" s="2"/>
      <c r="O7" s="2">
        <v>0.13</v>
      </c>
      <c r="P7">
        <v>62</v>
      </c>
    </row>
    <row r="8" spans="1:17">
      <c r="A8" t="s">
        <v>92</v>
      </c>
      <c r="E8">
        <v>5</v>
      </c>
      <c r="F8">
        <v>6</v>
      </c>
      <c r="L8" s="2"/>
      <c r="O8" s="2">
        <v>0.15</v>
      </c>
      <c r="P8">
        <v>72</v>
      </c>
    </row>
    <row r="9" spans="1:17">
      <c r="A9" t="s">
        <v>98</v>
      </c>
      <c r="F9">
        <v>6</v>
      </c>
      <c r="L9" s="2"/>
      <c r="O9" s="2">
        <v>0.15</v>
      </c>
      <c r="P9">
        <v>72</v>
      </c>
    </row>
    <row r="10" spans="1:17">
      <c r="A10" t="s">
        <v>817</v>
      </c>
      <c r="E10">
        <v>6</v>
      </c>
      <c r="F10">
        <v>7</v>
      </c>
      <c r="I10">
        <v>-3</v>
      </c>
      <c r="L10" s="2"/>
      <c r="O10" s="2">
        <v>0.1</v>
      </c>
      <c r="P10">
        <v>100</v>
      </c>
    </row>
    <row r="11" spans="1:17">
      <c r="A11" t="s">
        <v>91</v>
      </c>
      <c r="E11">
        <v>6</v>
      </c>
      <c r="I11">
        <v>-3</v>
      </c>
      <c r="L11" s="2">
        <v>0.18</v>
      </c>
      <c r="M11">
        <v>90</v>
      </c>
      <c r="O11" s="2"/>
    </row>
    <row r="12" spans="1:17">
      <c r="A12" t="s">
        <v>713</v>
      </c>
      <c r="C12" s="29"/>
      <c r="D12" s="29"/>
      <c r="E12" s="29">
        <v>8</v>
      </c>
      <c r="K12" s="29"/>
      <c r="L12" s="12">
        <v>0.23</v>
      </c>
      <c r="M12" s="29">
        <v>180</v>
      </c>
    </row>
    <row r="13" spans="1:17">
      <c r="A13" t="s">
        <v>714</v>
      </c>
      <c r="C13" s="29"/>
      <c r="D13" s="29"/>
      <c r="E13" s="29">
        <v>7</v>
      </c>
      <c r="K13" s="29">
        <v>-10</v>
      </c>
      <c r="L13" s="12">
        <v>0.17</v>
      </c>
      <c r="M13" s="29">
        <v>110</v>
      </c>
    </row>
    <row r="14" spans="1:17">
      <c r="A14" t="s">
        <v>715</v>
      </c>
      <c r="C14" s="29"/>
      <c r="D14" s="29"/>
      <c r="E14" s="29">
        <v>8</v>
      </c>
      <c r="K14" s="29"/>
      <c r="L14" s="12">
        <v>0.23499999999999999</v>
      </c>
      <c r="M14" s="29">
        <v>175</v>
      </c>
    </row>
    <row r="15" spans="1:17">
      <c r="A15" t="s">
        <v>146</v>
      </c>
      <c r="C15" s="2">
        <v>0.14000000000000001</v>
      </c>
      <c r="D15">
        <v>175</v>
      </c>
      <c r="E15">
        <v>4</v>
      </c>
      <c r="H15">
        <v>2</v>
      </c>
      <c r="I15">
        <v>-3</v>
      </c>
      <c r="K15">
        <v>6</v>
      </c>
      <c r="L15" s="2">
        <v>0.18</v>
      </c>
      <c r="M15">
        <v>65</v>
      </c>
      <c r="O15" s="2"/>
    </row>
    <row r="16" spans="1:17">
      <c r="A16" t="s">
        <v>571</v>
      </c>
      <c r="C16" s="2">
        <v>0.12</v>
      </c>
      <c r="D16">
        <v>150</v>
      </c>
      <c r="E16">
        <v>5</v>
      </c>
      <c r="H16">
        <v>2</v>
      </c>
      <c r="I16">
        <v>-7</v>
      </c>
      <c r="K16">
        <v>5</v>
      </c>
      <c r="L16" s="2">
        <v>0.22500000000000001</v>
      </c>
      <c r="M16">
        <v>120</v>
      </c>
      <c r="O16" s="2"/>
    </row>
    <row r="17" spans="1:15">
      <c r="A17" t="s">
        <v>87</v>
      </c>
      <c r="E17">
        <v>5</v>
      </c>
      <c r="I17">
        <v>-2</v>
      </c>
      <c r="L17" s="2">
        <v>0.22</v>
      </c>
      <c r="M17">
        <v>60</v>
      </c>
      <c r="O17" s="2"/>
    </row>
    <row r="18" spans="1:15">
      <c r="A18" t="s">
        <v>88</v>
      </c>
      <c r="E18">
        <v>5</v>
      </c>
      <c r="I18">
        <v>-2</v>
      </c>
      <c r="L18" s="2">
        <v>0.22</v>
      </c>
      <c r="M18">
        <v>65</v>
      </c>
      <c r="O18" s="2"/>
    </row>
    <row r="19" spans="1:15">
      <c r="A19" t="s">
        <v>90</v>
      </c>
      <c r="E19">
        <v>5</v>
      </c>
      <c r="I19">
        <v>-2</v>
      </c>
      <c r="L19" s="2">
        <v>0.2</v>
      </c>
      <c r="M19">
        <v>75</v>
      </c>
      <c r="O19" s="2"/>
    </row>
    <row r="20" spans="1:15">
      <c r="A20" t="s">
        <v>89</v>
      </c>
      <c r="E20">
        <v>5</v>
      </c>
      <c r="I20">
        <v>-2</v>
      </c>
      <c r="L20" s="2">
        <v>0.22</v>
      </c>
      <c r="M20">
        <v>80</v>
      </c>
      <c r="O20" s="2"/>
    </row>
    <row r="21" spans="1:15">
      <c r="A21" t="s">
        <v>95</v>
      </c>
      <c r="E21">
        <v>5</v>
      </c>
      <c r="I21">
        <v>-4</v>
      </c>
      <c r="L21" s="2">
        <v>0.23</v>
      </c>
      <c r="M21">
        <v>75</v>
      </c>
      <c r="O21" s="2"/>
    </row>
    <row r="22" spans="1:15">
      <c r="A22" t="s">
        <v>110</v>
      </c>
      <c r="E22">
        <v>5</v>
      </c>
      <c r="I22">
        <v>-4</v>
      </c>
      <c r="L22" s="2">
        <v>0.2</v>
      </c>
      <c r="M22">
        <v>85</v>
      </c>
      <c r="O22" s="2"/>
    </row>
    <row r="23" spans="1:15">
      <c r="A23" t="s">
        <v>111</v>
      </c>
      <c r="E23">
        <v>5</v>
      </c>
      <c r="I23">
        <v>-2</v>
      </c>
      <c r="L23" s="2">
        <v>0.23</v>
      </c>
      <c r="M23">
        <v>90</v>
      </c>
      <c r="O23" s="2"/>
    </row>
    <row r="24" spans="1:15">
      <c r="A24" t="s">
        <v>109</v>
      </c>
      <c r="E24">
        <v>7</v>
      </c>
      <c r="I24">
        <v>-2</v>
      </c>
      <c r="L24" s="2">
        <v>0.247</v>
      </c>
      <c r="M24">
        <v>150</v>
      </c>
      <c r="O24" s="2"/>
    </row>
    <row r="27" spans="1:15">
      <c r="A27" s="14" t="s">
        <v>175</v>
      </c>
    </row>
    <row r="28" spans="1:15">
      <c r="A28" t="s">
        <v>173</v>
      </c>
    </row>
    <row r="29" spans="1:15">
      <c r="A29" s="29" t="s">
        <v>726</v>
      </c>
    </row>
    <row r="30" spans="1:15">
      <c r="A30" s="29" t="s">
        <v>727</v>
      </c>
    </row>
    <row r="31" spans="1:15">
      <c r="A31" t="s">
        <v>213</v>
      </c>
    </row>
    <row r="32" spans="1:15">
      <c r="A32" t="s">
        <v>174</v>
      </c>
    </row>
    <row r="33" spans="1:1">
      <c r="A33" t="s">
        <v>214</v>
      </c>
    </row>
    <row r="34" spans="1:1">
      <c r="A34" t="s">
        <v>408</v>
      </c>
    </row>
    <row r="36" spans="1:1">
      <c r="A36" s="14" t="s">
        <v>176</v>
      </c>
    </row>
    <row r="37" spans="1:1">
      <c r="A37" t="s">
        <v>177</v>
      </c>
    </row>
    <row r="38" spans="1:1">
      <c r="A38" t="s">
        <v>178</v>
      </c>
    </row>
    <row r="39" spans="1:1">
      <c r="A39" s="29" t="s">
        <v>192</v>
      </c>
    </row>
    <row r="40" spans="1:1">
      <c r="A40" s="29" t="s">
        <v>729</v>
      </c>
    </row>
    <row r="41" spans="1:1">
      <c r="A41" t="s">
        <v>376</v>
      </c>
    </row>
    <row r="43" spans="1:1">
      <c r="A43" s="14" t="s">
        <v>179</v>
      </c>
    </row>
    <row r="44" spans="1:1">
      <c r="A44" t="s">
        <v>180</v>
      </c>
    </row>
    <row r="45" spans="1:1">
      <c r="A45" t="s">
        <v>928</v>
      </c>
    </row>
    <row r="46" spans="1:1">
      <c r="A46" s="29" t="s">
        <v>786</v>
      </c>
    </row>
    <row r="47" spans="1:1">
      <c r="A47" s="29" t="s">
        <v>725</v>
      </c>
    </row>
    <row r="49" spans="1:2">
      <c r="A49" s="14" t="s">
        <v>181</v>
      </c>
    </row>
    <row r="50" spans="1:2">
      <c r="A50" t="s">
        <v>411</v>
      </c>
    </row>
    <row r="52" spans="1:2">
      <c r="A52" s="14" t="s">
        <v>167</v>
      </c>
    </row>
    <row r="53" spans="1:2">
      <c r="A53" s="20" t="s">
        <v>168</v>
      </c>
    </row>
    <row r="54" spans="1:2">
      <c r="A54" s="20" t="s">
        <v>169</v>
      </c>
    </row>
    <row r="55" spans="1:2">
      <c r="A55" s="20" t="s">
        <v>170</v>
      </c>
    </row>
    <row r="56" spans="1:2">
      <c r="A56" s="20" t="s">
        <v>171</v>
      </c>
    </row>
    <row r="58" spans="1:2">
      <c r="A58" s="22" t="s">
        <v>615</v>
      </c>
    </row>
    <row r="59" spans="1:2">
      <c r="A59" s="29" t="s">
        <v>168</v>
      </c>
      <c r="B59" s="29" t="s">
        <v>620</v>
      </c>
    </row>
    <row r="60" spans="1:2">
      <c r="A60" s="29" t="s">
        <v>616</v>
      </c>
      <c r="B60" s="29" t="s">
        <v>620</v>
      </c>
    </row>
    <row r="61" spans="1:2">
      <c r="A61" s="29" t="s">
        <v>617</v>
      </c>
      <c r="B61" s="29" t="s">
        <v>620</v>
      </c>
    </row>
    <row r="62" spans="1:2">
      <c r="A62" s="29" t="s">
        <v>170</v>
      </c>
      <c r="B62" s="29" t="s">
        <v>621</v>
      </c>
    </row>
    <row r="64" spans="1:2">
      <c r="A64" s="22" t="s">
        <v>618</v>
      </c>
    </row>
    <row r="65" spans="1:20">
      <c r="A65" s="29" t="s">
        <v>137</v>
      </c>
    </row>
    <row r="66" spans="1:20">
      <c r="A66" s="29"/>
    </row>
    <row r="67" spans="1:20">
      <c r="A67" s="22" t="s">
        <v>619</v>
      </c>
    </row>
    <row r="68" spans="1:20">
      <c r="A68" s="29" t="s">
        <v>170</v>
      </c>
    </row>
    <row r="70" spans="1:20">
      <c r="A70" s="22" t="s">
        <v>622</v>
      </c>
    </row>
    <row r="71" spans="1:20">
      <c r="A71" s="29" t="s">
        <v>168</v>
      </c>
      <c r="B71" t="s">
        <v>492</v>
      </c>
      <c r="C71">
        <v>276</v>
      </c>
      <c r="D71">
        <f>Setup!B20</f>
        <v>16</v>
      </c>
    </row>
    <row r="72" spans="1:20">
      <c r="A72" s="29" t="s">
        <v>616</v>
      </c>
      <c r="B72" t="s">
        <v>489</v>
      </c>
      <c r="C72">
        <v>269</v>
      </c>
      <c r="D72">
        <f>Setup!B21</f>
        <v>16</v>
      </c>
    </row>
    <row r="73" spans="1:20">
      <c r="A73" s="29" t="s">
        <v>617</v>
      </c>
      <c r="B73" t="s">
        <v>490</v>
      </c>
      <c r="C73">
        <v>240</v>
      </c>
      <c r="D73">
        <f>Setup!B22</f>
        <v>16</v>
      </c>
    </row>
    <row r="74" spans="1:20">
      <c r="A74" s="29" t="s">
        <v>170</v>
      </c>
      <c r="B74" t="s">
        <v>491</v>
      </c>
      <c r="C74">
        <v>240</v>
      </c>
      <c r="D74">
        <f>Setup!B23</f>
        <v>16</v>
      </c>
    </row>
    <row r="75" spans="1:20">
      <c r="A75" s="29" t="s">
        <v>137</v>
      </c>
      <c r="B75" s="29" t="s">
        <v>53</v>
      </c>
      <c r="C75">
        <v>0</v>
      </c>
      <c r="D75">
        <v>0</v>
      </c>
    </row>
    <row r="77" spans="1:20">
      <c r="A77" s="14" t="s">
        <v>410</v>
      </c>
      <c r="B77" s="14" t="s">
        <v>187</v>
      </c>
      <c r="C77" s="14" t="s">
        <v>466</v>
      </c>
      <c r="D77" s="14" t="s">
        <v>467</v>
      </c>
      <c r="E77" s="14" t="s">
        <v>468</v>
      </c>
      <c r="F77" s="14" t="s">
        <v>469</v>
      </c>
      <c r="G77" s="14" t="s">
        <v>470</v>
      </c>
      <c r="H77" s="17" t="s">
        <v>471</v>
      </c>
      <c r="I77" s="14" t="s">
        <v>472</v>
      </c>
      <c r="J77" s="14" t="s">
        <v>473</v>
      </c>
      <c r="K77" s="21" t="s">
        <v>474</v>
      </c>
      <c r="L77" s="14" t="s">
        <v>287</v>
      </c>
      <c r="M77" s="14" t="s">
        <v>475</v>
      </c>
      <c r="N77" s="14" t="s">
        <v>476</v>
      </c>
      <c r="O77" s="21" t="s">
        <v>477</v>
      </c>
      <c r="P77" s="21" t="s">
        <v>478</v>
      </c>
      <c r="Q77" s="21" t="s">
        <v>479</v>
      </c>
      <c r="R77" s="21" t="s">
        <v>486</v>
      </c>
      <c r="S77" s="21" t="s">
        <v>487</v>
      </c>
      <c r="T77" s="21" t="s">
        <v>488</v>
      </c>
    </row>
    <row r="78" spans="1:20">
      <c r="A78" t="s">
        <v>173</v>
      </c>
      <c r="B78">
        <v>0</v>
      </c>
      <c r="C78">
        <v>3</v>
      </c>
      <c r="D78" t="s">
        <v>3</v>
      </c>
      <c r="E78" s="2">
        <v>0.3</v>
      </c>
      <c r="F78" s="20" t="s">
        <v>183</v>
      </c>
      <c r="G78" s="40">
        <v>0.5</v>
      </c>
      <c r="H78" s="86">
        <v>0.875</v>
      </c>
      <c r="I78" s="86">
        <v>0.875</v>
      </c>
      <c r="J78" s="86">
        <v>0.875</v>
      </c>
      <c r="K78" s="116">
        <v>0</v>
      </c>
      <c r="L78" s="2">
        <v>0</v>
      </c>
      <c r="M78" s="2">
        <v>0</v>
      </c>
      <c r="N78" s="2">
        <v>0</v>
      </c>
      <c r="O78" s="2">
        <v>0</v>
      </c>
      <c r="P78" s="2">
        <v>0</v>
      </c>
      <c r="Q78" s="2">
        <v>0</v>
      </c>
      <c r="R78" s="2">
        <v>0</v>
      </c>
      <c r="S78" s="2">
        <v>0</v>
      </c>
      <c r="T78" s="2">
        <v>0</v>
      </c>
    </row>
    <row r="79" spans="1:20">
      <c r="A79" s="29" t="s">
        <v>726</v>
      </c>
      <c r="B79">
        <v>0</v>
      </c>
      <c r="C79">
        <v>1</v>
      </c>
      <c r="D79" t="s">
        <v>3</v>
      </c>
      <c r="E79" s="2">
        <v>0.6</v>
      </c>
      <c r="F79" s="20" t="s">
        <v>183</v>
      </c>
      <c r="G79" s="40">
        <v>0.6</v>
      </c>
      <c r="H79" s="86">
        <v>2</v>
      </c>
      <c r="I79" s="86">
        <v>4</v>
      </c>
      <c r="J79" s="86">
        <v>7</v>
      </c>
      <c r="K79" s="116">
        <v>0</v>
      </c>
      <c r="L79" s="2">
        <v>0</v>
      </c>
      <c r="M79" s="2">
        <v>0</v>
      </c>
      <c r="N79" s="2">
        <v>0</v>
      </c>
      <c r="O79" s="2">
        <v>0</v>
      </c>
      <c r="P79" s="2">
        <v>0</v>
      </c>
      <c r="Q79" s="2">
        <v>0</v>
      </c>
      <c r="R79" s="2">
        <v>0</v>
      </c>
      <c r="S79" s="2">
        <v>0</v>
      </c>
      <c r="T79" s="2">
        <v>0</v>
      </c>
    </row>
    <row r="80" spans="1:20">
      <c r="A80" s="29" t="s">
        <v>727</v>
      </c>
      <c r="B80">
        <v>0</v>
      </c>
      <c r="C80">
        <v>0</v>
      </c>
      <c r="D80" t="s">
        <v>3</v>
      </c>
      <c r="E80" s="2">
        <v>0.5</v>
      </c>
      <c r="F80" s="154" t="s">
        <v>182</v>
      </c>
      <c r="G80" s="40">
        <v>0.5</v>
      </c>
      <c r="H80" s="86">
        <v>1.375</v>
      </c>
      <c r="I80" s="86">
        <v>2.75</v>
      </c>
      <c r="J80" s="86">
        <v>4.75</v>
      </c>
      <c r="K80" s="116">
        <v>0</v>
      </c>
      <c r="L80" s="2">
        <v>0</v>
      </c>
      <c r="M80" s="2">
        <v>0</v>
      </c>
      <c r="N80" s="2">
        <v>0</v>
      </c>
      <c r="O80" s="2">
        <v>0</v>
      </c>
      <c r="P80" s="2">
        <v>0</v>
      </c>
      <c r="Q80" s="2">
        <v>0</v>
      </c>
      <c r="R80" s="2">
        <v>0</v>
      </c>
      <c r="S80" s="2">
        <v>0</v>
      </c>
      <c r="T80" s="2">
        <v>0</v>
      </c>
    </row>
    <row r="81" spans="1:20">
      <c r="A81" t="s">
        <v>213</v>
      </c>
      <c r="B81">
        <v>0</v>
      </c>
      <c r="C81">
        <v>0</v>
      </c>
      <c r="D81" s="29" t="s">
        <v>3</v>
      </c>
      <c r="E81" s="2">
        <v>0.4</v>
      </c>
      <c r="F81" s="154" t="s">
        <v>182</v>
      </c>
      <c r="G81" s="40">
        <v>0.4</v>
      </c>
      <c r="H81" s="86">
        <v>2.75</v>
      </c>
      <c r="I81" s="86">
        <v>2.75</v>
      </c>
      <c r="J81" s="86">
        <v>2.75</v>
      </c>
      <c r="K81" s="116">
        <v>0</v>
      </c>
      <c r="L81" s="2">
        <v>0</v>
      </c>
      <c r="M81" s="2">
        <v>0</v>
      </c>
      <c r="N81" s="2">
        <v>0</v>
      </c>
      <c r="O81" s="2">
        <v>0</v>
      </c>
      <c r="P81" s="2">
        <v>0</v>
      </c>
      <c r="Q81" s="2">
        <v>0</v>
      </c>
      <c r="R81" s="2">
        <v>0</v>
      </c>
      <c r="S81" s="2">
        <v>0</v>
      </c>
      <c r="T81" s="2">
        <v>0</v>
      </c>
    </row>
    <row r="82" spans="1:20">
      <c r="A82" t="s">
        <v>174</v>
      </c>
      <c r="B82">
        <v>0</v>
      </c>
      <c r="C82">
        <v>3</v>
      </c>
      <c r="D82" t="s">
        <v>3</v>
      </c>
      <c r="E82" s="2">
        <v>0.2</v>
      </c>
      <c r="F82" s="20" t="s">
        <v>182</v>
      </c>
      <c r="G82" s="40">
        <v>0.2</v>
      </c>
      <c r="H82" s="86">
        <v>0.5</v>
      </c>
      <c r="I82" s="86">
        <v>3.25</v>
      </c>
      <c r="J82" s="86">
        <v>6</v>
      </c>
      <c r="K82" s="116">
        <v>0</v>
      </c>
      <c r="L82" s="2">
        <v>0</v>
      </c>
      <c r="M82" s="2">
        <v>0</v>
      </c>
      <c r="N82" s="2">
        <v>0</v>
      </c>
      <c r="O82" s="2">
        <v>0</v>
      </c>
      <c r="P82" s="2">
        <v>0</v>
      </c>
      <c r="Q82" s="2">
        <v>0</v>
      </c>
      <c r="R82" s="2">
        <v>0</v>
      </c>
      <c r="S82" s="2">
        <v>0</v>
      </c>
      <c r="T82" s="2">
        <v>0</v>
      </c>
    </row>
    <row r="83" spans="1:20">
      <c r="A83" t="s">
        <v>214</v>
      </c>
      <c r="B83">
        <v>0</v>
      </c>
      <c r="C83">
        <v>0</v>
      </c>
      <c r="D83" t="s">
        <v>3</v>
      </c>
      <c r="E83" s="2">
        <v>0.6</v>
      </c>
      <c r="F83" s="20" t="s">
        <v>183</v>
      </c>
      <c r="G83" s="40">
        <v>0.6</v>
      </c>
      <c r="H83" s="117">
        <v>3</v>
      </c>
      <c r="I83" s="16">
        <v>3</v>
      </c>
      <c r="J83" s="16">
        <v>3</v>
      </c>
      <c r="K83" s="116">
        <v>0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  <c r="R83" s="2">
        <v>0.1</v>
      </c>
      <c r="S83" s="2">
        <v>0.3</v>
      </c>
      <c r="T83" s="2">
        <v>0.5</v>
      </c>
    </row>
    <row r="84" spans="1:20">
      <c r="A84" t="s">
        <v>408</v>
      </c>
      <c r="B84">
        <v>0</v>
      </c>
      <c r="C84">
        <v>3</v>
      </c>
      <c r="D84" t="s">
        <v>182</v>
      </c>
      <c r="E84" s="2">
        <f>IF(Setup!B25&gt;0, 70% + 3% *Setup!B25, 0)</f>
        <v>0.85</v>
      </c>
      <c r="F84" s="20" t="s">
        <v>463</v>
      </c>
      <c r="G84" s="40">
        <v>0</v>
      </c>
      <c r="H84" s="86">
        <v>0.75</v>
      </c>
      <c r="I84" s="86">
        <v>1.25</v>
      </c>
      <c r="J84" s="86">
        <v>2</v>
      </c>
      <c r="K84" s="116">
        <v>1</v>
      </c>
      <c r="L84" s="2">
        <v>0</v>
      </c>
      <c r="M84" s="2">
        <v>0</v>
      </c>
      <c r="N84" s="2">
        <v>0</v>
      </c>
      <c r="O84" s="2">
        <v>0</v>
      </c>
      <c r="P84" s="2">
        <v>0</v>
      </c>
      <c r="Q84" s="2">
        <v>0</v>
      </c>
      <c r="R84" s="2">
        <v>0</v>
      </c>
      <c r="S84" s="2">
        <v>0</v>
      </c>
      <c r="T84" s="2">
        <v>0</v>
      </c>
    </row>
    <row r="85" spans="1:20">
      <c r="A85" t="s">
        <v>177</v>
      </c>
      <c r="B85">
        <v>0</v>
      </c>
      <c r="C85">
        <v>0</v>
      </c>
      <c r="D85" t="s">
        <v>3</v>
      </c>
      <c r="E85" s="2">
        <v>0.3</v>
      </c>
      <c r="F85" s="26" t="s">
        <v>182</v>
      </c>
      <c r="G85" s="40">
        <v>0.3</v>
      </c>
      <c r="H85" s="3">
        <v>2.5</v>
      </c>
      <c r="I85" s="3">
        <v>3.5</v>
      </c>
      <c r="J85" s="3">
        <v>4.5</v>
      </c>
      <c r="K85" s="116">
        <v>0</v>
      </c>
      <c r="L85" s="2">
        <v>0.5</v>
      </c>
      <c r="M85" s="2">
        <v>0</v>
      </c>
      <c r="N85" s="2">
        <v>0</v>
      </c>
      <c r="O85" s="2">
        <v>0</v>
      </c>
      <c r="P85" s="2">
        <v>0</v>
      </c>
      <c r="Q85" s="2">
        <v>0</v>
      </c>
      <c r="R85" s="2">
        <v>0</v>
      </c>
      <c r="S85" s="2">
        <v>0</v>
      </c>
      <c r="T85" s="2">
        <v>0</v>
      </c>
    </row>
    <row r="86" spans="1:20">
      <c r="A86" t="s">
        <v>178</v>
      </c>
      <c r="B86">
        <v>0</v>
      </c>
      <c r="C86">
        <v>0</v>
      </c>
      <c r="D86" t="s">
        <v>3</v>
      </c>
      <c r="E86" s="2">
        <v>0.5</v>
      </c>
      <c r="F86" s="20" t="s">
        <v>182</v>
      </c>
      <c r="G86" s="40">
        <v>0.5</v>
      </c>
      <c r="H86" s="86">
        <v>1.5</v>
      </c>
      <c r="I86" s="86">
        <v>2.5</v>
      </c>
      <c r="J86" s="86">
        <v>3.5</v>
      </c>
      <c r="K86" s="116">
        <v>0</v>
      </c>
      <c r="L86" s="2">
        <v>0.75</v>
      </c>
      <c r="M86" s="2">
        <v>0</v>
      </c>
      <c r="N86" s="2">
        <v>0</v>
      </c>
      <c r="O86" s="2">
        <v>0</v>
      </c>
      <c r="P86" s="2">
        <v>0</v>
      </c>
      <c r="Q86" s="2">
        <v>0</v>
      </c>
      <c r="R86" s="2">
        <v>0</v>
      </c>
      <c r="S86" s="2">
        <v>0</v>
      </c>
      <c r="T86" s="2">
        <v>0</v>
      </c>
    </row>
    <row r="87" spans="1:20">
      <c r="A87" s="29" t="s">
        <v>729</v>
      </c>
      <c r="B87">
        <v>0</v>
      </c>
      <c r="C87">
        <v>0</v>
      </c>
      <c r="D87" s="29" t="s">
        <v>3</v>
      </c>
      <c r="E87" s="2">
        <v>0.4</v>
      </c>
      <c r="F87" s="25" t="s">
        <v>5</v>
      </c>
      <c r="G87" s="40">
        <v>0.4</v>
      </c>
      <c r="H87" s="3">
        <v>3</v>
      </c>
      <c r="I87" s="3">
        <v>3</v>
      </c>
      <c r="J87" s="3">
        <v>3</v>
      </c>
      <c r="K87" s="116">
        <v>0</v>
      </c>
      <c r="L87" s="2">
        <v>0</v>
      </c>
      <c r="M87" s="2">
        <v>0</v>
      </c>
      <c r="N87" s="2">
        <v>0</v>
      </c>
      <c r="O87" s="2">
        <v>0</v>
      </c>
      <c r="P87" s="2">
        <v>0</v>
      </c>
      <c r="Q87" s="2">
        <v>0</v>
      </c>
      <c r="R87" s="2">
        <v>0</v>
      </c>
      <c r="S87" s="2">
        <v>0</v>
      </c>
      <c r="T87" s="2">
        <v>0</v>
      </c>
    </row>
    <row r="88" spans="1:20">
      <c r="A88" s="29" t="s">
        <v>192</v>
      </c>
      <c r="B88">
        <v>0</v>
      </c>
      <c r="C88">
        <v>0</v>
      </c>
      <c r="D88" t="s">
        <v>5</v>
      </c>
      <c r="E88" s="2">
        <v>0.8</v>
      </c>
      <c r="F88" s="26" t="s">
        <v>463</v>
      </c>
      <c r="G88" s="40">
        <v>0</v>
      </c>
      <c r="H88" s="3">
        <v>4.75</v>
      </c>
      <c r="I88" s="3">
        <v>7.5</v>
      </c>
      <c r="J88" s="3">
        <v>10</v>
      </c>
      <c r="K88" s="116">
        <v>0</v>
      </c>
      <c r="L88" s="2">
        <v>0</v>
      </c>
      <c r="M88" s="2">
        <v>0</v>
      </c>
      <c r="N88" s="2">
        <v>0</v>
      </c>
      <c r="O88" s="2">
        <v>0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</row>
    <row r="89" spans="1:20">
      <c r="A89" t="s">
        <v>376</v>
      </c>
      <c r="B89">
        <v>0</v>
      </c>
      <c r="C89">
        <v>4</v>
      </c>
      <c r="D89" t="s">
        <v>3</v>
      </c>
      <c r="E89" s="2">
        <f>IF(Setup!B24&gt;0, 70% + 3% *Setup!B24, 0)</f>
        <v>0.85</v>
      </c>
      <c r="F89" s="20" t="s">
        <v>463</v>
      </c>
      <c r="G89" s="40">
        <v>0</v>
      </c>
      <c r="H89" s="86">
        <v>0.71875</v>
      </c>
      <c r="I89" s="86">
        <v>1.5</v>
      </c>
      <c r="J89" s="86">
        <v>2.25</v>
      </c>
      <c r="K89" s="116">
        <v>1</v>
      </c>
      <c r="L89" s="2">
        <v>-0.15</v>
      </c>
      <c r="M89" s="2">
        <v>0</v>
      </c>
      <c r="N89" s="2">
        <v>0</v>
      </c>
      <c r="O89" s="2">
        <v>0</v>
      </c>
      <c r="P89" s="2">
        <v>0</v>
      </c>
      <c r="Q89" s="2">
        <v>0</v>
      </c>
      <c r="R89" s="2">
        <v>0</v>
      </c>
      <c r="S89" s="2">
        <v>0</v>
      </c>
      <c r="T89" s="2">
        <v>0</v>
      </c>
    </row>
    <row r="90" spans="1:20">
      <c r="A90" s="29" t="s">
        <v>786</v>
      </c>
      <c r="B90">
        <v>0</v>
      </c>
      <c r="C90">
        <v>0</v>
      </c>
      <c r="D90" s="29" t="s">
        <v>3</v>
      </c>
      <c r="E90" s="2">
        <v>0.5</v>
      </c>
      <c r="F90" s="154" t="s">
        <v>183</v>
      </c>
      <c r="G90" s="40">
        <v>0.5</v>
      </c>
      <c r="H90" s="86">
        <v>4</v>
      </c>
      <c r="I90" s="86">
        <v>10.25</v>
      </c>
      <c r="J90" s="86">
        <v>13.75</v>
      </c>
      <c r="K90" s="174">
        <v>0</v>
      </c>
      <c r="L90" s="2">
        <v>0</v>
      </c>
      <c r="M90" s="2">
        <v>0</v>
      </c>
      <c r="N90" s="2">
        <v>0</v>
      </c>
      <c r="O90" s="2">
        <v>0</v>
      </c>
      <c r="P90" s="2">
        <v>0</v>
      </c>
      <c r="Q90" s="2">
        <v>0</v>
      </c>
      <c r="R90" s="2">
        <v>0</v>
      </c>
      <c r="S90" s="2">
        <v>0</v>
      </c>
      <c r="T90" s="2">
        <v>0</v>
      </c>
    </row>
    <row r="91" spans="1:20">
      <c r="A91" s="29" t="s">
        <v>928</v>
      </c>
      <c r="B91">
        <v>0</v>
      </c>
      <c r="C91">
        <v>0</v>
      </c>
      <c r="D91" s="29" t="s">
        <v>3</v>
      </c>
      <c r="E91" s="2">
        <v>0.5</v>
      </c>
      <c r="F91" s="154" t="s">
        <v>5</v>
      </c>
      <c r="G91" s="40">
        <v>0.5</v>
      </c>
      <c r="H91" s="86">
        <v>2.5</v>
      </c>
      <c r="I91" s="86">
        <v>6.5</v>
      </c>
      <c r="J91" s="86">
        <v>10.375</v>
      </c>
      <c r="K91" s="174">
        <v>0</v>
      </c>
      <c r="L91" s="2">
        <v>0</v>
      </c>
      <c r="M91" s="2">
        <v>0</v>
      </c>
      <c r="N91" s="2">
        <v>0</v>
      </c>
      <c r="O91" s="2">
        <v>0</v>
      </c>
      <c r="P91" s="2">
        <v>0</v>
      </c>
      <c r="Q91" s="2">
        <v>0</v>
      </c>
      <c r="R91" s="2">
        <v>0</v>
      </c>
      <c r="S91" s="2">
        <v>0</v>
      </c>
      <c r="T91" s="2">
        <v>0</v>
      </c>
    </row>
    <row r="92" spans="1:20">
      <c r="A92" t="s">
        <v>180</v>
      </c>
      <c r="B92">
        <v>0</v>
      </c>
      <c r="C92">
        <v>4</v>
      </c>
      <c r="D92" t="s">
        <v>3</v>
      </c>
      <c r="E92" s="2">
        <v>0.5</v>
      </c>
      <c r="F92" s="20" t="s">
        <v>463</v>
      </c>
      <c r="G92" s="40">
        <v>0</v>
      </c>
      <c r="H92" s="117">
        <v>0.5</v>
      </c>
      <c r="I92" s="16">
        <v>0.5</v>
      </c>
      <c r="J92" s="16">
        <v>0.5</v>
      </c>
      <c r="K92" s="116">
        <v>0</v>
      </c>
      <c r="L92" s="2">
        <v>0</v>
      </c>
      <c r="M92" s="2">
        <v>0</v>
      </c>
      <c r="N92" s="2">
        <v>0</v>
      </c>
      <c r="O92" s="2">
        <v>0.1</v>
      </c>
      <c r="P92" s="2">
        <v>0.1</v>
      </c>
      <c r="Q92" s="2">
        <v>0.15</v>
      </c>
      <c r="R92" s="2">
        <v>0</v>
      </c>
      <c r="S92" s="2">
        <v>0</v>
      </c>
      <c r="T92" s="2">
        <v>0</v>
      </c>
    </row>
    <row r="93" spans="1:20">
      <c r="A93" t="s">
        <v>725</v>
      </c>
      <c r="B93">
        <v>0</v>
      </c>
      <c r="C93">
        <v>3</v>
      </c>
      <c r="D93" t="s">
        <v>3</v>
      </c>
      <c r="E93" s="2">
        <f>IF(Setup!B27&gt;0, 70% + 3% * Setup!B27, 0)</f>
        <v>0.85</v>
      </c>
      <c r="F93" s="20" t="s">
        <v>463</v>
      </c>
      <c r="G93" s="40">
        <v>0</v>
      </c>
      <c r="H93" s="117">
        <v>1</v>
      </c>
      <c r="I93" s="16">
        <v>1</v>
      </c>
      <c r="J93" s="16">
        <v>1</v>
      </c>
      <c r="K93" s="116">
        <v>1</v>
      </c>
      <c r="L93" s="2">
        <v>0.35</v>
      </c>
      <c r="M93" s="2">
        <v>0</v>
      </c>
      <c r="N93" s="2">
        <v>0</v>
      </c>
      <c r="O93" s="2">
        <v>0</v>
      </c>
      <c r="P93" s="2">
        <v>0</v>
      </c>
      <c r="Q93" s="2">
        <v>0</v>
      </c>
      <c r="R93" s="2">
        <v>0</v>
      </c>
      <c r="S93" s="2">
        <v>0</v>
      </c>
      <c r="T93" s="2">
        <v>0</v>
      </c>
    </row>
    <row r="94" spans="1:20">
      <c r="A94" t="s">
        <v>411</v>
      </c>
      <c r="B94">
        <v>0</v>
      </c>
      <c r="C94">
        <v>3</v>
      </c>
      <c r="D94" t="s">
        <v>5</v>
      </c>
      <c r="E94" s="2">
        <f>IF(Setup!B26&gt;0, 70% + 3% *Setup!B26, 0)</f>
        <v>0.85</v>
      </c>
      <c r="F94" s="20" t="s">
        <v>463</v>
      </c>
      <c r="G94" s="40">
        <v>0</v>
      </c>
      <c r="H94" s="3">
        <v>1</v>
      </c>
      <c r="I94" s="3">
        <v>3.5</v>
      </c>
      <c r="J94" s="3">
        <v>6.5</v>
      </c>
      <c r="K94" s="116">
        <v>0</v>
      </c>
      <c r="L94" s="2">
        <v>0</v>
      </c>
      <c r="M94" s="2">
        <v>0</v>
      </c>
      <c r="N94" s="2">
        <v>0</v>
      </c>
      <c r="O94" s="2">
        <v>0</v>
      </c>
      <c r="P94" s="2">
        <v>0</v>
      </c>
      <c r="Q94" s="2">
        <v>0</v>
      </c>
      <c r="R94" s="2">
        <v>0</v>
      </c>
      <c r="S94" s="2">
        <v>0</v>
      </c>
      <c r="T94" s="2">
        <v>0</v>
      </c>
    </row>
    <row r="95" spans="1:20">
      <c r="A95" s="26"/>
      <c r="B95" s="26"/>
      <c r="C95" s="26"/>
      <c r="D95" s="26"/>
      <c r="E95" s="26"/>
      <c r="F95" s="26"/>
      <c r="G95" s="26"/>
      <c r="H95" s="26"/>
      <c r="I95" s="26"/>
    </row>
    <row r="96" spans="1:20">
      <c r="A96" s="26"/>
      <c r="B96" s="26"/>
      <c r="C96" s="26"/>
      <c r="D96" s="26"/>
      <c r="E96" s="26"/>
      <c r="F96" s="26"/>
      <c r="G96" s="26"/>
      <c r="H96" s="26"/>
      <c r="I96" s="26"/>
    </row>
    <row r="97" spans="1:15">
      <c r="A97" s="26"/>
      <c r="B97" s="26"/>
      <c r="C97" s="26"/>
      <c r="D97" s="26"/>
      <c r="E97" s="26"/>
      <c r="F97" s="26"/>
      <c r="G97" s="26"/>
      <c r="H97" s="26"/>
      <c r="I97" s="26"/>
    </row>
    <row r="98" spans="1:15">
      <c r="A98" s="72"/>
      <c r="B98" s="72"/>
      <c r="C98" s="72"/>
      <c r="D98" s="72" t="s">
        <v>579</v>
      </c>
      <c r="E98" s="72"/>
      <c r="F98" s="72"/>
      <c r="G98" s="72"/>
      <c r="H98" s="72"/>
      <c r="I98" s="72" t="s">
        <v>580</v>
      </c>
      <c r="J98" s="72"/>
      <c r="K98" s="18"/>
      <c r="L98" s="18"/>
    </row>
    <row r="99" spans="1:15">
      <c r="A99" s="138" t="s">
        <v>14</v>
      </c>
      <c r="B99" s="138" t="s">
        <v>592</v>
      </c>
      <c r="C99" s="138" t="s">
        <v>581</v>
      </c>
      <c r="D99" s="138">
        <v>0</v>
      </c>
      <c r="E99" s="138">
        <v>1</v>
      </c>
      <c r="F99" s="138">
        <v>2</v>
      </c>
      <c r="G99" s="138">
        <v>3</v>
      </c>
      <c r="H99" s="138">
        <v>4</v>
      </c>
      <c r="I99" s="138">
        <v>5</v>
      </c>
      <c r="J99" s="138" t="s">
        <v>582</v>
      </c>
      <c r="K99" s="138" t="s">
        <v>583</v>
      </c>
      <c r="L99" s="138" t="s">
        <v>584</v>
      </c>
      <c r="M99" s="138" t="s">
        <v>585</v>
      </c>
    </row>
    <row r="100" spans="1:15">
      <c r="A100" s="18" t="s">
        <v>140</v>
      </c>
      <c r="B100" s="18"/>
      <c r="C100" s="18" t="s">
        <v>219</v>
      </c>
      <c r="D100" s="18">
        <v>0</v>
      </c>
      <c r="E100" s="18">
        <v>0</v>
      </c>
      <c r="F100" s="18">
        <v>0</v>
      </c>
      <c r="G100" s="18">
        <v>0</v>
      </c>
      <c r="H100" s="18">
        <v>0</v>
      </c>
      <c r="I100" s="141">
        <v>0.1</v>
      </c>
      <c r="J100" s="18">
        <f t="shared" ref="J100:M111" ca="1" si="0">HLOOKUP((COUNTIF(INDIRECT(J$99), $A100) + IF(ISBLANK($B100)=FALSE, COUNTIF(INDIRECT(J$99), $B100), 0)) * IF(COUNTIF(INDIRECT(J$99), $A100)&gt;0, 1, 0) * IF(ISBLANK($B100)=FALSE, IF(COUNTIF(INDIRECT(J$99), $B100)&gt;0, 1, 0), 1), SetBonusLookup, ROW()-ROW(SetBonusLookup)+1, FALSE)</f>
        <v>0</v>
      </c>
      <c r="K100" s="18">
        <f t="shared" ca="1" si="0"/>
        <v>0</v>
      </c>
      <c r="L100" s="18">
        <f t="shared" ca="1" si="0"/>
        <v>0</v>
      </c>
      <c r="M100" s="18">
        <f t="shared" ca="1" si="0"/>
        <v>0</v>
      </c>
    </row>
    <row r="101" spans="1:15">
      <c r="A101" s="18" t="s">
        <v>604</v>
      </c>
      <c r="B101" s="18" t="s">
        <v>605</v>
      </c>
      <c r="C101" s="18" t="s">
        <v>12</v>
      </c>
      <c r="D101" s="18">
        <v>0</v>
      </c>
      <c r="E101" s="18">
        <v>0</v>
      </c>
      <c r="F101" s="141">
        <v>7.0000000000000007E-2</v>
      </c>
      <c r="G101" s="18">
        <v>0</v>
      </c>
      <c r="H101" s="18">
        <v>0</v>
      </c>
      <c r="I101" s="18">
        <v>0</v>
      </c>
      <c r="J101" s="18">
        <f t="shared" ca="1" si="0"/>
        <v>0</v>
      </c>
      <c r="K101" s="18">
        <f t="shared" ca="1" si="0"/>
        <v>0</v>
      </c>
      <c r="L101" s="18">
        <f t="shared" ca="1" si="0"/>
        <v>0</v>
      </c>
      <c r="M101" s="18">
        <f t="shared" ca="1" si="0"/>
        <v>0</v>
      </c>
      <c r="N101" s="29"/>
      <c r="O101" s="29"/>
    </row>
    <row r="102" spans="1:15">
      <c r="A102" s="18" t="s">
        <v>602</v>
      </c>
      <c r="B102" s="18" t="s">
        <v>603</v>
      </c>
      <c r="C102" s="18" t="s">
        <v>266</v>
      </c>
      <c r="D102" s="18">
        <v>0</v>
      </c>
      <c r="E102" s="18">
        <v>0</v>
      </c>
      <c r="F102" s="141">
        <v>7.0000000000000007E-2</v>
      </c>
      <c r="G102" s="18">
        <v>0</v>
      </c>
      <c r="H102" s="18">
        <v>0</v>
      </c>
      <c r="I102" s="18">
        <v>0</v>
      </c>
      <c r="J102" s="18">
        <f t="shared" ca="1" si="0"/>
        <v>0</v>
      </c>
      <c r="K102" s="18">
        <f t="shared" ca="1" si="0"/>
        <v>0</v>
      </c>
      <c r="L102" s="18">
        <f t="shared" ca="1" si="0"/>
        <v>0</v>
      </c>
      <c r="M102" s="18">
        <f t="shared" ca="1" si="0"/>
        <v>0</v>
      </c>
    </row>
    <row r="103" spans="1:15">
      <c r="A103" s="18" t="s">
        <v>593</v>
      </c>
      <c r="B103" s="18" t="s">
        <v>594</v>
      </c>
      <c r="C103" s="18" t="s">
        <v>10</v>
      </c>
      <c r="D103" s="18">
        <v>0</v>
      </c>
      <c r="E103" s="18">
        <v>0</v>
      </c>
      <c r="F103" s="18">
        <v>12</v>
      </c>
      <c r="G103" s="18">
        <v>0</v>
      </c>
      <c r="H103" s="18">
        <v>0</v>
      </c>
      <c r="I103" s="18">
        <v>0</v>
      </c>
      <c r="J103" s="18">
        <f t="shared" ca="1" si="0"/>
        <v>0</v>
      </c>
      <c r="K103" s="18">
        <f t="shared" ca="1" si="0"/>
        <v>0</v>
      </c>
      <c r="L103" s="18">
        <f t="shared" ca="1" si="0"/>
        <v>0</v>
      </c>
      <c r="M103" s="18">
        <f t="shared" ca="1" si="0"/>
        <v>0</v>
      </c>
    </row>
    <row r="104" spans="1:15">
      <c r="A104" s="18" t="s">
        <v>593</v>
      </c>
      <c r="B104" s="18" t="s">
        <v>594</v>
      </c>
      <c r="C104" s="18" t="s">
        <v>9</v>
      </c>
      <c r="D104" s="18">
        <v>0</v>
      </c>
      <c r="E104" s="18">
        <v>0</v>
      </c>
      <c r="F104" s="18">
        <v>6</v>
      </c>
      <c r="G104" s="18">
        <v>0</v>
      </c>
      <c r="H104" s="18">
        <v>0</v>
      </c>
      <c r="I104" s="18">
        <v>0</v>
      </c>
      <c r="J104" s="18">
        <f t="shared" ca="1" si="0"/>
        <v>0</v>
      </c>
      <c r="K104" s="18">
        <f t="shared" ca="1" si="0"/>
        <v>0</v>
      </c>
      <c r="L104" s="18">
        <f t="shared" ca="1" si="0"/>
        <v>0</v>
      </c>
      <c r="M104" s="18">
        <f t="shared" ca="1" si="0"/>
        <v>0</v>
      </c>
    </row>
    <row r="105" spans="1:15">
      <c r="A105" s="18" t="s">
        <v>135</v>
      </c>
      <c r="B105" s="18"/>
      <c r="C105" s="18" t="s">
        <v>11</v>
      </c>
      <c r="D105" s="18">
        <v>0</v>
      </c>
      <c r="E105" s="18">
        <v>0</v>
      </c>
      <c r="F105" s="18">
        <v>0</v>
      </c>
      <c r="G105" s="18">
        <v>0</v>
      </c>
      <c r="H105" s="18">
        <v>0</v>
      </c>
      <c r="I105" s="18">
        <v>50</v>
      </c>
      <c r="J105" s="18">
        <f t="shared" ca="1" si="0"/>
        <v>0</v>
      </c>
      <c r="K105" s="18">
        <f t="shared" ca="1" si="0"/>
        <v>0</v>
      </c>
      <c r="L105" s="18">
        <f t="shared" ca="1" si="0"/>
        <v>0</v>
      </c>
      <c r="M105" s="18">
        <f t="shared" ca="1" si="0"/>
        <v>0</v>
      </c>
    </row>
    <row r="106" spans="1:15">
      <c r="A106" s="18" t="s">
        <v>436</v>
      </c>
      <c r="B106" s="18"/>
      <c r="C106" s="18" t="s">
        <v>3</v>
      </c>
      <c r="D106" s="18">
        <v>0</v>
      </c>
      <c r="E106" s="18">
        <v>0</v>
      </c>
      <c r="F106" s="18">
        <v>2</v>
      </c>
      <c r="G106" s="18">
        <v>5</v>
      </c>
      <c r="H106" s="18">
        <v>10</v>
      </c>
      <c r="I106" s="18">
        <v>15</v>
      </c>
      <c r="J106" s="18">
        <f t="shared" ca="1" si="0"/>
        <v>0</v>
      </c>
      <c r="K106" s="18">
        <f t="shared" ca="1" si="0"/>
        <v>0</v>
      </c>
      <c r="L106" s="18">
        <f t="shared" ca="1" si="0"/>
        <v>0</v>
      </c>
      <c r="M106" s="18">
        <f t="shared" ca="1" si="0"/>
        <v>0</v>
      </c>
    </row>
    <row r="107" spans="1:15">
      <c r="A107" s="18" t="s">
        <v>436</v>
      </c>
      <c r="B107" s="18"/>
      <c r="C107" s="18" t="s">
        <v>5</v>
      </c>
      <c r="D107" s="18">
        <v>0</v>
      </c>
      <c r="E107" s="18">
        <v>0</v>
      </c>
      <c r="F107" s="18">
        <v>2</v>
      </c>
      <c r="G107" s="18">
        <v>5</v>
      </c>
      <c r="H107" s="18">
        <v>10</v>
      </c>
      <c r="I107" s="18">
        <v>15</v>
      </c>
      <c r="J107" s="18">
        <f t="shared" ca="1" si="0"/>
        <v>0</v>
      </c>
      <c r="K107" s="18">
        <f t="shared" ca="1" si="0"/>
        <v>0</v>
      </c>
      <c r="L107" s="18">
        <f t="shared" ca="1" si="0"/>
        <v>0</v>
      </c>
      <c r="M107" s="18">
        <f t="shared" ca="1" si="0"/>
        <v>0</v>
      </c>
    </row>
    <row r="108" spans="1:15">
      <c r="A108" s="18" t="s">
        <v>436</v>
      </c>
      <c r="B108" s="18"/>
      <c r="C108" s="18" t="s">
        <v>182</v>
      </c>
      <c r="D108" s="18">
        <v>0</v>
      </c>
      <c r="E108" s="18">
        <v>0</v>
      </c>
      <c r="F108" s="18">
        <v>2</v>
      </c>
      <c r="G108" s="18">
        <v>5</v>
      </c>
      <c r="H108" s="18">
        <v>10</v>
      </c>
      <c r="I108" s="18">
        <v>15</v>
      </c>
      <c r="J108" s="18">
        <f t="shared" ca="1" si="0"/>
        <v>0</v>
      </c>
      <c r="K108" s="18">
        <f t="shared" ca="1" si="0"/>
        <v>0</v>
      </c>
      <c r="L108" s="18">
        <f t="shared" ca="1" si="0"/>
        <v>0</v>
      </c>
      <c r="M108" s="18">
        <f t="shared" ca="1" si="0"/>
        <v>0</v>
      </c>
    </row>
    <row r="109" spans="1:15">
      <c r="A109" s="18" t="s">
        <v>436</v>
      </c>
      <c r="B109" s="18"/>
      <c r="C109" s="18" t="s">
        <v>183</v>
      </c>
      <c r="D109" s="18">
        <v>0</v>
      </c>
      <c r="E109" s="18">
        <v>0</v>
      </c>
      <c r="F109" s="18">
        <v>2</v>
      </c>
      <c r="G109" s="18">
        <v>5</v>
      </c>
      <c r="H109" s="18">
        <v>10</v>
      </c>
      <c r="I109" s="18">
        <v>15</v>
      </c>
      <c r="J109" s="18">
        <f t="shared" ca="1" si="0"/>
        <v>0</v>
      </c>
      <c r="K109" s="18">
        <f t="shared" ca="1" si="0"/>
        <v>0</v>
      </c>
      <c r="L109" s="18">
        <f t="shared" ca="1" si="0"/>
        <v>0</v>
      </c>
      <c r="M109" s="18">
        <f t="shared" ca="1" si="0"/>
        <v>0</v>
      </c>
    </row>
    <row r="110" spans="1:15">
      <c r="A110" s="18" t="s">
        <v>209</v>
      </c>
      <c r="B110" s="18"/>
      <c r="C110" s="18" t="s">
        <v>12</v>
      </c>
      <c r="D110" s="74">
        <v>0</v>
      </c>
      <c r="E110" s="74">
        <v>0</v>
      </c>
      <c r="F110" s="18">
        <v>0</v>
      </c>
      <c r="G110" s="18">
        <v>0</v>
      </c>
      <c r="H110" s="18">
        <v>0</v>
      </c>
      <c r="I110" s="141">
        <v>0.05</v>
      </c>
      <c r="J110" s="18">
        <f t="shared" ca="1" si="0"/>
        <v>0</v>
      </c>
      <c r="K110" s="18">
        <f t="shared" ca="1" si="0"/>
        <v>0</v>
      </c>
      <c r="L110" s="18">
        <f t="shared" ca="1" si="0"/>
        <v>0</v>
      </c>
      <c r="M110" s="18">
        <f t="shared" ca="1" si="0"/>
        <v>0</v>
      </c>
    </row>
    <row r="111" spans="1:15">
      <c r="A111" s="18" t="s">
        <v>578</v>
      </c>
      <c r="B111" s="18"/>
      <c r="C111" s="18" t="s">
        <v>12</v>
      </c>
      <c r="D111" s="18">
        <v>0</v>
      </c>
      <c r="E111" s="18">
        <v>0</v>
      </c>
      <c r="F111" s="141">
        <v>0.03</v>
      </c>
      <c r="G111" s="141">
        <v>0.05</v>
      </c>
      <c r="H111" s="141">
        <v>7.0000000000000007E-2</v>
      </c>
      <c r="I111" s="141">
        <v>0.09</v>
      </c>
      <c r="J111" s="18">
        <f t="shared" ca="1" si="0"/>
        <v>0</v>
      </c>
      <c r="K111" s="18">
        <f t="shared" ca="1" si="0"/>
        <v>0</v>
      </c>
      <c r="L111" s="18">
        <f t="shared" ca="1" si="0"/>
        <v>0</v>
      </c>
      <c r="M111" s="18">
        <f t="shared" ca="1" si="0"/>
        <v>0</v>
      </c>
    </row>
    <row r="115" spans="1:21">
      <c r="A115" s="22" t="s">
        <v>647</v>
      </c>
    </row>
    <row r="116" spans="1:21">
      <c r="A116" s="154" t="s">
        <v>9</v>
      </c>
      <c r="B116">
        <v>20</v>
      </c>
    </row>
    <row r="117" spans="1:21">
      <c r="A117" s="154" t="s">
        <v>10</v>
      </c>
      <c r="B117">
        <v>20</v>
      </c>
    </row>
    <row r="118" spans="1:21">
      <c r="A118" s="154" t="s">
        <v>11</v>
      </c>
      <c r="B118">
        <v>12</v>
      </c>
    </row>
    <row r="119" spans="1:21">
      <c r="A119" s="154" t="s">
        <v>538</v>
      </c>
      <c r="B119">
        <v>100</v>
      </c>
    </row>
    <row r="120" spans="1:21">
      <c r="A120" s="154" t="s">
        <v>125</v>
      </c>
      <c r="B120" s="2">
        <v>0.02</v>
      </c>
    </row>
    <row r="123" spans="1:21">
      <c r="A123" s="14" t="s">
        <v>113</v>
      </c>
      <c r="B123" s="14" t="s">
        <v>30</v>
      </c>
      <c r="C123" s="14" t="s">
        <v>3</v>
      </c>
      <c r="D123" s="14" t="s">
        <v>4</v>
      </c>
      <c r="E123" s="14" t="s">
        <v>42</v>
      </c>
      <c r="F123" s="14" t="s">
        <v>5</v>
      </c>
      <c r="G123" s="14" t="s">
        <v>182</v>
      </c>
      <c r="H123" s="14" t="s">
        <v>183</v>
      </c>
      <c r="I123" s="14" t="s">
        <v>218</v>
      </c>
      <c r="J123" s="14" t="s">
        <v>219</v>
      </c>
      <c r="K123" s="14" t="s">
        <v>9</v>
      </c>
      <c r="L123" s="14" t="s">
        <v>10</v>
      </c>
      <c r="M123" s="14" t="s">
        <v>12</v>
      </c>
      <c r="N123" s="14" t="s">
        <v>150</v>
      </c>
      <c r="O123" s="14" t="s">
        <v>112</v>
      </c>
      <c r="P123" s="14" t="s">
        <v>114</v>
      </c>
      <c r="Q123" s="14" t="s">
        <v>11</v>
      </c>
      <c r="R123" s="14" t="s">
        <v>13</v>
      </c>
      <c r="S123" s="14" t="s">
        <v>164</v>
      </c>
      <c r="T123" s="14" t="s">
        <v>184</v>
      </c>
      <c r="U123" s="14" t="s">
        <v>122</v>
      </c>
    </row>
    <row r="124" spans="1:21">
      <c r="A124" t="s">
        <v>53</v>
      </c>
    </row>
    <row r="125" spans="1:21">
      <c r="A125" t="s">
        <v>151</v>
      </c>
      <c r="K125">
        <v>50</v>
      </c>
      <c r="N125" s="2">
        <v>0.1</v>
      </c>
    </row>
    <row r="126" spans="1:21">
      <c r="A126" t="s">
        <v>152</v>
      </c>
      <c r="N126" s="2">
        <v>0.15</v>
      </c>
    </row>
    <row r="127" spans="1:21">
      <c r="A127" t="s">
        <v>131</v>
      </c>
      <c r="K127">
        <v>30</v>
      </c>
    </row>
    <row r="128" spans="1:21">
      <c r="A128" t="s">
        <v>121</v>
      </c>
      <c r="K128">
        <v>30</v>
      </c>
      <c r="M128" s="2">
        <v>0.05</v>
      </c>
      <c r="O128" s="2"/>
      <c r="P128" s="2"/>
    </row>
    <row r="129" spans="1:21">
      <c r="A129" t="s">
        <v>118</v>
      </c>
      <c r="E129">
        <v>50</v>
      </c>
      <c r="M129" s="2"/>
      <c r="O129" s="2">
        <v>0.2</v>
      </c>
      <c r="P129" s="2"/>
    </row>
    <row r="130" spans="1:21">
      <c r="A130" t="s">
        <v>432</v>
      </c>
      <c r="B130">
        <v>10</v>
      </c>
      <c r="M130" s="2"/>
      <c r="O130" s="2"/>
      <c r="P130" s="2"/>
      <c r="S130" s="2">
        <v>0.2</v>
      </c>
    </row>
    <row r="131" spans="1:21">
      <c r="A131" t="s">
        <v>116</v>
      </c>
      <c r="C131">
        <v>40</v>
      </c>
      <c r="M131" s="2">
        <v>0.05</v>
      </c>
      <c r="O131" s="2"/>
      <c r="P131" s="2"/>
    </row>
    <row r="132" spans="1:21">
      <c r="A132" t="s">
        <v>119</v>
      </c>
      <c r="D132">
        <v>50</v>
      </c>
      <c r="M132" s="2"/>
      <c r="O132" s="2">
        <v>0.3</v>
      </c>
      <c r="P132" s="2">
        <v>0.3</v>
      </c>
    </row>
    <row r="133" spans="1:21">
      <c r="A133" t="s">
        <v>120</v>
      </c>
      <c r="J133" s="2">
        <v>0.2</v>
      </c>
      <c r="M133" s="2"/>
      <c r="O133" s="2"/>
      <c r="P133" s="2">
        <v>0.3</v>
      </c>
    </row>
    <row r="134" spans="1:21">
      <c r="A134" t="s">
        <v>165</v>
      </c>
      <c r="M134" s="2"/>
      <c r="O134" s="2">
        <v>0.1</v>
      </c>
      <c r="P134" s="2"/>
      <c r="R134">
        <v>20</v>
      </c>
    </row>
    <row r="135" spans="1:21">
      <c r="A135" t="s">
        <v>185</v>
      </c>
      <c r="M135" s="2"/>
      <c r="O135" s="2"/>
      <c r="P135" s="2"/>
      <c r="T135">
        <v>1000</v>
      </c>
    </row>
    <row r="136" spans="1:21">
      <c r="A136" t="s">
        <v>115</v>
      </c>
      <c r="C136">
        <v>40</v>
      </c>
      <c r="K136">
        <v>50</v>
      </c>
      <c r="M136" s="2"/>
      <c r="N136" s="2"/>
      <c r="O136" s="2"/>
      <c r="P136" s="2"/>
    </row>
    <row r="137" spans="1:21">
      <c r="A137" t="s">
        <v>117</v>
      </c>
      <c r="C137">
        <v>50</v>
      </c>
      <c r="M137" s="2">
        <v>0.05</v>
      </c>
      <c r="N137" s="2"/>
      <c r="O137" s="2"/>
      <c r="P137" s="2"/>
      <c r="U137">
        <v>20</v>
      </c>
    </row>
    <row r="140" spans="1:21">
      <c r="A140" s="14" t="s">
        <v>160</v>
      </c>
    </row>
    <row r="141" spans="1:21">
      <c r="A141">
        <v>0</v>
      </c>
    </row>
    <row r="142" spans="1:21">
      <c r="A142">
        <v>1</v>
      </c>
    </row>
    <row r="144" spans="1:21">
      <c r="A144" s="14" t="s">
        <v>307</v>
      </c>
    </row>
    <row r="145" spans="1:1">
      <c r="A145" t="s">
        <v>53</v>
      </c>
    </row>
    <row r="146" spans="1:1">
      <c r="A146" t="s">
        <v>319</v>
      </c>
    </row>
    <row r="147" spans="1:1">
      <c r="A147" t="s">
        <v>320</v>
      </c>
    </row>
    <row r="149" spans="1:1">
      <c r="A149" s="14" t="s">
        <v>248</v>
      </c>
    </row>
    <row r="150" spans="1:1">
      <c r="A150" t="s">
        <v>223</v>
      </c>
    </row>
    <row r="151" spans="1:1">
      <c r="A151" t="s">
        <v>246</v>
      </c>
    </row>
    <row r="152" spans="1:1">
      <c r="A152" t="s">
        <v>247</v>
      </c>
    </row>
    <row r="153" spans="1:1">
      <c r="A153" s="26"/>
    </row>
    <row r="154" spans="1:1">
      <c r="A154" s="14" t="s">
        <v>240</v>
      </c>
    </row>
    <row r="155" spans="1:1">
      <c r="A155" t="s">
        <v>1</v>
      </c>
    </row>
    <row r="156" spans="1:1">
      <c r="A156" t="s">
        <v>241</v>
      </c>
    </row>
    <row r="157" spans="1:1">
      <c r="A157" t="s">
        <v>242</v>
      </c>
    </row>
    <row r="158" spans="1:1">
      <c r="A158" t="s">
        <v>243</v>
      </c>
    </row>
    <row r="159" spans="1:1">
      <c r="A159" t="s">
        <v>244</v>
      </c>
    </row>
    <row r="161" spans="1:10">
      <c r="A161" s="14" t="s">
        <v>309</v>
      </c>
      <c r="B161" s="14" t="s">
        <v>32</v>
      </c>
      <c r="C161" s="14" t="s">
        <v>587</v>
      </c>
      <c r="D161" s="14" t="s">
        <v>33</v>
      </c>
      <c r="E161" s="14" t="s">
        <v>34</v>
      </c>
      <c r="F161" s="14" t="s">
        <v>42</v>
      </c>
      <c r="G161" s="14" t="s">
        <v>5</v>
      </c>
      <c r="H161" s="22" t="s">
        <v>182</v>
      </c>
      <c r="I161" s="14" t="s">
        <v>496</v>
      </c>
      <c r="J161" s="14" t="s">
        <v>497</v>
      </c>
    </row>
    <row r="162" spans="1:10">
      <c r="A162" s="29" t="s">
        <v>700</v>
      </c>
      <c r="B162">
        <v>84</v>
      </c>
      <c r="C162" t="s">
        <v>588</v>
      </c>
      <c r="D162">
        <v>360</v>
      </c>
      <c r="E162">
        <v>351</v>
      </c>
      <c r="F162">
        <v>74</v>
      </c>
      <c r="G162">
        <v>75</v>
      </c>
      <c r="H162">
        <v>75</v>
      </c>
      <c r="I162" s="2">
        <v>0</v>
      </c>
      <c r="J162" s="2">
        <v>0</v>
      </c>
    </row>
    <row r="163" spans="1:10">
      <c r="A163" s="29" t="s">
        <v>701</v>
      </c>
      <c r="B163">
        <v>96</v>
      </c>
      <c r="C163" t="s">
        <v>588</v>
      </c>
      <c r="D163">
        <v>435</v>
      </c>
      <c r="E163">
        <v>405</v>
      </c>
      <c r="F163">
        <v>98</v>
      </c>
      <c r="G163">
        <v>95</v>
      </c>
      <c r="H163">
        <v>95</v>
      </c>
      <c r="I163" s="2">
        <v>0</v>
      </c>
      <c r="J163" s="2">
        <v>0</v>
      </c>
    </row>
    <row r="164" spans="1:10">
      <c r="A164" t="s">
        <v>498</v>
      </c>
      <c r="B164">
        <v>99</v>
      </c>
      <c r="C164" t="s">
        <v>588</v>
      </c>
      <c r="D164">
        <v>516</v>
      </c>
      <c r="E164">
        <v>411</v>
      </c>
      <c r="F164">
        <v>77</v>
      </c>
      <c r="G164">
        <v>118</v>
      </c>
      <c r="H164">
        <v>118</v>
      </c>
      <c r="I164" s="2">
        <v>0.14000000000000001</v>
      </c>
      <c r="J164" s="2">
        <v>0</v>
      </c>
    </row>
    <row r="165" spans="1:10">
      <c r="A165" t="s">
        <v>595</v>
      </c>
      <c r="B165">
        <v>100</v>
      </c>
      <c r="C165" t="s">
        <v>590</v>
      </c>
      <c r="D165">
        <v>498</v>
      </c>
      <c r="E165">
        <v>468</v>
      </c>
      <c r="F165">
        <v>106</v>
      </c>
      <c r="G165">
        <v>110</v>
      </c>
      <c r="H165">
        <v>110</v>
      </c>
      <c r="I165" s="2">
        <v>0</v>
      </c>
      <c r="J165" s="2">
        <v>0</v>
      </c>
    </row>
    <row r="166" spans="1:10">
      <c r="A166" t="s">
        <v>589</v>
      </c>
      <c r="B166">
        <v>102</v>
      </c>
      <c r="C166" t="s">
        <v>590</v>
      </c>
      <c r="D166">
        <v>534</v>
      </c>
      <c r="E166">
        <v>505</v>
      </c>
      <c r="F166">
        <v>108</v>
      </c>
      <c r="G166">
        <v>112</v>
      </c>
      <c r="H166">
        <v>112</v>
      </c>
      <c r="I166" s="2">
        <v>0</v>
      </c>
      <c r="J166" s="2">
        <v>0</v>
      </c>
    </row>
    <row r="167" spans="1:10">
      <c r="A167" t="s">
        <v>607</v>
      </c>
      <c r="B167">
        <v>107</v>
      </c>
      <c r="C167" t="s">
        <v>590</v>
      </c>
      <c r="D167">
        <v>610</v>
      </c>
      <c r="E167">
        <v>590</v>
      </c>
      <c r="F167">
        <v>136</v>
      </c>
      <c r="G167">
        <v>136</v>
      </c>
      <c r="H167">
        <v>136</v>
      </c>
      <c r="I167" s="2">
        <v>0</v>
      </c>
      <c r="J167" s="2">
        <v>0</v>
      </c>
    </row>
    <row r="168" spans="1:10">
      <c r="A168" t="s">
        <v>435</v>
      </c>
      <c r="B168">
        <v>110</v>
      </c>
      <c r="C168" t="s">
        <v>588</v>
      </c>
      <c r="D168">
        <v>560</v>
      </c>
      <c r="E168">
        <v>485</v>
      </c>
      <c r="F168">
        <v>120</v>
      </c>
      <c r="G168">
        <v>120</v>
      </c>
      <c r="H168">
        <v>120</v>
      </c>
      <c r="I168" s="2">
        <v>0</v>
      </c>
      <c r="J168" s="2">
        <v>0</v>
      </c>
    </row>
    <row r="169" spans="1:10">
      <c r="A169" t="s">
        <v>728</v>
      </c>
      <c r="B169">
        <v>113</v>
      </c>
      <c r="C169" t="s">
        <v>590</v>
      </c>
      <c r="D169">
        <v>753</v>
      </c>
      <c r="E169">
        <v>713</v>
      </c>
      <c r="F169">
        <v>127</v>
      </c>
      <c r="G169">
        <v>138</v>
      </c>
      <c r="H169">
        <v>123</v>
      </c>
      <c r="I169" s="2">
        <v>0</v>
      </c>
      <c r="J169" s="2">
        <v>0</v>
      </c>
    </row>
    <row r="170" spans="1:10">
      <c r="A170" t="s">
        <v>499</v>
      </c>
      <c r="B170">
        <v>120</v>
      </c>
      <c r="C170" t="s">
        <v>588</v>
      </c>
      <c r="D170">
        <v>750</v>
      </c>
      <c r="E170">
        <v>540</v>
      </c>
      <c r="F170">
        <v>110</v>
      </c>
      <c r="G170">
        <v>123</v>
      </c>
      <c r="H170">
        <v>123</v>
      </c>
      <c r="I170" s="2">
        <v>0</v>
      </c>
      <c r="J170" s="2">
        <v>0</v>
      </c>
    </row>
    <row r="171" spans="1:10">
      <c r="A171" s="29" t="s">
        <v>640</v>
      </c>
      <c r="B171">
        <v>130</v>
      </c>
      <c r="C171" t="s">
        <v>590</v>
      </c>
      <c r="D171">
        <v>1900</v>
      </c>
      <c r="E171">
        <v>870</v>
      </c>
      <c r="F171">
        <v>200</v>
      </c>
      <c r="G171">
        <v>200</v>
      </c>
      <c r="H171">
        <v>200</v>
      </c>
      <c r="I171" s="2">
        <v>0</v>
      </c>
      <c r="J171" s="2">
        <v>0</v>
      </c>
    </row>
    <row r="172" spans="1:10">
      <c r="A172" s="29" t="s">
        <v>702</v>
      </c>
      <c r="B172">
        <v>126</v>
      </c>
      <c r="C172" s="29" t="s">
        <v>590</v>
      </c>
      <c r="D172">
        <v>1090</v>
      </c>
      <c r="E172">
        <v>1068</v>
      </c>
      <c r="F172">
        <v>235</v>
      </c>
      <c r="G172">
        <v>228</v>
      </c>
      <c r="H172">
        <v>215</v>
      </c>
      <c r="I172" s="2">
        <v>0</v>
      </c>
      <c r="J172" s="2">
        <v>0</v>
      </c>
    </row>
    <row r="173" spans="1:10">
      <c r="A173" s="29" t="s">
        <v>789</v>
      </c>
      <c r="B173">
        <v>122</v>
      </c>
      <c r="C173" s="29" t="s">
        <v>590</v>
      </c>
      <c r="D173">
        <v>919</v>
      </c>
      <c r="E173">
        <v>899</v>
      </c>
      <c r="F173">
        <v>200</v>
      </c>
      <c r="G173">
        <v>199</v>
      </c>
      <c r="H173">
        <v>186</v>
      </c>
      <c r="I173" s="2">
        <v>0</v>
      </c>
      <c r="J173" s="2">
        <v>0</v>
      </c>
    </row>
    <row r="174" spans="1:10">
      <c r="A174" s="29" t="s">
        <v>860</v>
      </c>
      <c r="B174">
        <v>128</v>
      </c>
      <c r="C174" s="29" t="s">
        <v>861</v>
      </c>
      <c r="D174">
        <v>1159</v>
      </c>
      <c r="E174">
        <v>1039</v>
      </c>
      <c r="F174">
        <v>254</v>
      </c>
      <c r="G174">
        <v>253</v>
      </c>
      <c r="H174">
        <v>240</v>
      </c>
      <c r="I174" s="2">
        <v>0</v>
      </c>
      <c r="J174" s="2">
        <v>0</v>
      </c>
    </row>
    <row r="175" spans="1:10">
      <c r="A175" s="29" t="s">
        <v>796</v>
      </c>
      <c r="B175">
        <v>130</v>
      </c>
      <c r="C175" s="29" t="s">
        <v>590</v>
      </c>
      <c r="D175">
        <f>D173+40*8</f>
        <v>1239</v>
      </c>
      <c r="E175">
        <v>1119</v>
      </c>
      <c r="F175">
        <f>F173+9*8</f>
        <v>272</v>
      </c>
      <c r="G175">
        <f>G173+9*8</f>
        <v>271</v>
      </c>
      <c r="H175">
        <f>H173+9*8</f>
        <v>258</v>
      </c>
      <c r="I175" s="2">
        <v>0</v>
      </c>
      <c r="J175" s="2">
        <v>0</v>
      </c>
    </row>
    <row r="176" spans="1:10">
      <c r="A176" s="29" t="s">
        <v>790</v>
      </c>
      <c r="B176">
        <v>135</v>
      </c>
      <c r="C176" s="29" t="s">
        <v>590</v>
      </c>
      <c r="D176">
        <v>1400</v>
      </c>
      <c r="E176">
        <v>1300</v>
      </c>
      <c r="F176">
        <v>305</v>
      </c>
      <c r="G176">
        <v>305</v>
      </c>
      <c r="H176">
        <v>295</v>
      </c>
      <c r="I176" s="2">
        <v>0</v>
      </c>
      <c r="J176" s="2">
        <v>0</v>
      </c>
    </row>
    <row r="179" spans="1:1">
      <c r="A179" s="22" t="s">
        <v>731</v>
      </c>
    </row>
    <row r="180" spans="1:1">
      <c r="A180" s="29" t="s">
        <v>11</v>
      </c>
    </row>
    <row r="181" spans="1:1">
      <c r="A181" s="29" t="s">
        <v>732</v>
      </c>
    </row>
    <row r="183" spans="1:1">
      <c r="A183" s="22" t="s">
        <v>733</v>
      </c>
    </row>
    <row r="184" spans="1:1">
      <c r="A184" s="29" t="s">
        <v>510</v>
      </c>
    </row>
    <row r="185" spans="1:1">
      <c r="A185" s="29" t="s">
        <v>511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18" enableFormatConditionsCalculation="0">
    <tabColor indexed="46"/>
  </sheetPr>
  <dimension ref="A1:J76"/>
  <sheetViews>
    <sheetView topLeftCell="A34" workbookViewId="0">
      <selection activeCell="J9" sqref="J9"/>
    </sheetView>
  </sheetViews>
  <sheetFormatPr defaultRowHeight="12.75"/>
  <cols>
    <col min="1" max="1" width="12.7109375" customWidth="1"/>
    <col min="2" max="10" width="10.7109375" customWidth="1"/>
  </cols>
  <sheetData>
    <row r="1" spans="1:9">
      <c r="A1" t="s">
        <v>32</v>
      </c>
      <c r="B1">
        <f>Data!B1</f>
        <v>99</v>
      </c>
      <c r="C1">
        <f>FLOOR(B1/2,1)</f>
        <v>49</v>
      </c>
    </row>
    <row r="2" spans="1:9">
      <c r="B2" s="14" t="s">
        <v>218</v>
      </c>
      <c r="C2" s="14" t="s">
        <v>3</v>
      </c>
      <c r="D2" s="14" t="s">
        <v>4</v>
      </c>
      <c r="E2" s="14" t="s">
        <v>5</v>
      </c>
      <c r="F2" s="14" t="s">
        <v>42</v>
      </c>
      <c r="G2" s="14" t="s">
        <v>182</v>
      </c>
      <c r="H2" s="14" t="s">
        <v>183</v>
      </c>
      <c r="I2" s="14" t="s">
        <v>245</v>
      </c>
    </row>
    <row r="3" spans="1:9">
      <c r="A3" t="s">
        <v>335</v>
      </c>
      <c r="B3">
        <v>1700</v>
      </c>
      <c r="C3">
        <f t="shared" ref="C3:I3" si="0">FLOOR(C53+C63+C73+C76, 1)</f>
        <v>94</v>
      </c>
      <c r="D3">
        <f t="shared" si="0"/>
        <v>89</v>
      </c>
      <c r="E3">
        <f t="shared" si="0"/>
        <v>89</v>
      </c>
      <c r="F3">
        <f t="shared" si="0"/>
        <v>84</v>
      </c>
      <c r="G3">
        <f t="shared" si="0"/>
        <v>86</v>
      </c>
      <c r="H3">
        <f t="shared" si="0"/>
        <v>74</v>
      </c>
      <c r="I3">
        <f t="shared" si="0"/>
        <v>75</v>
      </c>
    </row>
    <row r="6" spans="1:9">
      <c r="A6" s="9" t="s">
        <v>336</v>
      </c>
    </row>
    <row r="8" spans="1:9">
      <c r="A8" s="9" t="s">
        <v>337</v>
      </c>
      <c r="B8" s="14" t="s">
        <v>218</v>
      </c>
      <c r="C8" s="14" t="s">
        <v>3</v>
      </c>
      <c r="D8" s="14" t="s">
        <v>4</v>
      </c>
      <c r="E8" s="14" t="s">
        <v>5</v>
      </c>
      <c r="F8" s="14" t="s">
        <v>42</v>
      </c>
      <c r="G8" s="14" t="s">
        <v>182</v>
      </c>
      <c r="H8" s="14" t="s">
        <v>183</v>
      </c>
      <c r="I8" s="14" t="s">
        <v>245</v>
      </c>
    </row>
    <row r="9" spans="1:9">
      <c r="A9" t="s">
        <v>1</v>
      </c>
      <c r="B9" t="s">
        <v>338</v>
      </c>
      <c r="C9" t="s">
        <v>338</v>
      </c>
      <c r="D9" t="s">
        <v>338</v>
      </c>
      <c r="E9" t="s">
        <v>338</v>
      </c>
      <c r="F9" t="s">
        <v>338</v>
      </c>
      <c r="G9" t="s">
        <v>338</v>
      </c>
      <c r="H9" t="s">
        <v>338</v>
      </c>
      <c r="I9" t="s">
        <v>338</v>
      </c>
    </row>
    <row r="10" spans="1:9">
      <c r="A10" t="s">
        <v>243</v>
      </c>
      <c r="B10" t="s">
        <v>339</v>
      </c>
      <c r="C10" t="s">
        <v>340</v>
      </c>
      <c r="D10" t="s">
        <v>341</v>
      </c>
      <c r="E10" t="s">
        <v>339</v>
      </c>
      <c r="F10" t="s">
        <v>342</v>
      </c>
      <c r="G10" t="s">
        <v>342</v>
      </c>
      <c r="H10" t="s">
        <v>340</v>
      </c>
      <c r="I10" t="s">
        <v>338</v>
      </c>
    </row>
    <row r="11" spans="1:9">
      <c r="A11" t="s">
        <v>244</v>
      </c>
      <c r="B11" t="s">
        <v>343</v>
      </c>
      <c r="C11" t="s">
        <v>342</v>
      </c>
      <c r="D11" t="s">
        <v>338</v>
      </c>
      <c r="E11" t="s">
        <v>341</v>
      </c>
      <c r="F11" t="s">
        <v>339</v>
      </c>
      <c r="G11" t="s">
        <v>344</v>
      </c>
      <c r="H11" t="s">
        <v>341</v>
      </c>
      <c r="I11" t="s">
        <v>338</v>
      </c>
    </row>
    <row r="12" spans="1:9">
      <c r="A12" t="s">
        <v>241</v>
      </c>
      <c r="B12" t="s">
        <v>338</v>
      </c>
      <c r="C12" t="s">
        <v>341</v>
      </c>
      <c r="D12" t="s">
        <v>344</v>
      </c>
      <c r="E12" t="s">
        <v>341</v>
      </c>
      <c r="F12" t="s">
        <v>340</v>
      </c>
      <c r="G12" t="s">
        <v>338</v>
      </c>
      <c r="H12" t="s">
        <v>341</v>
      </c>
      <c r="I12" t="s">
        <v>342</v>
      </c>
    </row>
    <row r="13" spans="1:9">
      <c r="A13" t="s">
        <v>242</v>
      </c>
      <c r="B13" t="s">
        <v>344</v>
      </c>
      <c r="C13" t="s">
        <v>339</v>
      </c>
      <c r="D13" t="s">
        <v>338</v>
      </c>
      <c r="E13" t="s">
        <v>344</v>
      </c>
      <c r="F13" t="s">
        <v>341</v>
      </c>
      <c r="G13" t="s">
        <v>341</v>
      </c>
      <c r="H13" t="s">
        <v>338</v>
      </c>
      <c r="I13" t="s">
        <v>342</v>
      </c>
    </row>
    <row r="14" spans="1:9">
      <c r="A14" t="s">
        <v>345</v>
      </c>
      <c r="B14" t="s">
        <v>338</v>
      </c>
      <c r="C14" t="s">
        <v>338</v>
      </c>
      <c r="D14" t="s">
        <v>338</v>
      </c>
      <c r="E14" t="s">
        <v>338</v>
      </c>
      <c r="F14" t="s">
        <v>342</v>
      </c>
      <c r="G14" t="s">
        <v>338</v>
      </c>
      <c r="H14" t="s">
        <v>338</v>
      </c>
      <c r="I14" t="s">
        <v>340</v>
      </c>
    </row>
    <row r="15" spans="1:9">
      <c r="A15" t="s">
        <v>346</v>
      </c>
      <c r="B15" t="s">
        <v>339</v>
      </c>
      <c r="C15" t="s">
        <v>338</v>
      </c>
      <c r="D15" t="s">
        <v>339</v>
      </c>
      <c r="E15" t="s">
        <v>338</v>
      </c>
      <c r="F15" t="s">
        <v>342</v>
      </c>
      <c r="G15" t="s">
        <v>341</v>
      </c>
      <c r="H15" t="s">
        <v>341</v>
      </c>
      <c r="I15" t="s">
        <v>344</v>
      </c>
    </row>
    <row r="16" spans="1:9">
      <c r="A16" t="s">
        <v>347</v>
      </c>
      <c r="B16" t="s">
        <v>342</v>
      </c>
      <c r="C16" t="s">
        <v>342</v>
      </c>
      <c r="D16" t="s">
        <v>339</v>
      </c>
      <c r="E16" t="s">
        <v>342</v>
      </c>
      <c r="F16" t="s">
        <v>339</v>
      </c>
      <c r="G16" t="s">
        <v>344</v>
      </c>
      <c r="H16" t="s">
        <v>341</v>
      </c>
      <c r="I16" t="s">
        <v>338</v>
      </c>
    </row>
    <row r="17" spans="1:9">
      <c r="A17" t="s">
        <v>348</v>
      </c>
      <c r="B17" t="s">
        <v>338</v>
      </c>
      <c r="C17" t="s">
        <v>341</v>
      </c>
      <c r="D17" t="s">
        <v>341</v>
      </c>
      <c r="E17" t="s">
        <v>341</v>
      </c>
      <c r="F17" t="s">
        <v>341</v>
      </c>
      <c r="G17" t="s">
        <v>341</v>
      </c>
      <c r="H17" t="s">
        <v>341</v>
      </c>
      <c r="I17" t="s">
        <v>341</v>
      </c>
    </row>
    <row r="18" spans="1:9">
      <c r="A18" t="s">
        <v>349</v>
      </c>
      <c r="B18" t="s">
        <v>338</v>
      </c>
      <c r="C18" t="s">
        <v>341</v>
      </c>
      <c r="D18" t="s">
        <v>339</v>
      </c>
      <c r="E18" t="s">
        <v>341</v>
      </c>
      <c r="F18" t="s">
        <v>340</v>
      </c>
      <c r="G18" t="s">
        <v>339</v>
      </c>
      <c r="H18" t="s">
        <v>341</v>
      </c>
      <c r="I18" t="s">
        <v>341</v>
      </c>
    </row>
    <row r="19" spans="1:9">
      <c r="A19" t="s">
        <v>350</v>
      </c>
      <c r="B19" t="s">
        <v>338</v>
      </c>
      <c r="C19" t="s">
        <v>338</v>
      </c>
      <c r="D19" t="s">
        <v>339</v>
      </c>
      <c r="E19" t="s">
        <v>341</v>
      </c>
      <c r="F19" t="s">
        <v>340</v>
      </c>
      <c r="G19" t="s">
        <v>342</v>
      </c>
      <c r="H19" t="s">
        <v>342</v>
      </c>
      <c r="I19" t="s">
        <v>340</v>
      </c>
    </row>
    <row r="20" spans="1:9">
      <c r="A20" t="s">
        <v>351</v>
      </c>
      <c r="B20" t="s">
        <v>339</v>
      </c>
      <c r="C20" t="s">
        <v>344</v>
      </c>
      <c r="D20" t="s">
        <v>339</v>
      </c>
      <c r="E20" t="s">
        <v>339</v>
      </c>
      <c r="F20" t="s">
        <v>338</v>
      </c>
      <c r="G20" t="s">
        <v>339</v>
      </c>
      <c r="H20" t="s">
        <v>343</v>
      </c>
      <c r="I20" t="s">
        <v>343</v>
      </c>
    </row>
    <row r="21" spans="1:9">
      <c r="A21" t="s">
        <v>352</v>
      </c>
      <c r="B21" t="s">
        <v>339</v>
      </c>
      <c r="C21" t="s">
        <v>340</v>
      </c>
      <c r="D21" t="s">
        <v>338</v>
      </c>
      <c r="E21" t="s">
        <v>339</v>
      </c>
      <c r="F21" t="s">
        <v>338</v>
      </c>
      <c r="G21" t="s">
        <v>342</v>
      </c>
      <c r="H21" t="s">
        <v>341</v>
      </c>
      <c r="I21" t="s">
        <v>339</v>
      </c>
    </row>
    <row r="22" spans="1:9">
      <c r="A22" t="s">
        <v>353</v>
      </c>
      <c r="B22" t="s">
        <v>344</v>
      </c>
      <c r="C22" t="s">
        <v>339</v>
      </c>
      <c r="D22" t="s">
        <v>340</v>
      </c>
      <c r="E22" t="s">
        <v>344</v>
      </c>
      <c r="F22" t="s">
        <v>342</v>
      </c>
      <c r="G22" t="s">
        <v>343</v>
      </c>
      <c r="H22" t="s">
        <v>338</v>
      </c>
      <c r="I22" t="s">
        <v>341</v>
      </c>
    </row>
    <row r="23" spans="1:9">
      <c r="A23" t="s">
        <v>354</v>
      </c>
      <c r="B23" t="s">
        <v>338</v>
      </c>
      <c r="C23" t="s">
        <v>339</v>
      </c>
      <c r="D23" t="s">
        <v>340</v>
      </c>
      <c r="E23" t="s">
        <v>339</v>
      </c>
      <c r="F23" t="s">
        <v>340</v>
      </c>
      <c r="G23" t="s">
        <v>338</v>
      </c>
      <c r="H23" t="s">
        <v>343</v>
      </c>
      <c r="I23" t="s">
        <v>342</v>
      </c>
    </row>
    <row r="24" spans="1:9">
      <c r="A24" t="s">
        <v>355</v>
      </c>
      <c r="B24" t="s">
        <v>339</v>
      </c>
      <c r="C24" t="s">
        <v>340</v>
      </c>
      <c r="D24" t="s">
        <v>341</v>
      </c>
      <c r="E24" t="s">
        <v>344</v>
      </c>
      <c r="F24" t="s">
        <v>343</v>
      </c>
      <c r="G24" t="s">
        <v>343</v>
      </c>
      <c r="H24" t="s">
        <v>339</v>
      </c>
      <c r="I24" t="s">
        <v>339</v>
      </c>
    </row>
    <row r="25" spans="1:9">
      <c r="A25" t="s">
        <v>356</v>
      </c>
      <c r="B25" t="s">
        <v>338</v>
      </c>
      <c r="C25" t="s">
        <v>341</v>
      </c>
      <c r="D25" t="s">
        <v>340</v>
      </c>
      <c r="E25" t="s">
        <v>338</v>
      </c>
      <c r="F25" t="s">
        <v>339</v>
      </c>
      <c r="G25" t="s">
        <v>341</v>
      </c>
      <c r="H25" t="s">
        <v>342</v>
      </c>
      <c r="I25" t="s">
        <v>339</v>
      </c>
    </row>
    <row r="26" spans="1:9">
      <c r="A26" t="s">
        <v>357</v>
      </c>
      <c r="B26" t="s">
        <v>341</v>
      </c>
      <c r="C26" t="s">
        <v>341</v>
      </c>
      <c r="D26" t="s">
        <v>338</v>
      </c>
      <c r="E26" t="s">
        <v>338</v>
      </c>
      <c r="F26" t="s">
        <v>344</v>
      </c>
      <c r="G26" t="s">
        <v>341</v>
      </c>
      <c r="H26" t="s">
        <v>338</v>
      </c>
      <c r="I26" t="s">
        <v>341</v>
      </c>
    </row>
    <row r="27" spans="1:9">
      <c r="A27" t="s">
        <v>358</v>
      </c>
      <c r="B27" t="s">
        <v>338</v>
      </c>
      <c r="C27" t="s">
        <v>338</v>
      </c>
      <c r="D27" t="s">
        <v>338</v>
      </c>
      <c r="E27" t="s">
        <v>341</v>
      </c>
      <c r="F27" t="s">
        <v>341</v>
      </c>
      <c r="G27" t="s">
        <v>339</v>
      </c>
      <c r="H27" t="s">
        <v>339</v>
      </c>
      <c r="I27" t="s">
        <v>338</v>
      </c>
    </row>
    <row r="28" spans="1:9">
      <c r="A28" t="s">
        <v>359</v>
      </c>
      <c r="B28" t="s">
        <v>340</v>
      </c>
      <c r="C28" t="s">
        <v>339</v>
      </c>
      <c r="D28" t="s">
        <v>339</v>
      </c>
      <c r="E28" t="s">
        <v>339</v>
      </c>
      <c r="F28" t="s">
        <v>338</v>
      </c>
      <c r="G28" t="s">
        <v>341</v>
      </c>
      <c r="H28" t="s">
        <v>341</v>
      </c>
      <c r="I28" t="s">
        <v>338</v>
      </c>
    </row>
    <row r="29" spans="1:9">
      <c r="A29" t="s">
        <v>360</v>
      </c>
      <c r="B29" t="s">
        <v>341</v>
      </c>
      <c r="C29" t="s">
        <v>342</v>
      </c>
      <c r="D29" t="s">
        <v>338</v>
      </c>
      <c r="E29" t="s">
        <v>341</v>
      </c>
      <c r="F29" t="s">
        <v>338</v>
      </c>
      <c r="G29" t="s">
        <v>340</v>
      </c>
      <c r="H29" t="s">
        <v>338</v>
      </c>
      <c r="I29" t="s">
        <v>339</v>
      </c>
    </row>
    <row r="30" spans="1:9">
      <c r="A30" t="s">
        <v>361</v>
      </c>
      <c r="B30" t="s">
        <v>343</v>
      </c>
      <c r="C30" t="s">
        <v>342</v>
      </c>
      <c r="D30" t="s">
        <v>341</v>
      </c>
      <c r="E30" t="s">
        <v>342</v>
      </c>
      <c r="F30" t="s">
        <v>338</v>
      </c>
      <c r="G30" t="s">
        <v>340</v>
      </c>
      <c r="H30" t="s">
        <v>340</v>
      </c>
      <c r="I30" t="s">
        <v>340</v>
      </c>
    </row>
    <row r="31" spans="1:9">
      <c r="A31" t="s">
        <v>362</v>
      </c>
      <c r="B31" t="s">
        <v>338</v>
      </c>
      <c r="C31" t="s">
        <v>338</v>
      </c>
      <c r="D31" t="s">
        <v>344</v>
      </c>
      <c r="E31" t="s">
        <v>338</v>
      </c>
      <c r="F31" t="s">
        <v>340</v>
      </c>
      <c r="G31" t="s">
        <v>339</v>
      </c>
      <c r="H31" t="s">
        <v>343</v>
      </c>
      <c r="I31" t="s">
        <v>343</v>
      </c>
    </row>
    <row r="32" spans="1:9">
      <c r="A32" t="s">
        <v>363</v>
      </c>
      <c r="B32" t="s">
        <v>340</v>
      </c>
      <c r="C32" t="s">
        <v>344</v>
      </c>
      <c r="D32" t="s">
        <v>339</v>
      </c>
      <c r="E32" t="s">
        <v>338</v>
      </c>
      <c r="F32" t="s">
        <v>339</v>
      </c>
      <c r="G32" t="s">
        <v>342</v>
      </c>
      <c r="H32" t="s">
        <v>342</v>
      </c>
      <c r="I32" t="s">
        <v>341</v>
      </c>
    </row>
    <row r="33" spans="1:10">
      <c r="A33" t="s">
        <v>364</v>
      </c>
      <c r="B33" t="s">
        <v>341</v>
      </c>
      <c r="C33" t="s">
        <v>338</v>
      </c>
      <c r="D33" t="s">
        <v>342</v>
      </c>
      <c r="E33" t="s">
        <v>338</v>
      </c>
      <c r="F33" t="s">
        <v>341</v>
      </c>
      <c r="G33" t="s">
        <v>341</v>
      </c>
      <c r="H33" t="s">
        <v>344</v>
      </c>
      <c r="I33" t="s">
        <v>339</v>
      </c>
    </row>
    <row r="36" spans="1:10">
      <c r="A36" s="9" t="s">
        <v>365</v>
      </c>
      <c r="B36" t="s">
        <v>366</v>
      </c>
      <c r="C36" t="s">
        <v>367</v>
      </c>
      <c r="D36" t="s">
        <v>368</v>
      </c>
      <c r="E36" t="s">
        <v>369</v>
      </c>
      <c r="F36" t="s">
        <v>370</v>
      </c>
      <c r="G36" t="s">
        <v>371</v>
      </c>
      <c r="H36" t="s">
        <v>372</v>
      </c>
      <c r="I36" t="s">
        <v>373</v>
      </c>
      <c r="J36" t="s">
        <v>374</v>
      </c>
    </row>
    <row r="37" spans="1:10">
      <c r="A37" t="s">
        <v>344</v>
      </c>
      <c r="B37">
        <v>19</v>
      </c>
      <c r="C37">
        <v>9</v>
      </c>
      <c r="D37">
        <v>1</v>
      </c>
      <c r="E37">
        <v>3</v>
      </c>
      <c r="F37">
        <v>3</v>
      </c>
      <c r="G37">
        <v>5</v>
      </c>
      <c r="H37" s="4">
        <v>0.5</v>
      </c>
      <c r="I37" s="4">
        <f>110/1024</f>
        <v>0.107421875</v>
      </c>
      <c r="J37" s="4">
        <f t="shared" ref="J37:J43" si="1">400/1024</f>
        <v>0.390625</v>
      </c>
    </row>
    <row r="38" spans="1:10">
      <c r="A38" t="s">
        <v>340</v>
      </c>
      <c r="B38">
        <v>17</v>
      </c>
      <c r="C38">
        <v>8</v>
      </c>
      <c r="D38">
        <v>1</v>
      </c>
      <c r="E38">
        <v>3</v>
      </c>
      <c r="F38">
        <v>3</v>
      </c>
      <c r="G38">
        <v>4</v>
      </c>
      <c r="H38" s="4">
        <v>0.45</v>
      </c>
      <c r="I38" s="4">
        <f>210/1024</f>
        <v>0.205078125</v>
      </c>
      <c r="J38" s="4">
        <f t="shared" si="1"/>
        <v>0.390625</v>
      </c>
    </row>
    <row r="39" spans="1:10">
      <c r="A39" t="s">
        <v>339</v>
      </c>
      <c r="B39">
        <v>16</v>
      </c>
      <c r="C39">
        <v>7</v>
      </c>
      <c r="D39">
        <v>1</v>
      </c>
      <c r="E39">
        <v>3</v>
      </c>
      <c r="F39">
        <v>3</v>
      </c>
      <c r="G39">
        <v>4</v>
      </c>
      <c r="H39" s="4">
        <v>0.4</v>
      </c>
      <c r="I39" s="4">
        <f>300/1024</f>
        <v>0.29296875</v>
      </c>
      <c r="J39" s="4">
        <f t="shared" si="1"/>
        <v>0.390625</v>
      </c>
    </row>
    <row r="40" spans="1:10">
      <c r="A40" t="s">
        <v>338</v>
      </c>
      <c r="B40">
        <v>14</v>
      </c>
      <c r="C40">
        <v>6</v>
      </c>
      <c r="D40">
        <v>0</v>
      </c>
      <c r="E40">
        <v>3</v>
      </c>
      <c r="F40">
        <v>3</v>
      </c>
      <c r="G40">
        <v>3</v>
      </c>
      <c r="H40" s="4">
        <v>0.35</v>
      </c>
      <c r="I40" s="4">
        <f>350/1024</f>
        <v>0.341796875</v>
      </c>
      <c r="J40" s="4">
        <f t="shared" si="1"/>
        <v>0.390625</v>
      </c>
    </row>
    <row r="41" spans="1:10">
      <c r="A41" t="s">
        <v>341</v>
      </c>
      <c r="B41">
        <v>13</v>
      </c>
      <c r="C41">
        <v>5</v>
      </c>
      <c r="D41">
        <v>0</v>
      </c>
      <c r="E41">
        <v>2</v>
      </c>
      <c r="F41">
        <v>2</v>
      </c>
      <c r="G41">
        <v>3</v>
      </c>
      <c r="H41" s="4">
        <v>0.3</v>
      </c>
      <c r="I41" s="4">
        <f>350/1024</f>
        <v>0.341796875</v>
      </c>
      <c r="J41" s="4">
        <f t="shared" si="1"/>
        <v>0.390625</v>
      </c>
    </row>
    <row r="42" spans="1:10">
      <c r="A42" t="s">
        <v>342</v>
      </c>
      <c r="B42">
        <v>11</v>
      </c>
      <c r="C42">
        <v>4</v>
      </c>
      <c r="D42">
        <v>0</v>
      </c>
      <c r="E42">
        <v>2</v>
      </c>
      <c r="F42">
        <v>2</v>
      </c>
      <c r="G42">
        <v>2</v>
      </c>
      <c r="H42" s="4">
        <v>0.25</v>
      </c>
      <c r="I42" s="4">
        <f>400/1024</f>
        <v>0.390625</v>
      </c>
      <c r="J42" s="4">
        <f t="shared" si="1"/>
        <v>0.390625</v>
      </c>
    </row>
    <row r="43" spans="1:10">
      <c r="A43" t="s">
        <v>343</v>
      </c>
      <c r="B43">
        <v>10</v>
      </c>
      <c r="C43">
        <v>3</v>
      </c>
      <c r="D43">
        <v>0</v>
      </c>
      <c r="E43">
        <v>2</v>
      </c>
      <c r="F43">
        <v>2</v>
      </c>
      <c r="G43">
        <v>2</v>
      </c>
      <c r="H43" s="4">
        <v>0.2</v>
      </c>
      <c r="I43" s="4">
        <f>430/1024</f>
        <v>0.419921875</v>
      </c>
      <c r="J43" s="4">
        <f t="shared" si="1"/>
        <v>0.390625</v>
      </c>
    </row>
    <row r="46" spans="1:10">
      <c r="A46" s="9" t="s">
        <v>2</v>
      </c>
      <c r="B46" s="14" t="s">
        <v>218</v>
      </c>
      <c r="C46" s="14" t="s">
        <v>3</v>
      </c>
      <c r="D46" s="14" t="s">
        <v>4</v>
      </c>
      <c r="E46" s="14" t="s">
        <v>5</v>
      </c>
      <c r="F46" s="14" t="s">
        <v>42</v>
      </c>
      <c r="G46" s="14" t="s">
        <v>182</v>
      </c>
      <c r="H46" s="14" t="s">
        <v>183</v>
      </c>
      <c r="I46" s="14" t="s">
        <v>245</v>
      </c>
    </row>
    <row r="47" spans="1:10">
      <c r="A47" t="str">
        <f>Data!C1</f>
        <v>Drk</v>
      </c>
      <c r="B47" t="str">
        <f t="shared" ref="B47:I47" si="2">VLOOKUP($A47, Grades, MATCH(B$46, Stats, 0), 0)</f>
        <v>C</v>
      </c>
      <c r="C47" t="str">
        <f t="shared" si="2"/>
        <v>A</v>
      </c>
      <c r="D47" t="str">
        <f t="shared" si="2"/>
        <v>C</v>
      </c>
      <c r="E47" t="str">
        <f t="shared" si="2"/>
        <v>C</v>
      </c>
      <c r="F47" t="str">
        <f t="shared" si="2"/>
        <v>D</v>
      </c>
      <c r="G47" t="str">
        <f t="shared" si="2"/>
        <v>C</v>
      </c>
      <c r="H47" t="str">
        <f t="shared" si="2"/>
        <v>G</v>
      </c>
      <c r="I47" t="str">
        <f t="shared" si="2"/>
        <v>G</v>
      </c>
    </row>
    <row r="48" spans="1:10">
      <c r="A48" t="s">
        <v>366</v>
      </c>
      <c r="B48">
        <f>VLOOKUP(B$47, GradeRates, MATCH($A48, RateTiers, 0), 0)</f>
        <v>16</v>
      </c>
      <c r="C48" s="4">
        <f t="shared" ref="C48:I51" si="3">VLOOKUP(C$47, GradeRates, MATCH($J48, RateTiers, 0), 0)</f>
        <v>5</v>
      </c>
      <c r="D48" s="4">
        <f t="shared" si="3"/>
        <v>4</v>
      </c>
      <c r="E48" s="4">
        <f t="shared" si="3"/>
        <v>4</v>
      </c>
      <c r="F48" s="4">
        <f t="shared" si="3"/>
        <v>3</v>
      </c>
      <c r="G48" s="4">
        <f t="shared" si="3"/>
        <v>4</v>
      </c>
      <c r="H48" s="4">
        <f t="shared" si="3"/>
        <v>2</v>
      </c>
      <c r="I48" s="4">
        <f t="shared" si="3"/>
        <v>2</v>
      </c>
      <c r="J48" t="s">
        <v>371</v>
      </c>
    </row>
    <row r="49" spans="1:10">
      <c r="A49" t="s">
        <v>367</v>
      </c>
      <c r="B49">
        <f>VLOOKUP(B$47, GradeRates, MATCH($A49, RateTiers, 0), 0)</f>
        <v>7</v>
      </c>
      <c r="C49" s="4">
        <f t="shared" si="3"/>
        <v>0.5</v>
      </c>
      <c r="D49" s="4">
        <f t="shared" si="3"/>
        <v>0.4</v>
      </c>
      <c r="E49" s="4">
        <f t="shared" si="3"/>
        <v>0.4</v>
      </c>
      <c r="F49" s="4">
        <f t="shared" si="3"/>
        <v>0.35</v>
      </c>
      <c r="G49" s="4">
        <f t="shared" si="3"/>
        <v>0.4</v>
      </c>
      <c r="H49" s="4">
        <f t="shared" si="3"/>
        <v>0.2</v>
      </c>
      <c r="I49" s="4">
        <f t="shared" si="3"/>
        <v>0.2</v>
      </c>
      <c r="J49" t="s">
        <v>372</v>
      </c>
    </row>
    <row r="50" spans="1:10">
      <c r="A50" t="s">
        <v>368</v>
      </c>
      <c r="B50">
        <f>VLOOKUP(B$47, GradeRates, MATCH($A50, RateTiers, 0), 0)</f>
        <v>1</v>
      </c>
      <c r="C50" s="4">
        <f t="shared" si="3"/>
        <v>0.107421875</v>
      </c>
      <c r="D50" s="4">
        <f t="shared" si="3"/>
        <v>0.29296875</v>
      </c>
      <c r="E50" s="4">
        <f t="shared" si="3"/>
        <v>0.29296875</v>
      </c>
      <c r="F50" s="4">
        <f t="shared" si="3"/>
        <v>0.341796875</v>
      </c>
      <c r="G50" s="4">
        <f t="shared" si="3"/>
        <v>0.29296875</v>
      </c>
      <c r="H50" s="4">
        <f t="shared" si="3"/>
        <v>0.419921875</v>
      </c>
      <c r="I50" s="4">
        <f t="shared" si="3"/>
        <v>0.419921875</v>
      </c>
      <c r="J50" t="s">
        <v>373</v>
      </c>
    </row>
    <row r="51" spans="1:10">
      <c r="A51" t="s">
        <v>369</v>
      </c>
      <c r="B51">
        <f>VLOOKUP(B$47, GradeRates, MATCH($A51, RateTiers, 0), 0)</f>
        <v>3</v>
      </c>
      <c r="C51" s="4">
        <f t="shared" si="3"/>
        <v>0.390625</v>
      </c>
      <c r="D51" s="4">
        <f t="shared" si="3"/>
        <v>0.390625</v>
      </c>
      <c r="E51" s="4">
        <f t="shared" si="3"/>
        <v>0.390625</v>
      </c>
      <c r="F51" s="4">
        <f t="shared" si="3"/>
        <v>0.390625</v>
      </c>
      <c r="G51" s="4">
        <f t="shared" si="3"/>
        <v>0.390625</v>
      </c>
      <c r="H51" s="4">
        <f t="shared" si="3"/>
        <v>0.390625</v>
      </c>
      <c r="I51" s="4">
        <f t="shared" si="3"/>
        <v>0.390625</v>
      </c>
      <c r="J51" t="s">
        <v>374</v>
      </c>
    </row>
    <row r="52" spans="1:10">
      <c r="A52" t="s">
        <v>370</v>
      </c>
      <c r="B52">
        <f>VLOOKUP(B$47, GradeRates, MATCH($A52, RateTiers, 0), 0)</f>
        <v>3</v>
      </c>
    </row>
    <row r="53" spans="1:10">
      <c r="A53" t="s">
        <v>7</v>
      </c>
      <c r="B53">
        <f>B48+MIN(59,$B$1-1)*B49+MAX(0,$B$1-30)*B50+MIN(15,MAX(0,$B$1-60))*B51+MAX(0,$B$1-75)*B52</f>
        <v>615</v>
      </c>
      <c r="C53">
        <f t="shared" ref="C53:I53" si="4">C48+FLOOR(MIN(59,$B$1-1)*C49,0.5)+FLOOR(MIN(15,MAX(0,$B$1-60))*C50,0.5)+FLOOR(MAX(0,$B$1-75)*C51,0.5)</f>
        <v>45</v>
      </c>
      <c r="D53">
        <f t="shared" si="4"/>
        <v>40.5</v>
      </c>
      <c r="E53">
        <f t="shared" si="4"/>
        <v>40.5</v>
      </c>
      <c r="F53">
        <f t="shared" si="4"/>
        <v>37.5</v>
      </c>
      <c r="G53">
        <f t="shared" si="4"/>
        <v>40.5</v>
      </c>
      <c r="H53">
        <f t="shared" si="4"/>
        <v>28.5</v>
      </c>
      <c r="I53">
        <f t="shared" si="4"/>
        <v>28.5</v>
      </c>
    </row>
    <row r="56" spans="1:10">
      <c r="A56" s="9" t="s">
        <v>222</v>
      </c>
      <c r="B56" s="14" t="s">
        <v>218</v>
      </c>
      <c r="C56" s="14" t="s">
        <v>3</v>
      </c>
      <c r="D56" s="14" t="s">
        <v>4</v>
      </c>
      <c r="E56" s="14" t="s">
        <v>5</v>
      </c>
      <c r="F56" s="14" t="s">
        <v>42</v>
      </c>
      <c r="G56" s="14" t="s">
        <v>182</v>
      </c>
      <c r="H56" s="14" t="s">
        <v>183</v>
      </c>
      <c r="I56" s="14" t="s">
        <v>245</v>
      </c>
    </row>
    <row r="57" spans="1:10">
      <c r="A57" t="str">
        <f>Data!D1</f>
        <v>Sam</v>
      </c>
      <c r="B57" t="str">
        <f t="shared" ref="B57:I57" si="5">VLOOKUP($A57, Grades, MATCH(B$56, Stats, 0), 0)</f>
        <v>B</v>
      </c>
      <c r="C57" t="str">
        <f t="shared" si="5"/>
        <v>C</v>
      </c>
      <c r="D57" t="str">
        <f t="shared" si="5"/>
        <v>C</v>
      </c>
      <c r="E57" t="str">
        <f t="shared" si="5"/>
        <v>C</v>
      </c>
      <c r="F57" t="str">
        <f t="shared" si="5"/>
        <v>D</v>
      </c>
      <c r="G57" t="str">
        <f t="shared" si="5"/>
        <v>E</v>
      </c>
      <c r="H57" t="str">
        <f t="shared" si="5"/>
        <v>E</v>
      </c>
      <c r="I57" t="str">
        <f t="shared" si="5"/>
        <v>D</v>
      </c>
    </row>
    <row r="58" spans="1:10">
      <c r="A58" t="s">
        <v>366</v>
      </c>
      <c r="B58">
        <f>VLOOKUP(B$57, GradeRates, MATCH($A58, RateTiers, 0), 0)</f>
        <v>17</v>
      </c>
      <c r="C58" s="4">
        <f t="shared" ref="C58:I61" si="6">VLOOKUP(C$57, GradeRates, MATCH($J58, RateTiers, 0), 0)</f>
        <v>4</v>
      </c>
      <c r="D58" s="4">
        <f t="shared" si="6"/>
        <v>4</v>
      </c>
      <c r="E58" s="4">
        <f t="shared" si="6"/>
        <v>4</v>
      </c>
      <c r="F58" s="4">
        <f t="shared" si="6"/>
        <v>3</v>
      </c>
      <c r="G58" s="4">
        <f t="shared" si="6"/>
        <v>3</v>
      </c>
      <c r="H58" s="4">
        <f t="shared" si="6"/>
        <v>3</v>
      </c>
      <c r="I58" s="4">
        <f t="shared" si="6"/>
        <v>3</v>
      </c>
      <c r="J58" t="s">
        <v>371</v>
      </c>
    </row>
    <row r="59" spans="1:10">
      <c r="A59" t="s">
        <v>367</v>
      </c>
      <c r="B59">
        <f>VLOOKUP(B$57, GradeRates, MATCH($A59, RateTiers, 0), 0)</f>
        <v>8</v>
      </c>
      <c r="C59" s="4">
        <f t="shared" si="6"/>
        <v>0.4</v>
      </c>
      <c r="D59" s="4">
        <f t="shared" si="6"/>
        <v>0.4</v>
      </c>
      <c r="E59" s="4">
        <f t="shared" si="6"/>
        <v>0.4</v>
      </c>
      <c r="F59" s="4">
        <f t="shared" si="6"/>
        <v>0.35</v>
      </c>
      <c r="G59" s="4">
        <f t="shared" si="6"/>
        <v>0.3</v>
      </c>
      <c r="H59" s="4">
        <f t="shared" si="6"/>
        <v>0.3</v>
      </c>
      <c r="I59" s="4">
        <f t="shared" si="6"/>
        <v>0.35</v>
      </c>
      <c r="J59" t="s">
        <v>372</v>
      </c>
    </row>
    <row r="60" spans="1:10">
      <c r="A60" t="s">
        <v>368</v>
      </c>
      <c r="B60">
        <f>VLOOKUP(B$57, GradeRates, MATCH($A60, RateTiers, 0), 0)</f>
        <v>1</v>
      </c>
      <c r="C60" s="4">
        <f t="shared" si="6"/>
        <v>0.29296875</v>
      </c>
      <c r="D60" s="4">
        <f t="shared" si="6"/>
        <v>0.29296875</v>
      </c>
      <c r="E60" s="4">
        <f t="shared" si="6"/>
        <v>0.29296875</v>
      </c>
      <c r="F60" s="4">
        <f t="shared" si="6"/>
        <v>0.341796875</v>
      </c>
      <c r="G60" s="4">
        <f t="shared" si="6"/>
        <v>0.341796875</v>
      </c>
      <c r="H60" s="4">
        <f t="shared" si="6"/>
        <v>0.341796875</v>
      </c>
      <c r="I60" s="4">
        <f t="shared" si="6"/>
        <v>0.341796875</v>
      </c>
      <c r="J60" t="s">
        <v>373</v>
      </c>
    </row>
    <row r="61" spans="1:10">
      <c r="A61" t="s">
        <v>369</v>
      </c>
      <c r="B61">
        <f>VLOOKUP(B$57, GradeRates, MATCH($A61, RateTiers, 0), 0)</f>
        <v>3</v>
      </c>
      <c r="C61" s="4">
        <f t="shared" si="6"/>
        <v>0.390625</v>
      </c>
      <c r="D61" s="4">
        <f t="shared" si="6"/>
        <v>0.390625</v>
      </c>
      <c r="E61" s="4">
        <f t="shared" si="6"/>
        <v>0.390625</v>
      </c>
      <c r="F61" s="4">
        <f t="shared" si="6"/>
        <v>0.390625</v>
      </c>
      <c r="G61" s="4">
        <f t="shared" si="6"/>
        <v>0.390625</v>
      </c>
      <c r="H61" s="4">
        <f t="shared" si="6"/>
        <v>0.390625</v>
      </c>
      <c r="I61" s="4">
        <f t="shared" si="6"/>
        <v>0.390625</v>
      </c>
      <c r="J61" t="s">
        <v>374</v>
      </c>
    </row>
    <row r="62" spans="1:10">
      <c r="A62" t="s">
        <v>370</v>
      </c>
      <c r="B62">
        <f>VLOOKUP(B$57, GradeRates, MATCH($A62, RateTiers, 0), 0)</f>
        <v>3</v>
      </c>
    </row>
    <row r="63" spans="1:10">
      <c r="A63" t="s">
        <v>7</v>
      </c>
      <c r="B63">
        <f>FLOOR((B58+MIN(59,$C$1-1)*B59+MAX(0,$C$1-30)*B60+MIN(15,MAX(0,$C$1-60))*B61+MAX(0,$C$1-75)*B62)/2,1)</f>
        <v>210</v>
      </c>
      <c r="C63">
        <f t="shared" ref="C63:I63" si="7">FLOOR((C58+FLOOR(MIN(59,$C$1-1)*C59,0.5)+FLOOR(MIN(15,MAX(0,$C$1-60))*C60,0.5)+FLOOR(MAX(0,$C$1-75)*C61,0.5))/2,0.5)</f>
        <v>11.5</v>
      </c>
      <c r="D63">
        <f t="shared" si="7"/>
        <v>11.5</v>
      </c>
      <c r="E63">
        <f t="shared" si="7"/>
        <v>11.5</v>
      </c>
      <c r="F63">
        <f t="shared" si="7"/>
        <v>9.5</v>
      </c>
      <c r="G63">
        <f t="shared" si="7"/>
        <v>8.5</v>
      </c>
      <c r="H63">
        <f t="shared" si="7"/>
        <v>8.5</v>
      </c>
      <c r="I63">
        <f t="shared" si="7"/>
        <v>9.5</v>
      </c>
    </row>
    <row r="66" spans="1:10">
      <c r="A66" s="9" t="s">
        <v>0</v>
      </c>
      <c r="B66" s="14" t="s">
        <v>218</v>
      </c>
      <c r="C66" s="14" t="s">
        <v>3</v>
      </c>
      <c r="D66" s="14" t="s">
        <v>4</v>
      </c>
      <c r="E66" s="14" t="s">
        <v>5</v>
      </c>
      <c r="F66" s="14" t="s">
        <v>42</v>
      </c>
      <c r="G66" s="14" t="s">
        <v>182</v>
      </c>
      <c r="H66" s="14" t="s">
        <v>183</v>
      </c>
      <c r="I66" s="14" t="s">
        <v>245</v>
      </c>
    </row>
    <row r="67" spans="1:10">
      <c r="A67" t="str">
        <f>Data!A1</f>
        <v>Hume</v>
      </c>
      <c r="B67" t="str">
        <f t="shared" ref="B67:I67" si="8">VLOOKUP($A67, Grades, MATCH(B$66, Stats, 0), 0)</f>
        <v>D</v>
      </c>
      <c r="C67" t="str">
        <f t="shared" si="8"/>
        <v>D</v>
      </c>
      <c r="D67" t="str">
        <f t="shared" si="8"/>
        <v>D</v>
      </c>
      <c r="E67" t="str">
        <f t="shared" si="8"/>
        <v>D</v>
      </c>
      <c r="F67" t="str">
        <f t="shared" si="8"/>
        <v>D</v>
      </c>
      <c r="G67" t="str">
        <f t="shared" si="8"/>
        <v>D</v>
      </c>
      <c r="H67" t="str">
        <f t="shared" si="8"/>
        <v>D</v>
      </c>
      <c r="I67" t="str">
        <f t="shared" si="8"/>
        <v>D</v>
      </c>
    </row>
    <row r="68" spans="1:10">
      <c r="A68" t="s">
        <v>366</v>
      </c>
      <c r="B68">
        <f>VLOOKUP(B$67, GradeRates, MATCH($A68, RateTiers, 0), 0)</f>
        <v>14</v>
      </c>
      <c r="C68" s="4">
        <f t="shared" ref="C68:I71" si="9">VLOOKUP(C$67, GradeRates, MATCH($J68, RateTiers, 0), 0)</f>
        <v>3</v>
      </c>
      <c r="D68" s="4">
        <f t="shared" si="9"/>
        <v>3</v>
      </c>
      <c r="E68" s="4">
        <f t="shared" si="9"/>
        <v>3</v>
      </c>
      <c r="F68" s="4">
        <f t="shared" si="9"/>
        <v>3</v>
      </c>
      <c r="G68" s="4">
        <f t="shared" si="9"/>
        <v>3</v>
      </c>
      <c r="H68" s="4">
        <f t="shared" si="9"/>
        <v>3</v>
      </c>
      <c r="I68" s="4">
        <f t="shared" si="9"/>
        <v>3</v>
      </c>
      <c r="J68" t="s">
        <v>371</v>
      </c>
    </row>
    <row r="69" spans="1:10">
      <c r="A69" t="s">
        <v>367</v>
      </c>
      <c r="B69">
        <f>VLOOKUP(B$67, GradeRates, MATCH($A69, RateTiers, 0), 0)</f>
        <v>6</v>
      </c>
      <c r="C69" s="4">
        <f t="shared" si="9"/>
        <v>0.35</v>
      </c>
      <c r="D69" s="4">
        <f t="shared" si="9"/>
        <v>0.35</v>
      </c>
      <c r="E69" s="4">
        <f t="shared" si="9"/>
        <v>0.35</v>
      </c>
      <c r="F69" s="4">
        <f t="shared" si="9"/>
        <v>0.35</v>
      </c>
      <c r="G69" s="4">
        <f t="shared" si="9"/>
        <v>0.35</v>
      </c>
      <c r="H69" s="4">
        <f t="shared" si="9"/>
        <v>0.35</v>
      </c>
      <c r="I69" s="4">
        <f t="shared" si="9"/>
        <v>0.35</v>
      </c>
      <c r="J69" t="s">
        <v>372</v>
      </c>
    </row>
    <row r="70" spans="1:10">
      <c r="A70" t="s">
        <v>368</v>
      </c>
      <c r="B70">
        <f>VLOOKUP(B$67, GradeRates, MATCH($A70, RateTiers, 0), 0)</f>
        <v>0</v>
      </c>
      <c r="C70" s="4">
        <f t="shared" si="9"/>
        <v>0.341796875</v>
      </c>
      <c r="D70" s="4">
        <f t="shared" si="9"/>
        <v>0.341796875</v>
      </c>
      <c r="E70" s="4">
        <f t="shared" si="9"/>
        <v>0.341796875</v>
      </c>
      <c r="F70" s="4">
        <f t="shared" si="9"/>
        <v>0.341796875</v>
      </c>
      <c r="G70" s="4">
        <f t="shared" si="9"/>
        <v>0.341796875</v>
      </c>
      <c r="H70" s="4">
        <f t="shared" si="9"/>
        <v>0.341796875</v>
      </c>
      <c r="I70" s="4">
        <f t="shared" si="9"/>
        <v>0.341796875</v>
      </c>
      <c r="J70" t="s">
        <v>373</v>
      </c>
    </row>
    <row r="71" spans="1:10">
      <c r="A71" t="s">
        <v>369</v>
      </c>
      <c r="B71">
        <f>VLOOKUP(B$67, GradeRates, MATCH($A71, RateTiers, 0), 0)</f>
        <v>3</v>
      </c>
      <c r="C71" s="4">
        <f t="shared" si="9"/>
        <v>0.390625</v>
      </c>
      <c r="D71" s="4">
        <f t="shared" si="9"/>
        <v>0.390625</v>
      </c>
      <c r="E71" s="4">
        <f t="shared" si="9"/>
        <v>0.390625</v>
      </c>
      <c r="F71" s="4">
        <f t="shared" si="9"/>
        <v>0.390625</v>
      </c>
      <c r="G71" s="4">
        <f t="shared" si="9"/>
        <v>0.390625</v>
      </c>
      <c r="H71" s="4">
        <f t="shared" si="9"/>
        <v>0.390625</v>
      </c>
      <c r="I71" s="4">
        <f t="shared" si="9"/>
        <v>0.390625</v>
      </c>
      <c r="J71" t="s">
        <v>374</v>
      </c>
    </row>
    <row r="72" spans="1:10">
      <c r="A72" t="s">
        <v>370</v>
      </c>
      <c r="B72">
        <f>VLOOKUP(B$67, GradeRates, MATCH($A72, RateTiers, 0), 0)</f>
        <v>3</v>
      </c>
    </row>
    <row r="73" spans="1:10">
      <c r="A73" t="s">
        <v>7</v>
      </c>
      <c r="B73">
        <f>B68+MIN(59,$B$1-1)*B69+MAX(0,$B$1-30)*B70+MIN(15,MAX(0,$B$1-60))*B71+MAX(0,$B$1-75)*B72</f>
        <v>485</v>
      </c>
      <c r="C73">
        <f t="shared" ref="C73:I73" si="10">C68+FLOOR(MIN(59,$B$1-1)*C69,0.5)+FLOOR(MIN(15,MAX(0,$B$1-60))*C70,0.5)+FLOOR(MAX(0,$B$1-75)*C71,0.5)</f>
        <v>37.5</v>
      </c>
      <c r="D73">
        <f t="shared" si="10"/>
        <v>37.5</v>
      </c>
      <c r="E73">
        <f t="shared" si="10"/>
        <v>37.5</v>
      </c>
      <c r="F73">
        <f t="shared" si="10"/>
        <v>37.5</v>
      </c>
      <c r="G73">
        <f t="shared" si="10"/>
        <v>37.5</v>
      </c>
      <c r="H73">
        <f t="shared" si="10"/>
        <v>37.5</v>
      </c>
      <c r="I73">
        <f t="shared" si="10"/>
        <v>37.5</v>
      </c>
    </row>
    <row r="75" spans="1:10">
      <c r="B75" s="14" t="s">
        <v>218</v>
      </c>
      <c r="C75" s="14" t="s">
        <v>3</v>
      </c>
      <c r="D75" s="14" t="s">
        <v>4</v>
      </c>
      <c r="E75" s="14" t="s">
        <v>5</v>
      </c>
      <c r="F75" s="14" t="s">
        <v>42</v>
      </c>
      <c r="G75" s="14" t="s">
        <v>182</v>
      </c>
      <c r="H75" s="14" t="s">
        <v>183</v>
      </c>
      <c r="I75" s="14" t="s">
        <v>245</v>
      </c>
    </row>
    <row r="76" spans="1:10">
      <c r="A76" t="s">
        <v>375</v>
      </c>
      <c r="B76">
        <f>MAX(0,$B$1-10)*2+MIN(10,MAX(0,$B$1-50))*2+IF(A47="Mnk",IF($B$1&gt;=15, 30,0)+IF($B$1&gt;=35, 30,0)+IF($B$1&gt;=55, 60,0)+IF($B$1&gt;=70, 60,0)+IF($B$1&gt;=90, 60,0))</f>
        <v>198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19"/>
  <dimension ref="A1:J78"/>
  <sheetViews>
    <sheetView workbookViewId="0">
      <selection activeCell="H19" sqref="H19"/>
    </sheetView>
  </sheetViews>
  <sheetFormatPr defaultRowHeight="12.75"/>
  <cols>
    <col min="1" max="1" width="15.7109375" customWidth="1"/>
    <col min="2" max="2" width="21.42578125" customWidth="1"/>
    <col min="3" max="3" width="14.42578125" customWidth="1"/>
    <col min="4" max="4" width="30.28515625" customWidth="1"/>
    <col min="5" max="5" width="14.140625" customWidth="1"/>
    <col min="6" max="6" width="30.7109375" customWidth="1"/>
    <col min="7" max="7" width="25.140625" customWidth="1"/>
    <col min="8" max="8" width="12" customWidth="1"/>
    <col min="9" max="9" width="15.7109375" customWidth="1"/>
    <col min="10" max="10" width="16.140625" customWidth="1"/>
  </cols>
  <sheetData>
    <row r="1" spans="1:10">
      <c r="A1" t="s">
        <v>195</v>
      </c>
      <c r="B1">
        <v>50</v>
      </c>
      <c r="C1" t="s">
        <v>196</v>
      </c>
      <c r="D1">
        <v>50</v>
      </c>
    </row>
    <row r="2" spans="1:10">
      <c r="G2" t="s">
        <v>568</v>
      </c>
      <c r="H2">
        <v>0.3</v>
      </c>
    </row>
    <row r="3" spans="1:10">
      <c r="A3" t="s">
        <v>47</v>
      </c>
      <c r="B3" t="s">
        <v>197</v>
      </c>
      <c r="C3" t="s">
        <v>198</v>
      </c>
      <c r="D3" t="s">
        <v>199</v>
      </c>
      <c r="E3" t="s">
        <v>200</v>
      </c>
      <c r="F3" t="s">
        <v>201</v>
      </c>
      <c r="G3" t="s">
        <v>202</v>
      </c>
      <c r="H3" t="s">
        <v>203</v>
      </c>
      <c r="I3" t="s">
        <v>204</v>
      </c>
      <c r="J3" t="s">
        <v>205</v>
      </c>
    </row>
    <row r="4" spans="1:10">
      <c r="A4">
        <v>1</v>
      </c>
      <c r="B4">
        <f>IF($B$1&gt;=A4, SUM(A$4:A4), 0)</f>
        <v>1</v>
      </c>
      <c r="C4">
        <f t="shared" ref="C4:C35" si="0">($B$1+1)-A4</f>
        <v>50</v>
      </c>
      <c r="D4">
        <f ca="1">IF($B$1&gt;=A4, SUM(INDIRECT("A"&amp;($B$1+3)):INDIRECT("A"&amp;(C4+3))), 0)</f>
        <v>50</v>
      </c>
      <c r="E4">
        <f t="shared" ref="E4:E35" ca="1" si="1">D4-B4</f>
        <v>49</v>
      </c>
      <c r="F4">
        <f ca="1">IF($B$1&gt;=A4, SUM(INDIRECT("A"&amp;ROW()+1&amp;":A"&amp;($B$1+4))), 0)</f>
        <v>1325</v>
      </c>
      <c r="G4">
        <f t="shared" ref="G4:G35" ca="1" si="2">F4+D4</f>
        <v>1375</v>
      </c>
      <c r="H4" s="4">
        <f ca="1">G4/$B$1/$H$2</f>
        <v>91.666666666666671</v>
      </c>
      <c r="I4" s="4">
        <f t="shared" ref="I4:I35" ca="1" si="3">H4*AvgHitsPerRound1</f>
        <v>143.5124625</v>
      </c>
      <c r="J4" s="4">
        <f t="shared" ref="J4:J35" ca="1" si="4">H4*AvgHitsPerRound2</f>
        <v>141.95715416666664</v>
      </c>
    </row>
    <row r="5" spans="1:10">
      <c r="A5">
        <v>2</v>
      </c>
      <c r="B5">
        <f>IF($B$1&gt;=A5, SUM(A$4:A5), 0)</f>
        <v>3</v>
      </c>
      <c r="C5">
        <f t="shared" si="0"/>
        <v>49</v>
      </c>
      <c r="D5">
        <f ca="1">IF($B$1&gt;=A5, SUM(INDIRECT("A"&amp;($B$1+3)):INDIRECT("A"&amp;(C5+3))), 0)</f>
        <v>99</v>
      </c>
      <c r="E5">
        <f t="shared" ca="1" si="1"/>
        <v>96</v>
      </c>
      <c r="F5">
        <f t="shared" ref="F5:F68" ca="1" si="5">IF($B$1&gt;=A5, SUM(INDIRECT("A"&amp;ROW()+1&amp;":A"&amp;($B$1+4))), 0)</f>
        <v>1323</v>
      </c>
      <c r="G5">
        <f t="shared" ca="1" si="2"/>
        <v>1422</v>
      </c>
      <c r="H5" s="4">
        <f t="shared" ref="H5:H68" ca="1" si="6">G5/$B$1/$H$2</f>
        <v>94.800000000000011</v>
      </c>
      <c r="I5" s="4">
        <f t="shared" ca="1" si="3"/>
        <v>148.41797940000001</v>
      </c>
      <c r="J5" s="4">
        <f t="shared" ca="1" si="4"/>
        <v>146.80950779999998</v>
      </c>
    </row>
    <row r="6" spans="1:10">
      <c r="A6">
        <v>3</v>
      </c>
      <c r="B6">
        <f>IF($B$1&gt;=A6, SUM(A$4:A6), 0)</f>
        <v>6</v>
      </c>
      <c r="C6">
        <f t="shared" si="0"/>
        <v>48</v>
      </c>
      <c r="D6">
        <f ca="1">IF($B$1&gt;=A6, SUM(INDIRECT("A"&amp;($B$1+3)):INDIRECT("A"&amp;(C6+3))), 0)</f>
        <v>147</v>
      </c>
      <c r="E6">
        <f t="shared" ca="1" si="1"/>
        <v>141</v>
      </c>
      <c r="F6">
        <f t="shared" ca="1" si="5"/>
        <v>1320</v>
      </c>
      <c r="G6">
        <f t="shared" ca="1" si="2"/>
        <v>1467</v>
      </c>
      <c r="H6" s="4">
        <f t="shared" ca="1" si="6"/>
        <v>97.8</v>
      </c>
      <c r="I6" s="4">
        <f t="shared" ca="1" si="3"/>
        <v>153.11475089999999</v>
      </c>
      <c r="J6" s="4">
        <f t="shared" ca="1" si="4"/>
        <v>151.45537829999998</v>
      </c>
    </row>
    <row r="7" spans="1:10">
      <c r="A7">
        <v>4</v>
      </c>
      <c r="B7">
        <f>IF($B$1&gt;=A7, SUM(A$4:A7), 0)</f>
        <v>10</v>
      </c>
      <c r="C7">
        <f t="shared" si="0"/>
        <v>47</v>
      </c>
      <c r="D7">
        <f ca="1">IF($B$1&gt;=A7, SUM(INDIRECT("A"&amp;($B$1+3)):INDIRECT("A"&amp;(C7+3))), 0)</f>
        <v>194</v>
      </c>
      <c r="E7">
        <f t="shared" ca="1" si="1"/>
        <v>184</v>
      </c>
      <c r="F7">
        <f t="shared" ca="1" si="5"/>
        <v>1316</v>
      </c>
      <c r="G7">
        <f t="shared" ca="1" si="2"/>
        <v>1510</v>
      </c>
      <c r="H7" s="4">
        <f t="shared" ca="1" si="6"/>
        <v>100.66666666666667</v>
      </c>
      <c r="I7" s="4">
        <f t="shared" ca="1" si="3"/>
        <v>157.602777</v>
      </c>
      <c r="J7" s="4">
        <f t="shared" ca="1" si="4"/>
        <v>155.89476566666664</v>
      </c>
    </row>
    <row r="8" spans="1:10">
      <c r="A8">
        <v>5</v>
      </c>
      <c r="B8">
        <f>IF($B$1&gt;=A8, SUM(A$4:A8), 0)</f>
        <v>15</v>
      </c>
      <c r="C8">
        <f t="shared" si="0"/>
        <v>46</v>
      </c>
      <c r="D8">
        <f ca="1">IF($B$1&gt;=A8, SUM(INDIRECT("A"&amp;($B$1+3)):INDIRECT("A"&amp;(C8+3))), 0)</f>
        <v>240</v>
      </c>
      <c r="E8">
        <f t="shared" ca="1" si="1"/>
        <v>225</v>
      </c>
      <c r="F8">
        <f t="shared" ca="1" si="5"/>
        <v>1311</v>
      </c>
      <c r="G8">
        <f t="shared" ca="1" si="2"/>
        <v>1551</v>
      </c>
      <c r="H8" s="4">
        <f t="shared" ca="1" si="6"/>
        <v>103.4</v>
      </c>
      <c r="I8" s="4">
        <f t="shared" ca="1" si="3"/>
        <v>161.88205769999999</v>
      </c>
      <c r="J8" s="4">
        <f t="shared" ca="1" si="4"/>
        <v>160.12766989999997</v>
      </c>
    </row>
    <row r="9" spans="1:10">
      <c r="A9">
        <v>6</v>
      </c>
      <c r="B9">
        <f>IF($B$1&gt;=A9, SUM(A$4:A9), 0)</f>
        <v>21</v>
      </c>
      <c r="C9">
        <f t="shared" si="0"/>
        <v>45</v>
      </c>
      <c r="D9">
        <f ca="1">IF($B$1&gt;=A9, SUM(INDIRECT("A"&amp;($B$1+3)):INDIRECT("A"&amp;(C9+3))), 0)</f>
        <v>285</v>
      </c>
      <c r="E9">
        <f t="shared" ca="1" si="1"/>
        <v>264</v>
      </c>
      <c r="F9">
        <f t="shared" ca="1" si="5"/>
        <v>1305</v>
      </c>
      <c r="G9">
        <f t="shared" ca="1" si="2"/>
        <v>1590</v>
      </c>
      <c r="H9" s="4">
        <f t="shared" ca="1" si="6"/>
        <v>106</v>
      </c>
      <c r="I9" s="4">
        <f t="shared" ca="1" si="3"/>
        <v>165.95259299999998</v>
      </c>
      <c r="J9" s="4">
        <f t="shared" ca="1" si="4"/>
        <v>164.15409099999997</v>
      </c>
    </row>
    <row r="10" spans="1:10">
      <c r="A10">
        <v>7</v>
      </c>
      <c r="B10">
        <f>IF($B$1&gt;=A10, SUM(A$4:A10), 0)</f>
        <v>28</v>
      </c>
      <c r="C10">
        <f t="shared" si="0"/>
        <v>44</v>
      </c>
      <c r="D10">
        <f ca="1">IF($B$1&gt;=A10, SUM(INDIRECT("A"&amp;($B$1+3)):INDIRECT("A"&amp;(C10+3))), 0)</f>
        <v>329</v>
      </c>
      <c r="E10">
        <f t="shared" ca="1" si="1"/>
        <v>301</v>
      </c>
      <c r="F10">
        <f t="shared" ca="1" si="5"/>
        <v>1298</v>
      </c>
      <c r="G10">
        <f t="shared" ca="1" si="2"/>
        <v>1627</v>
      </c>
      <c r="H10" s="4">
        <f t="shared" ca="1" si="6"/>
        <v>108.46666666666667</v>
      </c>
      <c r="I10" s="4">
        <f t="shared" ca="1" si="3"/>
        <v>169.8143829</v>
      </c>
      <c r="J10" s="4">
        <f t="shared" ca="1" si="4"/>
        <v>167.97402896666665</v>
      </c>
    </row>
    <row r="11" spans="1:10">
      <c r="A11">
        <v>8</v>
      </c>
      <c r="B11">
        <f>IF($B$1&gt;=A11, SUM(A$4:A11), 0)</f>
        <v>36</v>
      </c>
      <c r="C11">
        <f t="shared" si="0"/>
        <v>43</v>
      </c>
      <c r="D11">
        <f ca="1">IF($B$1&gt;=A11, SUM(INDIRECT("A"&amp;($B$1+3)):INDIRECT("A"&amp;(C11+3))), 0)</f>
        <v>372</v>
      </c>
      <c r="E11">
        <f t="shared" ca="1" si="1"/>
        <v>336</v>
      </c>
      <c r="F11">
        <f t="shared" ca="1" si="5"/>
        <v>1290</v>
      </c>
      <c r="G11">
        <f t="shared" ca="1" si="2"/>
        <v>1662</v>
      </c>
      <c r="H11" s="4">
        <f t="shared" ca="1" si="6"/>
        <v>110.80000000000001</v>
      </c>
      <c r="I11" s="4">
        <f t="shared" ca="1" si="3"/>
        <v>173.46742739999999</v>
      </c>
      <c r="J11" s="4">
        <f t="shared" ca="1" si="4"/>
        <v>171.58748379999997</v>
      </c>
    </row>
    <row r="12" spans="1:10">
      <c r="A12">
        <v>9</v>
      </c>
      <c r="B12">
        <f>IF($B$1&gt;=A12, SUM(A$4:A12), 0)</f>
        <v>45</v>
      </c>
      <c r="C12">
        <f t="shared" si="0"/>
        <v>42</v>
      </c>
      <c r="D12">
        <f ca="1">IF($B$1&gt;=A12, SUM(INDIRECT("A"&amp;($B$1+3)):INDIRECT("A"&amp;(C12+3))), 0)</f>
        <v>414</v>
      </c>
      <c r="E12">
        <f t="shared" ca="1" si="1"/>
        <v>369</v>
      </c>
      <c r="F12">
        <f t="shared" ca="1" si="5"/>
        <v>1281</v>
      </c>
      <c r="G12">
        <f t="shared" ca="1" si="2"/>
        <v>1695</v>
      </c>
      <c r="H12" s="4">
        <f t="shared" ca="1" si="6"/>
        <v>113</v>
      </c>
      <c r="I12" s="4">
        <f t="shared" ca="1" si="3"/>
        <v>176.91172649999999</v>
      </c>
      <c r="J12" s="4">
        <f t="shared" ca="1" si="4"/>
        <v>174.99445549999996</v>
      </c>
    </row>
    <row r="13" spans="1:10">
      <c r="A13">
        <v>10</v>
      </c>
      <c r="B13">
        <f>IF($B$1&gt;=A13, SUM(A$4:A13), 0)</f>
        <v>55</v>
      </c>
      <c r="C13">
        <f t="shared" si="0"/>
        <v>41</v>
      </c>
      <c r="D13">
        <f ca="1">IF($B$1&gt;=A13, SUM(INDIRECT("A"&amp;($B$1+3)):INDIRECT("A"&amp;(C13+3))), 0)</f>
        <v>455</v>
      </c>
      <c r="E13">
        <f t="shared" ca="1" si="1"/>
        <v>400</v>
      </c>
      <c r="F13">
        <f t="shared" ca="1" si="5"/>
        <v>1271</v>
      </c>
      <c r="G13">
        <f t="shared" ca="1" si="2"/>
        <v>1726</v>
      </c>
      <c r="H13" s="4">
        <f t="shared" ca="1" si="6"/>
        <v>115.06666666666668</v>
      </c>
      <c r="I13" s="4">
        <f t="shared" ca="1" si="3"/>
        <v>180.14728020000001</v>
      </c>
      <c r="J13" s="4">
        <f t="shared" ca="1" si="4"/>
        <v>178.19494406666664</v>
      </c>
    </row>
    <row r="14" spans="1:10">
      <c r="A14">
        <v>11</v>
      </c>
      <c r="B14">
        <f>IF($B$1&gt;=A14, SUM(A$4:A14), 0)</f>
        <v>66</v>
      </c>
      <c r="C14">
        <f t="shared" si="0"/>
        <v>40</v>
      </c>
      <c r="D14">
        <f ca="1">IF($B$1&gt;=A14, SUM(INDIRECT("A"&amp;($B$1+3)):INDIRECT("A"&amp;(C14+3))), 0)</f>
        <v>495</v>
      </c>
      <c r="E14">
        <f t="shared" ca="1" si="1"/>
        <v>429</v>
      </c>
      <c r="F14">
        <f t="shared" ca="1" si="5"/>
        <v>1260</v>
      </c>
      <c r="G14">
        <f t="shared" ca="1" si="2"/>
        <v>1755</v>
      </c>
      <c r="H14" s="4">
        <f t="shared" ca="1" si="6"/>
        <v>117.00000000000001</v>
      </c>
      <c r="I14" s="4">
        <f t="shared" ca="1" si="3"/>
        <v>183.17408850000001</v>
      </c>
      <c r="J14" s="4">
        <f t="shared" ca="1" si="4"/>
        <v>181.18894949999998</v>
      </c>
    </row>
    <row r="15" spans="1:10">
      <c r="A15">
        <v>12</v>
      </c>
      <c r="B15">
        <f>IF($B$1&gt;=A15, SUM(A$4:A15), 0)</f>
        <v>78</v>
      </c>
      <c r="C15">
        <f t="shared" si="0"/>
        <v>39</v>
      </c>
      <c r="D15">
        <f ca="1">IF($B$1&gt;=A15, SUM(INDIRECT("A"&amp;($B$1+3)):INDIRECT("A"&amp;(C15+3))), 0)</f>
        <v>534</v>
      </c>
      <c r="E15">
        <f t="shared" ca="1" si="1"/>
        <v>456</v>
      </c>
      <c r="F15">
        <f t="shared" ca="1" si="5"/>
        <v>1248</v>
      </c>
      <c r="G15">
        <f t="shared" ca="1" si="2"/>
        <v>1782</v>
      </c>
      <c r="H15" s="4">
        <f t="shared" ca="1" si="6"/>
        <v>118.80000000000001</v>
      </c>
      <c r="I15" s="4">
        <f t="shared" ca="1" si="3"/>
        <v>185.99215140000001</v>
      </c>
      <c r="J15" s="4">
        <f t="shared" ca="1" si="4"/>
        <v>183.97647179999998</v>
      </c>
    </row>
    <row r="16" spans="1:10">
      <c r="A16">
        <v>13</v>
      </c>
      <c r="B16">
        <f>IF($B$1&gt;=A16, SUM(A$4:A16), 0)</f>
        <v>91</v>
      </c>
      <c r="C16">
        <f t="shared" si="0"/>
        <v>38</v>
      </c>
      <c r="D16">
        <f ca="1">IF($B$1&gt;=A16, SUM(INDIRECT("A"&amp;($B$1+3)):INDIRECT("A"&amp;(C16+3))), 0)</f>
        <v>572</v>
      </c>
      <c r="E16">
        <f t="shared" ca="1" si="1"/>
        <v>481</v>
      </c>
      <c r="F16">
        <f t="shared" ca="1" si="5"/>
        <v>1235</v>
      </c>
      <c r="G16">
        <f t="shared" ca="1" si="2"/>
        <v>1807</v>
      </c>
      <c r="H16" s="4">
        <f t="shared" ca="1" si="6"/>
        <v>120.46666666666667</v>
      </c>
      <c r="I16" s="4">
        <f t="shared" ca="1" si="3"/>
        <v>188.60146889999999</v>
      </c>
      <c r="J16" s="4">
        <f t="shared" ca="1" si="4"/>
        <v>186.55751096666663</v>
      </c>
    </row>
    <row r="17" spans="1:10">
      <c r="A17">
        <v>14</v>
      </c>
      <c r="B17">
        <f>IF($B$1&gt;=A17, SUM(A$4:A17), 0)</f>
        <v>105</v>
      </c>
      <c r="C17">
        <f t="shared" si="0"/>
        <v>37</v>
      </c>
      <c r="D17">
        <f ca="1">IF($B$1&gt;=A17, SUM(INDIRECT("A"&amp;($B$1+3)):INDIRECT("A"&amp;(C17+3))), 0)</f>
        <v>609</v>
      </c>
      <c r="E17">
        <f t="shared" ca="1" si="1"/>
        <v>504</v>
      </c>
      <c r="F17">
        <f t="shared" ca="1" si="5"/>
        <v>1221</v>
      </c>
      <c r="G17">
        <f t="shared" ca="1" si="2"/>
        <v>1830</v>
      </c>
      <c r="H17" s="4">
        <f t="shared" ca="1" si="6"/>
        <v>122.00000000000001</v>
      </c>
      <c r="I17" s="4">
        <f t="shared" ca="1" si="3"/>
        <v>191.00204100000002</v>
      </c>
      <c r="J17" s="4">
        <f t="shared" ca="1" si="4"/>
        <v>188.93206699999999</v>
      </c>
    </row>
    <row r="18" spans="1:10">
      <c r="A18">
        <v>15</v>
      </c>
      <c r="B18">
        <f>IF($B$1&gt;=A18, SUM(A$4:A18), 0)</f>
        <v>120</v>
      </c>
      <c r="C18">
        <f t="shared" si="0"/>
        <v>36</v>
      </c>
      <c r="D18">
        <f ca="1">IF($B$1&gt;=A18, SUM(INDIRECT("A"&amp;($B$1+3)):INDIRECT("A"&amp;(C18+3))), 0)</f>
        <v>645</v>
      </c>
      <c r="E18">
        <f t="shared" ca="1" si="1"/>
        <v>525</v>
      </c>
      <c r="F18">
        <f t="shared" ca="1" si="5"/>
        <v>1206</v>
      </c>
      <c r="G18">
        <f t="shared" ca="1" si="2"/>
        <v>1851</v>
      </c>
      <c r="H18" s="4">
        <f t="shared" ca="1" si="6"/>
        <v>123.40000000000002</v>
      </c>
      <c r="I18" s="4">
        <f t="shared" ca="1" si="3"/>
        <v>193.19386770000003</v>
      </c>
      <c r="J18" s="4">
        <f t="shared" ca="1" si="4"/>
        <v>191.10013989999999</v>
      </c>
    </row>
    <row r="19" spans="1:10">
      <c r="A19">
        <v>16</v>
      </c>
      <c r="B19">
        <f>IF($B$1&gt;=A19, SUM(A$4:A19), 0)</f>
        <v>136</v>
      </c>
      <c r="C19">
        <f t="shared" si="0"/>
        <v>35</v>
      </c>
      <c r="D19">
        <f ca="1">IF($B$1&gt;=A19, SUM(INDIRECT("A"&amp;($B$1+3)):INDIRECT("A"&amp;(C19+3))), 0)</f>
        <v>680</v>
      </c>
      <c r="E19">
        <f t="shared" ca="1" si="1"/>
        <v>544</v>
      </c>
      <c r="F19">
        <f t="shared" ca="1" si="5"/>
        <v>1190</v>
      </c>
      <c r="G19">
        <f t="shared" ca="1" si="2"/>
        <v>1870</v>
      </c>
      <c r="H19" s="4">
        <f t="shared" ca="1" si="6"/>
        <v>124.66666666666667</v>
      </c>
      <c r="I19" s="4">
        <f t="shared" ca="1" si="3"/>
        <v>195.17694899999998</v>
      </c>
      <c r="J19" s="4">
        <f t="shared" ca="1" si="4"/>
        <v>193.06172966666665</v>
      </c>
    </row>
    <row r="20" spans="1:10">
      <c r="A20">
        <v>17</v>
      </c>
      <c r="B20">
        <f>IF($B$1&gt;=A20, SUM(A$4:A20), 0)</f>
        <v>153</v>
      </c>
      <c r="C20">
        <f t="shared" si="0"/>
        <v>34</v>
      </c>
      <c r="D20">
        <f ca="1">IF($B$1&gt;=A20, SUM(INDIRECT("A"&amp;($B$1+3)):INDIRECT("A"&amp;(C20+3))), 0)</f>
        <v>714</v>
      </c>
      <c r="E20">
        <f t="shared" ca="1" si="1"/>
        <v>561</v>
      </c>
      <c r="F20">
        <f t="shared" ca="1" si="5"/>
        <v>1173</v>
      </c>
      <c r="G20">
        <f t="shared" ca="1" si="2"/>
        <v>1887</v>
      </c>
      <c r="H20" s="4">
        <f t="shared" ca="1" si="6"/>
        <v>125.80000000000001</v>
      </c>
      <c r="I20" s="4">
        <f t="shared" ca="1" si="3"/>
        <v>196.95128489999999</v>
      </c>
      <c r="J20" s="4">
        <f t="shared" ca="1" si="4"/>
        <v>194.81683629999998</v>
      </c>
    </row>
    <row r="21" spans="1:10">
      <c r="A21">
        <v>18</v>
      </c>
      <c r="B21">
        <f>IF($B$1&gt;=A21, SUM(A$4:A21), 0)</f>
        <v>171</v>
      </c>
      <c r="C21">
        <f t="shared" si="0"/>
        <v>33</v>
      </c>
      <c r="D21">
        <f ca="1">IF($B$1&gt;=A21, SUM(INDIRECT("A"&amp;($B$1+3)):INDIRECT("A"&amp;(C21+3))), 0)</f>
        <v>747</v>
      </c>
      <c r="E21">
        <f t="shared" ca="1" si="1"/>
        <v>576</v>
      </c>
      <c r="F21">
        <f t="shared" ca="1" si="5"/>
        <v>1155</v>
      </c>
      <c r="G21">
        <f t="shared" ca="1" si="2"/>
        <v>1902</v>
      </c>
      <c r="H21" s="4">
        <f t="shared" ca="1" si="6"/>
        <v>126.8</v>
      </c>
      <c r="I21" s="4">
        <f t="shared" ca="1" si="3"/>
        <v>198.51687539999998</v>
      </c>
      <c r="J21" s="4">
        <f t="shared" ca="1" si="4"/>
        <v>196.36545979999997</v>
      </c>
    </row>
    <row r="22" spans="1:10">
      <c r="A22">
        <v>19</v>
      </c>
      <c r="B22">
        <f>IF($B$1&gt;=A22, SUM(A$4:A22), 0)</f>
        <v>190</v>
      </c>
      <c r="C22">
        <f t="shared" si="0"/>
        <v>32</v>
      </c>
      <c r="D22">
        <f ca="1">IF($B$1&gt;=A22, SUM(INDIRECT("A"&amp;($B$1+3)):INDIRECT("A"&amp;(C22+3))), 0)</f>
        <v>779</v>
      </c>
      <c r="E22">
        <f t="shared" ca="1" si="1"/>
        <v>589</v>
      </c>
      <c r="F22">
        <f t="shared" ca="1" si="5"/>
        <v>1136</v>
      </c>
      <c r="G22">
        <f t="shared" ca="1" si="2"/>
        <v>1915</v>
      </c>
      <c r="H22" s="4">
        <f t="shared" ca="1" si="6"/>
        <v>127.66666666666666</v>
      </c>
      <c r="I22" s="4">
        <f t="shared" ca="1" si="3"/>
        <v>199.87372049999996</v>
      </c>
      <c r="J22" s="4">
        <f t="shared" ca="1" si="4"/>
        <v>197.70760016666662</v>
      </c>
    </row>
    <row r="23" spans="1:10">
      <c r="A23">
        <v>20</v>
      </c>
      <c r="B23">
        <f>IF($B$1&gt;=A23, SUM(A$4:A23), 0)</f>
        <v>210</v>
      </c>
      <c r="C23">
        <f t="shared" si="0"/>
        <v>31</v>
      </c>
      <c r="D23">
        <f ca="1">IF($B$1&gt;=A23, SUM(INDIRECT("A"&amp;($B$1+3)):INDIRECT("A"&amp;(C23+3))), 0)</f>
        <v>810</v>
      </c>
      <c r="E23">
        <f t="shared" ca="1" si="1"/>
        <v>600</v>
      </c>
      <c r="F23">
        <f t="shared" ca="1" si="5"/>
        <v>1116</v>
      </c>
      <c r="G23">
        <f t="shared" ca="1" si="2"/>
        <v>1926</v>
      </c>
      <c r="H23" s="4">
        <f t="shared" ca="1" si="6"/>
        <v>128.4</v>
      </c>
      <c r="I23" s="4">
        <f t="shared" ca="1" si="3"/>
        <v>201.02182020000001</v>
      </c>
      <c r="J23" s="4">
        <f t="shared" ca="1" si="4"/>
        <v>198.84325739999997</v>
      </c>
    </row>
    <row r="24" spans="1:10">
      <c r="A24">
        <v>21</v>
      </c>
      <c r="B24">
        <f>IF($B$1&gt;=A24, SUM(A$4:A24), 0)</f>
        <v>231</v>
      </c>
      <c r="C24">
        <f t="shared" si="0"/>
        <v>30</v>
      </c>
      <c r="D24">
        <f ca="1">IF($B$1&gt;=A24, SUM(INDIRECT("A"&amp;($B$1+3)):INDIRECT("A"&amp;(C24+3))), 0)</f>
        <v>840</v>
      </c>
      <c r="E24">
        <f t="shared" ca="1" si="1"/>
        <v>609</v>
      </c>
      <c r="F24">
        <f t="shared" ca="1" si="5"/>
        <v>1095</v>
      </c>
      <c r="G24">
        <f t="shared" ca="1" si="2"/>
        <v>1935</v>
      </c>
      <c r="H24" s="4">
        <f t="shared" ca="1" si="6"/>
        <v>129.00000000000003</v>
      </c>
      <c r="I24" s="4">
        <f t="shared" ca="1" si="3"/>
        <v>201.96117450000003</v>
      </c>
      <c r="J24" s="4">
        <f t="shared" ca="1" si="4"/>
        <v>199.77243150000001</v>
      </c>
    </row>
    <row r="25" spans="1:10">
      <c r="A25">
        <v>22</v>
      </c>
      <c r="B25">
        <f>IF($B$1&gt;=A25, SUM(A$4:A25), 0)</f>
        <v>253</v>
      </c>
      <c r="C25">
        <f t="shared" si="0"/>
        <v>29</v>
      </c>
      <c r="D25">
        <f ca="1">IF($B$1&gt;=A25, SUM(INDIRECT("A"&amp;($B$1+3)):INDIRECT("A"&amp;(C25+3))), 0)</f>
        <v>869</v>
      </c>
      <c r="E25">
        <f t="shared" ca="1" si="1"/>
        <v>616</v>
      </c>
      <c r="F25">
        <f t="shared" ca="1" si="5"/>
        <v>1073</v>
      </c>
      <c r="G25">
        <f t="shared" ca="1" si="2"/>
        <v>1942</v>
      </c>
      <c r="H25" s="4">
        <f t="shared" ca="1" si="6"/>
        <v>129.4666666666667</v>
      </c>
      <c r="I25" s="4">
        <f t="shared" ca="1" si="3"/>
        <v>202.69178340000002</v>
      </c>
      <c r="J25" s="4">
        <f t="shared" ca="1" si="4"/>
        <v>200.49512246666669</v>
      </c>
    </row>
    <row r="26" spans="1:10">
      <c r="A26">
        <v>23</v>
      </c>
      <c r="B26">
        <f>IF($B$1&gt;=A26, SUM(A$4:A26), 0)</f>
        <v>276</v>
      </c>
      <c r="C26">
        <f t="shared" si="0"/>
        <v>28</v>
      </c>
      <c r="D26">
        <f ca="1">IF($B$1&gt;=A26, SUM(INDIRECT("A"&amp;($B$1+3)):INDIRECT("A"&amp;(C26+3))), 0)</f>
        <v>897</v>
      </c>
      <c r="E26">
        <f t="shared" ca="1" si="1"/>
        <v>621</v>
      </c>
      <c r="F26">
        <f t="shared" ca="1" si="5"/>
        <v>1050</v>
      </c>
      <c r="G26">
        <f t="shared" ca="1" si="2"/>
        <v>1947</v>
      </c>
      <c r="H26" s="4">
        <f t="shared" ca="1" si="6"/>
        <v>129.80000000000001</v>
      </c>
      <c r="I26" s="4">
        <f t="shared" ca="1" si="3"/>
        <v>203.21364690000001</v>
      </c>
      <c r="J26" s="4">
        <f t="shared" ca="1" si="4"/>
        <v>201.01133029999997</v>
      </c>
    </row>
    <row r="27" spans="1:10">
      <c r="A27">
        <v>24</v>
      </c>
      <c r="B27">
        <f>IF($B$1&gt;=A27, SUM(A$4:A27), 0)</f>
        <v>300</v>
      </c>
      <c r="C27">
        <f t="shared" si="0"/>
        <v>27</v>
      </c>
      <c r="D27">
        <f ca="1">IF($B$1&gt;=A27, SUM(INDIRECT("A"&amp;($B$1+3)):INDIRECT("A"&amp;(C27+3))), 0)</f>
        <v>924</v>
      </c>
      <c r="E27">
        <f t="shared" ca="1" si="1"/>
        <v>624</v>
      </c>
      <c r="F27">
        <f t="shared" ca="1" si="5"/>
        <v>1026</v>
      </c>
      <c r="G27">
        <f t="shared" ca="1" si="2"/>
        <v>1950</v>
      </c>
      <c r="H27" s="4">
        <f t="shared" ca="1" si="6"/>
        <v>130</v>
      </c>
      <c r="I27" s="4">
        <f t="shared" ca="1" si="3"/>
        <v>203.52676499999998</v>
      </c>
      <c r="J27" s="4">
        <f t="shared" ca="1" si="4"/>
        <v>201.32105499999997</v>
      </c>
    </row>
    <row r="28" spans="1:10">
      <c r="A28">
        <v>25</v>
      </c>
      <c r="B28">
        <f>IF($B$1&gt;=A28, SUM(A$4:A28), 0)</f>
        <v>325</v>
      </c>
      <c r="C28">
        <f t="shared" si="0"/>
        <v>26</v>
      </c>
      <c r="D28">
        <f ca="1">IF($B$1&gt;=A28, SUM(INDIRECT("A"&amp;($B$1+3)):INDIRECT("A"&amp;(C28+3))), 0)</f>
        <v>950</v>
      </c>
      <c r="E28">
        <f t="shared" ca="1" si="1"/>
        <v>625</v>
      </c>
      <c r="F28">
        <f t="shared" ca="1" si="5"/>
        <v>1001</v>
      </c>
      <c r="G28">
        <f t="shared" ca="1" si="2"/>
        <v>1951</v>
      </c>
      <c r="H28" s="4">
        <f t="shared" ca="1" si="6"/>
        <v>130.06666666666669</v>
      </c>
      <c r="I28" s="4">
        <f t="shared" ca="1" si="3"/>
        <v>203.63113770000001</v>
      </c>
      <c r="J28" s="4">
        <f t="shared" ca="1" si="4"/>
        <v>201.42429656666667</v>
      </c>
    </row>
    <row r="29" spans="1:10">
      <c r="A29">
        <v>26</v>
      </c>
      <c r="B29">
        <f>IF($B$1&gt;=A29, SUM(A$4:A29), 0)</f>
        <v>351</v>
      </c>
      <c r="C29">
        <f t="shared" si="0"/>
        <v>25</v>
      </c>
      <c r="D29">
        <f ca="1">IF($B$1&gt;=A29, SUM(INDIRECT("A"&amp;($B$1+3)):INDIRECT("A"&amp;(C29+3))), 0)</f>
        <v>975</v>
      </c>
      <c r="E29">
        <f t="shared" ca="1" si="1"/>
        <v>624</v>
      </c>
      <c r="F29">
        <f t="shared" ca="1" si="5"/>
        <v>975</v>
      </c>
      <c r="G29">
        <f t="shared" ca="1" si="2"/>
        <v>1950</v>
      </c>
      <c r="H29" s="4">
        <f t="shared" ca="1" si="6"/>
        <v>130</v>
      </c>
      <c r="I29" s="4">
        <f t="shared" ca="1" si="3"/>
        <v>203.52676499999998</v>
      </c>
      <c r="J29" s="4">
        <f t="shared" ca="1" si="4"/>
        <v>201.32105499999997</v>
      </c>
    </row>
    <row r="30" spans="1:10">
      <c r="A30">
        <v>27</v>
      </c>
      <c r="B30">
        <f>IF($B$1&gt;=A30, SUM(A$4:A30), 0)</f>
        <v>378</v>
      </c>
      <c r="C30">
        <f t="shared" si="0"/>
        <v>24</v>
      </c>
      <c r="D30">
        <f ca="1">IF($B$1&gt;=A30, SUM(INDIRECT("A"&amp;($B$1+3)):INDIRECT("A"&amp;(C30+3))), 0)</f>
        <v>999</v>
      </c>
      <c r="E30">
        <f t="shared" ca="1" si="1"/>
        <v>621</v>
      </c>
      <c r="F30">
        <f t="shared" ca="1" si="5"/>
        <v>948</v>
      </c>
      <c r="G30">
        <f t="shared" ca="1" si="2"/>
        <v>1947</v>
      </c>
      <c r="H30" s="4">
        <f t="shared" ca="1" si="6"/>
        <v>129.80000000000001</v>
      </c>
      <c r="I30" s="4">
        <f t="shared" ca="1" si="3"/>
        <v>203.21364690000001</v>
      </c>
      <c r="J30" s="4">
        <f t="shared" ca="1" si="4"/>
        <v>201.01133029999997</v>
      </c>
    </row>
    <row r="31" spans="1:10">
      <c r="A31">
        <v>28</v>
      </c>
      <c r="B31">
        <f>IF($B$1&gt;=A31, SUM(A$4:A31), 0)</f>
        <v>406</v>
      </c>
      <c r="C31">
        <f t="shared" si="0"/>
        <v>23</v>
      </c>
      <c r="D31">
        <f ca="1">IF($B$1&gt;=A31, SUM(INDIRECT("A"&amp;($B$1+3)):INDIRECT("A"&amp;(C31+3))), 0)</f>
        <v>1022</v>
      </c>
      <c r="E31">
        <f t="shared" ca="1" si="1"/>
        <v>616</v>
      </c>
      <c r="F31">
        <f t="shared" ca="1" si="5"/>
        <v>920</v>
      </c>
      <c r="G31">
        <f t="shared" ca="1" si="2"/>
        <v>1942</v>
      </c>
      <c r="H31" s="4">
        <f t="shared" ca="1" si="6"/>
        <v>129.4666666666667</v>
      </c>
      <c r="I31" s="4">
        <f t="shared" ca="1" si="3"/>
        <v>202.69178340000002</v>
      </c>
      <c r="J31" s="4">
        <f t="shared" ca="1" si="4"/>
        <v>200.49512246666669</v>
      </c>
    </row>
    <row r="32" spans="1:10">
      <c r="A32">
        <v>29</v>
      </c>
      <c r="B32">
        <f>IF($B$1&gt;=A32, SUM(A$4:A32), 0)</f>
        <v>435</v>
      </c>
      <c r="C32">
        <f t="shared" si="0"/>
        <v>22</v>
      </c>
      <c r="D32">
        <f ca="1">IF($B$1&gt;=A32, SUM(INDIRECT("A"&amp;($B$1+3)):INDIRECT("A"&amp;(C32+3))), 0)</f>
        <v>1044</v>
      </c>
      <c r="E32">
        <f t="shared" ca="1" si="1"/>
        <v>609</v>
      </c>
      <c r="F32">
        <f t="shared" ca="1" si="5"/>
        <v>891</v>
      </c>
      <c r="G32">
        <f t="shared" ca="1" si="2"/>
        <v>1935</v>
      </c>
      <c r="H32" s="4">
        <f t="shared" ca="1" si="6"/>
        <v>129.00000000000003</v>
      </c>
      <c r="I32" s="4">
        <f t="shared" ca="1" si="3"/>
        <v>201.96117450000003</v>
      </c>
      <c r="J32" s="4">
        <f t="shared" ca="1" si="4"/>
        <v>199.77243150000001</v>
      </c>
    </row>
    <row r="33" spans="1:10">
      <c r="A33">
        <v>30</v>
      </c>
      <c r="B33">
        <f>IF($B$1&gt;=A33, SUM(A$4:A33), 0)</f>
        <v>465</v>
      </c>
      <c r="C33">
        <f t="shared" si="0"/>
        <v>21</v>
      </c>
      <c r="D33">
        <f ca="1">IF($B$1&gt;=A33, SUM(INDIRECT("A"&amp;($B$1+3)):INDIRECT("A"&amp;(C33+3))), 0)</f>
        <v>1065</v>
      </c>
      <c r="E33">
        <f t="shared" ca="1" si="1"/>
        <v>600</v>
      </c>
      <c r="F33">
        <f t="shared" ca="1" si="5"/>
        <v>861</v>
      </c>
      <c r="G33">
        <f t="shared" ca="1" si="2"/>
        <v>1926</v>
      </c>
      <c r="H33" s="4">
        <f t="shared" ca="1" si="6"/>
        <v>128.4</v>
      </c>
      <c r="I33" s="4">
        <f t="shared" ca="1" si="3"/>
        <v>201.02182020000001</v>
      </c>
      <c r="J33" s="4">
        <f t="shared" ca="1" si="4"/>
        <v>198.84325739999997</v>
      </c>
    </row>
    <row r="34" spans="1:10">
      <c r="A34">
        <v>31</v>
      </c>
      <c r="B34">
        <f>IF($B$1&gt;=A34, SUM(A$4:A34), 0)</f>
        <v>496</v>
      </c>
      <c r="C34">
        <f t="shared" si="0"/>
        <v>20</v>
      </c>
      <c r="D34">
        <f ca="1">IF($B$1&gt;=A34, SUM(INDIRECT("A"&amp;($B$1+3)):INDIRECT("A"&amp;(C34+3))), 0)</f>
        <v>1085</v>
      </c>
      <c r="E34">
        <f t="shared" ca="1" si="1"/>
        <v>589</v>
      </c>
      <c r="F34">
        <f t="shared" ca="1" si="5"/>
        <v>830</v>
      </c>
      <c r="G34">
        <f t="shared" ca="1" si="2"/>
        <v>1915</v>
      </c>
      <c r="H34" s="4">
        <f t="shared" ca="1" si="6"/>
        <v>127.66666666666666</v>
      </c>
      <c r="I34" s="4">
        <f t="shared" ca="1" si="3"/>
        <v>199.87372049999996</v>
      </c>
      <c r="J34" s="4">
        <f t="shared" ca="1" si="4"/>
        <v>197.70760016666662</v>
      </c>
    </row>
    <row r="35" spans="1:10">
      <c r="A35">
        <v>32</v>
      </c>
      <c r="B35">
        <f>IF($B$1&gt;=A35, SUM(A$4:A35), 0)</f>
        <v>528</v>
      </c>
      <c r="C35">
        <f t="shared" si="0"/>
        <v>19</v>
      </c>
      <c r="D35">
        <f ca="1">IF($B$1&gt;=A35, SUM(INDIRECT("A"&amp;($B$1+3)):INDIRECT("A"&amp;(C35+3))), 0)</f>
        <v>1104</v>
      </c>
      <c r="E35">
        <f t="shared" ca="1" si="1"/>
        <v>576</v>
      </c>
      <c r="F35">
        <f t="shared" ca="1" si="5"/>
        <v>798</v>
      </c>
      <c r="G35">
        <f t="shared" ca="1" si="2"/>
        <v>1902</v>
      </c>
      <c r="H35" s="4">
        <f t="shared" ca="1" si="6"/>
        <v>126.8</v>
      </c>
      <c r="I35" s="4">
        <f t="shared" ca="1" si="3"/>
        <v>198.51687539999998</v>
      </c>
      <c r="J35" s="4">
        <f t="shared" ca="1" si="4"/>
        <v>196.36545979999997</v>
      </c>
    </row>
    <row r="36" spans="1:10">
      <c r="A36">
        <v>33</v>
      </c>
      <c r="B36">
        <f>IF($B$1&gt;=A36, SUM(A$4:A36), 0)</f>
        <v>561</v>
      </c>
      <c r="C36">
        <f t="shared" ref="C36:C67" si="7">($B$1+1)-A36</f>
        <v>18</v>
      </c>
      <c r="D36">
        <f ca="1">IF($B$1&gt;=A36, SUM(INDIRECT("A"&amp;($B$1+3)):INDIRECT("A"&amp;(C36+3))), 0)</f>
        <v>1122</v>
      </c>
      <c r="E36">
        <f t="shared" ref="E36:E67" ca="1" si="8">D36-B36</f>
        <v>561</v>
      </c>
      <c r="F36">
        <f t="shared" ca="1" si="5"/>
        <v>765</v>
      </c>
      <c r="G36">
        <f t="shared" ref="G36:G67" ca="1" si="9">F36+D36</f>
        <v>1887</v>
      </c>
      <c r="H36" s="4">
        <f t="shared" ca="1" si="6"/>
        <v>125.80000000000001</v>
      </c>
      <c r="I36" s="4">
        <f t="shared" ref="I36:I67" ca="1" si="10">H36*AvgHitsPerRound1</f>
        <v>196.95128489999999</v>
      </c>
      <c r="J36" s="4">
        <f t="shared" ref="J36:J67" ca="1" si="11">H36*AvgHitsPerRound2</f>
        <v>194.81683629999998</v>
      </c>
    </row>
    <row r="37" spans="1:10">
      <c r="A37">
        <v>34</v>
      </c>
      <c r="B37">
        <f>IF($B$1&gt;=A37, SUM(A$4:A37), 0)</f>
        <v>595</v>
      </c>
      <c r="C37">
        <f t="shared" si="7"/>
        <v>17</v>
      </c>
      <c r="D37">
        <f ca="1">IF($B$1&gt;=A37, SUM(INDIRECT("A"&amp;($B$1+3)):INDIRECT("A"&amp;(C37+3))), 0)</f>
        <v>1139</v>
      </c>
      <c r="E37">
        <f t="shared" ca="1" si="8"/>
        <v>544</v>
      </c>
      <c r="F37">
        <f t="shared" ca="1" si="5"/>
        <v>731</v>
      </c>
      <c r="G37">
        <f t="shared" ca="1" si="9"/>
        <v>1870</v>
      </c>
      <c r="H37" s="4">
        <f t="shared" ca="1" si="6"/>
        <v>124.66666666666667</v>
      </c>
      <c r="I37" s="4">
        <f t="shared" ca="1" si="10"/>
        <v>195.17694899999998</v>
      </c>
      <c r="J37" s="4">
        <f t="shared" ca="1" si="11"/>
        <v>193.06172966666665</v>
      </c>
    </row>
    <row r="38" spans="1:10">
      <c r="A38">
        <v>35</v>
      </c>
      <c r="B38">
        <f>IF($B$1&gt;=A38, SUM(A$4:A38), 0)</f>
        <v>630</v>
      </c>
      <c r="C38">
        <f t="shared" si="7"/>
        <v>16</v>
      </c>
      <c r="D38">
        <f ca="1">IF($B$1&gt;=A38, SUM(INDIRECT("A"&amp;($B$1+3)):INDIRECT("A"&amp;(C38+3))), 0)</f>
        <v>1155</v>
      </c>
      <c r="E38">
        <f t="shared" ca="1" si="8"/>
        <v>525</v>
      </c>
      <c r="F38">
        <f t="shared" ca="1" si="5"/>
        <v>696</v>
      </c>
      <c r="G38">
        <f t="shared" ca="1" si="9"/>
        <v>1851</v>
      </c>
      <c r="H38" s="4">
        <f t="shared" ca="1" si="6"/>
        <v>123.40000000000002</v>
      </c>
      <c r="I38" s="4">
        <f t="shared" ca="1" si="10"/>
        <v>193.19386770000003</v>
      </c>
      <c r="J38" s="4">
        <f t="shared" ca="1" si="11"/>
        <v>191.10013989999999</v>
      </c>
    </row>
    <row r="39" spans="1:10">
      <c r="A39">
        <v>36</v>
      </c>
      <c r="B39">
        <f>IF($B$1&gt;=A39, SUM(A$4:A39), 0)</f>
        <v>666</v>
      </c>
      <c r="C39">
        <f t="shared" si="7"/>
        <v>15</v>
      </c>
      <c r="D39">
        <f ca="1">IF($B$1&gt;=A39, SUM(INDIRECT("A"&amp;($B$1+3)):INDIRECT("A"&amp;(C39+3))), 0)</f>
        <v>1170</v>
      </c>
      <c r="E39">
        <f t="shared" ca="1" si="8"/>
        <v>504</v>
      </c>
      <c r="F39">
        <f t="shared" ca="1" si="5"/>
        <v>660</v>
      </c>
      <c r="G39">
        <f t="shared" ca="1" si="9"/>
        <v>1830</v>
      </c>
      <c r="H39" s="4">
        <f t="shared" ca="1" si="6"/>
        <v>122.00000000000001</v>
      </c>
      <c r="I39" s="4">
        <f t="shared" ca="1" si="10"/>
        <v>191.00204100000002</v>
      </c>
      <c r="J39" s="4">
        <f t="shared" ca="1" si="11"/>
        <v>188.93206699999999</v>
      </c>
    </row>
    <row r="40" spans="1:10">
      <c r="A40">
        <v>37</v>
      </c>
      <c r="B40">
        <f>IF($B$1&gt;=A40, SUM(A$4:A40), 0)</f>
        <v>703</v>
      </c>
      <c r="C40">
        <f t="shared" si="7"/>
        <v>14</v>
      </c>
      <c r="D40">
        <f ca="1">IF($B$1&gt;=A40, SUM(INDIRECT("A"&amp;($B$1+3)):INDIRECT("A"&amp;(C40+3))), 0)</f>
        <v>1184</v>
      </c>
      <c r="E40">
        <f t="shared" ca="1" si="8"/>
        <v>481</v>
      </c>
      <c r="F40">
        <f t="shared" ca="1" si="5"/>
        <v>623</v>
      </c>
      <c r="G40">
        <f t="shared" ca="1" si="9"/>
        <v>1807</v>
      </c>
      <c r="H40" s="4">
        <f t="shared" ca="1" si="6"/>
        <v>120.46666666666667</v>
      </c>
      <c r="I40" s="4">
        <f t="shared" ca="1" si="10"/>
        <v>188.60146889999999</v>
      </c>
      <c r="J40" s="4">
        <f t="shared" ca="1" si="11"/>
        <v>186.55751096666663</v>
      </c>
    </row>
    <row r="41" spans="1:10">
      <c r="A41">
        <v>38</v>
      </c>
      <c r="B41">
        <f>IF($B$1&gt;=A41, SUM(A$4:A41), 0)</f>
        <v>741</v>
      </c>
      <c r="C41">
        <f t="shared" si="7"/>
        <v>13</v>
      </c>
      <c r="D41">
        <f ca="1">IF($B$1&gt;=A41, SUM(INDIRECT("A"&amp;($B$1+3)):INDIRECT("A"&amp;(C41+3))), 0)</f>
        <v>1197</v>
      </c>
      <c r="E41">
        <f t="shared" ca="1" si="8"/>
        <v>456</v>
      </c>
      <c r="F41">
        <f t="shared" ca="1" si="5"/>
        <v>585</v>
      </c>
      <c r="G41">
        <f t="shared" ca="1" si="9"/>
        <v>1782</v>
      </c>
      <c r="H41" s="4">
        <f t="shared" ca="1" si="6"/>
        <v>118.80000000000001</v>
      </c>
      <c r="I41" s="4">
        <f t="shared" ca="1" si="10"/>
        <v>185.99215140000001</v>
      </c>
      <c r="J41" s="4">
        <f t="shared" ca="1" si="11"/>
        <v>183.97647179999998</v>
      </c>
    </row>
    <row r="42" spans="1:10">
      <c r="A42">
        <v>39</v>
      </c>
      <c r="B42">
        <f>IF($B$1&gt;=A42, SUM(A$4:A42), 0)</f>
        <v>780</v>
      </c>
      <c r="C42">
        <f t="shared" si="7"/>
        <v>12</v>
      </c>
      <c r="D42">
        <f ca="1">IF($B$1&gt;=A42, SUM(INDIRECT("A"&amp;($B$1+3)):INDIRECT("A"&amp;(C42+3))), 0)</f>
        <v>1209</v>
      </c>
      <c r="E42">
        <f t="shared" ca="1" si="8"/>
        <v>429</v>
      </c>
      <c r="F42">
        <f t="shared" ca="1" si="5"/>
        <v>546</v>
      </c>
      <c r="G42">
        <f t="shared" ca="1" si="9"/>
        <v>1755</v>
      </c>
      <c r="H42" s="4">
        <f t="shared" ca="1" si="6"/>
        <v>117.00000000000001</v>
      </c>
      <c r="I42" s="4">
        <f t="shared" ca="1" si="10"/>
        <v>183.17408850000001</v>
      </c>
      <c r="J42" s="4">
        <f t="shared" ca="1" si="11"/>
        <v>181.18894949999998</v>
      </c>
    </row>
    <row r="43" spans="1:10">
      <c r="A43">
        <v>40</v>
      </c>
      <c r="B43">
        <f>IF($B$1&gt;=A43, SUM(A$4:A43), 0)</f>
        <v>820</v>
      </c>
      <c r="C43">
        <f t="shared" si="7"/>
        <v>11</v>
      </c>
      <c r="D43">
        <f ca="1">IF($B$1&gt;=A43, SUM(INDIRECT("A"&amp;($B$1+3)):INDIRECT("A"&amp;(C43+3))), 0)</f>
        <v>1220</v>
      </c>
      <c r="E43">
        <f t="shared" ca="1" si="8"/>
        <v>400</v>
      </c>
      <c r="F43">
        <f t="shared" ca="1" si="5"/>
        <v>506</v>
      </c>
      <c r="G43">
        <f t="shared" ca="1" si="9"/>
        <v>1726</v>
      </c>
      <c r="H43" s="4">
        <f t="shared" ca="1" si="6"/>
        <v>115.06666666666668</v>
      </c>
      <c r="I43" s="4">
        <f t="shared" ca="1" si="10"/>
        <v>180.14728020000001</v>
      </c>
      <c r="J43" s="4">
        <f t="shared" ca="1" si="11"/>
        <v>178.19494406666664</v>
      </c>
    </row>
    <row r="44" spans="1:10">
      <c r="A44">
        <v>41</v>
      </c>
      <c r="B44">
        <f>IF($B$1&gt;=A44, SUM(A$4:A44), 0)</f>
        <v>861</v>
      </c>
      <c r="C44">
        <f t="shared" si="7"/>
        <v>10</v>
      </c>
      <c r="D44">
        <f ca="1">IF($B$1&gt;=A44, SUM(INDIRECT("A"&amp;($B$1+3)):INDIRECT("A"&amp;(C44+3))), 0)</f>
        <v>1230</v>
      </c>
      <c r="E44">
        <f t="shared" ca="1" si="8"/>
        <v>369</v>
      </c>
      <c r="F44">
        <f t="shared" ca="1" si="5"/>
        <v>465</v>
      </c>
      <c r="G44">
        <f t="shared" ca="1" si="9"/>
        <v>1695</v>
      </c>
      <c r="H44" s="4">
        <f t="shared" ca="1" si="6"/>
        <v>113</v>
      </c>
      <c r="I44" s="4">
        <f t="shared" ca="1" si="10"/>
        <v>176.91172649999999</v>
      </c>
      <c r="J44" s="4">
        <f t="shared" ca="1" si="11"/>
        <v>174.99445549999996</v>
      </c>
    </row>
    <row r="45" spans="1:10">
      <c r="A45">
        <v>42</v>
      </c>
      <c r="B45">
        <f>IF($B$1&gt;=A45, SUM(A$4:A45), 0)</f>
        <v>903</v>
      </c>
      <c r="C45">
        <f t="shared" si="7"/>
        <v>9</v>
      </c>
      <c r="D45">
        <f ca="1">IF($B$1&gt;=A45, SUM(INDIRECT("A"&amp;($B$1+3)):INDIRECT("A"&amp;(C45+3))), 0)</f>
        <v>1239</v>
      </c>
      <c r="E45">
        <f t="shared" ca="1" si="8"/>
        <v>336</v>
      </c>
      <c r="F45">
        <f t="shared" ca="1" si="5"/>
        <v>423</v>
      </c>
      <c r="G45">
        <f t="shared" ca="1" si="9"/>
        <v>1662</v>
      </c>
      <c r="H45" s="4">
        <f t="shared" ca="1" si="6"/>
        <v>110.80000000000001</v>
      </c>
      <c r="I45" s="4">
        <f t="shared" ca="1" si="10"/>
        <v>173.46742739999999</v>
      </c>
      <c r="J45" s="4">
        <f t="shared" ca="1" si="11"/>
        <v>171.58748379999997</v>
      </c>
    </row>
    <row r="46" spans="1:10">
      <c r="A46">
        <v>43</v>
      </c>
      <c r="B46">
        <f>IF($B$1&gt;=A46, SUM(A$4:A46), 0)</f>
        <v>946</v>
      </c>
      <c r="C46">
        <f t="shared" si="7"/>
        <v>8</v>
      </c>
      <c r="D46">
        <f ca="1">IF($B$1&gt;=A46, SUM(INDIRECT("A"&amp;($B$1+3)):INDIRECT("A"&amp;(C46+3))), 0)</f>
        <v>1247</v>
      </c>
      <c r="E46">
        <f t="shared" ca="1" si="8"/>
        <v>301</v>
      </c>
      <c r="F46">
        <f t="shared" ca="1" si="5"/>
        <v>380</v>
      </c>
      <c r="G46">
        <f t="shared" ca="1" si="9"/>
        <v>1627</v>
      </c>
      <c r="H46" s="4">
        <f t="shared" ca="1" si="6"/>
        <v>108.46666666666667</v>
      </c>
      <c r="I46" s="4">
        <f t="shared" ca="1" si="10"/>
        <v>169.8143829</v>
      </c>
      <c r="J46" s="4">
        <f t="shared" ca="1" si="11"/>
        <v>167.97402896666665</v>
      </c>
    </row>
    <row r="47" spans="1:10">
      <c r="A47">
        <v>44</v>
      </c>
      <c r="B47">
        <f>IF($B$1&gt;=A47, SUM(A$4:A47), 0)</f>
        <v>990</v>
      </c>
      <c r="C47">
        <f t="shared" si="7"/>
        <v>7</v>
      </c>
      <c r="D47">
        <f ca="1">IF($B$1&gt;=A47, SUM(INDIRECT("A"&amp;($B$1+3)):INDIRECT("A"&amp;(C47+3))), 0)</f>
        <v>1254</v>
      </c>
      <c r="E47">
        <f t="shared" ca="1" si="8"/>
        <v>264</v>
      </c>
      <c r="F47">
        <f t="shared" ca="1" si="5"/>
        <v>336</v>
      </c>
      <c r="G47">
        <f t="shared" ca="1" si="9"/>
        <v>1590</v>
      </c>
      <c r="H47" s="4">
        <f t="shared" ca="1" si="6"/>
        <v>106</v>
      </c>
      <c r="I47" s="4">
        <f t="shared" ca="1" si="10"/>
        <v>165.95259299999998</v>
      </c>
      <c r="J47" s="4">
        <f t="shared" ca="1" si="11"/>
        <v>164.15409099999997</v>
      </c>
    </row>
    <row r="48" spans="1:10">
      <c r="A48">
        <v>45</v>
      </c>
      <c r="B48">
        <f>IF($B$1&gt;=A48, SUM(A$4:A48), 0)</f>
        <v>1035</v>
      </c>
      <c r="C48">
        <f t="shared" si="7"/>
        <v>6</v>
      </c>
      <c r="D48">
        <f ca="1">IF($B$1&gt;=A48, SUM(INDIRECT("A"&amp;($B$1+3)):INDIRECT("A"&amp;(C48+3))), 0)</f>
        <v>1260</v>
      </c>
      <c r="E48">
        <f t="shared" ca="1" si="8"/>
        <v>225</v>
      </c>
      <c r="F48">
        <f t="shared" ca="1" si="5"/>
        <v>291</v>
      </c>
      <c r="G48">
        <f t="shared" ca="1" si="9"/>
        <v>1551</v>
      </c>
      <c r="H48" s="4">
        <f t="shared" ca="1" si="6"/>
        <v>103.4</v>
      </c>
      <c r="I48" s="4">
        <f t="shared" ca="1" si="10"/>
        <v>161.88205769999999</v>
      </c>
      <c r="J48" s="4">
        <f t="shared" ca="1" si="11"/>
        <v>160.12766989999997</v>
      </c>
    </row>
    <row r="49" spans="1:10">
      <c r="A49">
        <v>46</v>
      </c>
      <c r="B49">
        <f>IF($B$1&gt;=A49, SUM(A$4:A49), 0)</f>
        <v>1081</v>
      </c>
      <c r="C49">
        <f t="shared" si="7"/>
        <v>5</v>
      </c>
      <c r="D49">
        <f ca="1">IF($B$1&gt;=A49, SUM(INDIRECT("A"&amp;($B$1+3)):INDIRECT("A"&amp;(C49+3))), 0)</f>
        <v>1265</v>
      </c>
      <c r="E49">
        <f t="shared" ca="1" si="8"/>
        <v>184</v>
      </c>
      <c r="F49">
        <f t="shared" ca="1" si="5"/>
        <v>245</v>
      </c>
      <c r="G49">
        <f t="shared" ca="1" si="9"/>
        <v>1510</v>
      </c>
      <c r="H49" s="4">
        <f t="shared" ca="1" si="6"/>
        <v>100.66666666666667</v>
      </c>
      <c r="I49" s="4">
        <f t="shared" ca="1" si="10"/>
        <v>157.602777</v>
      </c>
      <c r="J49" s="4">
        <f t="shared" ca="1" si="11"/>
        <v>155.89476566666664</v>
      </c>
    </row>
    <row r="50" spans="1:10">
      <c r="A50">
        <v>47</v>
      </c>
      <c r="B50">
        <f>IF($B$1&gt;=A50, SUM(A$4:A50), 0)</f>
        <v>1128</v>
      </c>
      <c r="C50">
        <f t="shared" si="7"/>
        <v>4</v>
      </c>
      <c r="D50">
        <f ca="1">IF($B$1&gt;=A50, SUM(INDIRECT("A"&amp;($B$1+3)):INDIRECT("A"&amp;(C50+3))), 0)</f>
        <v>1269</v>
      </c>
      <c r="E50">
        <f t="shared" ca="1" si="8"/>
        <v>141</v>
      </c>
      <c r="F50">
        <f t="shared" ca="1" si="5"/>
        <v>198</v>
      </c>
      <c r="G50">
        <f t="shared" ca="1" si="9"/>
        <v>1467</v>
      </c>
      <c r="H50" s="4">
        <f t="shared" ca="1" si="6"/>
        <v>97.8</v>
      </c>
      <c r="I50" s="4">
        <f t="shared" ca="1" si="10"/>
        <v>153.11475089999999</v>
      </c>
      <c r="J50" s="4">
        <f t="shared" ca="1" si="11"/>
        <v>151.45537829999998</v>
      </c>
    </row>
    <row r="51" spans="1:10">
      <c r="A51">
        <v>48</v>
      </c>
      <c r="B51">
        <f>IF($B$1&gt;=A51, SUM(A$4:A51), 0)</f>
        <v>1176</v>
      </c>
      <c r="C51">
        <f t="shared" si="7"/>
        <v>3</v>
      </c>
      <c r="D51">
        <f ca="1">IF($B$1&gt;=A51, SUM(INDIRECT("A"&amp;($B$1+3)):INDIRECT("A"&amp;(C51+3))), 0)</f>
        <v>1272</v>
      </c>
      <c r="E51">
        <f t="shared" ca="1" si="8"/>
        <v>96</v>
      </c>
      <c r="F51">
        <f t="shared" ca="1" si="5"/>
        <v>150</v>
      </c>
      <c r="G51">
        <f t="shared" ca="1" si="9"/>
        <v>1422</v>
      </c>
      <c r="H51" s="4">
        <f t="shared" ca="1" si="6"/>
        <v>94.800000000000011</v>
      </c>
      <c r="I51" s="4">
        <f t="shared" ca="1" si="10"/>
        <v>148.41797940000001</v>
      </c>
      <c r="J51" s="4">
        <f t="shared" ca="1" si="11"/>
        <v>146.80950779999998</v>
      </c>
    </row>
    <row r="52" spans="1:10">
      <c r="A52">
        <v>49</v>
      </c>
      <c r="B52">
        <f>IF($B$1&gt;=A52, SUM(A$4:A52), 0)</f>
        <v>1225</v>
      </c>
      <c r="C52">
        <f t="shared" si="7"/>
        <v>2</v>
      </c>
      <c r="D52">
        <f ca="1">IF($B$1&gt;=A52, SUM(INDIRECT("A"&amp;($B$1+3)):INDIRECT("A"&amp;(C52+3))), 0)</f>
        <v>1274</v>
      </c>
      <c r="E52">
        <f t="shared" ca="1" si="8"/>
        <v>49</v>
      </c>
      <c r="F52">
        <f t="shared" ca="1" si="5"/>
        <v>101</v>
      </c>
      <c r="G52">
        <f t="shared" ca="1" si="9"/>
        <v>1375</v>
      </c>
      <c r="H52" s="4">
        <f t="shared" ca="1" si="6"/>
        <v>91.666666666666671</v>
      </c>
      <c r="I52" s="4">
        <f t="shared" ca="1" si="10"/>
        <v>143.5124625</v>
      </c>
      <c r="J52" s="4">
        <f t="shared" ca="1" si="11"/>
        <v>141.95715416666664</v>
      </c>
    </row>
    <row r="53" spans="1:10">
      <c r="A53">
        <v>50</v>
      </c>
      <c r="B53">
        <f>IF($B$1&gt;=A53, SUM(A$4:A53), 0)</f>
        <v>1275</v>
      </c>
      <c r="C53">
        <f t="shared" si="7"/>
        <v>1</v>
      </c>
      <c r="D53">
        <f ca="1">IF($B$1&gt;=A53, SUM(INDIRECT("A"&amp;($B$1+3)):INDIRECT("A"&amp;(C53+3))), 0)</f>
        <v>1275</v>
      </c>
      <c r="E53">
        <f t="shared" ca="1" si="8"/>
        <v>0</v>
      </c>
      <c r="F53">
        <f t="shared" ca="1" si="5"/>
        <v>51</v>
      </c>
      <c r="G53">
        <f t="shared" ca="1" si="9"/>
        <v>1326</v>
      </c>
      <c r="H53" s="4">
        <f t="shared" ca="1" si="6"/>
        <v>88.4</v>
      </c>
      <c r="I53" s="4">
        <f t="shared" ca="1" si="10"/>
        <v>138.39820019999999</v>
      </c>
      <c r="J53" s="4">
        <f t="shared" ca="1" si="11"/>
        <v>136.8983174</v>
      </c>
    </row>
    <row r="54" spans="1:10">
      <c r="A54">
        <v>51</v>
      </c>
      <c r="B54">
        <f>IF($B$1&gt;=A54, SUM(A$4:A54), 0)</f>
        <v>0</v>
      </c>
      <c r="C54">
        <f t="shared" si="7"/>
        <v>0</v>
      </c>
      <c r="D54">
        <f ca="1">IF($B$1&gt;=A54, SUM(INDIRECT("A"&amp;($B$1+3)):INDIRECT("A"&amp;(C54+3))), 0)</f>
        <v>0</v>
      </c>
      <c r="E54">
        <f t="shared" ca="1" si="8"/>
        <v>0</v>
      </c>
      <c r="F54">
        <f t="shared" ca="1" si="5"/>
        <v>0</v>
      </c>
      <c r="G54">
        <f t="shared" ca="1" si="9"/>
        <v>0</v>
      </c>
      <c r="H54" s="4">
        <f t="shared" ca="1" si="6"/>
        <v>0</v>
      </c>
      <c r="I54" s="4">
        <f t="shared" ca="1" si="10"/>
        <v>0</v>
      </c>
      <c r="J54" s="4">
        <f t="shared" ca="1" si="11"/>
        <v>0</v>
      </c>
    </row>
    <row r="55" spans="1:10">
      <c r="A55">
        <v>52</v>
      </c>
      <c r="B55">
        <f>IF($B$1&gt;=A55, SUM(A$4:A55), 0)</f>
        <v>0</v>
      </c>
      <c r="C55">
        <f t="shared" si="7"/>
        <v>-1</v>
      </c>
      <c r="D55">
        <f ca="1">IF($B$1&gt;=A55, SUM(INDIRECT("A"&amp;($B$1+3)):INDIRECT("A"&amp;(C55+3))), 0)</f>
        <v>0</v>
      </c>
      <c r="E55">
        <f t="shared" ca="1" si="8"/>
        <v>0</v>
      </c>
      <c r="F55">
        <f t="shared" ca="1" si="5"/>
        <v>0</v>
      </c>
      <c r="G55">
        <f t="shared" ca="1" si="9"/>
        <v>0</v>
      </c>
      <c r="H55" s="4">
        <f t="shared" ca="1" si="6"/>
        <v>0</v>
      </c>
      <c r="I55" s="4">
        <f t="shared" ca="1" si="10"/>
        <v>0</v>
      </c>
      <c r="J55" s="4">
        <f t="shared" ca="1" si="11"/>
        <v>0</v>
      </c>
    </row>
    <row r="56" spans="1:10">
      <c r="A56">
        <v>53</v>
      </c>
      <c r="B56">
        <f>IF($B$1&gt;=A56, SUM(A$4:A56), 0)</f>
        <v>0</v>
      </c>
      <c r="C56">
        <f t="shared" si="7"/>
        <v>-2</v>
      </c>
      <c r="D56">
        <f ca="1">IF($B$1&gt;=A56, SUM(INDIRECT("A"&amp;($B$1+3)):INDIRECT("A"&amp;(C56+3))), 0)</f>
        <v>0</v>
      </c>
      <c r="E56">
        <f t="shared" ca="1" si="8"/>
        <v>0</v>
      </c>
      <c r="F56">
        <f t="shared" ca="1" si="5"/>
        <v>0</v>
      </c>
      <c r="G56">
        <f t="shared" ca="1" si="9"/>
        <v>0</v>
      </c>
      <c r="H56" s="4">
        <f t="shared" ca="1" si="6"/>
        <v>0</v>
      </c>
      <c r="I56" s="4">
        <f t="shared" ca="1" si="10"/>
        <v>0</v>
      </c>
      <c r="J56" s="4">
        <f t="shared" ca="1" si="11"/>
        <v>0</v>
      </c>
    </row>
    <row r="57" spans="1:10">
      <c r="A57">
        <v>54</v>
      </c>
      <c r="B57">
        <f>IF($B$1&gt;=A57, SUM(A$4:A57), 0)</f>
        <v>0</v>
      </c>
      <c r="C57">
        <f t="shared" si="7"/>
        <v>-3</v>
      </c>
      <c r="D57">
        <f ca="1">IF($B$1&gt;=A57, SUM(INDIRECT("A"&amp;($B$1+3)):INDIRECT("A"&amp;(C57+3))), 0)</f>
        <v>0</v>
      </c>
      <c r="E57">
        <f t="shared" ca="1" si="8"/>
        <v>0</v>
      </c>
      <c r="F57">
        <f t="shared" ca="1" si="5"/>
        <v>0</v>
      </c>
      <c r="G57">
        <f t="shared" ca="1" si="9"/>
        <v>0</v>
      </c>
      <c r="H57" s="4">
        <f t="shared" ca="1" si="6"/>
        <v>0</v>
      </c>
      <c r="I57" s="4">
        <f t="shared" ca="1" si="10"/>
        <v>0</v>
      </c>
      <c r="J57" s="4">
        <f t="shared" ca="1" si="11"/>
        <v>0</v>
      </c>
    </row>
    <row r="58" spans="1:10">
      <c r="A58">
        <v>55</v>
      </c>
      <c r="B58">
        <f>IF($B$1&gt;=A58, SUM(A$4:A58), 0)</f>
        <v>0</v>
      </c>
      <c r="C58">
        <f t="shared" si="7"/>
        <v>-4</v>
      </c>
      <c r="D58">
        <f ca="1">IF($B$1&gt;=A58, SUM(INDIRECT("A"&amp;($B$1+3)):INDIRECT("A"&amp;(C58+3))), 0)</f>
        <v>0</v>
      </c>
      <c r="E58">
        <f t="shared" ca="1" si="8"/>
        <v>0</v>
      </c>
      <c r="F58">
        <f t="shared" ca="1" si="5"/>
        <v>0</v>
      </c>
      <c r="G58">
        <f t="shared" ca="1" si="9"/>
        <v>0</v>
      </c>
      <c r="H58" s="4">
        <f t="shared" ca="1" si="6"/>
        <v>0</v>
      </c>
      <c r="I58" s="4">
        <f t="shared" ca="1" si="10"/>
        <v>0</v>
      </c>
      <c r="J58" s="4">
        <f t="shared" ca="1" si="11"/>
        <v>0</v>
      </c>
    </row>
    <row r="59" spans="1:10">
      <c r="A59">
        <v>56</v>
      </c>
      <c r="B59">
        <f>IF($B$1&gt;=A59, SUM(A$4:A59), 0)</f>
        <v>0</v>
      </c>
      <c r="C59">
        <f t="shared" si="7"/>
        <v>-5</v>
      </c>
      <c r="D59">
        <f ca="1">IF($B$1&gt;=A59, SUM(INDIRECT("A"&amp;($B$1+3)):INDIRECT("A"&amp;(C59+3))), 0)</f>
        <v>0</v>
      </c>
      <c r="E59">
        <f t="shared" ca="1" si="8"/>
        <v>0</v>
      </c>
      <c r="F59">
        <f t="shared" ca="1" si="5"/>
        <v>0</v>
      </c>
      <c r="G59">
        <f t="shared" ca="1" si="9"/>
        <v>0</v>
      </c>
      <c r="H59" s="4">
        <f t="shared" ca="1" si="6"/>
        <v>0</v>
      </c>
      <c r="I59" s="4">
        <f t="shared" ca="1" si="10"/>
        <v>0</v>
      </c>
      <c r="J59" s="4">
        <f t="shared" ca="1" si="11"/>
        <v>0</v>
      </c>
    </row>
    <row r="60" spans="1:10">
      <c r="A60">
        <v>57</v>
      </c>
      <c r="B60">
        <f>IF($B$1&gt;=A60, SUM(A$4:A60), 0)</f>
        <v>0</v>
      </c>
      <c r="C60">
        <f t="shared" si="7"/>
        <v>-6</v>
      </c>
      <c r="D60">
        <f ca="1">IF($B$1&gt;=A60, SUM(INDIRECT("A"&amp;($B$1+3)):INDIRECT("A"&amp;(C60+3))), 0)</f>
        <v>0</v>
      </c>
      <c r="E60">
        <f t="shared" ca="1" si="8"/>
        <v>0</v>
      </c>
      <c r="F60">
        <f t="shared" ca="1" si="5"/>
        <v>0</v>
      </c>
      <c r="G60">
        <f t="shared" ca="1" si="9"/>
        <v>0</v>
      </c>
      <c r="H60" s="4">
        <f t="shared" ca="1" si="6"/>
        <v>0</v>
      </c>
      <c r="I60" s="4">
        <f t="shared" ca="1" si="10"/>
        <v>0</v>
      </c>
      <c r="J60" s="4">
        <f t="shared" ca="1" si="11"/>
        <v>0</v>
      </c>
    </row>
    <row r="61" spans="1:10">
      <c r="A61">
        <v>58</v>
      </c>
      <c r="B61">
        <f>IF($B$1&gt;=A61, SUM(A$4:A61), 0)</f>
        <v>0</v>
      </c>
      <c r="C61">
        <f t="shared" si="7"/>
        <v>-7</v>
      </c>
      <c r="D61">
        <f ca="1">IF($B$1&gt;=A61, SUM(INDIRECT("A"&amp;($B$1+3)):INDIRECT("A"&amp;(C61+3))), 0)</f>
        <v>0</v>
      </c>
      <c r="E61">
        <f t="shared" ca="1" si="8"/>
        <v>0</v>
      </c>
      <c r="F61">
        <f t="shared" ca="1" si="5"/>
        <v>0</v>
      </c>
      <c r="G61">
        <f t="shared" ca="1" si="9"/>
        <v>0</v>
      </c>
      <c r="H61" s="4">
        <f t="shared" ca="1" si="6"/>
        <v>0</v>
      </c>
      <c r="I61" s="4">
        <f t="shared" ca="1" si="10"/>
        <v>0</v>
      </c>
      <c r="J61" s="4">
        <f t="shared" ca="1" si="11"/>
        <v>0</v>
      </c>
    </row>
    <row r="62" spans="1:10">
      <c r="A62">
        <v>59</v>
      </c>
      <c r="B62">
        <f>IF($B$1&gt;=A62, SUM(A$4:A62), 0)</f>
        <v>0</v>
      </c>
      <c r="C62">
        <f t="shared" si="7"/>
        <v>-8</v>
      </c>
      <c r="D62">
        <f ca="1">IF($B$1&gt;=A62, SUM(INDIRECT("A"&amp;($B$1+3)):INDIRECT("A"&amp;(C62+3))), 0)</f>
        <v>0</v>
      </c>
      <c r="E62">
        <f t="shared" ca="1" si="8"/>
        <v>0</v>
      </c>
      <c r="F62">
        <f t="shared" ca="1" si="5"/>
        <v>0</v>
      </c>
      <c r="G62">
        <f t="shared" ca="1" si="9"/>
        <v>0</v>
      </c>
      <c r="H62" s="4">
        <f t="shared" ca="1" si="6"/>
        <v>0</v>
      </c>
      <c r="I62" s="4">
        <f t="shared" ca="1" si="10"/>
        <v>0</v>
      </c>
      <c r="J62" s="4">
        <f t="shared" ca="1" si="11"/>
        <v>0</v>
      </c>
    </row>
    <row r="63" spans="1:10">
      <c r="A63">
        <v>60</v>
      </c>
      <c r="B63">
        <f>IF($B$1&gt;=A63, SUM(A$4:A63), 0)</f>
        <v>0</v>
      </c>
      <c r="C63">
        <f t="shared" si="7"/>
        <v>-9</v>
      </c>
      <c r="D63">
        <f ca="1">IF($B$1&gt;=A63, SUM(INDIRECT("A"&amp;($B$1+3)):INDIRECT("A"&amp;(C63+3))), 0)</f>
        <v>0</v>
      </c>
      <c r="E63">
        <f t="shared" ca="1" si="8"/>
        <v>0</v>
      </c>
      <c r="F63">
        <f t="shared" ca="1" si="5"/>
        <v>0</v>
      </c>
      <c r="G63">
        <f t="shared" ca="1" si="9"/>
        <v>0</v>
      </c>
      <c r="H63" s="4">
        <f t="shared" ca="1" si="6"/>
        <v>0</v>
      </c>
      <c r="I63" s="4">
        <f t="shared" ca="1" si="10"/>
        <v>0</v>
      </c>
      <c r="J63" s="4">
        <f t="shared" ca="1" si="11"/>
        <v>0</v>
      </c>
    </row>
    <row r="64" spans="1:10">
      <c r="A64">
        <v>61</v>
      </c>
      <c r="B64">
        <f>IF($B$1&gt;=A64, SUM(A$4:A64), 0)</f>
        <v>0</v>
      </c>
      <c r="C64">
        <f t="shared" si="7"/>
        <v>-10</v>
      </c>
      <c r="D64">
        <f ca="1">IF($B$1&gt;=A64, SUM(INDIRECT("A"&amp;($B$1+3)):INDIRECT("A"&amp;(C64+3))), 0)</f>
        <v>0</v>
      </c>
      <c r="E64">
        <f t="shared" ca="1" si="8"/>
        <v>0</v>
      </c>
      <c r="F64">
        <f t="shared" ca="1" si="5"/>
        <v>0</v>
      </c>
      <c r="G64">
        <f t="shared" ca="1" si="9"/>
        <v>0</v>
      </c>
      <c r="H64" s="4">
        <f t="shared" ca="1" si="6"/>
        <v>0</v>
      </c>
      <c r="I64" s="4">
        <f t="shared" ca="1" si="10"/>
        <v>0</v>
      </c>
      <c r="J64" s="4">
        <f t="shared" ca="1" si="11"/>
        <v>0</v>
      </c>
    </row>
    <row r="65" spans="1:10">
      <c r="A65">
        <v>62</v>
      </c>
      <c r="B65">
        <f>IF($B$1&gt;=A65, SUM(A$4:A65), 0)</f>
        <v>0</v>
      </c>
      <c r="C65">
        <f t="shared" si="7"/>
        <v>-11</v>
      </c>
      <c r="D65">
        <f ca="1">IF($B$1&gt;=A65, SUM(INDIRECT("A"&amp;($B$1+3)):INDIRECT("A"&amp;(C65+3))), 0)</f>
        <v>0</v>
      </c>
      <c r="E65">
        <f t="shared" ca="1" si="8"/>
        <v>0</v>
      </c>
      <c r="F65">
        <f t="shared" ca="1" si="5"/>
        <v>0</v>
      </c>
      <c r="G65">
        <f t="shared" ca="1" si="9"/>
        <v>0</v>
      </c>
      <c r="H65" s="4">
        <f t="shared" ca="1" si="6"/>
        <v>0</v>
      </c>
      <c r="I65" s="4">
        <f t="shared" ca="1" si="10"/>
        <v>0</v>
      </c>
      <c r="J65" s="4">
        <f t="shared" ca="1" si="11"/>
        <v>0</v>
      </c>
    </row>
    <row r="66" spans="1:10">
      <c r="A66">
        <v>63</v>
      </c>
      <c r="B66">
        <f>IF($B$1&gt;=A66, SUM(A$4:A66), 0)</f>
        <v>0</v>
      </c>
      <c r="C66">
        <f t="shared" si="7"/>
        <v>-12</v>
      </c>
      <c r="D66">
        <f ca="1">IF($B$1&gt;=A66, SUM(INDIRECT("A"&amp;($B$1+3)):INDIRECT("A"&amp;(C66+3))), 0)</f>
        <v>0</v>
      </c>
      <c r="E66">
        <f t="shared" ca="1" si="8"/>
        <v>0</v>
      </c>
      <c r="F66">
        <f t="shared" ca="1" si="5"/>
        <v>0</v>
      </c>
      <c r="G66">
        <f t="shared" ca="1" si="9"/>
        <v>0</v>
      </c>
      <c r="H66" s="4">
        <f t="shared" ca="1" si="6"/>
        <v>0</v>
      </c>
      <c r="I66" s="4">
        <f t="shared" ca="1" si="10"/>
        <v>0</v>
      </c>
      <c r="J66" s="4">
        <f t="shared" ca="1" si="11"/>
        <v>0</v>
      </c>
    </row>
    <row r="67" spans="1:10">
      <c r="A67">
        <v>64</v>
      </c>
      <c r="B67">
        <f>IF($B$1&gt;=A67, SUM(A$4:A67), 0)</f>
        <v>0</v>
      </c>
      <c r="C67">
        <f t="shared" si="7"/>
        <v>-13</v>
      </c>
      <c r="D67">
        <f ca="1">IF($B$1&gt;=A67, SUM(INDIRECT("A"&amp;($B$1+3)):INDIRECT("A"&amp;(C67+3))), 0)</f>
        <v>0</v>
      </c>
      <c r="E67">
        <f t="shared" ca="1" si="8"/>
        <v>0</v>
      </c>
      <c r="F67">
        <f t="shared" ca="1" si="5"/>
        <v>0</v>
      </c>
      <c r="G67">
        <f t="shared" ca="1" si="9"/>
        <v>0</v>
      </c>
      <c r="H67" s="4">
        <f t="shared" ca="1" si="6"/>
        <v>0</v>
      </c>
      <c r="I67" s="4">
        <f t="shared" ca="1" si="10"/>
        <v>0</v>
      </c>
      <c r="J67" s="4">
        <f t="shared" ca="1" si="11"/>
        <v>0</v>
      </c>
    </row>
    <row r="68" spans="1:10">
      <c r="A68">
        <v>65</v>
      </c>
      <c r="B68">
        <f>IF($B$1&gt;=A68, SUM(A$4:A68), 0)</f>
        <v>0</v>
      </c>
      <c r="C68">
        <f t="shared" ref="C68:C78" si="12">($B$1+1)-A68</f>
        <v>-14</v>
      </c>
      <c r="D68">
        <f ca="1">IF($B$1&gt;=A68, SUM(INDIRECT("A"&amp;($B$1+3)):INDIRECT("A"&amp;(C68+3))), 0)</f>
        <v>0</v>
      </c>
      <c r="E68">
        <f t="shared" ref="E68:E78" ca="1" si="13">D68-B68</f>
        <v>0</v>
      </c>
      <c r="F68">
        <f t="shared" ca="1" si="5"/>
        <v>0</v>
      </c>
      <c r="G68">
        <f t="shared" ref="G68:G78" ca="1" si="14">F68+D68</f>
        <v>0</v>
      </c>
      <c r="H68" s="4">
        <f t="shared" ca="1" si="6"/>
        <v>0</v>
      </c>
      <c r="I68" s="4">
        <f t="shared" ref="I68:I78" ca="1" si="15">H68*AvgHitsPerRound1</f>
        <v>0</v>
      </c>
      <c r="J68" s="4">
        <f t="shared" ref="J68:J78" ca="1" si="16">H68*AvgHitsPerRound2</f>
        <v>0</v>
      </c>
    </row>
    <row r="69" spans="1:10">
      <c r="A69">
        <v>66</v>
      </c>
      <c r="B69">
        <f>IF($B$1&gt;=A69, SUM(A$4:A69), 0)</f>
        <v>0</v>
      </c>
      <c r="C69">
        <f t="shared" si="12"/>
        <v>-15</v>
      </c>
      <c r="D69">
        <f ca="1">IF($B$1&gt;=A69, SUM(INDIRECT("A"&amp;($B$1+3)):INDIRECT("A"&amp;(C69+3))), 0)</f>
        <v>0</v>
      </c>
      <c r="E69">
        <f t="shared" ca="1" si="13"/>
        <v>0</v>
      </c>
      <c r="F69">
        <f t="shared" ref="F69:F78" ca="1" si="17">IF($B$1&gt;=A69, SUM(INDIRECT("A"&amp;ROW()+1&amp;":A"&amp;($B$1+4))), 0)</f>
        <v>0</v>
      </c>
      <c r="G69">
        <f t="shared" ca="1" si="14"/>
        <v>0</v>
      </c>
      <c r="H69" s="4">
        <f t="shared" ref="H69:H78" ca="1" si="18">G69/$B$1/$H$2</f>
        <v>0</v>
      </c>
      <c r="I69" s="4">
        <f t="shared" ca="1" si="15"/>
        <v>0</v>
      </c>
      <c r="J69" s="4">
        <f t="shared" ca="1" si="16"/>
        <v>0</v>
      </c>
    </row>
    <row r="70" spans="1:10">
      <c r="A70">
        <v>67</v>
      </c>
      <c r="B70">
        <f>IF($B$1&gt;=A70, SUM(A$4:A70), 0)</f>
        <v>0</v>
      </c>
      <c r="C70">
        <f t="shared" si="12"/>
        <v>-16</v>
      </c>
      <c r="D70">
        <f ca="1">IF($B$1&gt;=A70, SUM(INDIRECT("A"&amp;($B$1+3)):INDIRECT("A"&amp;(C70+3))), 0)</f>
        <v>0</v>
      </c>
      <c r="E70">
        <f t="shared" ca="1" si="13"/>
        <v>0</v>
      </c>
      <c r="F70">
        <f t="shared" ca="1" si="17"/>
        <v>0</v>
      </c>
      <c r="G70">
        <f t="shared" ca="1" si="14"/>
        <v>0</v>
      </c>
      <c r="H70" s="4">
        <f t="shared" ca="1" si="18"/>
        <v>0</v>
      </c>
      <c r="I70" s="4">
        <f t="shared" ca="1" si="15"/>
        <v>0</v>
      </c>
      <c r="J70" s="4">
        <f t="shared" ca="1" si="16"/>
        <v>0</v>
      </c>
    </row>
    <row r="71" spans="1:10">
      <c r="A71">
        <v>68</v>
      </c>
      <c r="B71">
        <f>IF($B$1&gt;=A71, SUM(A$4:A71), 0)</f>
        <v>0</v>
      </c>
      <c r="C71">
        <f t="shared" si="12"/>
        <v>-17</v>
      </c>
      <c r="D71">
        <f ca="1">IF($B$1&gt;=A71, SUM(INDIRECT("A"&amp;($B$1+3)):INDIRECT("A"&amp;(C71+3))), 0)</f>
        <v>0</v>
      </c>
      <c r="E71">
        <f t="shared" ca="1" si="13"/>
        <v>0</v>
      </c>
      <c r="F71">
        <f t="shared" ca="1" si="17"/>
        <v>0</v>
      </c>
      <c r="G71">
        <f t="shared" ca="1" si="14"/>
        <v>0</v>
      </c>
      <c r="H71" s="4">
        <f t="shared" ca="1" si="18"/>
        <v>0</v>
      </c>
      <c r="I71" s="4">
        <f t="shared" ca="1" si="15"/>
        <v>0</v>
      </c>
      <c r="J71" s="4">
        <f t="shared" ca="1" si="16"/>
        <v>0</v>
      </c>
    </row>
    <row r="72" spans="1:10">
      <c r="A72">
        <v>69</v>
      </c>
      <c r="B72">
        <f>IF($B$1&gt;=A72, SUM(A$4:A72), 0)</f>
        <v>0</v>
      </c>
      <c r="C72">
        <f t="shared" si="12"/>
        <v>-18</v>
      </c>
      <c r="D72">
        <f ca="1">IF($B$1&gt;=A72, SUM(INDIRECT("A"&amp;($B$1+3)):INDIRECT("A"&amp;(C72+3))), 0)</f>
        <v>0</v>
      </c>
      <c r="E72">
        <f t="shared" ca="1" si="13"/>
        <v>0</v>
      </c>
      <c r="F72">
        <f t="shared" ca="1" si="17"/>
        <v>0</v>
      </c>
      <c r="G72">
        <f t="shared" ca="1" si="14"/>
        <v>0</v>
      </c>
      <c r="H72" s="4">
        <f t="shared" ca="1" si="18"/>
        <v>0</v>
      </c>
      <c r="I72" s="4">
        <f t="shared" ca="1" si="15"/>
        <v>0</v>
      </c>
      <c r="J72" s="4">
        <f t="shared" ca="1" si="16"/>
        <v>0</v>
      </c>
    </row>
    <row r="73" spans="1:10">
      <c r="A73">
        <v>70</v>
      </c>
      <c r="B73">
        <f>IF($B$1&gt;=A73, SUM(A$4:A73), 0)</f>
        <v>0</v>
      </c>
      <c r="C73">
        <f t="shared" si="12"/>
        <v>-19</v>
      </c>
      <c r="D73">
        <f ca="1">IF($B$1&gt;=A73, SUM(INDIRECT("A"&amp;($B$1+3)):INDIRECT("A"&amp;(C73+3))), 0)</f>
        <v>0</v>
      </c>
      <c r="E73">
        <f t="shared" ca="1" si="13"/>
        <v>0</v>
      </c>
      <c r="F73">
        <f t="shared" ca="1" si="17"/>
        <v>0</v>
      </c>
      <c r="G73">
        <f t="shared" ca="1" si="14"/>
        <v>0</v>
      </c>
      <c r="H73" s="4">
        <f t="shared" ca="1" si="18"/>
        <v>0</v>
      </c>
      <c r="I73" s="4">
        <f t="shared" ca="1" si="15"/>
        <v>0</v>
      </c>
      <c r="J73" s="4">
        <f t="shared" ca="1" si="16"/>
        <v>0</v>
      </c>
    </row>
    <row r="74" spans="1:10">
      <c r="A74">
        <v>71</v>
      </c>
      <c r="B74">
        <f>IF($B$1&gt;=A74, SUM(A$4:A74), 0)</f>
        <v>0</v>
      </c>
      <c r="C74">
        <f t="shared" si="12"/>
        <v>-20</v>
      </c>
      <c r="D74">
        <f ca="1">IF($B$1&gt;=A74, SUM(INDIRECT("A"&amp;($B$1+3)):INDIRECT("A"&amp;(C74+3))), 0)</f>
        <v>0</v>
      </c>
      <c r="E74">
        <f t="shared" ca="1" si="13"/>
        <v>0</v>
      </c>
      <c r="F74">
        <f t="shared" ca="1" si="17"/>
        <v>0</v>
      </c>
      <c r="G74">
        <f t="shared" ca="1" si="14"/>
        <v>0</v>
      </c>
      <c r="H74" s="4">
        <f t="shared" ca="1" si="18"/>
        <v>0</v>
      </c>
      <c r="I74" s="4">
        <f t="shared" ca="1" si="15"/>
        <v>0</v>
      </c>
      <c r="J74" s="4">
        <f t="shared" ca="1" si="16"/>
        <v>0</v>
      </c>
    </row>
    <row r="75" spans="1:10">
      <c r="A75">
        <v>72</v>
      </c>
      <c r="B75">
        <f>IF($B$1&gt;=A75, SUM(A$4:A75), 0)</f>
        <v>0</v>
      </c>
      <c r="C75">
        <f t="shared" si="12"/>
        <v>-21</v>
      </c>
      <c r="D75">
        <f ca="1">IF($B$1&gt;=A75, SUM(INDIRECT("A"&amp;($B$1+3)):INDIRECT("A"&amp;(C75+3))), 0)</f>
        <v>0</v>
      </c>
      <c r="E75">
        <f t="shared" ca="1" si="13"/>
        <v>0</v>
      </c>
      <c r="F75">
        <f t="shared" ca="1" si="17"/>
        <v>0</v>
      </c>
      <c r="G75">
        <f t="shared" ca="1" si="14"/>
        <v>0</v>
      </c>
      <c r="H75" s="4">
        <f t="shared" ca="1" si="18"/>
        <v>0</v>
      </c>
      <c r="I75" s="4">
        <f t="shared" ca="1" si="15"/>
        <v>0</v>
      </c>
      <c r="J75" s="4">
        <f t="shared" ca="1" si="16"/>
        <v>0</v>
      </c>
    </row>
    <row r="76" spans="1:10">
      <c r="A76">
        <v>73</v>
      </c>
      <c r="B76">
        <f>IF($B$1&gt;=A76, SUM(A$4:A76), 0)</f>
        <v>0</v>
      </c>
      <c r="C76">
        <f t="shared" si="12"/>
        <v>-22</v>
      </c>
      <c r="D76">
        <f ca="1">IF($B$1&gt;=A76, SUM(INDIRECT("A"&amp;($B$1+3)):INDIRECT("A"&amp;(C76+3))), 0)</f>
        <v>0</v>
      </c>
      <c r="E76">
        <f t="shared" ca="1" si="13"/>
        <v>0</v>
      </c>
      <c r="F76">
        <f t="shared" ca="1" si="17"/>
        <v>0</v>
      </c>
      <c r="G76">
        <f t="shared" ca="1" si="14"/>
        <v>0</v>
      </c>
      <c r="H76" s="4">
        <f t="shared" ca="1" si="18"/>
        <v>0</v>
      </c>
      <c r="I76" s="4">
        <f t="shared" ca="1" si="15"/>
        <v>0</v>
      </c>
      <c r="J76" s="4">
        <f t="shared" ca="1" si="16"/>
        <v>0</v>
      </c>
    </row>
    <row r="77" spans="1:10">
      <c r="A77">
        <v>74</v>
      </c>
      <c r="B77">
        <f>IF($B$1&gt;=A77, SUM(A$4:A77), 0)</f>
        <v>0</v>
      </c>
      <c r="C77">
        <f t="shared" si="12"/>
        <v>-23</v>
      </c>
      <c r="D77">
        <f ca="1">IF($B$1&gt;=A77, SUM(INDIRECT("A"&amp;($B$1+3)):INDIRECT("A"&amp;(C77+3))), 0)</f>
        <v>0</v>
      </c>
      <c r="E77">
        <f t="shared" ca="1" si="13"/>
        <v>0</v>
      </c>
      <c r="F77">
        <f t="shared" ca="1" si="17"/>
        <v>0</v>
      </c>
      <c r="G77">
        <f t="shared" ca="1" si="14"/>
        <v>0</v>
      </c>
      <c r="H77" s="4">
        <f t="shared" ca="1" si="18"/>
        <v>0</v>
      </c>
      <c r="I77" s="4">
        <f t="shared" ca="1" si="15"/>
        <v>0</v>
      </c>
      <c r="J77" s="4">
        <f t="shared" ca="1" si="16"/>
        <v>0</v>
      </c>
    </row>
    <row r="78" spans="1:10">
      <c r="A78">
        <v>75</v>
      </c>
      <c r="B78">
        <f>IF($B$1&gt;=A78, SUM(A$4:A78), 0)</f>
        <v>0</v>
      </c>
      <c r="C78">
        <f t="shared" si="12"/>
        <v>-24</v>
      </c>
      <c r="D78">
        <f ca="1">IF($B$1&gt;=A78, SUM(INDIRECT("A"&amp;($B$1+3)):INDIRECT("A"&amp;(C78+3))), 0)</f>
        <v>0</v>
      </c>
      <c r="E78">
        <f t="shared" ca="1" si="13"/>
        <v>0</v>
      </c>
      <c r="F78">
        <f t="shared" ca="1" si="17"/>
        <v>0</v>
      </c>
      <c r="G78">
        <f t="shared" ca="1" si="14"/>
        <v>0</v>
      </c>
      <c r="H78" s="4">
        <f t="shared" ca="1" si="18"/>
        <v>0</v>
      </c>
      <c r="I78" s="4">
        <f t="shared" ca="1" si="15"/>
        <v>0</v>
      </c>
      <c r="J78" s="4">
        <f t="shared" ca="1" si="16"/>
        <v>0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149</vt:i4>
      </vt:variant>
    </vt:vector>
  </HeadingPairs>
  <TitlesOfParts>
    <vt:vector size="159" baseType="lpstr">
      <vt:lpstr>Setup</vt:lpstr>
      <vt:lpstr>Gear</vt:lpstr>
      <vt:lpstr>Data</vt:lpstr>
      <vt:lpstr>Weaponskill</vt:lpstr>
      <vt:lpstr>Melee</vt:lpstr>
      <vt:lpstr>Gear Lists</vt:lpstr>
      <vt:lpstr>Other Lists</vt:lpstr>
      <vt:lpstr>Stats</vt:lpstr>
      <vt:lpstr>Endark</vt:lpstr>
      <vt:lpstr>Sets</vt:lpstr>
      <vt:lpstr>AM2Table</vt:lpstr>
      <vt:lpstr>Ammo</vt:lpstr>
      <vt:lpstr>AmmoList</vt:lpstr>
      <vt:lpstr>AtmaHeader</vt:lpstr>
      <vt:lpstr>AtmaList</vt:lpstr>
      <vt:lpstr>Atmas</vt:lpstr>
      <vt:lpstr>AvgHitsPerHand1TP1</vt:lpstr>
      <vt:lpstr>AvgHitsPerHand1TP2</vt:lpstr>
      <vt:lpstr>AvgHitsPerHand2TP1</vt:lpstr>
      <vt:lpstr>AvgHitsPerHand2TP2</vt:lpstr>
      <vt:lpstr>AvgHitsPerRound1</vt:lpstr>
      <vt:lpstr>AvgHitsPerRound2</vt:lpstr>
      <vt:lpstr>AvgRoundsSet1</vt:lpstr>
      <vt:lpstr>AvgRoundsSet2</vt:lpstr>
      <vt:lpstr>Axe</vt:lpstr>
      <vt:lpstr>AxeList</vt:lpstr>
      <vt:lpstr>AxeWS</vt:lpstr>
      <vt:lpstr>Back</vt:lpstr>
      <vt:lpstr>BackList</vt:lpstr>
      <vt:lpstr>Body</vt:lpstr>
      <vt:lpstr>BodyList</vt:lpstr>
      <vt:lpstr>Boosts</vt:lpstr>
      <vt:lpstr>Earring</vt:lpstr>
      <vt:lpstr>EarringList</vt:lpstr>
      <vt:lpstr>EndarkTable</vt:lpstr>
      <vt:lpstr>Entropy</vt:lpstr>
      <vt:lpstr>Feet</vt:lpstr>
      <vt:lpstr>FeetList</vt:lpstr>
      <vt:lpstr>Food</vt:lpstr>
      <vt:lpstr>FoodHeader</vt:lpstr>
      <vt:lpstr>FoodList</vt:lpstr>
      <vt:lpstr>GradeRates</vt:lpstr>
      <vt:lpstr>Grades</vt:lpstr>
      <vt:lpstr>GreatAxe</vt:lpstr>
      <vt:lpstr>GreatAxeList</vt:lpstr>
      <vt:lpstr>GreatAxeWS</vt:lpstr>
      <vt:lpstr>GreatSword</vt:lpstr>
      <vt:lpstr>GreatSwordList</vt:lpstr>
      <vt:lpstr>GreatSwordWS</vt:lpstr>
      <vt:lpstr>Grip</vt:lpstr>
      <vt:lpstr>GripList</vt:lpstr>
      <vt:lpstr>Hands</vt:lpstr>
      <vt:lpstr>HandsList</vt:lpstr>
      <vt:lpstr>Hastes</vt:lpstr>
      <vt:lpstr>Head</vt:lpstr>
      <vt:lpstr>HeadList</vt:lpstr>
      <vt:lpstr>Ionis</vt:lpstr>
      <vt:lpstr>Legs</vt:lpstr>
      <vt:lpstr>LegsList</vt:lpstr>
      <vt:lpstr>MainWeapons</vt:lpstr>
      <vt:lpstr>MainWeaponsGroup</vt:lpstr>
      <vt:lpstr>MobHeader</vt:lpstr>
      <vt:lpstr>MobList</vt:lpstr>
      <vt:lpstr>Mobs</vt:lpstr>
      <vt:lpstr>Neck</vt:lpstr>
      <vt:lpstr>NeckList</vt:lpstr>
      <vt:lpstr>PlayerStats</vt:lpstr>
      <vt:lpstr>Races</vt:lpstr>
      <vt:lpstr>RateTiers</vt:lpstr>
      <vt:lpstr>Ring</vt:lpstr>
      <vt:lpstr>RingList</vt:lpstr>
      <vt:lpstr>Scythe</vt:lpstr>
      <vt:lpstr>ScytheList</vt:lpstr>
      <vt:lpstr>ScytheWS</vt:lpstr>
      <vt:lpstr>Set1AM3</vt:lpstr>
      <vt:lpstr>Set1AM32</vt:lpstr>
      <vt:lpstr>Set1AM33</vt:lpstr>
      <vt:lpstr>Set1ConserveTP</vt:lpstr>
      <vt:lpstr>Set1CRatio</vt:lpstr>
      <vt:lpstr>Set1CritDmg</vt:lpstr>
      <vt:lpstr>Set1CritMain</vt:lpstr>
      <vt:lpstr>Set1CritOff</vt:lpstr>
      <vt:lpstr>Set1DA</vt:lpstr>
      <vt:lpstr>Set1FTP</vt:lpstr>
      <vt:lpstr>Set1MainDmg</vt:lpstr>
      <vt:lpstr>Set1MeleeTP</vt:lpstr>
      <vt:lpstr>Set1MinTP</vt:lpstr>
      <vt:lpstr>Set1OffDmg</vt:lpstr>
      <vt:lpstr>Set1OverTP</vt:lpstr>
      <vt:lpstr>Set1QA</vt:lpstr>
      <vt:lpstr>Set1Regain</vt:lpstr>
      <vt:lpstr>Set1SaveTP</vt:lpstr>
      <vt:lpstr>Set1TA</vt:lpstr>
      <vt:lpstr>Set1TPBonus</vt:lpstr>
      <vt:lpstr>Set1WSAgi</vt:lpstr>
      <vt:lpstr>Set1WSDex</vt:lpstr>
      <vt:lpstr>Set1WSDmg</vt:lpstr>
      <vt:lpstr>Set1WSHitRate</vt:lpstr>
      <vt:lpstr>Set1WSInt</vt:lpstr>
      <vt:lpstr>Set1WSMnd</vt:lpstr>
      <vt:lpstr>Set1WSStoreTP</vt:lpstr>
      <vt:lpstr>Set1WSStr</vt:lpstr>
      <vt:lpstr>Set1WSTP</vt:lpstr>
      <vt:lpstr>Set1WSVit</vt:lpstr>
      <vt:lpstr>Set2AM3</vt:lpstr>
      <vt:lpstr>Set2AM32</vt:lpstr>
      <vt:lpstr>Set2AM33</vt:lpstr>
      <vt:lpstr>Set2ConserveTP</vt:lpstr>
      <vt:lpstr>Set2CRatio</vt:lpstr>
      <vt:lpstr>Set2CritDmg</vt:lpstr>
      <vt:lpstr>Set2CritMain</vt:lpstr>
      <vt:lpstr>Set2CritOff</vt:lpstr>
      <vt:lpstr>Set2DA</vt:lpstr>
      <vt:lpstr>Set2FTP</vt:lpstr>
      <vt:lpstr>Set2MainDmg</vt:lpstr>
      <vt:lpstr>Set2MeleeTP</vt:lpstr>
      <vt:lpstr>Set2MinTP</vt:lpstr>
      <vt:lpstr>Set2OffDmg</vt:lpstr>
      <vt:lpstr>Set2OverTP</vt:lpstr>
      <vt:lpstr>Set2QA</vt:lpstr>
      <vt:lpstr>Set2Regain</vt:lpstr>
      <vt:lpstr>Set2SaveTP</vt:lpstr>
      <vt:lpstr>Set2TA</vt:lpstr>
      <vt:lpstr>Set2TPBonus</vt:lpstr>
      <vt:lpstr>Set2WSAgi</vt:lpstr>
      <vt:lpstr>Set2WSDex</vt:lpstr>
      <vt:lpstr>Set2WSDmg</vt:lpstr>
      <vt:lpstr>Set2WSHitRate</vt:lpstr>
      <vt:lpstr>Set2WSInt</vt:lpstr>
      <vt:lpstr>Set2WSMnd</vt:lpstr>
      <vt:lpstr>Set2WSStoreTP</vt:lpstr>
      <vt:lpstr>Set2WSStr</vt:lpstr>
      <vt:lpstr>Set2WSTP</vt:lpstr>
      <vt:lpstr>Set2WSVit</vt:lpstr>
      <vt:lpstr>SetBonusLookup</vt:lpstr>
      <vt:lpstr>Skills</vt:lpstr>
      <vt:lpstr>Slots</vt:lpstr>
      <vt:lpstr>Souleater10</vt:lpstr>
      <vt:lpstr>Souleater12</vt:lpstr>
      <vt:lpstr>SouleaterOptions</vt:lpstr>
      <vt:lpstr>StatHeader</vt:lpstr>
      <vt:lpstr>Stats</vt:lpstr>
      <vt:lpstr>Sub1HWeapons</vt:lpstr>
      <vt:lpstr>Sub2HWeapons</vt:lpstr>
      <vt:lpstr>Subjobs</vt:lpstr>
      <vt:lpstr>Toggle</vt:lpstr>
      <vt:lpstr>TPSet1</vt:lpstr>
      <vt:lpstr>TPSet1Gear</vt:lpstr>
      <vt:lpstr>TPSet2</vt:lpstr>
      <vt:lpstr>TPSet2Gear</vt:lpstr>
      <vt:lpstr>Waist</vt:lpstr>
      <vt:lpstr>WaistList</vt:lpstr>
      <vt:lpstr>WeaponskillData</vt:lpstr>
      <vt:lpstr>WeaponskillDataCols</vt:lpstr>
      <vt:lpstr>WeaponTypes</vt:lpstr>
      <vt:lpstr>WSSet1</vt:lpstr>
      <vt:lpstr>WSSet1Gear</vt:lpstr>
      <vt:lpstr>WSSet2</vt:lpstr>
      <vt:lpstr>WSSet2Gear</vt:lpstr>
    </vt:vector>
  </TitlesOfParts>
  <Company>Wayward Gamers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Smith</dc:creator>
  <cp:lastModifiedBy>B Frank</cp:lastModifiedBy>
  <dcterms:created xsi:type="dcterms:W3CDTF">2010-08-09T19:31:43Z</dcterms:created>
  <dcterms:modified xsi:type="dcterms:W3CDTF">2017-04-16T14:59:43Z</dcterms:modified>
</cp:coreProperties>
</file>