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yrontack-my.sharepoint.com/personal/byron_trigon-group_co_uk/Documents/TRIGON/CH001 - Charnwood/001. Roehampton, SW15 5NR/"/>
    </mc:Choice>
  </mc:AlternateContent>
  <xr:revisionPtr revIDLastSave="2921" documentId="11_0F7B4AB056612A1A86FC10446CCEA46D5F165A45" xr6:coauthVersionLast="47" xr6:coauthVersionMax="47" xr10:uidLastSave="{EA1AC524-6373-42B6-850C-F29A539E0832}"/>
  <bookViews>
    <workbookView xWindow="-8385" yWindow="-16320" windowWidth="29040" windowHeight="15720" tabRatio="965" firstSheet="1" activeTab="8" xr2:uid="{00000000-000D-0000-FFFF-FFFF00000000}"/>
  </bookViews>
  <sheets>
    <sheet name="Front Sheet" sheetId="13" r:id="rId1"/>
    <sheet name="Cost Summary" sheetId="1" r:id="rId2"/>
    <sheet name="Tender Instructions" sheetId="93" r:id="rId3"/>
    <sheet name="Tender Qualifications" sheetId="95" r:id="rId4"/>
    <sheet name="A- Preliminaries Summary" sheetId="98" state="hidden" r:id="rId5"/>
    <sheet name="A1-Preliminaries" sheetId="11" r:id="rId6"/>
    <sheet name="B-Design and Development Costs" sheetId="33" r:id="rId7"/>
    <sheet name="C-Demolition &amp; Site Clearance" sheetId="88" r:id="rId8"/>
    <sheet name="D1 Building Block N1" sheetId="16" r:id="rId9"/>
    <sheet name="D2 Building Block N7" sheetId="79" r:id="rId10"/>
    <sheet name="D3 Clubroom Refurb" sheetId="99" r:id="rId11"/>
    <sheet name="D4 External Works" sheetId="60" r:id="rId12"/>
    <sheet name="E-Contractor's Proposals" sheetId="83" r:id="rId13"/>
    <sheet name="F-Works outside the boundary" sheetId="84" r:id="rId14"/>
    <sheet name="G-Aftercare" sheetId="86" r:id="rId15"/>
    <sheet name="L-Alternative Costs" sheetId="94" r:id="rId16"/>
  </sheets>
  <definedNames>
    <definedName name="_xlnm.Print_Area" localSheetId="5">'A1-Preliminaries'!$A$1:$I$234</definedName>
    <definedName name="_xlnm.Print_Area" localSheetId="6">'B-Design and Development Costs'!$A$1:$G$85</definedName>
    <definedName name="_xlnm.Print_Area" localSheetId="7">'C-Demolition &amp; Site Clearance'!$A$1:$G$55</definedName>
    <definedName name="_xlnm.Print_Area" localSheetId="8">'D1 Building Block N1'!$A$1:$G$274</definedName>
    <definedName name="_xlnm.Print_Area" localSheetId="9">'D2 Building Block N7'!$A$1:$G$246</definedName>
    <definedName name="_xlnm.Print_Area" localSheetId="10">'D3 Clubroom Refurb'!$A$1:$F$26</definedName>
    <definedName name="_xlnm.Print_Area" localSheetId="11">'D4 External Works'!$A$1:$E$175</definedName>
    <definedName name="_xlnm.Print_Area" localSheetId="0">'Front Sheet'!$A$1:$I$41</definedName>
    <definedName name="_xlnm.Print_Area" localSheetId="13">'F-Works outside the boundary'!$A$1:$G$48</definedName>
    <definedName name="_xlnm.Print_Titles" localSheetId="1">'Cost Summary'!$1:$4</definedName>
    <definedName name="_xlnm.Print_Titles" localSheetId="8">'D1 Building Block N1'!$1:$4</definedName>
    <definedName name="_xlnm.Print_Titles" localSheetId="9">'D2 Building Block N7'!$1:$4</definedName>
    <definedName name="_xlnm.Print_Titles" localSheetId="10">'D3 Clubroom Refurb'!$1:$4</definedName>
    <definedName name="_xlnm.Print_Titles" localSheetId="11">'D4 External Works'!$1:$8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16" l="1"/>
  <c r="H260" i="16"/>
  <c r="C136" i="11"/>
  <c r="D175" i="60" l="1"/>
  <c r="I5" i="94"/>
  <c r="L6" i="94"/>
  <c r="J6" i="94"/>
  <c r="J5" i="94"/>
  <c r="L5" i="94" s="1"/>
  <c r="L7" i="94" s="1"/>
  <c r="H118" i="16"/>
  <c r="I19" i="88"/>
  <c r="J19" i="88"/>
  <c r="D19" i="88" s="1"/>
  <c r="H166" i="60"/>
  <c r="H69" i="60"/>
  <c r="H68" i="60"/>
  <c r="H77" i="16" l="1"/>
  <c r="H45" i="79"/>
  <c r="D13" i="84"/>
  <c r="D15" i="84"/>
  <c r="D17" i="84"/>
  <c r="D19" i="84"/>
  <c r="D11" i="84"/>
  <c r="J12" i="84"/>
  <c r="J13" i="84"/>
  <c r="J14" i="84"/>
  <c r="J15" i="84"/>
  <c r="J16" i="84"/>
  <c r="J17" i="84"/>
  <c r="J18" i="84"/>
  <c r="J19" i="84"/>
  <c r="J11" i="84"/>
  <c r="I12" i="84"/>
  <c r="I13" i="84"/>
  <c r="I14" i="84"/>
  <c r="I15" i="84"/>
  <c r="I16" i="84"/>
  <c r="I17" i="84"/>
  <c r="I18" i="84"/>
  <c r="I19" i="84"/>
  <c r="I11" i="84"/>
  <c r="H154" i="79"/>
  <c r="H179" i="16"/>
  <c r="H235" i="79"/>
  <c r="H230" i="79"/>
  <c r="H87" i="79"/>
  <c r="H91" i="79"/>
  <c r="H119" i="16" l="1"/>
  <c r="H114" i="16"/>
  <c r="H117" i="16"/>
  <c r="H177" i="16"/>
  <c r="H135" i="79"/>
  <c r="H160" i="16"/>
  <c r="H98" i="16"/>
  <c r="H168" i="60" l="1"/>
  <c r="F99" i="11"/>
  <c r="F105" i="11"/>
  <c r="C148" i="11"/>
  <c r="F129" i="11"/>
  <c r="C133" i="11"/>
  <c r="D179" i="11"/>
  <c r="D10" i="99"/>
  <c r="I10" i="99"/>
  <c r="J10" i="99" s="1"/>
  <c r="H10" i="99"/>
  <c r="H147" i="60"/>
  <c r="H48" i="60"/>
  <c r="M196" i="16"/>
  <c r="M195" i="16"/>
  <c r="M194" i="16"/>
  <c r="M193" i="16"/>
  <c r="M192" i="16"/>
  <c r="M191" i="16"/>
  <c r="M190" i="16"/>
  <c r="M173" i="16"/>
  <c r="M172" i="16"/>
  <c r="M171" i="16"/>
  <c r="M170" i="16"/>
  <c r="M169" i="16"/>
  <c r="M146" i="16"/>
  <c r="M145" i="16"/>
  <c r="M144" i="16"/>
  <c r="M143" i="16"/>
  <c r="M142" i="16"/>
  <c r="M141" i="16"/>
  <c r="M31" i="16"/>
  <c r="M30" i="16"/>
  <c r="M29" i="16"/>
  <c r="M28" i="16"/>
  <c r="M27" i="16"/>
  <c r="M26" i="16"/>
  <c r="M25" i="16"/>
  <c r="H238" i="79" l="1"/>
  <c r="H202" i="79"/>
  <c r="H224" i="16"/>
  <c r="H129" i="79"/>
  <c r="H157" i="16"/>
  <c r="H148" i="16"/>
  <c r="H123" i="79"/>
  <c r="I187" i="16"/>
  <c r="H154" i="16"/>
  <c r="C180" i="11" l="1"/>
  <c r="H28" i="60"/>
  <c r="H136" i="79"/>
  <c r="H114" i="79"/>
  <c r="H138" i="16"/>
  <c r="H69" i="79" l="1"/>
  <c r="H91" i="16" l="1"/>
  <c r="H11" i="16"/>
  <c r="H112" i="79"/>
  <c r="H137" i="16"/>
  <c r="D57" i="60"/>
  <c r="D58" i="60"/>
  <c r="D59" i="60"/>
  <c r="D77" i="60"/>
  <c r="D176" i="79"/>
  <c r="D177" i="79"/>
  <c r="D178" i="79"/>
  <c r="D179" i="79"/>
  <c r="D180" i="79"/>
  <c r="D182" i="79"/>
  <c r="D183" i="79"/>
  <c r="D184" i="79"/>
  <c r="D186" i="79"/>
  <c r="D187" i="79"/>
  <c r="D188" i="79"/>
  <c r="D189" i="79"/>
  <c r="D190" i="79"/>
  <c r="D192" i="79"/>
  <c r="D193" i="79"/>
  <c r="D194" i="79"/>
  <c r="D195" i="79"/>
  <c r="D196" i="79"/>
  <c r="D197" i="79"/>
  <c r="D198" i="79"/>
  <c r="D200" i="79"/>
  <c r="D201" i="79"/>
  <c r="D203" i="79"/>
  <c r="D204" i="79"/>
  <c r="D205" i="79"/>
  <c r="D206" i="79"/>
  <c r="D207" i="79"/>
  <c r="D209" i="79"/>
  <c r="D210" i="79"/>
  <c r="D211" i="79"/>
  <c r="D212" i="79"/>
  <c r="D213" i="79"/>
  <c r="D214" i="79"/>
  <c r="D215" i="79"/>
  <c r="D216" i="79"/>
  <c r="D217" i="79"/>
  <c r="D218" i="79"/>
  <c r="D219" i="79"/>
  <c r="D220" i="79"/>
  <c r="D221" i="79"/>
  <c r="D222" i="79"/>
  <c r="D223" i="79"/>
  <c r="D224" i="79"/>
  <c r="D225" i="79"/>
  <c r="D226" i="79"/>
  <c r="D227" i="79"/>
  <c r="D231" i="79"/>
  <c r="D233" i="79"/>
  <c r="D234" i="79"/>
  <c r="D236" i="79"/>
  <c r="D237" i="79"/>
  <c r="D150" i="79"/>
  <c r="D151" i="79"/>
  <c r="D153" i="79"/>
  <c r="D155" i="79"/>
  <c r="D156" i="79"/>
  <c r="D157" i="79"/>
  <c r="D158" i="79"/>
  <c r="D159" i="79"/>
  <c r="D160" i="79"/>
  <c r="D161" i="79"/>
  <c r="D164" i="79"/>
  <c r="D165" i="79"/>
  <c r="D166" i="79"/>
  <c r="D167" i="79"/>
  <c r="D168" i="79"/>
  <c r="D149" i="79"/>
  <c r="D124" i="79"/>
  <c r="D125" i="79"/>
  <c r="D128" i="79"/>
  <c r="D130" i="79"/>
  <c r="D133" i="79"/>
  <c r="D134" i="79"/>
  <c r="D137" i="79"/>
  <c r="D138" i="79"/>
  <c r="D139" i="79"/>
  <c r="D141" i="79"/>
  <c r="D142" i="79"/>
  <c r="D143" i="79"/>
  <c r="D37" i="79"/>
  <c r="D38" i="79"/>
  <c r="D39" i="79"/>
  <c r="D40" i="79"/>
  <c r="D41" i="79"/>
  <c r="D42" i="79"/>
  <c r="D43" i="79"/>
  <c r="D44" i="79"/>
  <c r="D46" i="79"/>
  <c r="D47" i="79"/>
  <c r="D48" i="79"/>
  <c r="D49" i="79"/>
  <c r="D50" i="79"/>
  <c r="D53" i="79"/>
  <c r="D54" i="79"/>
  <c r="D55" i="79"/>
  <c r="D56" i="79"/>
  <c r="D57" i="79"/>
  <c r="D58" i="79"/>
  <c r="D59" i="79"/>
  <c r="D60" i="79"/>
  <c r="D61" i="79"/>
  <c r="D62" i="79"/>
  <c r="D63" i="79"/>
  <c r="D64" i="79"/>
  <c r="D65" i="79"/>
  <c r="D66" i="79"/>
  <c r="D67" i="79"/>
  <c r="D68" i="79"/>
  <c r="D70" i="79"/>
  <c r="D71" i="79"/>
  <c r="D72" i="79"/>
  <c r="D73" i="79"/>
  <c r="D74" i="79"/>
  <c r="D75" i="79"/>
  <c r="D76" i="79"/>
  <c r="D77" i="79"/>
  <c r="D79" i="79"/>
  <c r="D80" i="79"/>
  <c r="D81" i="79"/>
  <c r="D82" i="79"/>
  <c r="D83" i="79"/>
  <c r="D84" i="79"/>
  <c r="D85" i="79"/>
  <c r="D86" i="79"/>
  <c r="D88" i="79"/>
  <c r="D89" i="79"/>
  <c r="D90" i="79"/>
  <c r="D93" i="79"/>
  <c r="D94" i="79"/>
  <c r="D95" i="79"/>
  <c r="D96" i="79"/>
  <c r="D97" i="79"/>
  <c r="D98" i="79"/>
  <c r="D99" i="79"/>
  <c r="D102" i="79"/>
  <c r="D103" i="79"/>
  <c r="D104" i="79"/>
  <c r="D107" i="79"/>
  <c r="D108" i="79"/>
  <c r="D109" i="79"/>
  <c r="D110" i="79"/>
  <c r="D35" i="79"/>
  <c r="D8" i="79"/>
  <c r="D9" i="79"/>
  <c r="D10" i="79"/>
  <c r="D11" i="79"/>
  <c r="D12" i="79"/>
  <c r="D13" i="79"/>
  <c r="D14" i="79"/>
  <c r="D15" i="79"/>
  <c r="D16" i="79"/>
  <c r="D17" i="79"/>
  <c r="D18" i="79"/>
  <c r="D19" i="79"/>
  <c r="D20" i="79"/>
  <c r="D21" i="79"/>
  <c r="D22" i="79"/>
  <c r="D23" i="79"/>
  <c r="D24" i="79"/>
  <c r="D25" i="79"/>
  <c r="D26" i="79"/>
  <c r="D7" i="79"/>
  <c r="D38" i="16"/>
  <c r="M38" i="16" s="1"/>
  <c r="D46" i="16"/>
  <c r="M46" i="16" s="1"/>
  <c r="D53" i="16"/>
  <c r="M53" i="16" s="1"/>
  <c r="D60" i="16"/>
  <c r="M60" i="16" s="1"/>
  <c r="D67" i="16"/>
  <c r="M67" i="16" s="1"/>
  <c r="D81" i="16"/>
  <c r="M81" i="16" s="1"/>
  <c r="D90" i="16"/>
  <c r="M90" i="16" s="1"/>
  <c r="D129" i="16"/>
  <c r="M129" i="16" s="1"/>
  <c r="D8" i="16"/>
  <c r="M8" i="16" s="1"/>
  <c r="D10" i="16"/>
  <c r="M10" i="16" s="1"/>
  <c r="D12" i="16"/>
  <c r="M12" i="16" s="1"/>
  <c r="D14" i="16"/>
  <c r="M14" i="16" s="1"/>
  <c r="D16" i="16"/>
  <c r="M16" i="16" s="1"/>
  <c r="D18" i="16"/>
  <c r="M18" i="16" s="1"/>
  <c r="M158" i="16"/>
  <c r="M162" i="16"/>
  <c r="H161" i="16"/>
  <c r="H62" i="79"/>
  <c r="H35" i="79"/>
  <c r="H81" i="79"/>
  <c r="H79" i="79"/>
  <c r="I79" i="79" s="1"/>
  <c r="H60" i="79"/>
  <c r="H103" i="16"/>
  <c r="H93" i="16"/>
  <c r="F86" i="11"/>
  <c r="C86" i="11"/>
  <c r="C82" i="11"/>
  <c r="C83" i="11"/>
  <c r="K86" i="11"/>
  <c r="K82" i="11"/>
  <c r="F164" i="11"/>
  <c r="C164" i="11"/>
  <c r="C115" i="11"/>
  <c r="C116" i="11"/>
  <c r="D5" i="88"/>
  <c r="I5" i="88"/>
  <c r="J5" i="88"/>
  <c r="H97" i="16" l="1"/>
  <c r="C16" i="11"/>
  <c r="C9" i="11"/>
  <c r="I55" i="33"/>
  <c r="J55" i="33" s="1"/>
  <c r="D55" i="33" s="1"/>
  <c r="I54" i="33"/>
  <c r="J54" i="33" s="1"/>
  <c r="D54" i="33" s="1"/>
  <c r="I53" i="33"/>
  <c r="J53" i="33" s="1"/>
  <c r="D53" i="33" s="1"/>
  <c r="I52" i="33"/>
  <c r="J52" i="33" s="1"/>
  <c r="D52" i="33" s="1"/>
  <c r="I51" i="33"/>
  <c r="J51" i="33" s="1"/>
  <c r="D51" i="33" s="1"/>
  <c r="I48" i="33"/>
  <c r="J48" i="33" s="1"/>
  <c r="D48" i="33" s="1"/>
  <c r="I47" i="33"/>
  <c r="J47" i="33" s="1"/>
  <c r="D47" i="33" s="1"/>
  <c r="I46" i="33"/>
  <c r="J46" i="33" s="1"/>
  <c r="D46" i="33" s="1"/>
  <c r="I45" i="33"/>
  <c r="J45" i="33" s="1"/>
  <c r="D45" i="33" s="1"/>
  <c r="I44" i="33"/>
  <c r="J44" i="33" s="1"/>
  <c r="D44" i="33" s="1"/>
  <c r="I38" i="33"/>
  <c r="J38" i="33" s="1"/>
  <c r="D38" i="33" s="1"/>
  <c r="I37" i="33"/>
  <c r="J37" i="33" s="1"/>
  <c r="D37" i="33" s="1"/>
  <c r="I36" i="33"/>
  <c r="J36" i="33" s="1"/>
  <c r="D36" i="33" s="1"/>
  <c r="I35" i="33"/>
  <c r="J35" i="33" s="1"/>
  <c r="D35" i="33" s="1"/>
  <c r="I34" i="33"/>
  <c r="J34" i="33" s="1"/>
  <c r="D34" i="33" s="1"/>
  <c r="I33" i="33"/>
  <c r="J33" i="33" s="1"/>
  <c r="D33" i="33" s="1"/>
  <c r="I32" i="33"/>
  <c r="J32" i="33" s="1"/>
  <c r="D32" i="33" s="1"/>
  <c r="I31" i="33"/>
  <c r="J31" i="33" s="1"/>
  <c r="D31" i="33" s="1"/>
  <c r="I30" i="33"/>
  <c r="J30" i="33" s="1"/>
  <c r="D30" i="33" s="1"/>
  <c r="I26" i="33"/>
  <c r="J26" i="33" s="1"/>
  <c r="D26" i="33" s="1"/>
  <c r="I25" i="33"/>
  <c r="J25" i="33" s="1"/>
  <c r="D25" i="33" s="1"/>
  <c r="I24" i="33"/>
  <c r="J24" i="33" s="1"/>
  <c r="D24" i="33" s="1"/>
  <c r="I21" i="33"/>
  <c r="J21" i="33" s="1"/>
  <c r="D21" i="33" s="1"/>
  <c r="I20" i="33"/>
  <c r="J20" i="33" s="1"/>
  <c r="D20" i="33" s="1"/>
  <c r="I17" i="33"/>
  <c r="J17" i="33" s="1"/>
  <c r="D17" i="33" s="1"/>
  <c r="I16" i="33"/>
  <c r="J16" i="33" s="1"/>
  <c r="D16" i="33" s="1"/>
  <c r="I15" i="33"/>
  <c r="J15" i="33" s="1"/>
  <c r="D15" i="33" s="1"/>
  <c r="I14" i="33"/>
  <c r="J14" i="33" s="1"/>
  <c r="D14" i="33" s="1"/>
  <c r="I10" i="33"/>
  <c r="J10" i="33" s="1"/>
  <c r="D10" i="33" s="1"/>
  <c r="I8" i="33"/>
  <c r="J8" i="33" s="1"/>
  <c r="D8" i="33" s="1"/>
  <c r="I7" i="33"/>
  <c r="J7" i="33" s="1"/>
  <c r="D7" i="33" s="1"/>
  <c r="H45" i="60"/>
  <c r="H44" i="60"/>
  <c r="H46" i="60"/>
  <c r="H43" i="60"/>
  <c r="H42" i="60"/>
  <c r="H49" i="60"/>
  <c r="H50" i="60"/>
  <c r="H95" i="60"/>
  <c r="H82" i="60"/>
  <c r="H81" i="60"/>
  <c r="H65" i="60"/>
  <c r="H26" i="60"/>
  <c r="H122" i="79"/>
  <c r="H147" i="16"/>
  <c r="I245" i="16"/>
  <c r="J245" i="16" s="1"/>
  <c r="D245" i="16" s="1"/>
  <c r="H99" i="16"/>
  <c r="H73" i="79"/>
  <c r="H101" i="16"/>
  <c r="H86" i="79"/>
  <c r="K84" i="11"/>
  <c r="L84" i="11" s="1"/>
  <c r="K83" i="11"/>
  <c r="L83" i="11"/>
  <c r="L77" i="11"/>
  <c r="L76" i="11"/>
  <c r="L74" i="11"/>
  <c r="L73" i="11"/>
  <c r="L75" i="11"/>
  <c r="C75" i="11"/>
  <c r="I144" i="60"/>
  <c r="J144" i="60"/>
  <c r="D144" i="60" s="1"/>
  <c r="I143" i="60"/>
  <c r="J143" i="60"/>
  <c r="D143" i="60" s="1"/>
  <c r="I142" i="60"/>
  <c r="J142" i="60" s="1"/>
  <c r="D142" i="60" s="1"/>
  <c r="I141" i="60"/>
  <c r="J141" i="60" s="1"/>
  <c r="D141" i="60" s="1"/>
  <c r="I140" i="60"/>
  <c r="J140" i="60" s="1"/>
  <c r="D140" i="60" s="1"/>
  <c r="I139" i="60"/>
  <c r="J139" i="60" s="1"/>
  <c r="D139" i="60" s="1"/>
  <c r="I136" i="60"/>
  <c r="J136" i="60" s="1"/>
  <c r="D136" i="60" s="1"/>
  <c r="I135" i="60"/>
  <c r="J135" i="60"/>
  <c r="D135" i="60" s="1"/>
  <c r="I134" i="60"/>
  <c r="J134" i="60" s="1"/>
  <c r="D134" i="60" s="1"/>
  <c r="I133" i="60"/>
  <c r="J133" i="60" s="1"/>
  <c r="D133" i="60" s="1"/>
  <c r="I132" i="60"/>
  <c r="J132" i="60" s="1"/>
  <c r="D132" i="60" s="1"/>
  <c r="I102" i="60"/>
  <c r="J102" i="60" s="1"/>
  <c r="D102" i="60" s="1"/>
  <c r="I103" i="60"/>
  <c r="J103" i="60" s="1"/>
  <c r="D103" i="60" s="1"/>
  <c r="I104" i="60"/>
  <c r="J104" i="60" s="1"/>
  <c r="D104" i="60" s="1"/>
  <c r="I105" i="60"/>
  <c r="J105" i="60" s="1"/>
  <c r="D105" i="60" s="1"/>
  <c r="I106" i="60"/>
  <c r="J106" i="60" s="1"/>
  <c r="D106" i="60" s="1"/>
  <c r="I107" i="60"/>
  <c r="J107" i="60" s="1"/>
  <c r="D107" i="60" s="1"/>
  <c r="I108" i="60"/>
  <c r="J108" i="60" s="1"/>
  <c r="D108" i="60" s="1"/>
  <c r="I109" i="60"/>
  <c r="J109" i="60" s="1"/>
  <c r="D109" i="60" s="1"/>
  <c r="I110" i="60"/>
  <c r="J110" i="60" s="1"/>
  <c r="D110" i="60" s="1"/>
  <c r="I111" i="60"/>
  <c r="J111" i="60" s="1"/>
  <c r="D111" i="60" s="1"/>
  <c r="I113" i="60"/>
  <c r="I114" i="60"/>
  <c r="J114" i="60" s="1"/>
  <c r="D114" i="60" s="1"/>
  <c r="I115" i="60"/>
  <c r="J115" i="60" s="1"/>
  <c r="D115" i="60" s="1"/>
  <c r="I116" i="60"/>
  <c r="J116" i="60" s="1"/>
  <c r="D116" i="60" s="1"/>
  <c r="I117" i="60"/>
  <c r="J117" i="60" s="1"/>
  <c r="D117" i="60" s="1"/>
  <c r="I118" i="60"/>
  <c r="J118" i="60" s="1"/>
  <c r="D118" i="60" s="1"/>
  <c r="I119" i="60"/>
  <c r="I120" i="60"/>
  <c r="J120" i="60" s="1"/>
  <c r="D120" i="60" s="1"/>
  <c r="I121" i="60"/>
  <c r="I122" i="60"/>
  <c r="I123" i="60"/>
  <c r="I124" i="60"/>
  <c r="I125" i="60"/>
  <c r="I126" i="60"/>
  <c r="I127" i="60"/>
  <c r="I128" i="60"/>
  <c r="I129" i="60"/>
  <c r="I130" i="60"/>
  <c r="I131" i="60"/>
  <c r="J131" i="60"/>
  <c r="D131" i="60" s="1"/>
  <c r="I38" i="60"/>
  <c r="J38" i="60" s="1"/>
  <c r="D38" i="60" s="1"/>
  <c r="I37" i="60"/>
  <c r="J37" i="60" s="1"/>
  <c r="D37" i="60" s="1"/>
  <c r="I76" i="60"/>
  <c r="J76" i="60" s="1"/>
  <c r="D76" i="60" s="1"/>
  <c r="I164" i="60"/>
  <c r="J164" i="60" s="1"/>
  <c r="D164" i="60" s="1"/>
  <c r="I56" i="60"/>
  <c r="J56" i="60" s="1"/>
  <c r="D56" i="60" s="1"/>
  <c r="I55" i="60"/>
  <c r="J55" i="60" s="1"/>
  <c r="D55" i="60" s="1"/>
  <c r="I23" i="60"/>
  <c r="J23" i="60" s="1"/>
  <c r="D23" i="60" s="1"/>
  <c r="H21" i="60"/>
  <c r="I31" i="60"/>
  <c r="J31" i="60" s="1"/>
  <c r="D31" i="60" s="1"/>
  <c r="I24" i="79"/>
  <c r="J24" i="79" s="1"/>
  <c r="I23" i="79"/>
  <c r="J23" i="79" s="1"/>
  <c r="H9" i="79"/>
  <c r="J119" i="60"/>
  <c r="D119" i="60" s="1"/>
  <c r="H36" i="60"/>
  <c r="I35" i="60"/>
  <c r="J35" i="60" s="1"/>
  <c r="D35" i="60" s="1"/>
  <c r="I159" i="60"/>
  <c r="J159" i="60" s="1"/>
  <c r="D159" i="60" s="1"/>
  <c r="I75" i="60"/>
  <c r="J75" i="60" s="1"/>
  <c r="D75" i="60" s="1"/>
  <c r="I54" i="60"/>
  <c r="J54" i="60" s="1"/>
  <c r="D54" i="60" s="1"/>
  <c r="I51" i="60"/>
  <c r="I73" i="16"/>
  <c r="J73" i="16" s="1"/>
  <c r="D73" i="16" s="1"/>
  <c r="M73" i="16" s="1"/>
  <c r="H72" i="16"/>
  <c r="I72" i="16" s="1"/>
  <c r="J72" i="16" s="1"/>
  <c r="D72" i="16" s="1"/>
  <c r="M72" i="16" s="1"/>
  <c r="I71" i="16"/>
  <c r="J71" i="16"/>
  <c r="D71" i="16" s="1"/>
  <c r="M71" i="16" s="1"/>
  <c r="I70" i="16"/>
  <c r="J70" i="16" s="1"/>
  <c r="D70" i="16" s="1"/>
  <c r="M70" i="16" s="1"/>
  <c r="I69" i="16"/>
  <c r="J69" i="16" s="1"/>
  <c r="D69" i="16" s="1"/>
  <c r="M69" i="16" s="1"/>
  <c r="I68" i="16"/>
  <c r="J68" i="16" s="1"/>
  <c r="D68" i="16" s="1"/>
  <c r="M68" i="16" s="1"/>
  <c r="H65" i="16"/>
  <c r="I65" i="16" s="1"/>
  <c r="J65" i="16" s="1"/>
  <c r="D65" i="16" s="1"/>
  <c r="M65" i="16" s="1"/>
  <c r="I66" i="16"/>
  <c r="J66" i="16" s="1"/>
  <c r="D66" i="16" s="1"/>
  <c r="M66" i="16" s="1"/>
  <c r="I64" i="16"/>
  <c r="J64" i="16" s="1"/>
  <c r="D64" i="16" s="1"/>
  <c r="M64" i="16" s="1"/>
  <c r="I63" i="16"/>
  <c r="J63" i="16" s="1"/>
  <c r="D63" i="16" s="1"/>
  <c r="M63" i="16" s="1"/>
  <c r="I62" i="16"/>
  <c r="J62" i="16" s="1"/>
  <c r="D62" i="16" s="1"/>
  <c r="M62" i="16" s="1"/>
  <c r="I61" i="16"/>
  <c r="J61" i="16" s="1"/>
  <c r="D61" i="16" s="1"/>
  <c r="M61" i="16" s="1"/>
  <c r="I59" i="16"/>
  <c r="J59" i="16" s="1"/>
  <c r="D59" i="16" s="1"/>
  <c r="M59" i="16" s="1"/>
  <c r="I57" i="16"/>
  <c r="J57" i="16" s="1"/>
  <c r="D57" i="16" s="1"/>
  <c r="M57" i="16" s="1"/>
  <c r="I56" i="16"/>
  <c r="J56" i="16" s="1"/>
  <c r="D56" i="16" s="1"/>
  <c r="M56" i="16" s="1"/>
  <c r="I55" i="16"/>
  <c r="J55" i="16" s="1"/>
  <c r="D55" i="16" s="1"/>
  <c r="M55" i="16" s="1"/>
  <c r="I54" i="16"/>
  <c r="J54" i="16" s="1"/>
  <c r="D54" i="16" s="1"/>
  <c r="M54" i="16" s="1"/>
  <c r="H58" i="16"/>
  <c r="I58" i="16" s="1"/>
  <c r="I52" i="16"/>
  <c r="J52" i="16" s="1"/>
  <c r="D52" i="16" s="1"/>
  <c r="M52" i="16" s="1"/>
  <c r="H51" i="16"/>
  <c r="I50" i="16"/>
  <c r="J50" i="16" s="1"/>
  <c r="D50" i="16" s="1"/>
  <c r="M50" i="16" s="1"/>
  <c r="I49" i="16"/>
  <c r="J49" i="16" s="1"/>
  <c r="D49" i="16" s="1"/>
  <c r="M49" i="16" s="1"/>
  <c r="I48" i="16"/>
  <c r="J48" i="16" s="1"/>
  <c r="D48" i="16" s="1"/>
  <c r="M48" i="16" s="1"/>
  <c r="I47" i="16"/>
  <c r="J47" i="16" s="1"/>
  <c r="D47" i="16" s="1"/>
  <c r="M47" i="16" s="1"/>
  <c r="H43" i="16"/>
  <c r="I43" i="16" s="1"/>
  <c r="I40" i="16"/>
  <c r="J40" i="16" s="1"/>
  <c r="D40" i="16" s="1"/>
  <c r="M40" i="16" s="1"/>
  <c r="I41" i="16"/>
  <c r="J41" i="16" s="1"/>
  <c r="D41" i="16" s="1"/>
  <c r="M41" i="16" s="1"/>
  <c r="I42" i="16"/>
  <c r="J42" i="16" s="1"/>
  <c r="D42" i="16" s="1"/>
  <c r="M42" i="16" s="1"/>
  <c r="I44" i="16"/>
  <c r="J44" i="16" s="1"/>
  <c r="D44" i="16" s="1"/>
  <c r="M44" i="16" s="1"/>
  <c r="I45" i="16"/>
  <c r="J45" i="16" s="1"/>
  <c r="D45" i="16" s="1"/>
  <c r="M45" i="16" s="1"/>
  <c r="I39" i="16"/>
  <c r="J39" i="16" s="1"/>
  <c r="D39" i="16" s="1"/>
  <c r="M39" i="16" s="1"/>
  <c r="H37" i="16"/>
  <c r="I37" i="16" s="1"/>
  <c r="J37" i="16" s="1"/>
  <c r="D37" i="16" s="1"/>
  <c r="M37" i="16" s="1"/>
  <c r="I36" i="16"/>
  <c r="J36" i="16" s="1"/>
  <c r="D36" i="16" s="1"/>
  <c r="M36" i="16" s="1"/>
  <c r="H33" i="16"/>
  <c r="H95" i="79"/>
  <c r="H112" i="16"/>
  <c r="H86" i="16"/>
  <c r="C181" i="11"/>
  <c r="L80" i="11"/>
  <c r="L79" i="11"/>
  <c r="L78" i="11"/>
  <c r="L66" i="11"/>
  <c r="L67" i="11"/>
  <c r="L65" i="11"/>
  <c r="C80" i="11"/>
  <c r="C79" i="11"/>
  <c r="C66" i="11"/>
  <c r="C65" i="11"/>
  <c r="F83" i="11"/>
  <c r="F82" i="11"/>
  <c r="F79" i="11"/>
  <c r="F75" i="11"/>
  <c r="F66" i="11"/>
  <c r="F65" i="11"/>
  <c r="I36" i="60" l="1"/>
  <c r="J36" i="60" s="1"/>
  <c r="D36" i="60" s="1"/>
  <c r="J58" i="16"/>
  <c r="D58" i="16" s="1"/>
  <c r="M58" i="16" s="1"/>
  <c r="I51" i="16"/>
  <c r="J51" i="16" s="1"/>
  <c r="D51" i="16" s="1"/>
  <c r="M51" i="16" s="1"/>
  <c r="J43" i="16"/>
  <c r="D43" i="16" s="1"/>
  <c r="M43" i="16" s="1"/>
  <c r="F31" i="11"/>
  <c r="F30" i="11"/>
  <c r="F28" i="11"/>
  <c r="F27" i="11"/>
  <c r="F26" i="11"/>
  <c r="F23" i="11"/>
  <c r="F20" i="11"/>
  <c r="F19" i="11"/>
  <c r="F18" i="11"/>
  <c r="F17" i="11"/>
  <c r="F15" i="11"/>
  <c r="F14" i="11"/>
  <c r="F13" i="11"/>
  <c r="F9" i="11"/>
  <c r="I11" i="60"/>
  <c r="J11" i="60" s="1"/>
  <c r="D11" i="60" s="1"/>
  <c r="I12" i="60"/>
  <c r="J12" i="60" s="1"/>
  <c r="D12" i="60" s="1"/>
  <c r="I13" i="60"/>
  <c r="J13" i="60" s="1"/>
  <c r="D13" i="60" s="1"/>
  <c r="I14" i="60"/>
  <c r="J14" i="60" s="1"/>
  <c r="D14" i="60" s="1"/>
  <c r="I15" i="60"/>
  <c r="J15" i="60" s="1"/>
  <c r="D15" i="60" s="1"/>
  <c r="I16" i="60"/>
  <c r="J16" i="60" s="1"/>
  <c r="D16" i="60" s="1"/>
  <c r="I17" i="60"/>
  <c r="J17" i="60" s="1"/>
  <c r="D17" i="60" s="1"/>
  <c r="I18" i="60"/>
  <c r="J18" i="60" s="1"/>
  <c r="D18" i="60" s="1"/>
  <c r="I19" i="60"/>
  <c r="J19" i="60" s="1"/>
  <c r="D19" i="60" s="1"/>
  <c r="I20" i="60"/>
  <c r="J20" i="60" s="1"/>
  <c r="D20" i="60" s="1"/>
  <c r="I21" i="60"/>
  <c r="J21" i="60" s="1"/>
  <c r="D21" i="60" s="1"/>
  <c r="I22" i="60"/>
  <c r="J22" i="60" s="1"/>
  <c r="D22" i="60" s="1"/>
  <c r="I24" i="60"/>
  <c r="J24" i="60" s="1"/>
  <c r="D24" i="60" s="1"/>
  <c r="I25" i="60"/>
  <c r="J25" i="60" s="1"/>
  <c r="D25" i="60" s="1"/>
  <c r="I26" i="60"/>
  <c r="J26" i="60" s="1"/>
  <c r="D26" i="60" s="1"/>
  <c r="I27" i="60"/>
  <c r="J27" i="60" s="1"/>
  <c r="D27" i="60" s="1"/>
  <c r="I28" i="60"/>
  <c r="J28" i="60" s="1"/>
  <c r="D28" i="60" s="1"/>
  <c r="I29" i="60"/>
  <c r="J29" i="60" s="1"/>
  <c r="D29" i="60" s="1"/>
  <c r="I30" i="60"/>
  <c r="J30" i="60" s="1"/>
  <c r="D30" i="60" s="1"/>
  <c r="I32" i="60"/>
  <c r="J32" i="60" s="1"/>
  <c r="D32" i="60" s="1"/>
  <c r="I33" i="60"/>
  <c r="J33" i="60" s="1"/>
  <c r="D33" i="60" s="1"/>
  <c r="I34" i="60"/>
  <c r="J34" i="60" s="1"/>
  <c r="D34" i="60" s="1"/>
  <c r="I39" i="60"/>
  <c r="J39" i="60" s="1"/>
  <c r="D39" i="60" s="1"/>
  <c r="I40" i="60"/>
  <c r="J40" i="60" s="1"/>
  <c r="D40" i="60" s="1"/>
  <c r="I41" i="60"/>
  <c r="J41" i="60" s="1"/>
  <c r="D41" i="60" s="1"/>
  <c r="I42" i="60"/>
  <c r="J42" i="60" s="1"/>
  <c r="D42" i="60" s="1"/>
  <c r="I43" i="60"/>
  <c r="J43" i="60" s="1"/>
  <c r="D43" i="60" s="1"/>
  <c r="I44" i="60"/>
  <c r="J44" i="60" s="1"/>
  <c r="D44" i="60" s="1"/>
  <c r="I45" i="60"/>
  <c r="J45" i="60" s="1"/>
  <c r="D45" i="60" s="1"/>
  <c r="I46" i="60"/>
  <c r="J46" i="60" s="1"/>
  <c r="D46" i="60" s="1"/>
  <c r="I47" i="60"/>
  <c r="J47" i="60" s="1"/>
  <c r="D47" i="60" s="1"/>
  <c r="I48" i="60"/>
  <c r="J48" i="60" s="1"/>
  <c r="D48" i="60" s="1"/>
  <c r="I49" i="60"/>
  <c r="J49" i="60" s="1"/>
  <c r="D49" i="60" s="1"/>
  <c r="I50" i="60"/>
  <c r="J50" i="60" s="1"/>
  <c r="D50" i="60" s="1"/>
  <c r="J51" i="60"/>
  <c r="D51" i="60" s="1"/>
  <c r="I52" i="60"/>
  <c r="J52" i="60" s="1"/>
  <c r="D52" i="60" s="1"/>
  <c r="I53" i="60"/>
  <c r="J53" i="60" s="1"/>
  <c r="D53" i="60" s="1"/>
  <c r="I60" i="60"/>
  <c r="J60" i="60" s="1"/>
  <c r="D60" i="60" s="1"/>
  <c r="I61" i="60"/>
  <c r="J61" i="60" s="1"/>
  <c r="D61" i="60" s="1"/>
  <c r="I62" i="60"/>
  <c r="J62" i="60" s="1"/>
  <c r="D62" i="60" s="1"/>
  <c r="I63" i="60"/>
  <c r="J63" i="60" s="1"/>
  <c r="D63" i="60" s="1"/>
  <c r="I64" i="60"/>
  <c r="J64" i="60" s="1"/>
  <c r="D64" i="60" s="1"/>
  <c r="I65" i="60"/>
  <c r="J65" i="60" s="1"/>
  <c r="D65" i="60" s="1"/>
  <c r="I66" i="60"/>
  <c r="J66" i="60" s="1"/>
  <c r="D66" i="60" s="1"/>
  <c r="I67" i="60"/>
  <c r="J67" i="60" s="1"/>
  <c r="D67" i="60" s="1"/>
  <c r="I68" i="60"/>
  <c r="J68" i="60" s="1"/>
  <c r="D68" i="60" s="1"/>
  <c r="I69" i="60"/>
  <c r="J69" i="60" s="1"/>
  <c r="D69" i="60" s="1"/>
  <c r="I70" i="60"/>
  <c r="J70" i="60" s="1"/>
  <c r="D70" i="60" s="1"/>
  <c r="I71" i="60"/>
  <c r="J71" i="60" s="1"/>
  <c r="D71" i="60" s="1"/>
  <c r="I72" i="60"/>
  <c r="J72" i="60" s="1"/>
  <c r="D72" i="60" s="1"/>
  <c r="I73" i="60"/>
  <c r="J73" i="60" s="1"/>
  <c r="D73" i="60" s="1"/>
  <c r="I74" i="60"/>
  <c r="J74" i="60" s="1"/>
  <c r="D74" i="60" s="1"/>
  <c r="I78" i="60"/>
  <c r="J78" i="60" s="1"/>
  <c r="D78" i="60" s="1"/>
  <c r="I79" i="60"/>
  <c r="J79" i="60" s="1"/>
  <c r="D79" i="60" s="1"/>
  <c r="I80" i="60"/>
  <c r="J80" i="60" s="1"/>
  <c r="I81" i="60"/>
  <c r="J81" i="60" s="1"/>
  <c r="D81" i="60" s="1"/>
  <c r="I82" i="60"/>
  <c r="J82" i="60" s="1"/>
  <c r="D82" i="60" s="1"/>
  <c r="I83" i="60"/>
  <c r="J83" i="60" s="1"/>
  <c r="D83" i="60" s="1"/>
  <c r="I84" i="60"/>
  <c r="J84" i="60" s="1"/>
  <c r="D84" i="60" s="1"/>
  <c r="I85" i="60"/>
  <c r="J85" i="60" s="1"/>
  <c r="D85" i="60" s="1"/>
  <c r="I86" i="60"/>
  <c r="J86" i="60" s="1"/>
  <c r="D86" i="60" s="1"/>
  <c r="I87" i="60"/>
  <c r="J87" i="60" s="1"/>
  <c r="D87" i="60" s="1"/>
  <c r="I88" i="60"/>
  <c r="J88" i="60" s="1"/>
  <c r="D88" i="60" s="1"/>
  <c r="I89" i="60"/>
  <c r="J89" i="60" s="1"/>
  <c r="D89" i="60" s="1"/>
  <c r="I90" i="60"/>
  <c r="J90" i="60" s="1"/>
  <c r="D90" i="60" s="1"/>
  <c r="I91" i="60"/>
  <c r="J91" i="60" s="1"/>
  <c r="D91" i="60" s="1"/>
  <c r="I92" i="60"/>
  <c r="J92" i="60" s="1"/>
  <c r="D92" i="60" s="1"/>
  <c r="I93" i="60"/>
  <c r="J93" i="60" s="1"/>
  <c r="D93" i="60" s="1"/>
  <c r="I94" i="60"/>
  <c r="J94" i="60" s="1"/>
  <c r="D94" i="60" s="1"/>
  <c r="I95" i="60"/>
  <c r="J95" i="60" s="1"/>
  <c r="D95" i="60" s="1"/>
  <c r="I96" i="60"/>
  <c r="J96" i="60" s="1"/>
  <c r="I97" i="60"/>
  <c r="J97" i="60" s="1"/>
  <c r="I98" i="60"/>
  <c r="J98" i="60" s="1"/>
  <c r="I100" i="60"/>
  <c r="J100" i="60" s="1"/>
  <c r="I101" i="60"/>
  <c r="J101" i="60" s="1"/>
  <c r="J121" i="60"/>
  <c r="D121" i="60" s="1"/>
  <c r="J122" i="60"/>
  <c r="D122" i="60" s="1"/>
  <c r="J123" i="60"/>
  <c r="D123" i="60" s="1"/>
  <c r="J124" i="60"/>
  <c r="D124" i="60" s="1"/>
  <c r="J125" i="60"/>
  <c r="D125" i="60" s="1"/>
  <c r="J126" i="60"/>
  <c r="D126" i="60" s="1"/>
  <c r="J127" i="60"/>
  <c r="D127" i="60" s="1"/>
  <c r="J128" i="60"/>
  <c r="D128" i="60" s="1"/>
  <c r="I145" i="60"/>
  <c r="J145" i="60" s="1"/>
  <c r="I146" i="60"/>
  <c r="J146" i="60" s="1"/>
  <c r="I147" i="60"/>
  <c r="J147" i="60" s="1"/>
  <c r="D147" i="60" s="1"/>
  <c r="I148" i="60"/>
  <c r="J148" i="60" s="1"/>
  <c r="D148" i="60" s="1"/>
  <c r="I149" i="60"/>
  <c r="J149" i="60" s="1"/>
  <c r="D149" i="60" s="1"/>
  <c r="I150" i="60"/>
  <c r="J150" i="60" s="1"/>
  <c r="D150" i="60" s="1"/>
  <c r="I151" i="60"/>
  <c r="J151" i="60" s="1"/>
  <c r="D151" i="60" s="1"/>
  <c r="I152" i="60"/>
  <c r="J152" i="60" s="1"/>
  <c r="D152" i="60" s="1"/>
  <c r="I153" i="60"/>
  <c r="J153" i="60" s="1"/>
  <c r="D153" i="60" s="1"/>
  <c r="I154" i="60"/>
  <c r="J154" i="60" s="1"/>
  <c r="D154" i="60" s="1"/>
  <c r="I155" i="60"/>
  <c r="J155" i="60" s="1"/>
  <c r="D155" i="60" s="1"/>
  <c r="I156" i="60"/>
  <c r="J156" i="60" s="1"/>
  <c r="D156" i="60" s="1"/>
  <c r="I157" i="60"/>
  <c r="J157" i="60" s="1"/>
  <c r="I158" i="60"/>
  <c r="J158" i="60" s="1"/>
  <c r="I162" i="60"/>
  <c r="J162" i="60" s="1"/>
  <c r="D162" i="60" s="1"/>
  <c r="I163" i="60"/>
  <c r="J163" i="60" s="1"/>
  <c r="D163" i="60" s="1"/>
  <c r="I165" i="60"/>
  <c r="J165" i="60" s="1"/>
  <c r="D165" i="60" s="1"/>
  <c r="I166" i="60"/>
  <c r="J166" i="60" s="1"/>
  <c r="D166" i="60" s="1"/>
  <c r="I167" i="60"/>
  <c r="J167" i="60" s="1"/>
  <c r="D167" i="60" s="1"/>
  <c r="I168" i="60"/>
  <c r="J168" i="60" s="1"/>
  <c r="D168" i="60" s="1"/>
  <c r="I169" i="60"/>
  <c r="J169" i="60" s="1"/>
  <c r="D169" i="60" s="1"/>
  <c r="I170" i="60"/>
  <c r="J170" i="60" s="1"/>
  <c r="D170" i="60" s="1"/>
  <c r="I171" i="60"/>
  <c r="J171" i="60" s="1"/>
  <c r="D171" i="60" s="1"/>
  <c r="I172" i="60"/>
  <c r="J172" i="60" s="1"/>
  <c r="D172" i="60" s="1"/>
  <c r="I173" i="60"/>
  <c r="J173" i="60" s="1"/>
  <c r="I174" i="60"/>
  <c r="J174" i="60" s="1"/>
  <c r="I10" i="60"/>
  <c r="J10" i="60" s="1"/>
  <c r="D10" i="60" s="1"/>
  <c r="I238" i="79"/>
  <c r="J238" i="79" s="1"/>
  <c r="D238" i="79" s="1"/>
  <c r="I9" i="79"/>
  <c r="J9" i="79" s="1"/>
  <c r="I11" i="79"/>
  <c r="J11" i="79" s="1"/>
  <c r="I13" i="79"/>
  <c r="J13" i="79"/>
  <c r="I15" i="79"/>
  <c r="J15" i="79" s="1"/>
  <c r="I17" i="79"/>
  <c r="J17" i="79"/>
  <c r="I19" i="79"/>
  <c r="J19" i="79" s="1"/>
  <c r="I20" i="79"/>
  <c r="J20" i="79" s="1"/>
  <c r="I21" i="79"/>
  <c r="J21" i="79" s="1"/>
  <c r="I22" i="79"/>
  <c r="J22" i="79"/>
  <c r="I25" i="79"/>
  <c r="J25" i="79" s="1"/>
  <c r="I26" i="79"/>
  <c r="J26" i="79" s="1"/>
  <c r="I27" i="79"/>
  <c r="J27" i="79"/>
  <c r="I28" i="79"/>
  <c r="J28" i="79"/>
  <c r="I29" i="79"/>
  <c r="J29" i="79" s="1"/>
  <c r="I30" i="79"/>
  <c r="J30" i="79" s="1"/>
  <c r="I31" i="79"/>
  <c r="J31" i="79" s="1"/>
  <c r="I32" i="79"/>
  <c r="J32" i="79"/>
  <c r="I33" i="79"/>
  <c r="J33" i="79" s="1"/>
  <c r="I34" i="79"/>
  <c r="J34" i="79" s="1"/>
  <c r="I35" i="79"/>
  <c r="J35" i="79"/>
  <c r="I36" i="79"/>
  <c r="J36" i="79" s="1"/>
  <c r="D36" i="79" s="1"/>
  <c r="I37" i="79"/>
  <c r="J37" i="79" s="1"/>
  <c r="I38" i="79"/>
  <c r="J38" i="79" s="1"/>
  <c r="I39" i="79"/>
  <c r="J39" i="79" s="1"/>
  <c r="I40" i="79"/>
  <c r="J40" i="79"/>
  <c r="I41" i="79"/>
  <c r="J41" i="79" s="1"/>
  <c r="I42" i="79"/>
  <c r="J42" i="79" s="1"/>
  <c r="I43" i="79"/>
  <c r="J43" i="79"/>
  <c r="I44" i="79"/>
  <c r="J44" i="79"/>
  <c r="I45" i="79"/>
  <c r="J45" i="79" s="1"/>
  <c r="D45" i="79" s="1"/>
  <c r="I46" i="79"/>
  <c r="J46" i="79" s="1"/>
  <c r="I47" i="79"/>
  <c r="J47" i="79" s="1"/>
  <c r="I48" i="79"/>
  <c r="J48" i="79"/>
  <c r="I49" i="79"/>
  <c r="J49" i="79" s="1"/>
  <c r="I50" i="79"/>
  <c r="J50" i="79" s="1"/>
  <c r="I51" i="79"/>
  <c r="J51" i="79"/>
  <c r="D51" i="79" s="1"/>
  <c r="I52" i="79"/>
  <c r="J52" i="79"/>
  <c r="D52" i="79" s="1"/>
  <c r="I53" i="79"/>
  <c r="J53" i="79" s="1"/>
  <c r="I54" i="79"/>
  <c r="J54" i="79" s="1"/>
  <c r="I55" i="79"/>
  <c r="J55" i="79" s="1"/>
  <c r="I56" i="79"/>
  <c r="J56" i="79"/>
  <c r="I57" i="79"/>
  <c r="J57" i="79" s="1"/>
  <c r="I58" i="79"/>
  <c r="J58" i="79" s="1"/>
  <c r="I59" i="79"/>
  <c r="J59" i="79"/>
  <c r="I60" i="79"/>
  <c r="J60" i="79"/>
  <c r="I61" i="79"/>
  <c r="J61" i="79" s="1"/>
  <c r="I62" i="79"/>
  <c r="J62" i="79" s="1"/>
  <c r="I63" i="79"/>
  <c r="J63" i="79" s="1"/>
  <c r="I64" i="79"/>
  <c r="J64" i="79"/>
  <c r="I65" i="79"/>
  <c r="J65" i="79" s="1"/>
  <c r="I66" i="79"/>
  <c r="J66" i="79" s="1"/>
  <c r="I67" i="79"/>
  <c r="J67" i="79"/>
  <c r="I68" i="79"/>
  <c r="J68" i="79"/>
  <c r="I69" i="79"/>
  <c r="J69" i="79" s="1"/>
  <c r="D69" i="79" s="1"/>
  <c r="I70" i="79"/>
  <c r="J70" i="79" s="1"/>
  <c r="I71" i="79"/>
  <c r="J71" i="79" s="1"/>
  <c r="I72" i="79"/>
  <c r="J72" i="79" s="1"/>
  <c r="I73" i="79"/>
  <c r="J73" i="79" s="1"/>
  <c r="I74" i="79"/>
  <c r="J74" i="79" s="1"/>
  <c r="I75" i="79"/>
  <c r="J75" i="79" s="1"/>
  <c r="I76" i="79"/>
  <c r="J76" i="79"/>
  <c r="I77" i="79"/>
  <c r="J77" i="79" s="1"/>
  <c r="I78" i="79"/>
  <c r="J78" i="79" s="1"/>
  <c r="D78" i="79" s="1"/>
  <c r="J79" i="79"/>
  <c r="I80" i="79"/>
  <c r="J80" i="79" s="1"/>
  <c r="I81" i="79"/>
  <c r="J81" i="79" s="1"/>
  <c r="I82" i="79"/>
  <c r="J82" i="79" s="1"/>
  <c r="I83" i="79"/>
  <c r="J83" i="79"/>
  <c r="I84" i="79"/>
  <c r="J84" i="79"/>
  <c r="I85" i="79"/>
  <c r="J85" i="79" s="1"/>
  <c r="I86" i="79"/>
  <c r="J86" i="79" s="1"/>
  <c r="I87" i="79"/>
  <c r="J87" i="79"/>
  <c r="D87" i="79" s="1"/>
  <c r="I88" i="79"/>
  <c r="J88" i="79" s="1"/>
  <c r="I89" i="79"/>
  <c r="J89" i="79" s="1"/>
  <c r="I90" i="79"/>
  <c r="J90" i="79" s="1"/>
  <c r="I91" i="79"/>
  <c r="J91" i="79" s="1"/>
  <c r="D91" i="79" s="1"/>
  <c r="I92" i="79"/>
  <c r="J92" i="79" s="1"/>
  <c r="D92" i="79" s="1"/>
  <c r="I93" i="79"/>
  <c r="J93" i="79" s="1"/>
  <c r="I94" i="79"/>
  <c r="J94" i="79" s="1"/>
  <c r="I95" i="79"/>
  <c r="J95" i="79" s="1"/>
  <c r="I96" i="79"/>
  <c r="J96" i="79" s="1"/>
  <c r="I98" i="79"/>
  <c r="J98" i="79" s="1"/>
  <c r="I99" i="79"/>
  <c r="J99" i="79" s="1"/>
  <c r="I100" i="79"/>
  <c r="J100" i="79"/>
  <c r="D100" i="79" s="1"/>
  <c r="I101" i="79"/>
  <c r="J101" i="79" s="1"/>
  <c r="D101" i="79" s="1"/>
  <c r="I102" i="79"/>
  <c r="J102" i="79" s="1"/>
  <c r="I103" i="79"/>
  <c r="J103" i="79"/>
  <c r="I104" i="79"/>
  <c r="J104" i="79"/>
  <c r="I105" i="79"/>
  <c r="J105" i="79" s="1"/>
  <c r="D105" i="79" s="1"/>
  <c r="I106" i="79"/>
  <c r="J106" i="79" s="1"/>
  <c r="D106" i="79" s="1"/>
  <c r="I107" i="79"/>
  <c r="J107" i="79" s="1"/>
  <c r="I108" i="79"/>
  <c r="J108" i="79"/>
  <c r="I109" i="79"/>
  <c r="J109" i="79" s="1"/>
  <c r="I110" i="79"/>
  <c r="J110" i="79" s="1"/>
  <c r="I111" i="79"/>
  <c r="J111" i="79"/>
  <c r="D111" i="79" s="1"/>
  <c r="I112" i="79"/>
  <c r="J112" i="79" s="1"/>
  <c r="D112" i="79" s="1"/>
  <c r="I113" i="79"/>
  <c r="J113" i="79" s="1"/>
  <c r="D113" i="79" s="1"/>
  <c r="I114" i="79"/>
  <c r="J114" i="79" s="1"/>
  <c r="D114" i="79" s="1"/>
  <c r="I115" i="79"/>
  <c r="J115" i="79" s="1"/>
  <c r="D115" i="79" s="1"/>
  <c r="I116" i="79"/>
  <c r="J116" i="79"/>
  <c r="I117" i="79"/>
  <c r="J117" i="79" s="1"/>
  <c r="I118" i="79"/>
  <c r="J118" i="79" s="1"/>
  <c r="I119" i="79"/>
  <c r="J119" i="79"/>
  <c r="I120" i="79"/>
  <c r="J120" i="79"/>
  <c r="I121" i="79"/>
  <c r="J121" i="79" s="1"/>
  <c r="I122" i="79"/>
  <c r="J122" i="79" s="1"/>
  <c r="D122" i="79" s="1"/>
  <c r="I123" i="79"/>
  <c r="J123" i="79" s="1"/>
  <c r="D123" i="79" s="1"/>
  <c r="I124" i="79"/>
  <c r="J124" i="79"/>
  <c r="I125" i="79"/>
  <c r="J125" i="79" s="1"/>
  <c r="I126" i="79"/>
  <c r="J126" i="79" s="1"/>
  <c r="D126" i="79" s="1"/>
  <c r="I127" i="79"/>
  <c r="J127" i="79"/>
  <c r="D127" i="79" s="1"/>
  <c r="I128" i="79"/>
  <c r="J128" i="79"/>
  <c r="I129" i="79"/>
  <c r="J129" i="79" s="1"/>
  <c r="D129" i="79" s="1"/>
  <c r="I130" i="79"/>
  <c r="J130" i="79" s="1"/>
  <c r="I131" i="79"/>
  <c r="J131" i="79" s="1"/>
  <c r="D131" i="79" s="1"/>
  <c r="I132" i="79"/>
  <c r="J132" i="79"/>
  <c r="D132" i="79" s="1"/>
  <c r="I133" i="79"/>
  <c r="J133" i="79" s="1"/>
  <c r="I134" i="79"/>
  <c r="J134" i="79" s="1"/>
  <c r="I135" i="79"/>
  <c r="J135" i="79"/>
  <c r="D135" i="79" s="1"/>
  <c r="I136" i="79"/>
  <c r="J136" i="79" s="1"/>
  <c r="D136" i="79" s="1"/>
  <c r="I137" i="79"/>
  <c r="J137" i="79" s="1"/>
  <c r="I138" i="79"/>
  <c r="J138" i="79" s="1"/>
  <c r="I139" i="79"/>
  <c r="J139" i="79" s="1"/>
  <c r="I140" i="79"/>
  <c r="J140" i="79" s="1"/>
  <c r="D140" i="79" s="1"/>
  <c r="I141" i="79"/>
  <c r="J141" i="79" s="1"/>
  <c r="I142" i="79"/>
  <c r="J142" i="79" s="1"/>
  <c r="I143" i="79"/>
  <c r="J143" i="79"/>
  <c r="I144" i="79"/>
  <c r="J144" i="79"/>
  <c r="I145" i="79"/>
  <c r="J145" i="79" s="1"/>
  <c r="I146" i="79"/>
  <c r="J146" i="79" s="1"/>
  <c r="I147" i="79"/>
  <c r="J147" i="79" s="1"/>
  <c r="I148" i="79"/>
  <c r="J148" i="79"/>
  <c r="I149" i="79"/>
  <c r="J149" i="79" s="1"/>
  <c r="I150" i="79"/>
  <c r="J150" i="79" s="1"/>
  <c r="I151" i="79"/>
  <c r="J151" i="79"/>
  <c r="I152" i="79"/>
  <c r="J152" i="79"/>
  <c r="D152" i="79" s="1"/>
  <c r="I153" i="79"/>
  <c r="J153" i="79" s="1"/>
  <c r="I154" i="79"/>
  <c r="J154" i="79" s="1"/>
  <c r="D154" i="79" s="1"/>
  <c r="I155" i="79"/>
  <c r="J155" i="79" s="1"/>
  <c r="I156" i="79"/>
  <c r="J156" i="79"/>
  <c r="I157" i="79"/>
  <c r="J157" i="79" s="1"/>
  <c r="I158" i="79"/>
  <c r="J158" i="79" s="1"/>
  <c r="I159" i="79"/>
  <c r="J159" i="79"/>
  <c r="I160" i="79"/>
  <c r="J160" i="79"/>
  <c r="I161" i="79"/>
  <c r="J161" i="79" s="1"/>
  <c r="I162" i="79"/>
  <c r="J162" i="79" s="1"/>
  <c r="D162" i="79" s="1"/>
  <c r="I163" i="79"/>
  <c r="J163" i="79" s="1"/>
  <c r="D163" i="79" s="1"/>
  <c r="I164" i="79"/>
  <c r="J164" i="79"/>
  <c r="I165" i="79"/>
  <c r="J165" i="79" s="1"/>
  <c r="I166" i="79"/>
  <c r="J166" i="79" s="1"/>
  <c r="I167" i="79"/>
  <c r="J167" i="79"/>
  <c r="I168" i="79"/>
  <c r="J168" i="79"/>
  <c r="I169" i="79"/>
  <c r="J169" i="79" s="1"/>
  <c r="I170" i="79"/>
  <c r="J170" i="79" s="1"/>
  <c r="I171" i="79"/>
  <c r="J171" i="79" s="1"/>
  <c r="I172" i="79"/>
  <c r="J172" i="79"/>
  <c r="I173" i="79"/>
  <c r="J173" i="79" s="1"/>
  <c r="I174" i="79"/>
  <c r="J174" i="79" s="1"/>
  <c r="I175" i="79"/>
  <c r="J175" i="79"/>
  <c r="D175" i="79" s="1"/>
  <c r="I176" i="79"/>
  <c r="J176" i="79"/>
  <c r="I177" i="79"/>
  <c r="J177" i="79" s="1"/>
  <c r="I178" i="79"/>
  <c r="J178" i="79" s="1"/>
  <c r="I179" i="79"/>
  <c r="J179" i="79" s="1"/>
  <c r="I180" i="79"/>
  <c r="J180" i="79"/>
  <c r="I181" i="79"/>
  <c r="J181" i="79" s="1"/>
  <c r="D181" i="79" s="1"/>
  <c r="I182" i="79"/>
  <c r="J182" i="79" s="1"/>
  <c r="I183" i="79"/>
  <c r="J183" i="79"/>
  <c r="I184" i="79"/>
  <c r="J184" i="79"/>
  <c r="I185" i="79"/>
  <c r="J185" i="79" s="1"/>
  <c r="D185" i="79" s="1"/>
  <c r="I186" i="79"/>
  <c r="J186" i="79" s="1"/>
  <c r="I187" i="79"/>
  <c r="J187" i="79"/>
  <c r="I188" i="79"/>
  <c r="J188" i="79" s="1"/>
  <c r="I189" i="79"/>
  <c r="J189" i="79"/>
  <c r="I190" i="79"/>
  <c r="J190" i="79" s="1"/>
  <c r="I191" i="79"/>
  <c r="J191" i="79"/>
  <c r="D191" i="79" s="1"/>
  <c r="I192" i="79"/>
  <c r="J192" i="79" s="1"/>
  <c r="I193" i="79"/>
  <c r="J193" i="79"/>
  <c r="I194" i="79"/>
  <c r="J194" i="79" s="1"/>
  <c r="I195" i="79"/>
  <c r="J195" i="79" s="1"/>
  <c r="I196" i="79"/>
  <c r="J196" i="79"/>
  <c r="I197" i="79"/>
  <c r="J197" i="79" s="1"/>
  <c r="I198" i="79"/>
  <c r="J198" i="79" s="1"/>
  <c r="I199" i="79"/>
  <c r="J199" i="79" s="1"/>
  <c r="D199" i="79" s="1"/>
  <c r="I200" i="79"/>
  <c r="J200" i="79" s="1"/>
  <c r="I201" i="79"/>
  <c r="J201" i="79"/>
  <c r="I202" i="79"/>
  <c r="J202" i="79" s="1"/>
  <c r="D202" i="79" s="1"/>
  <c r="I203" i="79"/>
  <c r="J203" i="79"/>
  <c r="I204" i="79"/>
  <c r="J204" i="79"/>
  <c r="I205" i="79"/>
  <c r="J205" i="79"/>
  <c r="I206" i="79"/>
  <c r="J206" i="79" s="1"/>
  <c r="I207" i="79"/>
  <c r="J207" i="79" s="1"/>
  <c r="I208" i="79"/>
  <c r="J208" i="79" s="1"/>
  <c r="D208" i="79" s="1"/>
  <c r="I209" i="79"/>
  <c r="J209" i="79" s="1"/>
  <c r="I210" i="79"/>
  <c r="J210" i="79" s="1"/>
  <c r="I211" i="79"/>
  <c r="J211" i="79"/>
  <c r="I212" i="79"/>
  <c r="J212" i="79"/>
  <c r="I213" i="79"/>
  <c r="J213" i="79" s="1"/>
  <c r="I214" i="79"/>
  <c r="J214" i="79" s="1"/>
  <c r="I215" i="79"/>
  <c r="J215" i="79"/>
  <c r="I216" i="79"/>
  <c r="J216" i="79"/>
  <c r="I217" i="79"/>
  <c r="J217" i="79"/>
  <c r="I218" i="79"/>
  <c r="J218" i="79" s="1"/>
  <c r="I219" i="79"/>
  <c r="J219" i="79"/>
  <c r="I220" i="79"/>
  <c r="J220" i="79" s="1"/>
  <c r="I221" i="79"/>
  <c r="J221" i="79" s="1"/>
  <c r="I222" i="79"/>
  <c r="J222" i="79" s="1"/>
  <c r="I223" i="79"/>
  <c r="J223" i="79"/>
  <c r="I224" i="79"/>
  <c r="J224" i="79" s="1"/>
  <c r="I225" i="79"/>
  <c r="J225" i="79" s="1"/>
  <c r="I226" i="79"/>
  <c r="J226" i="79" s="1"/>
  <c r="I227" i="79"/>
  <c r="J227" i="79"/>
  <c r="I228" i="79"/>
  <c r="J228" i="79" s="1"/>
  <c r="D228" i="79" s="1"/>
  <c r="I229" i="79"/>
  <c r="J229" i="79" s="1"/>
  <c r="D229" i="79" s="1"/>
  <c r="I230" i="79"/>
  <c r="J230" i="79" s="1"/>
  <c r="D230" i="79" s="1"/>
  <c r="I231" i="79"/>
  <c r="J231" i="79"/>
  <c r="I232" i="79"/>
  <c r="J232" i="79" s="1"/>
  <c r="D232" i="79" s="1"/>
  <c r="I233" i="79"/>
  <c r="J233" i="79"/>
  <c r="I234" i="79"/>
  <c r="J234" i="79" s="1"/>
  <c r="I235" i="79"/>
  <c r="J235" i="79" s="1"/>
  <c r="D235" i="79" s="1"/>
  <c r="I236" i="79"/>
  <c r="J236" i="79" s="1"/>
  <c r="I237" i="79"/>
  <c r="J237" i="79"/>
  <c r="I239" i="79"/>
  <c r="J239" i="79" s="1"/>
  <c r="D239" i="79" s="1"/>
  <c r="I240" i="79"/>
  <c r="J240" i="79" s="1"/>
  <c r="I241" i="79"/>
  <c r="J241" i="79" s="1"/>
  <c r="I7" i="79"/>
  <c r="H87" i="16"/>
  <c r="I87" i="16" s="1"/>
  <c r="J87" i="16" s="1"/>
  <c r="D87" i="16" s="1"/>
  <c r="M87" i="16" s="1"/>
  <c r="I9" i="16"/>
  <c r="J9" i="16" s="1"/>
  <c r="D9" i="16" s="1"/>
  <c r="M9" i="16" s="1"/>
  <c r="I11" i="16"/>
  <c r="J11" i="16" s="1"/>
  <c r="D11" i="16" s="1"/>
  <c r="M11" i="16" s="1"/>
  <c r="I13" i="16"/>
  <c r="J13" i="16" s="1"/>
  <c r="D13" i="16" s="1"/>
  <c r="M13" i="16" s="1"/>
  <c r="I15" i="16"/>
  <c r="J15" i="16" s="1"/>
  <c r="D15" i="16" s="1"/>
  <c r="M15" i="16" s="1"/>
  <c r="I17" i="16"/>
  <c r="J17" i="16" s="1"/>
  <c r="D17" i="16" s="1"/>
  <c r="M17" i="16" s="1"/>
  <c r="I19" i="16"/>
  <c r="J19" i="16" s="1"/>
  <c r="D19" i="16" s="1"/>
  <c r="M19" i="16" s="1"/>
  <c r="I20" i="16"/>
  <c r="J20" i="16" s="1"/>
  <c r="D20" i="16" s="1"/>
  <c r="M20" i="16" s="1"/>
  <c r="I21" i="16"/>
  <c r="J21" i="16" s="1"/>
  <c r="D21" i="16" s="1"/>
  <c r="M21" i="16" s="1"/>
  <c r="I22" i="16"/>
  <c r="J22" i="16" s="1"/>
  <c r="D22" i="16" s="1"/>
  <c r="M22" i="16" s="1"/>
  <c r="I23" i="16"/>
  <c r="J23" i="16" s="1"/>
  <c r="D23" i="16" s="1"/>
  <c r="M23" i="16" s="1"/>
  <c r="I24" i="16"/>
  <c r="J24" i="16" s="1"/>
  <c r="D24" i="16" s="1"/>
  <c r="M24" i="16" s="1"/>
  <c r="I25" i="16"/>
  <c r="J25" i="16" s="1"/>
  <c r="I26" i="16"/>
  <c r="J26" i="16" s="1"/>
  <c r="I27" i="16"/>
  <c r="J27" i="16" s="1"/>
  <c r="I28" i="16"/>
  <c r="J28" i="16" s="1"/>
  <c r="I29" i="16"/>
  <c r="J29" i="16" s="1"/>
  <c r="I30" i="16"/>
  <c r="J30" i="16" s="1"/>
  <c r="I32" i="16"/>
  <c r="J32" i="16" s="1"/>
  <c r="D32" i="16" s="1"/>
  <c r="M32" i="16" s="1"/>
  <c r="I33" i="16"/>
  <c r="J33" i="16" s="1"/>
  <c r="D33" i="16" s="1"/>
  <c r="M33" i="16" s="1"/>
  <c r="I34" i="16"/>
  <c r="J34" i="16" s="1"/>
  <c r="D34" i="16" s="1"/>
  <c r="M34" i="16" s="1"/>
  <c r="I35" i="16"/>
  <c r="J35" i="16" s="1"/>
  <c r="D35" i="16" s="1"/>
  <c r="M35" i="16" s="1"/>
  <c r="I74" i="16"/>
  <c r="J74" i="16" s="1"/>
  <c r="D74" i="16" s="1"/>
  <c r="M74" i="16" s="1"/>
  <c r="I75" i="16"/>
  <c r="J75" i="16" s="1"/>
  <c r="D75" i="16" s="1"/>
  <c r="M75" i="16" s="1"/>
  <c r="I76" i="16"/>
  <c r="J76" i="16" s="1"/>
  <c r="D76" i="16" s="1"/>
  <c r="M76" i="16" s="1"/>
  <c r="I77" i="16"/>
  <c r="J77" i="16" s="1"/>
  <c r="D77" i="16" s="1"/>
  <c r="M77" i="16" s="1"/>
  <c r="I78" i="16"/>
  <c r="J78" i="16" s="1"/>
  <c r="D78" i="16" s="1"/>
  <c r="M78" i="16" s="1"/>
  <c r="I79" i="16"/>
  <c r="J79" i="16" s="1"/>
  <c r="D79" i="16" s="1"/>
  <c r="M79" i="16" s="1"/>
  <c r="I80" i="16"/>
  <c r="J80" i="16" s="1"/>
  <c r="D80" i="16" s="1"/>
  <c r="M80" i="16" s="1"/>
  <c r="I82" i="16"/>
  <c r="J82" i="16" s="1"/>
  <c r="D82" i="16" s="1"/>
  <c r="M82" i="16" s="1"/>
  <c r="I83" i="16"/>
  <c r="J83" i="16" s="1"/>
  <c r="D83" i="16" s="1"/>
  <c r="M83" i="16" s="1"/>
  <c r="I84" i="16"/>
  <c r="J84" i="16" s="1"/>
  <c r="D84" i="16" s="1"/>
  <c r="M84" i="16" s="1"/>
  <c r="I85" i="16"/>
  <c r="J85" i="16" s="1"/>
  <c r="D85" i="16" s="1"/>
  <c r="M85" i="16" s="1"/>
  <c r="I86" i="16"/>
  <c r="J86" i="16" s="1"/>
  <c r="D86" i="16" s="1"/>
  <c r="M86" i="16" s="1"/>
  <c r="I88" i="16"/>
  <c r="J88" i="16" s="1"/>
  <c r="D88" i="16" s="1"/>
  <c r="M88" i="16" s="1"/>
  <c r="I89" i="16"/>
  <c r="J89" i="16" s="1"/>
  <c r="D89" i="16" s="1"/>
  <c r="M89" i="16" s="1"/>
  <c r="I91" i="16"/>
  <c r="J91" i="16" s="1"/>
  <c r="D91" i="16" s="1"/>
  <c r="M91" i="16" s="1"/>
  <c r="I92" i="16"/>
  <c r="J92" i="16" s="1"/>
  <c r="D92" i="16" s="1"/>
  <c r="M92" i="16" s="1"/>
  <c r="I93" i="16"/>
  <c r="J93" i="16" s="1"/>
  <c r="D93" i="16" s="1"/>
  <c r="M93" i="16" s="1"/>
  <c r="I94" i="16"/>
  <c r="J94" i="16" s="1"/>
  <c r="D94" i="16" s="1"/>
  <c r="M94" i="16" s="1"/>
  <c r="I95" i="16"/>
  <c r="J95" i="16" s="1"/>
  <c r="D95" i="16" s="1"/>
  <c r="M95" i="16" s="1"/>
  <c r="I96" i="16"/>
  <c r="J96" i="16" s="1"/>
  <c r="D96" i="16" s="1"/>
  <c r="M96" i="16" s="1"/>
  <c r="I97" i="16"/>
  <c r="J97" i="16" s="1"/>
  <c r="D97" i="16" s="1"/>
  <c r="M97" i="16" s="1"/>
  <c r="I98" i="16"/>
  <c r="J98" i="16" s="1"/>
  <c r="D98" i="16" s="1"/>
  <c r="M98" i="16" s="1"/>
  <c r="I99" i="16"/>
  <c r="J99" i="16" s="1"/>
  <c r="D99" i="16" s="1"/>
  <c r="M99" i="16" s="1"/>
  <c r="I100" i="16"/>
  <c r="J100" i="16" s="1"/>
  <c r="D100" i="16" s="1"/>
  <c r="M100" i="16" s="1"/>
  <c r="I101" i="16"/>
  <c r="J101" i="16" s="1"/>
  <c r="D101" i="16" s="1"/>
  <c r="M101" i="16" s="1"/>
  <c r="I102" i="16"/>
  <c r="J102" i="16" s="1"/>
  <c r="D102" i="16" s="1"/>
  <c r="M102" i="16" s="1"/>
  <c r="I103" i="16"/>
  <c r="J103" i="16" s="1"/>
  <c r="D103" i="16" s="1"/>
  <c r="M103" i="16" s="1"/>
  <c r="I104" i="16"/>
  <c r="J104" i="16" s="1"/>
  <c r="D104" i="16" s="1"/>
  <c r="M104" i="16" s="1"/>
  <c r="I105" i="16"/>
  <c r="J105" i="16" s="1"/>
  <c r="D105" i="16" s="1"/>
  <c r="M105" i="16" s="1"/>
  <c r="I106" i="16"/>
  <c r="J106" i="16" s="1"/>
  <c r="D106" i="16" s="1"/>
  <c r="M106" i="16" s="1"/>
  <c r="I107" i="16"/>
  <c r="J107" i="16" s="1"/>
  <c r="D107" i="16" s="1"/>
  <c r="M107" i="16" s="1"/>
  <c r="I108" i="16"/>
  <c r="J108" i="16" s="1"/>
  <c r="D108" i="16" s="1"/>
  <c r="M108" i="16" s="1"/>
  <c r="I109" i="16"/>
  <c r="J109" i="16" s="1"/>
  <c r="D109" i="16" s="1"/>
  <c r="M109" i="16" s="1"/>
  <c r="I110" i="16"/>
  <c r="J110" i="16" s="1"/>
  <c r="D110" i="16" s="1"/>
  <c r="M110" i="16" s="1"/>
  <c r="I111" i="16"/>
  <c r="J111" i="16" s="1"/>
  <c r="D111" i="16" s="1"/>
  <c r="M111" i="16" s="1"/>
  <c r="I112" i="16"/>
  <c r="J112" i="16" s="1"/>
  <c r="D112" i="16" s="1"/>
  <c r="M112" i="16" s="1"/>
  <c r="I113" i="16"/>
  <c r="J113" i="16" s="1"/>
  <c r="D113" i="16" s="1"/>
  <c r="M113" i="16" s="1"/>
  <c r="I114" i="16"/>
  <c r="J114" i="16" s="1"/>
  <c r="D114" i="16" s="1"/>
  <c r="M114" i="16" s="1"/>
  <c r="I115" i="16"/>
  <c r="J115" i="16" s="1"/>
  <c r="D115" i="16" s="1"/>
  <c r="M115" i="16" s="1"/>
  <c r="I116" i="16"/>
  <c r="J116" i="16" s="1"/>
  <c r="D116" i="16" s="1"/>
  <c r="M116" i="16" s="1"/>
  <c r="I117" i="16"/>
  <c r="J117" i="16" s="1"/>
  <c r="D117" i="16" s="1"/>
  <c r="M117" i="16" s="1"/>
  <c r="I118" i="16"/>
  <c r="J118" i="16" s="1"/>
  <c r="D118" i="16" s="1"/>
  <c r="M118" i="16" s="1"/>
  <c r="I119" i="16"/>
  <c r="J119" i="16" s="1"/>
  <c r="D119" i="16" s="1"/>
  <c r="M119" i="16" s="1"/>
  <c r="I120" i="16"/>
  <c r="J120" i="16" s="1"/>
  <c r="D120" i="16" s="1"/>
  <c r="M120" i="16" s="1"/>
  <c r="I121" i="16"/>
  <c r="J121" i="16" s="1"/>
  <c r="D121" i="16" s="1"/>
  <c r="M121" i="16" s="1"/>
  <c r="I122" i="16"/>
  <c r="J122" i="16" s="1"/>
  <c r="D122" i="16" s="1"/>
  <c r="M122" i="16" s="1"/>
  <c r="I123" i="16"/>
  <c r="J123" i="16" s="1"/>
  <c r="D123" i="16" s="1"/>
  <c r="M123" i="16" s="1"/>
  <c r="I124" i="16"/>
  <c r="J124" i="16" s="1"/>
  <c r="D124" i="16" s="1"/>
  <c r="M124" i="16" s="1"/>
  <c r="J125" i="16"/>
  <c r="D125" i="16" s="1"/>
  <c r="M125" i="16" s="1"/>
  <c r="I126" i="16"/>
  <c r="J126" i="16" s="1"/>
  <c r="D126" i="16" s="1"/>
  <c r="M126" i="16" s="1"/>
  <c r="I127" i="16"/>
  <c r="J127" i="16" s="1"/>
  <c r="D127" i="16" s="1"/>
  <c r="M127" i="16" s="1"/>
  <c r="I128" i="16"/>
  <c r="J128" i="16" s="1"/>
  <c r="D128" i="16" s="1"/>
  <c r="M128" i="16" s="1"/>
  <c r="I130" i="16"/>
  <c r="J130" i="16" s="1"/>
  <c r="D130" i="16" s="1"/>
  <c r="M130" i="16" s="1"/>
  <c r="I131" i="16"/>
  <c r="J131" i="16" s="1"/>
  <c r="D131" i="16" s="1"/>
  <c r="M131" i="16" s="1"/>
  <c r="I132" i="16"/>
  <c r="J132" i="16" s="1"/>
  <c r="D132" i="16" s="1"/>
  <c r="M132" i="16" s="1"/>
  <c r="I133" i="16"/>
  <c r="J133" i="16" s="1"/>
  <c r="D133" i="16" s="1"/>
  <c r="M133" i="16" s="1"/>
  <c r="I134" i="16"/>
  <c r="J134" i="16" s="1"/>
  <c r="D134" i="16" s="1"/>
  <c r="M134" i="16" s="1"/>
  <c r="I135" i="16"/>
  <c r="J135" i="16" s="1"/>
  <c r="D135" i="16" s="1"/>
  <c r="M135" i="16" s="1"/>
  <c r="I136" i="16"/>
  <c r="J136" i="16" s="1"/>
  <c r="D136" i="16" s="1"/>
  <c r="M136" i="16" s="1"/>
  <c r="I137" i="16"/>
  <c r="J137" i="16" s="1"/>
  <c r="D137" i="16" s="1"/>
  <c r="M137" i="16" s="1"/>
  <c r="I138" i="16"/>
  <c r="J138" i="16" s="1"/>
  <c r="D138" i="16" s="1"/>
  <c r="M138" i="16" s="1"/>
  <c r="I139" i="16"/>
  <c r="J139" i="16" s="1"/>
  <c r="D139" i="16" s="1"/>
  <c r="M139" i="16" s="1"/>
  <c r="I140" i="16"/>
  <c r="J140" i="16" s="1"/>
  <c r="D140" i="16" s="1"/>
  <c r="M140" i="16" s="1"/>
  <c r="I141" i="16"/>
  <c r="J141" i="16" s="1"/>
  <c r="I142" i="16"/>
  <c r="J142" i="16" s="1"/>
  <c r="I143" i="16"/>
  <c r="J143" i="16" s="1"/>
  <c r="I144" i="16"/>
  <c r="J144" i="16" s="1"/>
  <c r="I145" i="16"/>
  <c r="J145" i="16" s="1"/>
  <c r="I146" i="16"/>
  <c r="J146" i="16" s="1"/>
  <c r="I147" i="16"/>
  <c r="J147" i="16" s="1"/>
  <c r="D147" i="16" s="1"/>
  <c r="M147" i="16" s="1"/>
  <c r="I148" i="16"/>
  <c r="J148" i="16" s="1"/>
  <c r="D148" i="16" s="1"/>
  <c r="M148" i="16" s="1"/>
  <c r="I149" i="16"/>
  <c r="J149" i="16" s="1"/>
  <c r="M149" i="16" s="1"/>
  <c r="I150" i="16"/>
  <c r="J150" i="16" s="1"/>
  <c r="M150" i="16" s="1"/>
  <c r="I151" i="16"/>
  <c r="J151" i="16" s="1"/>
  <c r="D151" i="16" s="1"/>
  <c r="M151" i="16" s="1"/>
  <c r="I152" i="16"/>
  <c r="J152" i="16" s="1"/>
  <c r="D152" i="16" s="1"/>
  <c r="M152" i="16" s="1"/>
  <c r="I153" i="16"/>
  <c r="J153" i="16" s="1"/>
  <c r="D153" i="16" s="1"/>
  <c r="M153" i="16" s="1"/>
  <c r="I154" i="16"/>
  <c r="J154" i="16" s="1"/>
  <c r="D154" i="16" s="1"/>
  <c r="M154" i="16" s="1"/>
  <c r="I155" i="16"/>
  <c r="J155" i="16" s="1"/>
  <c r="D155" i="16" s="1"/>
  <c r="M155" i="16" s="1"/>
  <c r="I156" i="16"/>
  <c r="J156" i="16" s="1"/>
  <c r="D156" i="16" s="1"/>
  <c r="M156" i="16" s="1"/>
  <c r="I157" i="16"/>
  <c r="J157" i="16" s="1"/>
  <c r="M157" i="16" s="1"/>
  <c r="I159" i="16"/>
  <c r="J159" i="16" s="1"/>
  <c r="M159" i="16" s="1"/>
  <c r="I160" i="16"/>
  <c r="J160" i="16" s="1"/>
  <c r="D160" i="16" s="1"/>
  <c r="M160" i="16" s="1"/>
  <c r="I161" i="16"/>
  <c r="J161" i="16" s="1"/>
  <c r="D161" i="16" s="1"/>
  <c r="M161" i="16" s="1"/>
  <c r="I163" i="16"/>
  <c r="J163" i="16" s="1"/>
  <c r="M163" i="16" s="1"/>
  <c r="I164" i="16"/>
  <c r="J164" i="16" s="1"/>
  <c r="M164" i="16" s="1"/>
  <c r="I165" i="16"/>
  <c r="J165" i="16" s="1"/>
  <c r="I166" i="16"/>
  <c r="J166" i="16" s="1"/>
  <c r="M166" i="16" s="1"/>
  <c r="I167" i="16"/>
  <c r="J167" i="16" s="1"/>
  <c r="M167" i="16" s="1"/>
  <c r="I168" i="16"/>
  <c r="J168" i="16" s="1"/>
  <c r="M168" i="16" s="1"/>
  <c r="I169" i="16"/>
  <c r="J169" i="16" s="1"/>
  <c r="I170" i="16"/>
  <c r="J170" i="16" s="1"/>
  <c r="I171" i="16"/>
  <c r="J171" i="16" s="1"/>
  <c r="I172" i="16"/>
  <c r="J172" i="16" s="1"/>
  <c r="I173" i="16"/>
  <c r="J173" i="16" s="1"/>
  <c r="I174" i="16"/>
  <c r="J174" i="16" s="1"/>
  <c r="D174" i="16" s="1"/>
  <c r="M174" i="16" s="1"/>
  <c r="I175" i="16"/>
  <c r="J175" i="16" s="1"/>
  <c r="D175" i="16" s="1"/>
  <c r="M175" i="16" s="1"/>
  <c r="I176" i="16"/>
  <c r="J176" i="16" s="1"/>
  <c r="D176" i="16" s="1"/>
  <c r="M176" i="16" s="1"/>
  <c r="I177" i="16"/>
  <c r="J177" i="16" s="1"/>
  <c r="D177" i="16" s="1"/>
  <c r="M177" i="16" s="1"/>
  <c r="I178" i="16"/>
  <c r="J178" i="16" s="1"/>
  <c r="D178" i="16" s="1"/>
  <c r="M178" i="16" s="1"/>
  <c r="I179" i="16"/>
  <c r="J179" i="16" s="1"/>
  <c r="D179" i="16" s="1"/>
  <c r="M179" i="16" s="1"/>
  <c r="I180" i="16"/>
  <c r="J180" i="16" s="1"/>
  <c r="D180" i="16" s="1"/>
  <c r="M180" i="16" s="1"/>
  <c r="I181" i="16"/>
  <c r="J181" i="16" s="1"/>
  <c r="D181" i="16" s="1"/>
  <c r="M181" i="16" s="1"/>
  <c r="I182" i="16"/>
  <c r="J182" i="16" s="1"/>
  <c r="D182" i="16" s="1"/>
  <c r="M182" i="16" s="1"/>
  <c r="I183" i="16"/>
  <c r="J183" i="16" s="1"/>
  <c r="D183" i="16" s="1"/>
  <c r="M183" i="16" s="1"/>
  <c r="I184" i="16"/>
  <c r="J184" i="16" s="1"/>
  <c r="D184" i="16" s="1"/>
  <c r="M184" i="16" s="1"/>
  <c r="I185" i="16"/>
  <c r="J185" i="16" s="1"/>
  <c r="D185" i="16" s="1"/>
  <c r="M185" i="16" s="1"/>
  <c r="I186" i="16"/>
  <c r="J186" i="16" s="1"/>
  <c r="D186" i="16" s="1"/>
  <c r="M186" i="16" s="1"/>
  <c r="J187" i="16"/>
  <c r="D187" i="16" s="1"/>
  <c r="M187" i="16" s="1"/>
  <c r="I188" i="16"/>
  <c r="J188" i="16" s="1"/>
  <c r="D188" i="16" s="1"/>
  <c r="M188" i="16" s="1"/>
  <c r="I189" i="16"/>
  <c r="J189" i="16" s="1"/>
  <c r="D189" i="16" s="1"/>
  <c r="M189" i="16" s="1"/>
  <c r="I190" i="16"/>
  <c r="J190" i="16" s="1"/>
  <c r="I191" i="16"/>
  <c r="J191" i="16" s="1"/>
  <c r="I192" i="16"/>
  <c r="J192" i="16" s="1"/>
  <c r="I193" i="16"/>
  <c r="J193" i="16" s="1"/>
  <c r="I194" i="16"/>
  <c r="J194" i="16" s="1"/>
  <c r="I195" i="16"/>
  <c r="J195" i="16" s="1"/>
  <c r="I196" i="16"/>
  <c r="J196" i="16" s="1"/>
  <c r="I197" i="16"/>
  <c r="J197" i="16" s="1"/>
  <c r="D197" i="16" s="1"/>
  <c r="M197" i="16" s="1"/>
  <c r="I198" i="16"/>
  <c r="J198" i="16" s="1"/>
  <c r="D198" i="16" s="1"/>
  <c r="M198" i="16" s="1"/>
  <c r="I199" i="16"/>
  <c r="J199" i="16" s="1"/>
  <c r="D199" i="16" s="1"/>
  <c r="M199" i="16" s="1"/>
  <c r="I200" i="16"/>
  <c r="J200" i="16" s="1"/>
  <c r="D200" i="16" s="1"/>
  <c r="M200" i="16" s="1"/>
  <c r="I201" i="16"/>
  <c r="J201" i="16" s="1"/>
  <c r="D201" i="16" s="1"/>
  <c r="M201" i="16" s="1"/>
  <c r="I202" i="16"/>
  <c r="J202" i="16" s="1"/>
  <c r="D202" i="16" s="1"/>
  <c r="M202" i="16" s="1"/>
  <c r="I203" i="16"/>
  <c r="J203" i="16" s="1"/>
  <c r="D203" i="16" s="1"/>
  <c r="M203" i="16" s="1"/>
  <c r="I204" i="16"/>
  <c r="J204" i="16" s="1"/>
  <c r="D204" i="16" s="1"/>
  <c r="M204" i="16" s="1"/>
  <c r="I205" i="16"/>
  <c r="J205" i="16" s="1"/>
  <c r="D205" i="16" s="1"/>
  <c r="M205" i="16" s="1"/>
  <c r="I206" i="16"/>
  <c r="J206" i="16" s="1"/>
  <c r="D206" i="16" s="1"/>
  <c r="M206" i="16" s="1"/>
  <c r="I207" i="16"/>
  <c r="J207" i="16" s="1"/>
  <c r="D207" i="16" s="1"/>
  <c r="M207" i="16" s="1"/>
  <c r="I208" i="16"/>
  <c r="J208" i="16" s="1"/>
  <c r="D208" i="16" s="1"/>
  <c r="M208" i="16" s="1"/>
  <c r="I209" i="16"/>
  <c r="J209" i="16" s="1"/>
  <c r="D209" i="16" s="1"/>
  <c r="M209" i="16" s="1"/>
  <c r="I210" i="16"/>
  <c r="J210" i="16" s="1"/>
  <c r="D210" i="16" s="1"/>
  <c r="M210" i="16" s="1"/>
  <c r="I211" i="16"/>
  <c r="J211" i="16" s="1"/>
  <c r="D211" i="16" s="1"/>
  <c r="M211" i="16" s="1"/>
  <c r="I212" i="16"/>
  <c r="J212" i="16" s="1"/>
  <c r="D212" i="16" s="1"/>
  <c r="M212" i="16" s="1"/>
  <c r="I213" i="16"/>
  <c r="J213" i="16" s="1"/>
  <c r="D213" i="16" s="1"/>
  <c r="M213" i="16" s="1"/>
  <c r="I214" i="16"/>
  <c r="J214" i="16" s="1"/>
  <c r="D214" i="16" s="1"/>
  <c r="M214" i="16" s="1"/>
  <c r="I215" i="16"/>
  <c r="J215" i="16" s="1"/>
  <c r="D215" i="16" s="1"/>
  <c r="M215" i="16" s="1"/>
  <c r="I216" i="16"/>
  <c r="J216" i="16" s="1"/>
  <c r="D216" i="16" s="1"/>
  <c r="M216" i="16" s="1"/>
  <c r="I217" i="16"/>
  <c r="J217" i="16" s="1"/>
  <c r="D217" i="16" s="1"/>
  <c r="M217" i="16" s="1"/>
  <c r="I218" i="16"/>
  <c r="J218" i="16" s="1"/>
  <c r="D218" i="16" s="1"/>
  <c r="M218" i="16" s="1"/>
  <c r="I219" i="16"/>
  <c r="J219" i="16" s="1"/>
  <c r="D219" i="16" s="1"/>
  <c r="M219" i="16" s="1"/>
  <c r="I220" i="16"/>
  <c r="J220" i="16" s="1"/>
  <c r="D220" i="16" s="1"/>
  <c r="M220" i="16" s="1"/>
  <c r="I221" i="16"/>
  <c r="J221" i="16" s="1"/>
  <c r="D221" i="16" s="1"/>
  <c r="M221" i="16" s="1"/>
  <c r="I222" i="16"/>
  <c r="J222" i="16" s="1"/>
  <c r="D222" i="16" s="1"/>
  <c r="M222" i="16" s="1"/>
  <c r="I223" i="16"/>
  <c r="J223" i="16" s="1"/>
  <c r="D223" i="16" s="1"/>
  <c r="M223" i="16" s="1"/>
  <c r="I224" i="16"/>
  <c r="J224" i="16" s="1"/>
  <c r="D224" i="16" s="1"/>
  <c r="M224" i="16" s="1"/>
  <c r="I225" i="16"/>
  <c r="J225" i="16" s="1"/>
  <c r="D225" i="16" s="1"/>
  <c r="M225" i="16" s="1"/>
  <c r="I226" i="16"/>
  <c r="J226" i="16" s="1"/>
  <c r="D226" i="16" s="1"/>
  <c r="M226" i="16" s="1"/>
  <c r="I227" i="16"/>
  <c r="J227" i="16" s="1"/>
  <c r="D227" i="16" s="1"/>
  <c r="M227" i="16" s="1"/>
  <c r="I228" i="16"/>
  <c r="J228" i="16" s="1"/>
  <c r="D228" i="16" s="1"/>
  <c r="M228" i="16" s="1"/>
  <c r="I229" i="16"/>
  <c r="J229" i="16" s="1"/>
  <c r="D229" i="16" s="1"/>
  <c r="M229" i="16" s="1"/>
  <c r="I230" i="16"/>
  <c r="J230" i="16" s="1"/>
  <c r="D230" i="16" s="1"/>
  <c r="M230" i="16" s="1"/>
  <c r="I231" i="16"/>
  <c r="J231" i="16" s="1"/>
  <c r="D231" i="16" s="1"/>
  <c r="M231" i="16" s="1"/>
  <c r="I232" i="16"/>
  <c r="J232" i="16" s="1"/>
  <c r="D232" i="16" s="1"/>
  <c r="M232" i="16" s="1"/>
  <c r="I233" i="16"/>
  <c r="J233" i="16" s="1"/>
  <c r="D233" i="16" s="1"/>
  <c r="M233" i="16" s="1"/>
  <c r="I234" i="16"/>
  <c r="J234" i="16" s="1"/>
  <c r="D234" i="16" s="1"/>
  <c r="M234" i="16" s="1"/>
  <c r="I235" i="16"/>
  <c r="J235" i="16" s="1"/>
  <c r="D235" i="16" s="1"/>
  <c r="M235" i="16" s="1"/>
  <c r="I236" i="16"/>
  <c r="J236" i="16" s="1"/>
  <c r="D236" i="16" s="1"/>
  <c r="M236" i="16" s="1"/>
  <c r="I237" i="16"/>
  <c r="J237" i="16" s="1"/>
  <c r="D237" i="16" s="1"/>
  <c r="M237" i="16" s="1"/>
  <c r="I238" i="16"/>
  <c r="J238" i="16" s="1"/>
  <c r="D238" i="16" s="1"/>
  <c r="M238" i="16" s="1"/>
  <c r="I239" i="16"/>
  <c r="J239" i="16" s="1"/>
  <c r="D239" i="16" s="1"/>
  <c r="M239" i="16" s="1"/>
  <c r="I240" i="16"/>
  <c r="J240" i="16" s="1"/>
  <c r="D240" i="16" s="1"/>
  <c r="M240" i="16" s="1"/>
  <c r="I241" i="16"/>
  <c r="J241" i="16" s="1"/>
  <c r="D241" i="16" s="1"/>
  <c r="M241" i="16" s="1"/>
  <c r="I242" i="16"/>
  <c r="J242" i="16" s="1"/>
  <c r="D242" i="16" s="1"/>
  <c r="I243" i="16"/>
  <c r="J243" i="16" s="1"/>
  <c r="D243" i="16" s="1"/>
  <c r="I244" i="16"/>
  <c r="J244" i="16" s="1"/>
  <c r="D244" i="16" s="1"/>
  <c r="I246" i="16"/>
  <c r="J246" i="16" s="1"/>
  <c r="D246" i="16" s="1"/>
  <c r="I247" i="16"/>
  <c r="J247" i="16" s="1"/>
  <c r="D247" i="16" s="1"/>
  <c r="I248" i="16"/>
  <c r="J248" i="16" s="1"/>
  <c r="D248" i="16" s="1"/>
  <c r="I249" i="16"/>
  <c r="J249" i="16" s="1"/>
  <c r="D249" i="16" s="1"/>
  <c r="I250" i="16"/>
  <c r="J250" i="16" s="1"/>
  <c r="D250" i="16" s="1"/>
  <c r="I251" i="16"/>
  <c r="J251" i="16" s="1"/>
  <c r="D251" i="16" s="1"/>
  <c r="I252" i="16"/>
  <c r="J252" i="16" s="1"/>
  <c r="D252" i="16" s="1"/>
  <c r="I253" i="16"/>
  <c r="J253" i="16" s="1"/>
  <c r="D253" i="16" s="1"/>
  <c r="I254" i="16"/>
  <c r="J254" i="16" s="1"/>
  <c r="D254" i="16" s="1"/>
  <c r="I255" i="16"/>
  <c r="J255" i="16" s="1"/>
  <c r="D255" i="16" s="1"/>
  <c r="I256" i="16"/>
  <c r="J256" i="16" s="1"/>
  <c r="D256" i="16" s="1"/>
  <c r="I257" i="16"/>
  <c r="J257" i="16" s="1"/>
  <c r="D257" i="16" s="1"/>
  <c r="I258" i="16"/>
  <c r="J258" i="16" s="1"/>
  <c r="D258" i="16" s="1"/>
  <c r="I259" i="16"/>
  <c r="J259" i="16" s="1"/>
  <c r="D259" i="16" s="1"/>
  <c r="I260" i="16"/>
  <c r="J260" i="16" s="1"/>
  <c r="D260" i="16" s="1"/>
  <c r="I261" i="16"/>
  <c r="J261" i="16" s="1"/>
  <c r="D261" i="16" s="1"/>
  <c r="I262" i="16"/>
  <c r="J262" i="16" s="1"/>
  <c r="D262" i="16" s="1"/>
  <c r="I263" i="16"/>
  <c r="J263" i="16" s="1"/>
  <c r="D263" i="16" s="1"/>
  <c r="I264" i="16"/>
  <c r="J264" i="16" s="1"/>
  <c r="I265" i="16"/>
  <c r="J265" i="16" s="1"/>
  <c r="I266" i="16"/>
  <c r="J266" i="16" s="1"/>
  <c r="I267" i="16"/>
  <c r="J267" i="16" s="1"/>
  <c r="I268" i="16"/>
  <c r="J268" i="16" s="1"/>
  <c r="I269" i="16"/>
  <c r="J269" i="16" s="1"/>
  <c r="I7" i="16"/>
  <c r="J7" i="16" s="1"/>
  <c r="D7" i="16" s="1"/>
  <c r="M7" i="16" s="1"/>
  <c r="H12" i="99"/>
  <c r="I16" i="99"/>
  <c r="I14" i="99"/>
  <c r="J14" i="99" s="1"/>
  <c r="D14" i="99" s="1"/>
  <c r="I12" i="99"/>
  <c r="I8" i="99"/>
  <c r="C28" i="11"/>
  <c r="C161" i="11"/>
  <c r="H9" i="11"/>
  <c r="D165" i="16" l="1"/>
  <c r="M165" i="16" s="1"/>
  <c r="J7" i="79"/>
  <c r="J12" i="99"/>
  <c r="D12" i="99" s="1"/>
  <c r="F21" i="99" s="1"/>
  <c r="F24" i="99" s="1"/>
  <c r="E17" i="1" s="1"/>
  <c r="J16" i="99"/>
  <c r="D16" i="99" s="1"/>
  <c r="J8" i="99"/>
  <c r="D8" i="99" s="1"/>
  <c r="H59" i="11" l="1"/>
  <c r="H60" i="11"/>
  <c r="H61" i="11"/>
  <c r="H56" i="11"/>
  <c r="H57" i="11"/>
  <c r="H55" i="11"/>
  <c r="F28" i="79" l="1"/>
  <c r="H196" i="11"/>
  <c r="E19" i="1"/>
  <c r="F26" i="16"/>
  <c r="H41" i="11" l="1"/>
  <c r="H230" i="11" l="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08" i="11"/>
  <c r="H207" i="11"/>
  <c r="H206" i="11"/>
  <c r="H205" i="11"/>
  <c r="H204" i="11"/>
  <c r="H203" i="11"/>
  <c r="H202" i="11"/>
  <c r="H201" i="11"/>
  <c r="H195" i="11"/>
  <c r="H194" i="11"/>
  <c r="H193" i="11"/>
  <c r="H192" i="11"/>
  <c r="H191" i="11"/>
  <c r="H190" i="11"/>
  <c r="H186" i="11"/>
  <c r="H185" i="11"/>
  <c r="H184" i="11"/>
  <c r="H183" i="11"/>
  <c r="H182" i="11"/>
  <c r="H181" i="11"/>
  <c r="H180" i="11"/>
  <c r="H179" i="11"/>
  <c r="H178" i="11"/>
  <c r="H174" i="11"/>
  <c r="H173" i="11"/>
  <c r="H172" i="11"/>
  <c r="H171" i="11"/>
  <c r="H170" i="11"/>
  <c r="H166" i="11"/>
  <c r="H165" i="11"/>
  <c r="H164" i="11"/>
  <c r="H163" i="11"/>
  <c r="H162" i="11"/>
  <c r="H161" i="11"/>
  <c r="H160" i="11"/>
  <c r="H159" i="11"/>
  <c r="H158" i="11"/>
  <c r="H157" i="11"/>
  <c r="H156" i="11"/>
  <c r="H152" i="11"/>
  <c r="H151" i="11"/>
  <c r="H150" i="11"/>
  <c r="H149" i="11"/>
  <c r="H148" i="11"/>
  <c r="H147" i="11"/>
  <c r="H146" i="11"/>
  <c r="H142" i="11"/>
  <c r="H141" i="11"/>
  <c r="H140" i="11"/>
  <c r="H139" i="11"/>
  <c r="H138" i="11"/>
  <c r="H137" i="11"/>
  <c r="H136" i="11"/>
  <c r="H135" i="11"/>
  <c r="H134" i="11"/>
  <c r="H133" i="11"/>
  <c r="H129" i="11"/>
  <c r="H128" i="11"/>
  <c r="H127" i="11"/>
  <c r="H126" i="11"/>
  <c r="H122" i="11"/>
  <c r="H121" i="11"/>
  <c r="H120" i="11"/>
  <c r="H119" i="11"/>
  <c r="H118" i="11"/>
  <c r="H117" i="11"/>
  <c r="H116" i="11"/>
  <c r="H115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58" i="11"/>
  <c r="H54" i="11"/>
  <c r="H53" i="11"/>
  <c r="H52" i="11"/>
  <c r="H51" i="11"/>
  <c r="H50" i="11"/>
  <c r="H49" i="11"/>
  <c r="H45" i="11"/>
  <c r="H46" i="11" s="1"/>
  <c r="D7" i="98" s="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62" i="11" l="1"/>
  <c r="H198" i="11"/>
  <c r="D29" i="98" s="1"/>
  <c r="H91" i="11"/>
  <c r="D11" i="98" s="1"/>
  <c r="H153" i="11"/>
  <c r="D21" i="98" s="1"/>
  <c r="H187" i="11"/>
  <c r="D27" i="98" s="1"/>
  <c r="H167" i="11"/>
  <c r="D23" i="98" s="1"/>
  <c r="H42" i="11"/>
  <c r="D9" i="98"/>
  <c r="H143" i="11"/>
  <c r="D19" i="98" s="1"/>
  <c r="H213" i="11"/>
  <c r="D31" i="98" s="1"/>
  <c r="H231" i="11"/>
  <c r="D33" i="98" s="1"/>
  <c r="H112" i="11"/>
  <c r="D13" i="98" s="1"/>
  <c r="H123" i="11"/>
  <c r="D15" i="98" s="1"/>
  <c r="H130" i="11"/>
  <c r="D17" i="98" s="1"/>
  <c r="H175" i="11"/>
  <c r="D25" i="98" s="1"/>
  <c r="D79" i="33"/>
  <c r="D78" i="33"/>
  <c r="D77" i="33"/>
  <c r="D76" i="33"/>
  <c r="D75" i="33"/>
  <c r="D74" i="33"/>
  <c r="H169" i="11"/>
  <c r="D59" i="86"/>
  <c r="D57" i="86"/>
  <c r="D55" i="86"/>
  <c r="D53" i="86"/>
  <c r="D51" i="86"/>
  <c r="D49" i="86"/>
  <c r="D47" i="86"/>
  <c r="D45" i="86"/>
  <c r="D43" i="86"/>
  <c r="D41" i="86"/>
  <c r="D37" i="86"/>
  <c r="D35" i="86"/>
  <c r="D33" i="86"/>
  <c r="D31" i="86"/>
  <c r="D19" i="94"/>
  <c r="D17" i="94"/>
  <c r="D15" i="94"/>
  <c r="D13" i="94"/>
  <c r="D11" i="94"/>
  <c r="D9" i="94"/>
  <c r="D7" i="94"/>
  <c r="E46" i="1"/>
  <c r="D5" i="98" l="1"/>
  <c r="H234" i="11"/>
  <c r="D35" i="98"/>
  <c r="D38" i="98" l="1"/>
  <c r="D49" i="94"/>
  <c r="F242" i="79" l="1"/>
  <c r="F170" i="79"/>
  <c r="F145" i="79"/>
  <c r="F117" i="79"/>
  <c r="F244" i="79" l="1"/>
  <c r="E15" i="1" s="1"/>
  <c r="D53" i="88" l="1"/>
  <c r="E9" i="1" s="1"/>
  <c r="F270" i="16" l="1"/>
  <c r="D29" i="86" l="1"/>
  <c r="D27" i="86"/>
  <c r="D25" i="86"/>
  <c r="D23" i="86"/>
  <c r="D21" i="86"/>
  <c r="D19" i="86"/>
  <c r="D17" i="86"/>
  <c r="D15" i="86"/>
  <c r="D13" i="86"/>
  <c r="D11" i="86"/>
  <c r="D7" i="86"/>
  <c r="D46" i="84"/>
  <c r="E24" i="1" s="1"/>
  <c r="D36" i="83"/>
  <c r="D34" i="83"/>
  <c r="D32" i="83"/>
  <c r="D30" i="83"/>
  <c r="D28" i="83"/>
  <c r="D26" i="83"/>
  <c r="D24" i="83"/>
  <c r="D22" i="83"/>
  <c r="D20" i="83"/>
  <c r="D62" i="86" l="1"/>
  <c r="E26" i="1" s="1"/>
  <c r="D66" i="83"/>
  <c r="E22" i="1" s="1"/>
  <c r="F192" i="16" l="1"/>
  <c r="D73" i="33" l="1"/>
  <c r="D72" i="33"/>
  <c r="D71" i="33"/>
  <c r="D70" i="33"/>
  <c r="D69" i="33"/>
  <c r="D68" i="33"/>
  <c r="D65" i="33"/>
  <c r="D64" i="33"/>
  <c r="D63" i="33"/>
  <c r="D57" i="33" l="1"/>
  <c r="D60" i="33" s="1"/>
  <c r="D83" i="33" s="1"/>
  <c r="F142" i="16"/>
  <c r="F170" i="16"/>
  <c r="E7" i="1" l="1"/>
  <c r="F272" i="16"/>
  <c r="E13" i="1" s="1"/>
  <c r="E5" i="1"/>
  <c r="E28" i="1" l="1"/>
  <c r="L82" i="11"/>
  <c r="E42" i="1" l="1"/>
</calcChain>
</file>

<file path=xl/sharedStrings.xml><?xml version="1.0" encoding="utf-8"?>
<sst xmlns="http://schemas.openxmlformats.org/spreadsheetml/2006/main" count="2316" uniqueCount="1025">
  <si>
    <t>CONTRACT SUM ANALYSIS</t>
  </si>
  <si>
    <t>RELATING TO</t>
  </si>
  <si>
    <t>10060 - EASTWOOD ESTATE NORTH</t>
  </si>
  <si>
    <t>AT</t>
  </si>
  <si>
    <t>EASTWOOD ESTATE</t>
  </si>
  <si>
    <t>LONDON N15</t>
  </si>
  <si>
    <t>Cost Summary</t>
  </si>
  <si>
    <t>Ref</t>
  </si>
  <si>
    <t>Main Summary</t>
  </si>
  <si>
    <t>Total</t>
  </si>
  <si>
    <t>A</t>
  </si>
  <si>
    <t>PRELIMINARIES (Brought Forward)</t>
  </si>
  <si>
    <t>B</t>
  </si>
  <si>
    <t>DESIGN AND DEVELOPMENT COSTS (Brought Forward)</t>
  </si>
  <si>
    <t>C</t>
  </si>
  <si>
    <t>DEMOLITIONS AND SITE CLEARANCE (Brought Forward)</t>
  </si>
  <si>
    <t>D</t>
  </si>
  <si>
    <t>CONSTRUCTION COSTS</t>
  </si>
  <si>
    <t>D1</t>
  </si>
  <si>
    <t>Building: Block N1: Passivhaus Classic (Brought Forward)</t>
  </si>
  <si>
    <t>D2</t>
  </si>
  <si>
    <t>Building: Block N7: Passivhaus Low Energy (Brought Forward)</t>
  </si>
  <si>
    <t>D3</t>
  </si>
  <si>
    <t>Building: Community Clubroom Refurbishment (Brought Forward)</t>
  </si>
  <si>
    <t>D4</t>
  </si>
  <si>
    <t>External Works to New Development (Brought Forward)</t>
  </si>
  <si>
    <t>E</t>
  </si>
  <si>
    <t>CONTRACTOR'S PROPOSALS (Brought Forward)</t>
  </si>
  <si>
    <t>F</t>
  </si>
  <si>
    <t>WORKS OUTSIDE THE BOUNDARY OF THE SITE (Brought Forward)</t>
  </si>
  <si>
    <t>G</t>
  </si>
  <si>
    <t>AFTERCARE (Brought Forward)</t>
  </si>
  <si>
    <t xml:space="preserve">Sub-Total: Building Works </t>
  </si>
  <si>
    <t>H</t>
  </si>
  <si>
    <t xml:space="preserve">OVERHEADS AND PROFIT </t>
  </si>
  <si>
    <t>The Contractor shall here insert the percentage adjustment required on expenditure against project variations and provisional sums where not measurable in line with the Contract Sum Analysis.</t>
  </si>
  <si>
    <t>Overhead: ………… %  (please insert percentage)</t>
  </si>
  <si>
    <t>Profit: ………… %   (please insert percentage)</t>
  </si>
  <si>
    <t xml:space="preserve">I </t>
  </si>
  <si>
    <t>PERFORMANCE BOND</t>
  </si>
  <si>
    <t>J</t>
  </si>
  <si>
    <t xml:space="preserve">CONTRACTOR’S INSURANCES </t>
  </si>
  <si>
    <t>K</t>
  </si>
  <si>
    <t>INSURANCE UNDER CONTRACT CLAUSE 6.5.1</t>
  </si>
  <si>
    <t>Total Building Works</t>
  </si>
  <si>
    <t>Below the line item:</t>
  </si>
  <si>
    <t>L</t>
  </si>
  <si>
    <t>ALTERNATIVE COSTS (Brought Forward)</t>
  </si>
  <si>
    <t>Instructions for tenders:</t>
  </si>
  <si>
    <t xml:space="preserve">Bidders must fully price the item of these price schedule and ensure that their total tender price has been transferred correctly to the Cost Summary page and Form of Tender.  
</t>
  </si>
  <si>
    <t xml:space="preserve">All cells must be completed.
</t>
  </si>
  <si>
    <t>All tender bids will be are evaluated and scored accordantly. Tenders with a deviation of 20% or more from the MEAN value will be required to provide further documentation to support there financial proposals.</t>
  </si>
  <si>
    <t>Following confirmation of appointment, the winner tender could be required to provide further breakdown to there proposals.</t>
  </si>
  <si>
    <t>Tender Qualifications:</t>
  </si>
  <si>
    <t>Please list any Tender Qualifications below:</t>
  </si>
  <si>
    <t>Tender Exclusions:</t>
  </si>
  <si>
    <t>Please list any Tender Exclusions below:</t>
  </si>
  <si>
    <t>A1- Preliminaries Summary</t>
  </si>
  <si>
    <t>Element</t>
  </si>
  <si>
    <t>Site Accommodation</t>
  </si>
  <si>
    <t>£</t>
  </si>
  <si>
    <t>Site Records</t>
  </si>
  <si>
    <t>Completion and Post Completion Requirements</t>
  </si>
  <si>
    <t>Management &amp; Staff</t>
  </si>
  <si>
    <t xml:space="preserve">Temporary Services </t>
  </si>
  <si>
    <t>Scaffolding</t>
  </si>
  <si>
    <t>Security</t>
  </si>
  <si>
    <t>Safety &amp; Environment Protection</t>
  </si>
  <si>
    <t>I</t>
  </si>
  <si>
    <t>Control &amp; Protection</t>
  </si>
  <si>
    <t>Mechanical Plant</t>
  </si>
  <si>
    <t>Temporary Works</t>
  </si>
  <si>
    <t>Completion &amp; Post Completion Requirement</t>
  </si>
  <si>
    <t>M</t>
  </si>
  <si>
    <t>Cleaning</t>
  </si>
  <si>
    <t>N</t>
  </si>
  <si>
    <t>Fees and charges</t>
  </si>
  <si>
    <t>O</t>
  </si>
  <si>
    <t xml:space="preserve">Insurance bonds </t>
  </si>
  <si>
    <t xml:space="preserve">P </t>
  </si>
  <si>
    <t>Marketing</t>
  </si>
  <si>
    <t>Preliminaries Total</t>
  </si>
  <si>
    <t>A1- Cost Breakdown - Preliminaries</t>
  </si>
  <si>
    <t xml:space="preserve">Contractors Proposed Programme Duration inclusive of lead in </t>
  </si>
  <si>
    <t>Rate/week</t>
  </si>
  <si>
    <t>Number</t>
  </si>
  <si>
    <t>%age</t>
  </si>
  <si>
    <t>Weeks</t>
  </si>
  <si>
    <t>Comments</t>
  </si>
  <si>
    <t xml:space="preserve">Site Accommodation </t>
  </si>
  <si>
    <t>Office Accommodation</t>
  </si>
  <si>
    <t>Site Setup &amp; establishment costs</t>
  </si>
  <si>
    <t>Fixed cost (not weekly)</t>
  </si>
  <si>
    <t xml:space="preserve">Site removal costs </t>
  </si>
  <si>
    <t xml:space="preserve">Site reinstatement costs </t>
  </si>
  <si>
    <t>Canteen units</t>
  </si>
  <si>
    <t>Drying rooms</t>
  </si>
  <si>
    <t>Toilet units</t>
  </si>
  <si>
    <t>Transport &amp; erect temp accommodation</t>
  </si>
  <si>
    <t>Furniture</t>
  </si>
  <si>
    <t>Fire extinguishers, fitting out &amp; the like</t>
  </si>
  <si>
    <t>Rates on temporary buildings</t>
  </si>
  <si>
    <t>General Welfare consumables</t>
  </si>
  <si>
    <t>Demobilisation costs</t>
  </si>
  <si>
    <t>Temp electrics - installation &amp; equipment</t>
  </si>
  <si>
    <t>Temp water - ditto</t>
  </si>
  <si>
    <t>Drainage temp connections</t>
  </si>
  <si>
    <t>Telephone installation</t>
  </si>
  <si>
    <t>Telephone rental &amp; system charges</t>
  </si>
  <si>
    <t>IT Installations</t>
  </si>
  <si>
    <t xml:space="preserve">Waste Management </t>
  </si>
  <si>
    <t>Condition surveys, records &amp; photos</t>
  </si>
  <si>
    <t>Progress Photography</t>
  </si>
  <si>
    <t>Mobile phones</t>
  </si>
  <si>
    <t>O&amp;M manuals + As Built Drawings + completion packs</t>
  </si>
  <si>
    <t>Considerate Constructor Scheme</t>
  </si>
  <si>
    <t>Petty cash</t>
  </si>
  <si>
    <t>SAP Rating calculation &amp; certification</t>
  </si>
  <si>
    <t>Passivhaus Liaison and documentation</t>
  </si>
  <si>
    <t>(Contractor to state any additional items below)</t>
  </si>
  <si>
    <t>Section total:</t>
  </si>
  <si>
    <t xml:space="preserve"> </t>
  </si>
  <si>
    <t>Site Completion &amp; post completion requirements</t>
  </si>
  <si>
    <t>Handover requirements</t>
  </si>
  <si>
    <t>Operation and maintenance services</t>
  </si>
  <si>
    <t>Aftercare general management costs</t>
  </si>
  <si>
    <t>O &amp; M Manuals production inc. Health and Safety files</t>
  </si>
  <si>
    <t>Suitably trained operative, with DBS clearance (ER's 1.19.2)</t>
  </si>
  <si>
    <t>Contractor allowance for one day’s induction (ER's 1.19.4)</t>
  </si>
  <si>
    <t>Post Completion handy person(s) (ER's 1.19.7)</t>
  </si>
  <si>
    <t>Testing &amp; commissioning plan</t>
  </si>
  <si>
    <t>Contracts Manager</t>
  </si>
  <si>
    <t>Project Manager</t>
  </si>
  <si>
    <t>Site Manager</t>
  </si>
  <si>
    <t>Mechanical Manager</t>
  </si>
  <si>
    <t>Electrical Manager</t>
  </si>
  <si>
    <t>D&amp;B Co-ordinator</t>
  </si>
  <si>
    <t>Planner</t>
  </si>
  <si>
    <t>Managing Surveyor</t>
  </si>
  <si>
    <t xml:space="preserve">Defects Rectification Period Manager </t>
  </si>
  <si>
    <t xml:space="preserve">Post Completion Manager </t>
  </si>
  <si>
    <t>Quantity Surveyor</t>
  </si>
  <si>
    <t>Secretarial &amp; Admin</t>
  </si>
  <si>
    <t>Finishing Foreman</t>
  </si>
  <si>
    <t>Health and Safety Manager</t>
  </si>
  <si>
    <t>Setting Out Engineer</t>
  </si>
  <si>
    <t>Multi Service Gang</t>
  </si>
  <si>
    <t xml:space="preserve">Traffic Marshall </t>
  </si>
  <si>
    <t>Labourer</t>
  </si>
  <si>
    <t>Gate / Banksman</t>
  </si>
  <si>
    <t xml:space="preserve">Temporary Services &amp; Scaffolding </t>
  </si>
  <si>
    <t>Temporary water supply</t>
  </si>
  <si>
    <t>Connections</t>
  </si>
  <si>
    <t xml:space="preserve">Metering </t>
  </si>
  <si>
    <t>Disconnection</t>
  </si>
  <si>
    <t>Stand pipe etc</t>
  </si>
  <si>
    <t>Consumption allowance (contractor responsible for actual usage)</t>
  </si>
  <si>
    <t>Temporary gas supply</t>
  </si>
  <si>
    <t>Metering</t>
  </si>
  <si>
    <t>Consumption</t>
  </si>
  <si>
    <t>Temporary electric supply (inc. leads and transformers and all ancillary items for site wide distribution)</t>
  </si>
  <si>
    <t xml:space="preserve">Site Lighting external/internal </t>
  </si>
  <si>
    <t>IT set up</t>
  </si>
  <si>
    <t>Scaffolding (inclusive of hoists, training, protection panels, interlocks, ladders, supplies to hoists, boards and netting and all other allowances )</t>
  </si>
  <si>
    <t>Erecting</t>
  </si>
  <si>
    <t>Weekly hire cost</t>
  </si>
  <si>
    <t>Dismantle</t>
  </si>
  <si>
    <t xml:space="preserve">Adaptation allowance for duration of works </t>
  </si>
  <si>
    <t>Scaffold Alarm</t>
  </si>
  <si>
    <t xml:space="preserve">Scaffold testing, method statements and certificates </t>
  </si>
  <si>
    <t xml:space="preserve">Barriers and safety scaffolding </t>
  </si>
  <si>
    <t>Monoflex covering for scaffold for necessary duration of contractor programme.</t>
  </si>
  <si>
    <t xml:space="preserve">Security </t>
  </si>
  <si>
    <t>Security Staff</t>
  </si>
  <si>
    <t>Full time</t>
  </si>
  <si>
    <t>Part time</t>
  </si>
  <si>
    <t>Security equipment (could inc. additional lighting or CCTV/remote monitoring if applicable)</t>
  </si>
  <si>
    <t>Safety &amp; Environmental Protection</t>
  </si>
  <si>
    <t>Site Hoardings, fences and gates inclusive of access control including all licenses and fees, and graffiti removal for the duration of the project</t>
  </si>
  <si>
    <t>Pedestrian Walkways</t>
  </si>
  <si>
    <t>Safety Programme</t>
  </si>
  <si>
    <t xml:space="preserve">General site Waste Management including Skips/ recycling </t>
  </si>
  <si>
    <t>Health and Welfare maintenance/sundries (excluding accommodation/facilities)</t>
  </si>
  <si>
    <t xml:space="preserve">Barriers and safety installations </t>
  </si>
  <si>
    <t>Environmental protection measures</t>
  </si>
  <si>
    <t>Removing rubbish and cleaning on completion</t>
  </si>
  <si>
    <t>Drying the Works</t>
  </si>
  <si>
    <t>Protecting the Works from Inclement Weather</t>
  </si>
  <si>
    <t xml:space="preserve">Control and Protection </t>
  </si>
  <si>
    <t>Survey, inspections and monitoring (exc. Scaffolding)</t>
  </si>
  <si>
    <t>Tree root investigation pits</t>
  </si>
  <si>
    <t>Protection of works</t>
  </si>
  <si>
    <t xml:space="preserve">Fire Alarms </t>
  </si>
  <si>
    <t>Samples Provision (inc. panels) as required by ER's, Planners and Building Control/NHBC</t>
  </si>
  <si>
    <t>Environmental control of building</t>
  </si>
  <si>
    <t>Generally</t>
  </si>
  <si>
    <t>Tower Cranes (inc. set up and base costs)</t>
  </si>
  <si>
    <t>Oversailing agreements</t>
  </si>
  <si>
    <t>Mobile Cranes (inc. set up and base costs)</t>
  </si>
  <si>
    <t>Hoists (Extra over scaffold allowance)</t>
  </si>
  <si>
    <t>Access Plant</t>
  </si>
  <si>
    <t xml:space="preserve">Concrete Plant </t>
  </si>
  <si>
    <t>Other Plant (please state)</t>
  </si>
  <si>
    <t>Temporary Works (Contractor to state items )</t>
  </si>
  <si>
    <t>Cleaning of Site</t>
  </si>
  <si>
    <t>Removal of Rubbish</t>
  </si>
  <si>
    <t>Maintenance of roads, paths and paving's</t>
  </si>
  <si>
    <t>Building clean</t>
  </si>
  <si>
    <t>Sparkle Cleans 2 nr</t>
  </si>
  <si>
    <t>Post Completion additional Skip Allowance</t>
  </si>
  <si>
    <t xml:space="preserve">Fees and Charges </t>
  </si>
  <si>
    <t>Site Parking Provision inc. permits</t>
  </si>
  <si>
    <t>Other (please state)</t>
  </si>
  <si>
    <t>Insurance Bonds</t>
  </si>
  <si>
    <t>Work insurance</t>
  </si>
  <si>
    <t>Public liability insurance</t>
  </si>
  <si>
    <t>Employer's (main contractor's) liability insurance</t>
  </si>
  <si>
    <t>Considerate Contractor</t>
  </si>
  <si>
    <t>Non - Negligence Insurance</t>
  </si>
  <si>
    <t>Performance Bond for client</t>
  </si>
  <si>
    <t>Add costs only if not supplying PCG</t>
  </si>
  <si>
    <t>Guarantees inc. PCG</t>
  </si>
  <si>
    <t>Warranties</t>
  </si>
  <si>
    <t>Carried To Summary</t>
  </si>
  <si>
    <t>B - Cost Breakdown - Design and Development Costs</t>
  </si>
  <si>
    <t>Design Team Fees</t>
  </si>
  <si>
    <t xml:space="preserve">Architect </t>
  </si>
  <si>
    <t xml:space="preserve">Stage 4 - Technical Design </t>
  </si>
  <si>
    <t>Stage 5+ -  Manufacturing and Construction</t>
  </si>
  <si>
    <t>Structural Engineer</t>
  </si>
  <si>
    <t>Mechanical and Electrical</t>
  </si>
  <si>
    <t>Stage 5 - Manufacturing and Construction</t>
  </si>
  <si>
    <t>Stage 6 - Handover</t>
  </si>
  <si>
    <t>Stage 7 - Use</t>
  </si>
  <si>
    <t>Landscape Architect</t>
  </si>
  <si>
    <t>Other Designers - please specify</t>
  </si>
  <si>
    <t>Fire Engineer</t>
  </si>
  <si>
    <t>SAP assessor / incl. SAP, PEA &amp; EPC certificates</t>
  </si>
  <si>
    <t>Local &amp;Statutory Authority Costs</t>
  </si>
  <si>
    <t>Planning Conditions</t>
  </si>
  <si>
    <t>Building Control</t>
  </si>
  <si>
    <t>Adoptable Works</t>
  </si>
  <si>
    <t>Water Authority</t>
  </si>
  <si>
    <t>UKPN</t>
  </si>
  <si>
    <t xml:space="preserve">Gas </t>
  </si>
  <si>
    <t>Highways inc. bonds</t>
  </si>
  <si>
    <t xml:space="preserve">Section 106 </t>
  </si>
  <si>
    <t xml:space="preserve">Section 104 </t>
  </si>
  <si>
    <t>All other Local Authority cost:</t>
  </si>
  <si>
    <t>Site Surveys</t>
  </si>
  <si>
    <t>Ground Investigations</t>
  </si>
  <si>
    <t>Topographical</t>
  </si>
  <si>
    <t>Asbestos</t>
  </si>
  <si>
    <t>Ecological</t>
  </si>
  <si>
    <t>Vibration &amp; Noise Monitoring</t>
  </si>
  <si>
    <t>Certification</t>
  </si>
  <si>
    <t>Energy Performance Certificates</t>
  </si>
  <si>
    <t>Sound Tests</t>
  </si>
  <si>
    <t>Air Tightness</t>
  </si>
  <si>
    <t>RoSPA</t>
  </si>
  <si>
    <t>Carried Forward</t>
  </si>
  <si>
    <t>Brought Forward</t>
  </si>
  <si>
    <t>Insurances</t>
  </si>
  <si>
    <t>Professional Indemnity</t>
  </si>
  <si>
    <t>Defects Insurance</t>
  </si>
  <si>
    <t xml:space="preserve">NHBC </t>
  </si>
  <si>
    <t>Others</t>
  </si>
  <si>
    <t>Party Wall</t>
  </si>
  <si>
    <t>All other Design and Development Costs required for the works</t>
  </si>
  <si>
    <t xml:space="preserve">Other Neighbourly </t>
  </si>
  <si>
    <t>CSC</t>
  </si>
  <si>
    <t xml:space="preserve">Crane oversail </t>
  </si>
  <si>
    <t>Other Design and Development Costs - please specify below:</t>
  </si>
  <si>
    <t>C - Cost Breakdown - Demolitions and Site Clearance</t>
  </si>
  <si>
    <t>Demolition of structures on site</t>
  </si>
  <si>
    <t>Site Clearance</t>
  </si>
  <si>
    <t>Remediation of contaminated earth</t>
  </si>
  <si>
    <t>Excavation and levelling</t>
  </si>
  <si>
    <t>All other demolitions and site clearance required for the works</t>
  </si>
  <si>
    <t>Temporary works for demolition and site clearance</t>
  </si>
  <si>
    <t>All other demolition works - Please specify below:</t>
  </si>
  <si>
    <t>D1 - BUILDING: BLOCK N1</t>
  </si>
  <si>
    <t>Elemental Total</t>
  </si>
  <si>
    <t xml:space="preserve">To Cost Summary </t>
  </si>
  <si>
    <t>Substructure</t>
  </si>
  <si>
    <t>Excavation works</t>
  </si>
  <si>
    <t>Standard foundations</t>
  </si>
  <si>
    <t>Specialist foundations (piling mat, pile caps, pilling, etc.)</t>
  </si>
  <si>
    <t>Ground beams</t>
  </si>
  <si>
    <t>Retaining walls</t>
  </si>
  <si>
    <t>Ground floor slab</t>
  </si>
  <si>
    <t>Insulation</t>
  </si>
  <si>
    <t>All other substructure items and matters (please specify below):</t>
  </si>
  <si>
    <t>Lift pits</t>
  </si>
  <si>
    <t>Substructure Sub-Total</t>
  </si>
  <si>
    <t>Superstructure</t>
  </si>
  <si>
    <t xml:space="preserve">Frame </t>
  </si>
  <si>
    <t>2.1.2</t>
  </si>
  <si>
    <t>2.1.3</t>
  </si>
  <si>
    <t>2.1.4</t>
  </si>
  <si>
    <t>Upper Floors</t>
  </si>
  <si>
    <t>2.2.1</t>
  </si>
  <si>
    <t>Concrete Floors</t>
  </si>
  <si>
    <t>2.2.2</t>
  </si>
  <si>
    <t>Balconies</t>
  </si>
  <si>
    <t>2.2.3</t>
  </si>
  <si>
    <t>Drainage to balconies</t>
  </si>
  <si>
    <t>Roof</t>
  </si>
  <si>
    <t>2.3.1</t>
  </si>
  <si>
    <t xml:space="preserve">Roof structure </t>
  </si>
  <si>
    <t>2.3.2</t>
  </si>
  <si>
    <t xml:space="preserve">Roof coverings </t>
  </si>
  <si>
    <t>2.3.3</t>
  </si>
  <si>
    <t>2.3.4</t>
  </si>
  <si>
    <t>Roof drainage &amp; All Rwg (Inc. Downpipes)</t>
  </si>
  <si>
    <t>2.3.5</t>
  </si>
  <si>
    <t>Mansafe system</t>
  </si>
  <si>
    <t>2.3.6</t>
  </si>
  <si>
    <t>Extra over for green roof</t>
  </si>
  <si>
    <t>Stairs &amp; ramps</t>
  </si>
  <si>
    <t>2.4.1</t>
  </si>
  <si>
    <t>Stairs &amp; ramps structures</t>
  </si>
  <si>
    <t>2.4.2</t>
  </si>
  <si>
    <t>Stairs &amp; ramps finishes</t>
  </si>
  <si>
    <t>2.4.3</t>
  </si>
  <si>
    <t xml:space="preserve">Stairs &amp; ramps balustrades and handrails </t>
  </si>
  <si>
    <t>External Walls</t>
  </si>
  <si>
    <t>2.5.1</t>
  </si>
  <si>
    <t>External Enclosing Walls above ground level</t>
  </si>
  <si>
    <t>2.5.2</t>
  </si>
  <si>
    <t>2.5.3</t>
  </si>
  <si>
    <t>Brick support to walls</t>
  </si>
  <si>
    <t>2.5.4</t>
  </si>
  <si>
    <t xml:space="preserve">Extra for façade embellishments (Raised brick bond detail; Perforated brick bond detail; etc..) </t>
  </si>
  <si>
    <t>2.5.5</t>
  </si>
  <si>
    <t>Concrete coping</t>
  </si>
  <si>
    <t>2.5.6</t>
  </si>
  <si>
    <t>Precast elements</t>
  </si>
  <si>
    <t>2.5.7</t>
  </si>
  <si>
    <t>Canopy - white concrete finish</t>
  </si>
  <si>
    <t>2.5.8</t>
  </si>
  <si>
    <t>Balustrades to balconies and walkways:</t>
  </si>
  <si>
    <t>2.5.8.1</t>
  </si>
  <si>
    <t>Finishings, decking inc. insulation and thermal breaks cast to upper floor slabs</t>
  </si>
  <si>
    <t>2.5.8.2</t>
  </si>
  <si>
    <t>Metal balustrades to balconies - 0.78m</t>
  </si>
  <si>
    <t>2.5.8.3</t>
  </si>
  <si>
    <t>Metal balustrades to balconies - 0.28m</t>
  </si>
  <si>
    <t>2.5.8.4</t>
  </si>
  <si>
    <t xml:space="preserve">Brick wall to balconies </t>
  </si>
  <si>
    <t>Window and external doors</t>
  </si>
  <si>
    <t>2.6.1</t>
  </si>
  <si>
    <t>External windows</t>
  </si>
  <si>
    <t>2.6.1.1</t>
  </si>
  <si>
    <t>Triple glazed aluminium composite windows</t>
  </si>
  <si>
    <t>2.6.1.2</t>
  </si>
  <si>
    <t>Metal shutters</t>
  </si>
  <si>
    <t>2.6.2</t>
  </si>
  <si>
    <t xml:space="preserve">External doors </t>
  </si>
  <si>
    <t>2.6.2.1</t>
  </si>
  <si>
    <t>External doors to apartments</t>
  </si>
  <si>
    <t>2.6.2.2</t>
  </si>
  <si>
    <t>Metal doors -  Louvre over panel</t>
  </si>
  <si>
    <t>2.6.2.3</t>
  </si>
  <si>
    <t>Balcony door shutters</t>
  </si>
  <si>
    <t>2.6.2.4</t>
  </si>
  <si>
    <t>Double doors</t>
  </si>
  <si>
    <t>2.6.2.5</t>
  </si>
  <si>
    <t>Single doors</t>
  </si>
  <si>
    <t>Internal Walls and Partitions</t>
  </si>
  <si>
    <t>2.7.1</t>
  </si>
  <si>
    <t>Walls and Partitions - Party Walls and Communal Walls</t>
  </si>
  <si>
    <t>2.7.2</t>
  </si>
  <si>
    <t>Walls and Partitions - Partitions</t>
  </si>
  <si>
    <t>Internal Doors</t>
  </si>
  <si>
    <t>2.8.1</t>
  </si>
  <si>
    <t>Internal Doors - Fire Rated</t>
  </si>
  <si>
    <t>2.8.2</t>
  </si>
  <si>
    <t>Internal Doors - Non Fire Rated</t>
  </si>
  <si>
    <t>2.8.3</t>
  </si>
  <si>
    <t>Riser/cupboard doors</t>
  </si>
  <si>
    <t>2.8.4</t>
  </si>
  <si>
    <t>All other doors (please specify):</t>
  </si>
  <si>
    <t>All other superstructure items and matters (please specify below):</t>
  </si>
  <si>
    <t>Superstructure Sub-Total</t>
  </si>
  <si>
    <t>Internal Finishes</t>
  </si>
  <si>
    <t>Wall Finishes</t>
  </si>
  <si>
    <t>3.1.1</t>
  </si>
  <si>
    <t xml:space="preserve">Plaster and paint </t>
  </si>
  <si>
    <t>3.1.2</t>
  </si>
  <si>
    <t xml:space="preserve">Tiling </t>
  </si>
  <si>
    <t>Floor Finishes</t>
  </si>
  <si>
    <t>3.2.1</t>
  </si>
  <si>
    <t>Cement and sand screed</t>
  </si>
  <si>
    <t>3.2.2</t>
  </si>
  <si>
    <t>Carpet</t>
  </si>
  <si>
    <t>3.2.3</t>
  </si>
  <si>
    <t>Skirtings</t>
  </si>
  <si>
    <t>3.2.4</t>
  </si>
  <si>
    <t>Vinyl</t>
  </si>
  <si>
    <t>3.2.5</t>
  </si>
  <si>
    <t>Paint to refuse stores/plant room</t>
  </si>
  <si>
    <t>3.2.6</t>
  </si>
  <si>
    <t>Matwell</t>
  </si>
  <si>
    <t>3.2.7</t>
  </si>
  <si>
    <t>Porcelain tiles</t>
  </si>
  <si>
    <t>Ceiling Finishes</t>
  </si>
  <si>
    <t>3.3.1</t>
  </si>
  <si>
    <t xml:space="preserve">Plasterboard and paint </t>
  </si>
  <si>
    <t>3.3.2</t>
  </si>
  <si>
    <t xml:space="preserve">Firestopping </t>
  </si>
  <si>
    <t>All other internal finishes items and matters (please specify below):</t>
  </si>
  <si>
    <t>Finishes Sub-Total</t>
  </si>
  <si>
    <t>Fittings and Furnishings</t>
  </si>
  <si>
    <t>Fittings, Furnishings and Equipment</t>
  </si>
  <si>
    <t>4.1.1</t>
  </si>
  <si>
    <t>General FF&amp;E</t>
  </si>
  <si>
    <t>4.1.1.1</t>
  </si>
  <si>
    <t>Bathroom fittings: mirrors, WC roll holder, towel rails, bathroom cabinets etc</t>
  </si>
  <si>
    <t>4.1.2</t>
  </si>
  <si>
    <t>Domestic Kitchen fittings and equipment</t>
  </si>
  <si>
    <t>4.1.3</t>
  </si>
  <si>
    <t>Special Purpose fittings, furnishings and Equipment</t>
  </si>
  <si>
    <t>Signs &amp; notices</t>
  </si>
  <si>
    <t>All other FF&amp;E items and matters (Please specify below):</t>
  </si>
  <si>
    <t>White goods; mid spec (fridge freezer, built in oven, hob, extractor)</t>
  </si>
  <si>
    <t xml:space="preserve">Wheelchair unit uplift </t>
  </si>
  <si>
    <t>Post-boxes</t>
  </si>
  <si>
    <t>Wall mounted notice board</t>
  </si>
  <si>
    <t>Fittings and Furnishings Sub-Total</t>
  </si>
  <si>
    <t>Services</t>
  </si>
  <si>
    <t>Sanitary installations</t>
  </si>
  <si>
    <t>5.1.1</t>
  </si>
  <si>
    <t>Sanitary appliances</t>
  </si>
  <si>
    <t>5.1.2</t>
  </si>
  <si>
    <t>Sanitary ancillaries</t>
  </si>
  <si>
    <t>Services equipment</t>
  </si>
  <si>
    <t>Disposal installations</t>
  </si>
  <si>
    <t>5.3.1</t>
  </si>
  <si>
    <t>Foul drainage above ground</t>
  </si>
  <si>
    <t>5.3.2</t>
  </si>
  <si>
    <t>Refuse disposal</t>
  </si>
  <si>
    <t>Water installations</t>
  </si>
  <si>
    <t>5.4.1</t>
  </si>
  <si>
    <t xml:space="preserve">Hot and cold water installation </t>
  </si>
  <si>
    <t>5.4.2</t>
  </si>
  <si>
    <t>Hydraulic Interface Units (HIU) to dwellings</t>
  </si>
  <si>
    <t>Heat Source</t>
  </si>
  <si>
    <t>5.5.1</t>
  </si>
  <si>
    <t>Energy centre - complete plant works</t>
  </si>
  <si>
    <t>Distribution from energy centre to dwellings</t>
  </si>
  <si>
    <t>Exhaust Air Heat Pump (EAHP)</t>
  </si>
  <si>
    <t>Space heating and air conditioning</t>
  </si>
  <si>
    <t>5.6.1</t>
  </si>
  <si>
    <t>Space heating installation to dwellings</t>
  </si>
  <si>
    <t>5.6.2</t>
  </si>
  <si>
    <t>Space heating installation to other areas</t>
  </si>
  <si>
    <t>Ventilation System</t>
  </si>
  <si>
    <t>5.7.1</t>
  </si>
  <si>
    <t>Mechanical Ventilation with Heat Recovery system</t>
  </si>
  <si>
    <t>5.7.2</t>
  </si>
  <si>
    <t xml:space="preserve">Smoke Extract </t>
  </si>
  <si>
    <t>Electrical Installations</t>
  </si>
  <si>
    <t>5.8.1</t>
  </si>
  <si>
    <t>Electric Mains &amp; Sub Mains Distribution, including Sub station</t>
  </si>
  <si>
    <t>1st fix</t>
  </si>
  <si>
    <t>2nd fix</t>
  </si>
  <si>
    <t>5.8.2</t>
  </si>
  <si>
    <t>Power Installations</t>
  </si>
  <si>
    <t>5.8.3</t>
  </si>
  <si>
    <t>Lighting Installations</t>
  </si>
  <si>
    <t>5.8.4</t>
  </si>
  <si>
    <t>Specialist Lighting Installations</t>
  </si>
  <si>
    <t>5.8.5</t>
  </si>
  <si>
    <t>Local Energy Generation Systems - Transformation Devices: Photovoltaics</t>
  </si>
  <si>
    <t>5.8.6</t>
  </si>
  <si>
    <t>Earthing &amp; Bonding Systems</t>
  </si>
  <si>
    <t>Fuel Installations</t>
  </si>
  <si>
    <t>5.9.1</t>
  </si>
  <si>
    <t xml:space="preserve">Gas boilers </t>
  </si>
  <si>
    <t>Lift Installations</t>
  </si>
  <si>
    <t>Fire and Lightning Protection</t>
  </si>
  <si>
    <t>5.11.1</t>
  </si>
  <si>
    <t>Sprinkler System</t>
  </si>
  <si>
    <t>5.11.2</t>
  </si>
  <si>
    <t>Fire alarm Installation</t>
  </si>
  <si>
    <t>5.11.3</t>
  </si>
  <si>
    <t>Smoke detection</t>
  </si>
  <si>
    <t>5.11.4</t>
  </si>
  <si>
    <t>Dry riser</t>
  </si>
  <si>
    <t>5.11.5</t>
  </si>
  <si>
    <t>Lightning protection</t>
  </si>
  <si>
    <t>Communication , Security and Control Systems</t>
  </si>
  <si>
    <t>5.12.1</t>
  </si>
  <si>
    <t>Telephone and broadband installation</t>
  </si>
  <si>
    <t>5.12.2</t>
  </si>
  <si>
    <t>Communal satellite installation</t>
  </si>
  <si>
    <t>5.12.3</t>
  </si>
  <si>
    <t>Door Entry systems</t>
  </si>
  <si>
    <t>5.12.4</t>
  </si>
  <si>
    <t xml:space="preserve">CCTV installation </t>
  </si>
  <si>
    <t>5.12.5</t>
  </si>
  <si>
    <t>BMS Installation</t>
  </si>
  <si>
    <t>Specialist Installations (please specify below):</t>
  </si>
  <si>
    <t xml:space="preserve">Photovoltaics panels </t>
  </si>
  <si>
    <t>Builder's Work in Connection with Services</t>
  </si>
  <si>
    <t>5.14.1</t>
  </si>
  <si>
    <t>Builders Work In Connection With Services</t>
  </si>
  <si>
    <t>5.14.2</t>
  </si>
  <si>
    <t>Testing And Commissioning Of Services</t>
  </si>
  <si>
    <t>All other services items and matters (Please specify below):</t>
  </si>
  <si>
    <t>Services Sub-Total</t>
  </si>
  <si>
    <t>D2 - BUILDING: BLOCK N7</t>
  </si>
  <si>
    <t>2.1.1</t>
  </si>
  <si>
    <t>Steel frame</t>
  </si>
  <si>
    <t>2.1.1.1</t>
  </si>
  <si>
    <t>Structural steel frame</t>
  </si>
  <si>
    <t>2.1.1.2</t>
  </si>
  <si>
    <t>Fire protection to steel frame</t>
  </si>
  <si>
    <t>Hollocore precast floor</t>
  </si>
  <si>
    <t>2.4.4</t>
  </si>
  <si>
    <t>Soffits</t>
  </si>
  <si>
    <t>2.4.5</t>
  </si>
  <si>
    <t>Demolition of existing staircase</t>
  </si>
  <si>
    <t>2.4.6</t>
  </si>
  <si>
    <t>Making good removal areas on existing building</t>
  </si>
  <si>
    <t>Precast concrete strip</t>
  </si>
  <si>
    <t>215mm Brick wall</t>
  </si>
  <si>
    <t>Private Balconies, terraces, staircase</t>
  </si>
  <si>
    <t>Balcony - Hollocore precast floor 150mm include finishings, decking inc. insulation and thermal breaks cast to upper floor slabs</t>
  </si>
  <si>
    <t xml:space="preserve">Metal open balustrades to balconies and terraces </t>
  </si>
  <si>
    <t>Staircase Canopy</t>
  </si>
  <si>
    <t xml:space="preserve">Steel balustrades - refuse area </t>
  </si>
  <si>
    <t>2.6.2.6</t>
  </si>
  <si>
    <t>Riser doors</t>
  </si>
  <si>
    <t>5.5.2</t>
  </si>
  <si>
    <t>5.5.3</t>
  </si>
  <si>
    <t>5.13.1</t>
  </si>
  <si>
    <t>Refurbishment Works</t>
  </si>
  <si>
    <t>Community Clubroom</t>
  </si>
  <si>
    <t>Remove razor wire.</t>
  </si>
  <si>
    <t>All front, rear and some upper windows all need to be replaced (high security and controlled/restricted opening), with high quality toughened/laminated and high efficient double glazed units.</t>
  </si>
  <si>
    <t>Fanlight windows to be bricked up.</t>
  </si>
  <si>
    <t xml:space="preserve">Remove and replace the existing plain main entrance security door and surround should be replaced with high security door entrance door. </t>
  </si>
  <si>
    <t>Replacment of street lighting.</t>
  </si>
  <si>
    <t>D3 - External Works to New Development</t>
  </si>
  <si>
    <t>Pricing notes on external works</t>
  </si>
  <si>
    <t xml:space="preserve"> - Tenders are required to price all individual items listed below</t>
  </si>
  <si>
    <t>Site Preparation Works</t>
  </si>
  <si>
    <t>8.1.1</t>
  </si>
  <si>
    <t>Site clearance</t>
  </si>
  <si>
    <t>8.1.2</t>
  </si>
  <si>
    <t>8.1.3</t>
  </si>
  <si>
    <t>Tree removal</t>
  </si>
  <si>
    <t>8.1.4</t>
  </si>
  <si>
    <t>Trees protection</t>
  </si>
  <si>
    <t>8.1.5</t>
  </si>
  <si>
    <t>Minor demolition works</t>
  </si>
  <si>
    <t>Remove existing infill brick wall</t>
  </si>
  <si>
    <t>Remove existing play equipment and set aside for reuse.</t>
  </si>
  <si>
    <t xml:space="preserve">Remove BT telephone box, existing railings </t>
  </si>
  <si>
    <t>Roads, Paths, Pavings and Surfacing</t>
  </si>
  <si>
    <t>8.2.1</t>
  </si>
  <si>
    <t>8.2.2</t>
  </si>
  <si>
    <t>8.2.3</t>
  </si>
  <si>
    <t>P02b Permeable coloured asphalt</t>
  </si>
  <si>
    <t>8.2.4</t>
  </si>
  <si>
    <t>Resurface new road - remove existing &amp; resurface</t>
  </si>
  <si>
    <t>8.2.5</t>
  </si>
  <si>
    <t>P04 Wet pour play safety surface</t>
  </si>
  <si>
    <t>8.2.6</t>
  </si>
  <si>
    <t>P03 Playground surface - Break up existing surface</t>
  </si>
  <si>
    <t>8.2.7</t>
  </si>
  <si>
    <t>P03 Upgraded MUGA surface</t>
  </si>
  <si>
    <t>8.2.8</t>
  </si>
  <si>
    <t>Painting existing Muga</t>
  </si>
  <si>
    <t>8.2.9</t>
  </si>
  <si>
    <t>8.2.10</t>
  </si>
  <si>
    <t>Zebra crossing allowance</t>
  </si>
  <si>
    <t>8.2.11</t>
  </si>
  <si>
    <t>New footpath</t>
  </si>
  <si>
    <t>8.2.12</t>
  </si>
  <si>
    <t>Car Parking</t>
  </si>
  <si>
    <t>Soft Landscaping, Planting and Irrigation Systems</t>
  </si>
  <si>
    <t>8.3.1</t>
  </si>
  <si>
    <t>PL01 Defensible buffer planting</t>
  </si>
  <si>
    <t>8.3.2</t>
  </si>
  <si>
    <t>PL02 - Suds Planting</t>
  </si>
  <si>
    <t>8.3.3</t>
  </si>
  <si>
    <t>PL03 Boundary Planting</t>
  </si>
  <si>
    <t>8.3.4</t>
  </si>
  <si>
    <t>PL04 Amenity Grass</t>
  </si>
  <si>
    <t>8.3.5</t>
  </si>
  <si>
    <t>PL05 Vertical greening</t>
  </si>
  <si>
    <t>8.3.6</t>
  </si>
  <si>
    <t>EO raingarden planting for SUDS</t>
  </si>
  <si>
    <t>8.3.7</t>
  </si>
  <si>
    <t>Existing trees to prune</t>
  </si>
  <si>
    <t>8.3.8</t>
  </si>
  <si>
    <t>New proposed trees ,18-20cm girth</t>
  </si>
  <si>
    <t>8.3.9</t>
  </si>
  <si>
    <t xml:space="preserve">New proposed trees, 12-14cm girth </t>
  </si>
  <si>
    <t>Fencing, Railings and Walls</t>
  </si>
  <si>
    <t>8.4.1</t>
  </si>
  <si>
    <t>Steel fencing 2.1m</t>
  </si>
  <si>
    <t>8.4.2</t>
  </si>
  <si>
    <t>Steel Gate - double fob access</t>
  </si>
  <si>
    <t>8.4.3</t>
  </si>
  <si>
    <t>Steel Gate - single fob access</t>
  </si>
  <si>
    <t>8.4.4</t>
  </si>
  <si>
    <t>Railing - 900mm</t>
  </si>
  <si>
    <t>8.4.5</t>
  </si>
  <si>
    <t>Timber fence repairs</t>
  </si>
  <si>
    <t>8.4.6</t>
  </si>
  <si>
    <t>Brick boundary wall - 900mm Protection guard rail - N1</t>
  </si>
  <si>
    <t>8.4.7</t>
  </si>
  <si>
    <t>Brick boundary wall - 1100mm</t>
  </si>
  <si>
    <t>8.4.8</t>
  </si>
  <si>
    <t>Railing to new play areas</t>
  </si>
  <si>
    <t>8.4.9</t>
  </si>
  <si>
    <t xml:space="preserve">Railing reuse existing play area </t>
  </si>
  <si>
    <t>8.4.10</t>
  </si>
  <si>
    <t>Muga Fence repairs</t>
  </si>
  <si>
    <t>8.4.11</t>
  </si>
  <si>
    <t>Gates to private terraces</t>
  </si>
  <si>
    <t>8.4.12</t>
  </si>
  <si>
    <t>Single gates</t>
  </si>
  <si>
    <t>External Fixtures</t>
  </si>
  <si>
    <t>8.5.1</t>
  </si>
  <si>
    <t>Cycle Racks</t>
  </si>
  <si>
    <t>8.5.2</t>
  </si>
  <si>
    <t>Play Equipment</t>
  </si>
  <si>
    <t>8.5.2.1</t>
  </si>
  <si>
    <t>NRO115: Kompan snail springer</t>
  </si>
  <si>
    <t>8.5.4</t>
  </si>
  <si>
    <t>NRO118: Kompan bee springer</t>
  </si>
  <si>
    <t>8.5.5</t>
  </si>
  <si>
    <t>NRO906: Kompan bird nest swing</t>
  </si>
  <si>
    <t>8.5.6</t>
  </si>
  <si>
    <t>PCM157: Kompan wheelchair carousel</t>
  </si>
  <si>
    <t>8.5.7</t>
  </si>
  <si>
    <t>NRC200201: Kompan spellbound shack</t>
  </si>
  <si>
    <t>8.5.8</t>
  </si>
  <si>
    <t>NRO827: Kompan Balance Beam on Springs</t>
  </si>
  <si>
    <t>8.5.9</t>
  </si>
  <si>
    <t>NRO826: Kompan Crawling Pyramid</t>
  </si>
  <si>
    <t>8.5.10</t>
  </si>
  <si>
    <t>NRO813: Kompan Climbing Net</t>
  </si>
  <si>
    <t>8.5.11</t>
  </si>
  <si>
    <t>NRO810: Kompan Wobble Bridge</t>
  </si>
  <si>
    <t>8.5.12</t>
  </si>
  <si>
    <t>Large litter bins</t>
  </si>
  <si>
    <t>8.5.13</t>
  </si>
  <si>
    <t xml:space="preserve">Bat boxes </t>
  </si>
  <si>
    <t>8.5.14</t>
  </si>
  <si>
    <t>Bird nest boxes</t>
  </si>
  <si>
    <t>8.5.15</t>
  </si>
  <si>
    <t xml:space="preserve">Insect nest boxes </t>
  </si>
  <si>
    <t>8.5.16</t>
  </si>
  <si>
    <t>Other site, street furniture and equipment:</t>
  </si>
  <si>
    <t>External Drainage</t>
  </si>
  <si>
    <t>8.6.2</t>
  </si>
  <si>
    <t>Inlet and Outlet baskets</t>
  </si>
  <si>
    <t>8.6.4</t>
  </si>
  <si>
    <t>Foul water drainage</t>
  </si>
  <si>
    <t>8.6.5</t>
  </si>
  <si>
    <t>Surface water drainage</t>
  </si>
  <si>
    <t>8.6.6</t>
  </si>
  <si>
    <t>Combined waste</t>
  </si>
  <si>
    <t>8.6.7</t>
  </si>
  <si>
    <t>Gullies</t>
  </si>
  <si>
    <t>8.6.8</t>
  </si>
  <si>
    <t>Manholes</t>
  </si>
  <si>
    <t>8.6.9</t>
  </si>
  <si>
    <t>Attenuation tank</t>
  </si>
  <si>
    <t>8.6.10</t>
  </si>
  <si>
    <t>Sewer divergence</t>
  </si>
  <si>
    <t>External Services</t>
  </si>
  <si>
    <t>8.7.1</t>
  </si>
  <si>
    <t>Lamppost relocation - N7</t>
  </si>
  <si>
    <t>8.7.2</t>
  </si>
  <si>
    <t>Holophane 'S-LINE' lamppost - EX 4</t>
  </si>
  <si>
    <t>8.7.3</t>
  </si>
  <si>
    <t>Bollards - N1 (EX3 Thorlux pass away)</t>
  </si>
  <si>
    <t>8.7.4</t>
  </si>
  <si>
    <t>Bollards - N7 (EX3 Thorlux pass away)</t>
  </si>
  <si>
    <t>8.7.5</t>
  </si>
  <si>
    <t xml:space="preserve">New connection to unit </t>
  </si>
  <si>
    <t>8.7.6</t>
  </si>
  <si>
    <t>New connection to unit - Landlord supply</t>
  </si>
  <si>
    <t>8.7.7</t>
  </si>
  <si>
    <t>Electrical vehicles charger points - passive</t>
  </si>
  <si>
    <t>8.7.8</t>
  </si>
  <si>
    <t>Electrical vehicles charger points - active</t>
  </si>
  <si>
    <t>8.7.9</t>
  </si>
  <si>
    <t>Service divergence</t>
  </si>
  <si>
    <t>8.7.10</t>
  </si>
  <si>
    <t>Main connection - water, electric etc.</t>
  </si>
  <si>
    <t>8.7.11</t>
  </si>
  <si>
    <t>Relocation and adjustment of existing services to existing build</t>
  </si>
  <si>
    <t>Minor Building works and ancillary buildings</t>
  </si>
  <si>
    <t>8.8.1</t>
  </si>
  <si>
    <t>8.8.2</t>
  </si>
  <si>
    <t>Cycle Stores - with green roof</t>
  </si>
  <si>
    <t>8.8.3</t>
  </si>
  <si>
    <t>F04 New bin stores - clear signage and green roof</t>
  </si>
  <si>
    <t>8.8.4</t>
  </si>
  <si>
    <t>Storage units</t>
  </si>
  <si>
    <t>8.8.5</t>
  </si>
  <si>
    <t>Extra over green roof - storage units</t>
  </si>
  <si>
    <t>All other external works items and matters (please specify below):</t>
  </si>
  <si>
    <t>E - Cost Breakdown - Contractor's Proposals</t>
  </si>
  <si>
    <t xml:space="preserve">CONTRACTOR'S PROPOSALS </t>
  </si>
  <si>
    <t>The Contractor is to list below:-</t>
  </si>
  <si>
    <t>Any other costs attributable to any items of work not specifically identified within the Contract Sum Analysis but included by the Contractor in his tender</t>
  </si>
  <si>
    <t>Any items included by the Contractor which are in addition to or deviate from the Employer's Requirements</t>
  </si>
  <si>
    <t>Please provide breakdown itemised items below (to be insert by the contractor):</t>
  </si>
  <si>
    <t>F - Cost Breakdown - Works outside the boundary of the site</t>
  </si>
  <si>
    <t xml:space="preserve">WORKS OUTSIDE THE BOUNDARY OF THE SITE </t>
  </si>
  <si>
    <t>Please refer to the following tender documents for guidelines on pricing:</t>
  </si>
  <si>
    <t>G - Cost Breakdown - Aftercare</t>
  </si>
  <si>
    <t>AFTERCARE - 24 MONTHS DEFECTS</t>
  </si>
  <si>
    <t>General</t>
  </si>
  <si>
    <t>Soft Landscaping</t>
  </si>
  <si>
    <t>Green &amp; Brown roofs</t>
  </si>
  <si>
    <t>Roof access &amp; mansafe systems</t>
  </si>
  <si>
    <t>Lifts</t>
  </si>
  <si>
    <t>M+E</t>
  </si>
  <si>
    <t>Plant Equipment</t>
  </si>
  <si>
    <t>Water storage &amp; Booster Tanks</t>
  </si>
  <si>
    <t>IRS System</t>
  </si>
  <si>
    <t>PVs</t>
  </si>
  <si>
    <t>ASHPs</t>
  </si>
  <si>
    <t>AOVs</t>
  </si>
  <si>
    <t>Fire Alarm System</t>
  </si>
  <si>
    <t>Door Entry System</t>
  </si>
  <si>
    <t>CCTV System</t>
  </si>
  <si>
    <t>Out of Hours Emergency Defects Team</t>
  </si>
  <si>
    <t>Please list below any other items that the contractor deems necessary:</t>
  </si>
  <si>
    <t>M - Alternative Costs</t>
  </si>
  <si>
    <t>Please provide your cost proposals for the alternative items below:</t>
  </si>
  <si>
    <t>Parent Company Guarantee (PCG)</t>
  </si>
  <si>
    <t>Not Applicable</t>
  </si>
  <si>
    <t>NORDAN manufacturer</t>
  </si>
  <si>
    <t>Cost</t>
  </si>
  <si>
    <t>Rate to be used</t>
  </si>
  <si>
    <t>Project Duration</t>
  </si>
  <si>
    <t>Rate Per day</t>
  </si>
  <si>
    <t>Days</t>
  </si>
  <si>
    <t>Managed by CCTV</t>
  </si>
  <si>
    <t>included within OHP</t>
  </si>
  <si>
    <t>based on 1 visit per week</t>
  </si>
  <si>
    <t xml:space="preserve"> hours</t>
  </si>
  <si>
    <t>walkie talkies/gate huts</t>
  </si>
  <si>
    <t>subcontract cost</t>
  </si>
  <si>
    <t>To be advised by Contractor</t>
  </si>
  <si>
    <t>inc</t>
  </si>
  <si>
    <t>Reinforced In-situ Concrete</t>
  </si>
  <si>
    <t>Formwork for Reinforced In-situ Concrete</t>
  </si>
  <si>
    <t>Reinforcement</t>
  </si>
  <si>
    <t>Concrete surface finishes</t>
  </si>
  <si>
    <t>2.1.5</t>
  </si>
  <si>
    <t>2.1.6</t>
  </si>
  <si>
    <t>2.1.7</t>
  </si>
  <si>
    <t>2.1.8</t>
  </si>
  <si>
    <t>Forming holes (Diameter NE 150mm)</t>
  </si>
  <si>
    <t>Concrete frames - Ground Floor</t>
  </si>
  <si>
    <t>Concrete frames - First Floor</t>
  </si>
  <si>
    <t>Steel Structure</t>
  </si>
  <si>
    <t>Sundries</t>
  </si>
  <si>
    <t>Concrete frames - Second Floor</t>
  </si>
  <si>
    <t>Concrete frames - Third Floor</t>
  </si>
  <si>
    <t>Concrete frames - Forth Floor</t>
  </si>
  <si>
    <t>Concrete frames - Roof Floor</t>
  </si>
  <si>
    <t xml:space="preserve">*Leci havent allowed for the forming of stairs, we will have to get a price for pre cast 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</si>
  <si>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</si>
  <si>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</si>
  <si>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</si>
  <si>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</si>
  <si>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</si>
  <si>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</si>
  <si>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</si>
  <si>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</si>
  <si>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</si>
  <si>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</si>
  <si>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</si>
  <si>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</si>
  <si>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</si>
  <si>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</si>
  <si>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</si>
  <si>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</si>
  <si>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</si>
  <si>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2.1.26</t>
  </si>
  <si>
    <t>2.1.27</t>
  </si>
  <si>
    <t>2.1.28</t>
  </si>
  <si>
    <t>2.1.29</t>
  </si>
  <si>
    <t>2.1.30</t>
  </si>
  <si>
    <t>2.1.31</t>
  </si>
  <si>
    <t>2.1.32</t>
  </si>
  <si>
    <t>2.1.33</t>
  </si>
  <si>
    <t>2.1.34</t>
  </si>
  <si>
    <t>2.1.35</t>
  </si>
  <si>
    <t>2.1.36</t>
  </si>
  <si>
    <t>Sundry works</t>
  </si>
  <si>
    <t>Ground beams &amp; ground floor slab</t>
  </si>
  <si>
    <t>8.3.10</t>
  </si>
  <si>
    <t>8.3.11</t>
  </si>
  <si>
    <t>8.3.12</t>
  </si>
  <si>
    <t>8.3.13</t>
  </si>
  <si>
    <t xml:space="preserve">Bin store slabs </t>
  </si>
  <si>
    <t>8.9.1</t>
  </si>
  <si>
    <t>8.4.13</t>
  </si>
  <si>
    <t>8.7.12</t>
  </si>
  <si>
    <t>Bollard bases</t>
  </si>
  <si>
    <t>8.2.13</t>
  </si>
  <si>
    <t>8.2.14</t>
  </si>
  <si>
    <t>Diamond saw cut existing pavement</t>
  </si>
  <si>
    <t>8.9.2</t>
  </si>
  <si>
    <t>Excavate for pipe</t>
  </si>
  <si>
    <t>Bed and surround</t>
  </si>
  <si>
    <t>Pipework</t>
  </si>
  <si>
    <t>Slot drain</t>
  </si>
  <si>
    <t>Rodding eye</t>
  </si>
  <si>
    <t>PPIC</t>
  </si>
  <si>
    <t>PCC catchpit manhole</t>
  </si>
  <si>
    <t>Attenuation storage</t>
  </si>
  <si>
    <t xml:space="preserve">Testing &amp; commissioning </t>
  </si>
  <si>
    <t>8.6.3</t>
  </si>
  <si>
    <t>8.6.11</t>
  </si>
  <si>
    <t>8.6.12</t>
  </si>
  <si>
    <t>8.6.13</t>
  </si>
  <si>
    <t>8.6.14</t>
  </si>
  <si>
    <t>8.6.15</t>
  </si>
  <si>
    <t>8.6.16</t>
  </si>
  <si>
    <t>8.6.17</t>
  </si>
  <si>
    <t>8.6.18</t>
  </si>
  <si>
    <t>8.6.19</t>
  </si>
  <si>
    <t>8.6.20</t>
  </si>
  <si>
    <t>8.6.21</t>
  </si>
  <si>
    <t>8.6.22</t>
  </si>
  <si>
    <t>8.6.23</t>
  </si>
  <si>
    <t>8.6.24</t>
  </si>
  <si>
    <t>8.6.25</t>
  </si>
  <si>
    <t>8.6.26</t>
  </si>
  <si>
    <t>8.6.27</t>
  </si>
  <si>
    <t>8.6.28</t>
  </si>
  <si>
    <t>Brickwork up to DPC</t>
  </si>
  <si>
    <t>Blockwork up to DPC</t>
  </si>
  <si>
    <t>Scaffold bases</t>
  </si>
  <si>
    <t>P05 PCC flag pavers - N1</t>
  </si>
  <si>
    <t>P05 PCC flag pavers - N7</t>
  </si>
  <si>
    <t>P01 Tarmac - N7</t>
  </si>
  <si>
    <t>P02a Impermeable coloured asphalt - N7</t>
  </si>
  <si>
    <t>P02a Impermeable coloured asphalt - N1</t>
  </si>
  <si>
    <t>RL and topsoiling to PL01 - N1</t>
  </si>
  <si>
    <t>RL and topsoiling to PL03 - N1</t>
  </si>
  <si>
    <t>Extra for tree root protection - N1</t>
  </si>
  <si>
    <t>RL and topsoiling to PL04 - N1</t>
  </si>
  <si>
    <t>RL and topsoiling to PL03 - N7</t>
  </si>
  <si>
    <t>RL and topsoiling to PL04 - N7</t>
  </si>
  <si>
    <t>8.3.14</t>
  </si>
  <si>
    <t>8.3.15</t>
  </si>
  <si>
    <t>8.2.15</t>
  </si>
  <si>
    <t>8.2.16</t>
  </si>
  <si>
    <t>F01 Cycle Stores - Ground floor slabs only N1</t>
  </si>
  <si>
    <t>F01 Cycle Stores - Ground floor slabs only N7</t>
  </si>
  <si>
    <t>Foundations to brick / boundary walls - N7</t>
  </si>
  <si>
    <t>Foundations to brick / boundary walls - N1</t>
  </si>
  <si>
    <t>8.4.14</t>
  </si>
  <si>
    <t>PCC Kerb - N1</t>
  </si>
  <si>
    <t>PCC Edging - N1</t>
  </si>
  <si>
    <t>PCC Kerb - N7</t>
  </si>
  <si>
    <t>PCC Edging - N7</t>
  </si>
  <si>
    <t>8.2.17</t>
  </si>
  <si>
    <t>8.2.18</t>
  </si>
  <si>
    <t>N1 foul water drainage</t>
  </si>
  <si>
    <t>N1 storm water drainage</t>
  </si>
  <si>
    <t>N7 storm water drainage</t>
  </si>
  <si>
    <t>Works to existing drainage system</t>
  </si>
  <si>
    <t>N7 foul water drainage</t>
  </si>
  <si>
    <t>8.6.29</t>
  </si>
  <si>
    <t>8.6.30</t>
  </si>
  <si>
    <t>8.6.31</t>
  </si>
  <si>
    <t>8.6.32</t>
  </si>
  <si>
    <t>8.6.33</t>
  </si>
  <si>
    <t>8.6.34</t>
  </si>
  <si>
    <t>8.6.35</t>
  </si>
  <si>
    <t>8.6.36</t>
  </si>
  <si>
    <t>8.6.37</t>
  </si>
  <si>
    <t>8.6.38</t>
  </si>
  <si>
    <t>8.6.39</t>
  </si>
  <si>
    <t>8.6.40</t>
  </si>
  <si>
    <t>8.6.41</t>
  </si>
  <si>
    <t>8.6.42</t>
  </si>
  <si>
    <t>N1 Prelims</t>
  </si>
  <si>
    <t>N7 Prelims</t>
  </si>
  <si>
    <t>plugged rate</t>
  </si>
  <si>
    <t>LECI</t>
  </si>
  <si>
    <t>Metal Contractor to price</t>
  </si>
  <si>
    <t>Plugged rate</t>
  </si>
  <si>
    <t>Supply Only</t>
  </si>
  <si>
    <t>Hart Flooring</t>
  </si>
  <si>
    <t>Plugged</t>
  </si>
  <si>
    <t>Get rate from BSRIA</t>
  </si>
  <si>
    <t>Check considerate contractors</t>
  </si>
  <si>
    <t>Check if these are done in house</t>
  </si>
  <si>
    <t>Groundworker Prelims</t>
  </si>
  <si>
    <t>Groundworker &amp; RC Frame Prelims</t>
  </si>
  <si>
    <t>Included within piling mat</t>
  </si>
  <si>
    <t>Waiting on Solair</t>
  </si>
  <si>
    <t>Waiting on chippy to fit</t>
  </si>
  <si>
    <t>FP Hertings are looking at this</t>
  </si>
  <si>
    <t xml:space="preserve">Should be back in by Tuesday </t>
  </si>
  <si>
    <t>Chase lift company</t>
  </si>
  <si>
    <t>Upowa Pricing - Tuesday return</t>
  </si>
  <si>
    <t>Single leaf gates</t>
  </si>
  <si>
    <t>Site Handover and signage</t>
  </si>
  <si>
    <t>plugged - provisional</t>
  </si>
  <si>
    <t>Allows for 2 no setups - each including Timber Hoarding, 1no Vehicle Gate, 1no Pedestrian Gate</t>
  </si>
  <si>
    <t>Plugged number to remove hoarding and dispose</t>
  </si>
  <si>
    <t>Allows for a Road Sweep Visit Twice a week</t>
  </si>
  <si>
    <t>caststone</t>
  </si>
  <si>
    <t>bricklaying + materials</t>
  </si>
  <si>
    <t>Concrete Lintels + Bricklaying + materials</t>
  </si>
  <si>
    <t>not required</t>
  </si>
  <si>
    <t>Preliminaries</t>
  </si>
  <si>
    <t>Design and Development Costs</t>
  </si>
  <si>
    <t>Demolition &amp; Site Clearance</t>
  </si>
  <si>
    <t>Clubroom Refurb</t>
  </si>
  <si>
    <t>External Works</t>
  </si>
  <si>
    <t>Programme is based on a XXX month duration</t>
  </si>
  <si>
    <t>Provisional Sums allowed only - due to information being requested for the Novation of contracts from design team</t>
  </si>
  <si>
    <t>Allows for demolition of existing Garages</t>
  </si>
  <si>
    <t>All items within the garages to be disposed of by others</t>
  </si>
  <si>
    <t>Allows for demolition of existing screen walls</t>
  </si>
  <si>
    <t>Allows for demolition of existing Muga</t>
  </si>
  <si>
    <t>Assumes site compound for each site - N1 and N7</t>
  </si>
  <si>
    <t>Assumes 1no Welfare - complete with site Office, Canteen, Drying Room, Toilet Block, with other as a "satellite" - Portaloo and Office</t>
  </si>
  <si>
    <t>Construction Works - Building Block N1, Building Block N7</t>
  </si>
  <si>
    <t>included</t>
  </si>
  <si>
    <t>N7 roofing materials</t>
  </si>
  <si>
    <t>included within GW package</t>
  </si>
  <si>
    <t>allows for 1no - 12 weeks</t>
  </si>
  <si>
    <t>Telehandler + Fuel</t>
  </si>
  <si>
    <t>serving N7 predominatly</t>
  </si>
  <si>
    <t>Telehandler driver</t>
  </si>
  <si>
    <t>currently priced as PPC Aluminimum</t>
  </si>
  <si>
    <t>included elsewhere</t>
  </si>
  <si>
    <t>£450 per opening x 5</t>
  </si>
  <si>
    <t>£1500 for security door</t>
  </si>
  <si>
    <t>Side Gate</t>
  </si>
  <si>
    <t>2.6.2.7</t>
  </si>
  <si>
    <t>Airtight Membranes</t>
  </si>
  <si>
    <t>Airtightmembranes</t>
  </si>
  <si>
    <t>N7 - Standard Trench Foundations</t>
  </si>
  <si>
    <t>2nd Fix Carpentry(Window boards, skirtingss/architraves)</t>
  </si>
  <si>
    <t>2nd Fix Carpentry(Window boards, skirtings/architraves)</t>
  </si>
  <si>
    <t>included in PCC
Paving and decking pedestals</t>
  </si>
  <si>
    <t>Prov Sum</t>
  </si>
  <si>
    <t>10% to be allowed as per ER's</t>
  </si>
  <si>
    <t>Ironmongery</t>
  </si>
  <si>
    <t xml:space="preserve">New cycle bases around the development </t>
  </si>
  <si>
    <t xml:space="preserve">New cycle storage units </t>
  </si>
  <si>
    <t xml:space="preserve">Wall to be rebuilt </t>
  </si>
  <si>
    <t>White lining</t>
  </si>
  <si>
    <t>Hardlandscaping to be lifted and replaced with soft landscaping</t>
  </si>
  <si>
    <t>Render at £75 per m2</t>
  </si>
  <si>
    <t xml:space="preserve">PROV SUM - Awaiting </t>
  </si>
  <si>
    <t>allows for 5% of sum</t>
  </si>
  <si>
    <t>Quotations for the Mains Services not received, as indicated from ITT ER's Clause 9.2.2</t>
  </si>
  <si>
    <t>N1 - Piling Works allows for 46no piles, 450mm dia @ max depth of 18m. Subject to change on final piling designs</t>
  </si>
  <si>
    <t>£45/m2</t>
  </si>
  <si>
    <t>Allows for area to be segregated whilst works are in progress</t>
  </si>
  <si>
    <t>Allows for works as seen and identiffied within the reports</t>
  </si>
  <si>
    <t xml:space="preserve">Assumes hardstanding </t>
  </si>
  <si>
    <t>Allows for 1no Tower Crane to build N1, complete with hardstanding and all necessary ancillaries</t>
  </si>
  <si>
    <t>No allowance for Oversail licence currently</t>
  </si>
  <si>
    <t>allows for monitored cctv to each compound</t>
  </si>
  <si>
    <t>only to N7</t>
  </si>
  <si>
    <t>Scaffolding Monflex allowed only to N7 due to proximity of neighbours</t>
  </si>
  <si>
    <t>CCTV to be provided by monitored system, 2no locations - covering N1 and N7 compound</t>
  </si>
  <si>
    <t>Saftey Hoarding to be provided as timber, complete with sign boards (provided by others). Allowing for 1no Pedestrian Gate, 1no Vehicle Gate. No allowance for Biometric turnstile and the like</t>
  </si>
  <si>
    <t>Tree Protection to be erected and maintained for the duration of the contract, ownership remianing the responsibility of the contractor</t>
  </si>
  <si>
    <t>Tree Root Protection to Grounds will be installed and maintained for the duration of the contract, ownership remaining the responsibility of the contractor</t>
  </si>
  <si>
    <t>Tree protection and Ground guards</t>
  </si>
  <si>
    <t>29lm of tree protection and 45m2 of root guard</t>
  </si>
  <si>
    <t>Alllows for 1no Telehandler to build N7</t>
  </si>
  <si>
    <t>assumes Generator to be used</t>
  </si>
  <si>
    <t>Assumes wet waste will be connected to existing sewage</t>
  </si>
  <si>
    <t>inc RC Frame</t>
  </si>
  <si>
    <t>inc above</t>
  </si>
  <si>
    <t>included below</t>
  </si>
  <si>
    <t>included above</t>
  </si>
  <si>
    <t>Prov Sum - £250 per unit</t>
  </si>
  <si>
    <t>incl</t>
  </si>
  <si>
    <t>inc joinery</t>
  </si>
  <si>
    <t>N1 - to be constructed as a Reinforced Concrete Frame</t>
  </si>
  <si>
    <t>N7 - to be constructed as masonry construction with Hollowcore plank flooring</t>
  </si>
  <si>
    <t xml:space="preserve">Upowa Pricing </t>
  </si>
  <si>
    <t>Windows and Doors to be Aluminium - as specified Nordan Manufacturer</t>
  </si>
  <si>
    <t>PLUGGED RATE @ £4500</t>
  </si>
  <si>
    <t>Internal Specification as per Internal Schedule - 3849-LB-ZZ-ZZ-L-A-550020_Internal Finishes Schedule-C01</t>
  </si>
  <si>
    <t>Provisional Sums allowed for at present - no details present</t>
  </si>
  <si>
    <t>Tender is exclusive of VAT</t>
  </si>
  <si>
    <t>Raingarden Planting</t>
  </si>
  <si>
    <t>Works Outside the boundary</t>
  </si>
  <si>
    <t>Assumes work to the middle of the Estate - in connection with the new footpath and Muga</t>
  </si>
  <si>
    <t>Assumes further works to estate roads, areas as highlighted on drawing 3849-LB-EN-XX-D-101000_C2_Works extent and Demolition Plan</t>
  </si>
  <si>
    <t>included in joinery</t>
  </si>
  <si>
    <t>excl</t>
  </si>
  <si>
    <t>Allows for all roads and paths as indetified within the civils and structural pack</t>
  </si>
  <si>
    <t>Allows for removal of Trees as identified on drawings</t>
  </si>
  <si>
    <t xml:space="preserve">Allows for New Soft Landscaping </t>
  </si>
  <si>
    <t>Allows for New Hardlandscaping</t>
  </si>
  <si>
    <t>Allows for New Street Furniture</t>
  </si>
  <si>
    <t>Allows for New Fencing</t>
  </si>
  <si>
    <t>Allows for EV Charger</t>
  </si>
  <si>
    <t>Service Diversions</t>
  </si>
  <si>
    <t>to N7 Only</t>
  </si>
  <si>
    <t>Carpentry</t>
  </si>
  <si>
    <t xml:space="preserve">No appliances allowed for in either block </t>
  </si>
  <si>
    <t>Protection of existing block</t>
  </si>
  <si>
    <t>Provisional Sum</t>
  </si>
  <si>
    <t>Contaminated Materials / Earth</t>
  </si>
  <si>
    <t>PLUGGED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</si>
</sst>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&quot;£&quot;#,##0.00"/>
    <numFmt numFmtId="166" formatCode="0.0"/>
  </numFmts>
  <fonts count="25">
    <font>
      <sz val="12"/>
      <name val="CG Times"/>
    </font>
    <font>
      <sz val="12"/>
      <name val="CG Times"/>
      <family val="1"/>
    </font>
    <font>
      <sz val="8"/>
      <name val="CG Times"/>
      <family val="1"/>
    </font>
    <font>
      <sz val="8"/>
      <name val="CG Times"/>
      <family val="1"/>
    </font>
    <font>
      <sz val="18"/>
      <color theme="3"/>
      <name val="Cambria"/>
      <family val="2"/>
      <scheme val="major"/>
    </font>
    <font>
      <b/>
      <sz val="10"/>
      <color rgb="FF4A4F54"/>
      <name val="Arial"/>
      <family val="2"/>
    </font>
    <font>
      <sz val="10"/>
      <color rgb="FF4A4F54"/>
      <name val="Arial"/>
      <family val="2"/>
    </font>
    <font>
      <sz val="12"/>
      <color rgb="FF4A4F54"/>
      <name val="Arial"/>
      <family val="2"/>
    </font>
    <font>
      <b/>
      <sz val="16"/>
      <color rgb="FF4A4F54"/>
      <name val="Arial"/>
      <family val="2"/>
    </font>
    <font>
      <b/>
      <sz val="14"/>
      <color rgb="FF4A4F54"/>
      <name val="Arial"/>
      <family val="2"/>
    </font>
    <font>
      <b/>
      <sz val="10"/>
      <color rgb="FF0093C9"/>
      <name val="Arial"/>
      <family val="2"/>
    </font>
    <font>
      <sz val="12"/>
      <name val="CG Times"/>
    </font>
    <font>
      <sz val="11"/>
      <color rgb="FF4A4F54"/>
      <name val="Arial"/>
      <family val="2"/>
    </font>
    <font>
      <b/>
      <sz val="11"/>
      <color rgb="FF4A4F54"/>
      <name val="Arial"/>
      <family val="2"/>
    </font>
    <font>
      <sz val="11"/>
      <color rgb="FFFF0000"/>
      <name val="Arial"/>
      <family val="2"/>
    </font>
    <font>
      <b/>
      <sz val="11"/>
      <color rgb="FF0093C9"/>
      <name val="Arial"/>
      <family val="2"/>
    </font>
    <font>
      <b/>
      <sz val="11"/>
      <color theme="0"/>
      <name val="Arial"/>
      <family val="2"/>
    </font>
    <font>
      <b/>
      <u/>
      <sz val="11"/>
      <color rgb="FF4A4F54"/>
      <name val="Arial"/>
      <family val="2"/>
    </font>
    <font>
      <i/>
      <sz val="11"/>
      <color rgb="FF4A4F54"/>
      <name val="Arial"/>
      <family val="2"/>
    </font>
    <font>
      <u/>
      <sz val="11"/>
      <color rgb="FF4A4F54"/>
      <name val="Arial"/>
      <family val="2"/>
    </font>
    <font>
      <sz val="8"/>
      <name val="CG Times"/>
    </font>
    <font>
      <b/>
      <sz val="11"/>
      <color theme="1" tint="0.34998626667073579"/>
      <name val="Arial"/>
      <family val="2"/>
    </font>
    <font>
      <sz val="10"/>
      <name val="Arial"/>
      <family val="2"/>
    </font>
    <font>
      <i/>
      <u/>
      <sz val="11"/>
      <color rgb="FF4A4F54"/>
      <name val="Arial"/>
      <family val="2"/>
    </font>
    <font>
      <b/>
      <u/>
      <sz val="10"/>
      <color rgb="FF4A4F5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rgb="FF0093C9"/>
        <bgColor indexed="8"/>
      </patternFill>
    </fill>
    <fill>
      <patternFill patternType="solid">
        <fgColor rgb="FFE5F4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4A4F54"/>
      </bottom>
      <diagonal/>
    </border>
    <border>
      <left/>
      <right style="thin">
        <color rgb="FF4A4F54"/>
      </right>
      <top/>
      <bottom style="thin">
        <color rgb="FF4A4F54"/>
      </bottom>
      <diagonal/>
    </border>
    <border>
      <left style="thin">
        <color rgb="FF4A4F54"/>
      </left>
      <right style="thin">
        <color rgb="FF4A4F54"/>
      </right>
      <top/>
      <bottom style="thin">
        <color rgb="FF4A4F54"/>
      </bottom>
      <diagonal/>
    </border>
    <border>
      <left style="thin">
        <color rgb="FF4A4F54"/>
      </left>
      <right/>
      <top/>
      <bottom style="thin">
        <color rgb="FF4A4F54"/>
      </bottom>
      <diagonal/>
    </border>
    <border>
      <left style="thin">
        <color rgb="FF4A4F54"/>
      </left>
      <right/>
      <top/>
      <bottom/>
      <diagonal/>
    </border>
    <border>
      <left style="thin">
        <color rgb="FF4A4F54"/>
      </left>
      <right style="thin">
        <color rgb="FF4A4F54"/>
      </right>
      <top/>
      <bottom/>
      <diagonal/>
    </border>
    <border>
      <left/>
      <right/>
      <top style="thin">
        <color rgb="FF4A4F54"/>
      </top>
      <bottom style="thin">
        <color rgb="FF4A4F54"/>
      </bottom>
      <diagonal/>
    </border>
    <border>
      <left style="thin">
        <color rgb="FF4A4F54"/>
      </left>
      <right style="thin">
        <color rgb="FF4A4F54"/>
      </right>
      <top style="thin">
        <color rgb="FF4A4F54"/>
      </top>
      <bottom style="thin">
        <color rgb="FF4A4F54"/>
      </bottom>
      <diagonal/>
    </border>
    <border>
      <left style="thin">
        <color rgb="FF4A4F54"/>
      </left>
      <right/>
      <top style="thin">
        <color rgb="FF4A4F54"/>
      </top>
      <bottom style="thin">
        <color rgb="FF4A4F54"/>
      </bottom>
      <diagonal/>
    </border>
    <border>
      <left/>
      <right/>
      <top style="thin">
        <color rgb="FF4A4F54"/>
      </top>
      <bottom/>
      <diagonal/>
    </border>
    <border>
      <left style="thin">
        <color rgb="FF4A4F54"/>
      </left>
      <right style="thin">
        <color rgb="FF4A4F54"/>
      </right>
      <top style="thin">
        <color rgb="FF4A4F54"/>
      </top>
      <bottom/>
      <diagonal/>
    </border>
    <border>
      <left style="thin">
        <color rgb="FF4A4F54"/>
      </left>
      <right/>
      <top style="thin">
        <color rgb="FF4A4F54"/>
      </top>
      <bottom/>
      <diagonal/>
    </border>
    <border>
      <left/>
      <right style="thin">
        <color rgb="FF4A4F5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4A4F54"/>
      </right>
      <top style="thin">
        <color rgb="FF4A4F5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4A4F5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4A4F5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  <xf numFmtId="0" fontId="22" fillId="0" borderId="0"/>
  </cellStyleXfs>
  <cellXfs count="220">
    <xf numFmtId="0" fontId="0" fillId="0" borderId="0" xfId="0"/>
    <xf numFmtId="4" fontId="6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/>
    </xf>
    <xf numFmtId="43" fontId="6" fillId="0" borderId="0" xfId="1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3" applyFont="1" applyAlignment="1">
      <alignment horizontal="right" vertical="center"/>
    </xf>
    <xf numFmtId="43" fontId="6" fillId="0" borderId="0" xfId="1" applyFont="1" applyBorder="1" applyAlignment="1">
      <alignment horizontal="right"/>
    </xf>
    <xf numFmtId="43" fontId="6" fillId="0" borderId="0" xfId="1" applyFont="1" applyFill="1" applyBorder="1" applyAlignment="1">
      <alignment vertical="center"/>
    </xf>
    <xf numFmtId="0" fontId="10" fillId="0" borderId="0" xfId="0" applyFont="1"/>
    <xf numFmtId="0" fontId="5" fillId="0" borderId="0" xfId="0" applyFont="1"/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44" fontId="13" fillId="0" borderId="5" xfId="1" applyNumberFormat="1" applyFont="1" applyFill="1" applyBorder="1" applyAlignment="1">
      <alignment horizontal="right" vertical="center"/>
    </xf>
    <xf numFmtId="0" fontId="13" fillId="0" borderId="6" xfId="0" applyFont="1" applyBorder="1" applyAlignment="1">
      <alignment horizontal="left" vertical="center"/>
    </xf>
    <xf numFmtId="165" fontId="12" fillId="0" borderId="5" xfId="1" applyNumberFormat="1" applyFont="1" applyFill="1" applyBorder="1" applyAlignment="1">
      <alignment horizontal="right" vertical="center"/>
    </xf>
    <xf numFmtId="165" fontId="13" fillId="0" borderId="5" xfId="1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6" xfId="0" applyFont="1" applyBorder="1" applyAlignment="1">
      <alignment horizontal="left" vertical="center" wrapText="1"/>
    </xf>
    <xf numFmtId="2" fontId="13" fillId="0" borderId="0" xfId="0" applyNumberFormat="1" applyFont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right" vertical="center"/>
    </xf>
    <xf numFmtId="44" fontId="13" fillId="5" borderId="9" xfId="1" applyNumberFormat="1" applyFont="1" applyFill="1" applyBorder="1" applyAlignment="1">
      <alignment horizontal="right" vertical="center"/>
    </xf>
    <xf numFmtId="2" fontId="12" fillId="0" borderId="0" xfId="0" applyNumberFormat="1" applyFont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right" vertical="center"/>
    </xf>
    <xf numFmtId="44" fontId="13" fillId="5" borderId="10" xfId="1" applyNumberFormat="1" applyFont="1" applyFill="1" applyBorder="1" applyAlignment="1">
      <alignment horizontal="right" vertical="center"/>
    </xf>
    <xf numFmtId="0" fontId="12" fillId="0" borderId="13" xfId="0" applyFont="1" applyBorder="1" applyAlignment="1">
      <alignment horizontal="center" vertical="center"/>
    </xf>
    <xf numFmtId="43" fontId="12" fillId="0" borderId="0" xfId="1" applyFont="1" applyFill="1" applyBorder="1" applyAlignment="1">
      <alignment horizontal="right" vertical="center"/>
    </xf>
    <xf numFmtId="0" fontId="12" fillId="0" borderId="6" xfId="0" applyFont="1" applyBorder="1" applyAlignment="1" applyProtection="1">
      <alignment horizontal="left" vertical="center"/>
      <protection locked="0"/>
    </xf>
    <xf numFmtId="0" fontId="14" fillId="0" borderId="6" xfId="0" applyFont="1" applyBorder="1" applyAlignment="1" applyProtection="1">
      <alignment horizontal="left" vertical="center"/>
      <protection locked="0"/>
    </xf>
    <xf numFmtId="43" fontId="13" fillId="0" borderId="0" xfId="1" applyFont="1" applyFill="1" applyBorder="1" applyAlignment="1">
      <alignment horizontal="right" vertical="center"/>
    </xf>
    <xf numFmtId="0" fontId="14" fillId="0" borderId="6" xfId="0" applyFont="1" applyBorder="1" applyAlignment="1">
      <alignment horizontal="left" vertical="center" wrapText="1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12" fillId="5" borderId="10" xfId="0" applyFont="1" applyFill="1" applyBorder="1" applyAlignment="1">
      <alignment horizontal="center" vertical="center"/>
    </xf>
    <xf numFmtId="164" fontId="13" fillId="5" borderId="10" xfId="1" applyNumberFormat="1" applyFont="1" applyFill="1" applyBorder="1" applyAlignment="1">
      <alignment horizontal="right" vertical="center"/>
    </xf>
    <xf numFmtId="164" fontId="13" fillId="5" borderId="12" xfId="1" applyNumberFormat="1" applyFont="1" applyFill="1" applyBorder="1" applyAlignment="1">
      <alignment vertical="center"/>
    </xf>
    <xf numFmtId="43" fontId="13" fillId="5" borderId="10" xfId="1" applyFont="1" applyFill="1" applyBorder="1" applyAlignment="1">
      <alignment vertical="center"/>
    </xf>
    <xf numFmtId="43" fontId="12" fillId="0" borderId="0" xfId="1" applyFont="1" applyBorder="1" applyAlignment="1">
      <alignment horizontal="right" vertical="center"/>
    </xf>
    <xf numFmtId="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43" fontId="12" fillId="0" borderId="0" xfId="1" applyFont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43" fontId="12" fillId="0" borderId="0" xfId="1" applyFont="1" applyFill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43" fontId="12" fillId="0" borderId="0" xfId="1" applyFont="1" applyFill="1" applyBorder="1" applyAlignment="1" applyProtection="1">
      <alignment horizontal="right" vertical="center"/>
      <protection locked="0"/>
    </xf>
    <xf numFmtId="43" fontId="13" fillId="0" borderId="0" xfId="1" applyFont="1" applyBorder="1" applyAlignment="1">
      <alignment vertical="center"/>
    </xf>
    <xf numFmtId="164" fontId="13" fillId="0" borderId="0" xfId="1" applyNumberFormat="1" applyFont="1" applyBorder="1" applyAlignment="1">
      <alignment vertical="center"/>
    </xf>
    <xf numFmtId="43" fontId="16" fillId="4" borderId="1" xfId="1" applyFont="1" applyFill="1" applyBorder="1" applyAlignment="1">
      <alignment horizontal="center" vertical="center"/>
    </xf>
    <xf numFmtId="164" fontId="16" fillId="4" borderId="4" xfId="1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4" fontId="12" fillId="0" borderId="0" xfId="0" applyNumberFormat="1" applyFont="1" applyAlignment="1">
      <alignment horizontal="right" vertical="center"/>
    </xf>
    <xf numFmtId="164" fontId="13" fillId="0" borderId="5" xfId="1" applyNumberFormat="1" applyFont="1" applyFill="1" applyBorder="1" applyAlignment="1">
      <alignment horizontal="right" vertical="center"/>
    </xf>
    <xf numFmtId="0" fontId="17" fillId="0" borderId="6" xfId="0" applyFont="1" applyBorder="1" applyAlignment="1">
      <alignment horizontal="left" vertical="center"/>
    </xf>
    <xf numFmtId="43" fontId="13" fillId="0" borderId="0" xfId="1" applyFont="1" applyFill="1" applyBorder="1" applyAlignment="1" applyProtection="1">
      <alignment horizontal="right" vertical="center"/>
      <protection locked="0"/>
    </xf>
    <xf numFmtId="43" fontId="12" fillId="0" borderId="0" xfId="2" applyNumberFormat="1" applyFont="1" applyFill="1" applyBorder="1" applyAlignment="1">
      <alignment horizontal="right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right" vertical="center"/>
    </xf>
    <xf numFmtId="43" fontId="13" fillId="5" borderId="7" xfId="1" applyFont="1" applyFill="1" applyBorder="1" applyAlignment="1">
      <alignment horizontal="right" vertical="center"/>
    </xf>
    <xf numFmtId="164" fontId="13" fillId="5" borderId="7" xfId="1" applyNumberFormat="1" applyFont="1" applyFill="1" applyBorder="1" applyAlignment="1">
      <alignment horizontal="right" vertical="center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164" fontId="13" fillId="5" borderId="7" xfId="1" applyNumberFormat="1" applyFont="1" applyFill="1" applyBorder="1" applyAlignment="1">
      <alignment vertical="center"/>
    </xf>
    <xf numFmtId="43" fontId="13" fillId="5" borderId="7" xfId="1" applyFont="1" applyFill="1" applyBorder="1" applyAlignment="1">
      <alignment vertical="center"/>
    </xf>
    <xf numFmtId="164" fontId="13" fillId="0" borderId="0" xfId="1" applyNumberFormat="1" applyFont="1" applyFill="1" applyBorder="1" applyAlignment="1">
      <alignment vertical="center"/>
    </xf>
    <xf numFmtId="43" fontId="13" fillId="0" borderId="0" xfId="1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164" fontId="13" fillId="0" borderId="0" xfId="1" applyNumberFormat="1" applyFont="1" applyFill="1" applyBorder="1" applyAlignment="1">
      <alignment horizontal="center" vertical="center"/>
    </xf>
    <xf numFmtId="9" fontId="12" fillId="0" borderId="0" xfId="2" applyFont="1" applyFill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2" fillId="0" borderId="17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16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2" fillId="0" borderId="14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44" fontId="21" fillId="0" borderId="5" xfId="1" applyNumberFormat="1" applyFont="1" applyFill="1" applyBorder="1" applyAlignment="1">
      <alignment horizontal="right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5" fillId="0" borderId="0" xfId="0" applyFont="1"/>
    <xf numFmtId="0" fontId="13" fillId="0" borderId="0" xfId="0" applyFont="1"/>
    <xf numFmtId="43" fontId="12" fillId="0" borderId="0" xfId="1" applyFont="1" applyBorder="1" applyAlignment="1">
      <alignment horizontal="right"/>
    </xf>
    <xf numFmtId="4" fontId="12" fillId="0" borderId="0" xfId="0" applyNumberFormat="1" applyFont="1"/>
    <xf numFmtId="0" fontId="12" fillId="0" borderId="0" xfId="0" applyFont="1"/>
    <xf numFmtId="43" fontId="12" fillId="0" borderId="0" xfId="1" applyFont="1" applyBorder="1"/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right"/>
    </xf>
    <xf numFmtId="43" fontId="12" fillId="0" borderId="0" xfId="1" applyFont="1" applyFill="1" applyBorder="1"/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left" indent="1"/>
    </xf>
    <xf numFmtId="0" fontId="12" fillId="5" borderId="10" xfId="0" applyFont="1" applyFill="1" applyBorder="1" applyAlignment="1">
      <alignment horizontal="center"/>
    </xf>
    <xf numFmtId="0" fontId="13" fillId="0" borderId="5" xfId="0" applyFont="1" applyBorder="1" applyAlignment="1">
      <alignment horizontal="left" indent="1"/>
    </xf>
    <xf numFmtId="0" fontId="12" fillId="0" borderId="6" xfId="0" applyFont="1" applyBorder="1" applyAlignment="1">
      <alignment vertical="center" wrapText="1"/>
    </xf>
    <xf numFmtId="0" fontId="13" fillId="0" borderId="5" xfId="0" applyFont="1" applyBorder="1"/>
    <xf numFmtId="0" fontId="12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wrapText="1"/>
    </xf>
    <xf numFmtId="43" fontId="12" fillId="0" borderId="0" xfId="1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2" fillId="0" borderId="11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3" fillId="0" borderId="6" xfId="0" applyFont="1" applyBorder="1" applyAlignment="1">
      <alignment wrapText="1"/>
    </xf>
    <xf numFmtId="0" fontId="13" fillId="0" borderId="13" xfId="0" applyFont="1" applyBorder="1" applyAlignment="1">
      <alignment horizontal="center"/>
    </xf>
    <xf numFmtId="0" fontId="12" fillId="0" borderId="6" xfId="0" applyFont="1" applyBorder="1"/>
    <xf numFmtId="0" fontId="12" fillId="0" borderId="13" xfId="0" applyFont="1" applyBorder="1" applyAlignment="1">
      <alignment horizontal="center"/>
    </xf>
    <xf numFmtId="0" fontId="12" fillId="0" borderId="6" xfId="0" applyFont="1" applyBorder="1" applyAlignment="1">
      <alignment vertical="center"/>
    </xf>
    <xf numFmtId="43" fontId="13" fillId="0" borderId="0" xfId="1" applyFont="1" applyFill="1" applyBorder="1" applyAlignment="1" applyProtection="1">
      <alignment vertical="center"/>
    </xf>
    <xf numFmtId="0" fontId="12" fillId="0" borderId="16" xfId="0" applyFont="1" applyBorder="1" applyAlignment="1">
      <alignment horizontal="right" vertical="top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43" fontId="12" fillId="0" borderId="1" xfId="1" applyFont="1" applyFill="1" applyBorder="1" applyAlignment="1" applyProtection="1">
      <alignment vertical="center"/>
    </xf>
    <xf numFmtId="0" fontId="12" fillId="5" borderId="0" xfId="0" applyFont="1" applyFill="1" applyAlignment="1">
      <alignment horizontal="center"/>
    </xf>
    <xf numFmtId="164" fontId="13" fillId="5" borderId="0" xfId="1" applyNumberFormat="1" applyFont="1" applyFill="1" applyBorder="1" applyAlignment="1">
      <alignment horizontal="right" vertical="center"/>
    </xf>
    <xf numFmtId="164" fontId="13" fillId="5" borderId="5" xfId="1" applyNumberFormat="1" applyFont="1" applyFill="1" applyBorder="1" applyAlignment="1" applyProtection="1">
      <alignment vertical="center"/>
    </xf>
    <xf numFmtId="43" fontId="13" fillId="5" borderId="0" xfId="1" applyFont="1" applyFill="1" applyBorder="1" applyAlignment="1">
      <alignment vertical="center"/>
    </xf>
    <xf numFmtId="0" fontId="8" fillId="0" borderId="0" xfId="3" applyFont="1" applyFill="1" applyAlignment="1">
      <alignment horizontal="right" vertical="center"/>
    </xf>
    <xf numFmtId="0" fontId="18" fillId="0" borderId="6" xfId="0" applyFont="1" applyBorder="1" applyAlignment="1" applyProtection="1">
      <alignment horizontal="left" vertical="center"/>
      <protection locked="0"/>
    </xf>
    <xf numFmtId="0" fontId="18" fillId="0" borderId="0" xfId="0" applyFont="1" applyAlignment="1">
      <alignment horizontal="center" vertical="center"/>
    </xf>
    <xf numFmtId="0" fontId="18" fillId="0" borderId="6" xfId="0" applyFont="1" applyBorder="1" applyAlignment="1" applyProtection="1">
      <alignment horizontal="left" vertical="center" wrapText="1"/>
      <protection locked="0"/>
    </xf>
    <xf numFmtId="0" fontId="18" fillId="0" borderId="0" xfId="0" applyFont="1" applyAlignment="1">
      <alignment horizontal="right" vertical="center"/>
    </xf>
    <xf numFmtId="43" fontId="18" fillId="0" borderId="0" xfId="1" applyFont="1" applyFill="1" applyBorder="1" applyAlignment="1" applyProtection="1">
      <alignment horizontal="right" vertical="center"/>
      <protection locked="0"/>
    </xf>
    <xf numFmtId="0" fontId="1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13" fillId="5" borderId="1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right" vertical="center"/>
    </xf>
    <xf numFmtId="43" fontId="13" fillId="5" borderId="0" xfId="1" applyFont="1" applyFill="1" applyBorder="1" applyAlignment="1">
      <alignment horizontal="right" vertical="center"/>
    </xf>
    <xf numFmtId="43" fontId="12" fillId="0" borderId="0" xfId="1" applyFont="1" applyFill="1" applyBorder="1" applyAlignment="1">
      <alignment horizontal="right" vertical="center" wrapText="1"/>
    </xf>
    <xf numFmtId="0" fontId="12" fillId="0" borderId="6" xfId="0" applyFont="1" applyBorder="1" applyAlignment="1">
      <alignment horizontal="right" vertical="center"/>
    </xf>
    <xf numFmtId="0" fontId="23" fillId="0" borderId="6" xfId="0" applyFont="1" applyBorder="1" applyAlignment="1">
      <alignment horizontal="left" vertical="center" wrapText="1"/>
    </xf>
    <xf numFmtId="0" fontId="19" fillId="0" borderId="0" xfId="0" applyFont="1" applyAlignment="1">
      <alignment horizontal="right" vertical="center"/>
    </xf>
    <xf numFmtId="166" fontId="12" fillId="0" borderId="0" xfId="0" applyNumberFormat="1" applyFont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0" fontId="12" fillId="7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/>
    </xf>
    <xf numFmtId="43" fontId="15" fillId="0" borderId="0" xfId="1" applyFont="1" applyAlignment="1">
      <alignment horizontal="left" vertical="center"/>
    </xf>
    <xf numFmtId="43" fontId="12" fillId="0" borderId="0" xfId="1" applyFont="1" applyAlignment="1">
      <alignment horizontal="center" vertical="center"/>
    </xf>
    <xf numFmtId="43" fontId="12" fillId="6" borderId="19" xfId="1" applyFont="1" applyFill="1" applyBorder="1" applyAlignment="1">
      <alignment horizontal="center" vertical="center"/>
    </xf>
    <xf numFmtId="43" fontId="16" fillId="4" borderId="4" xfId="1" applyFont="1" applyFill="1" applyBorder="1" applyAlignment="1">
      <alignment horizontal="center" vertical="center"/>
    </xf>
    <xf numFmtId="43" fontId="12" fillId="0" borderId="5" xfId="1" applyFont="1" applyBorder="1" applyAlignment="1">
      <alignment horizontal="left" vertical="center"/>
    </xf>
    <xf numFmtId="43" fontId="13" fillId="5" borderId="5" xfId="1" applyFont="1" applyFill="1" applyBorder="1" applyAlignment="1">
      <alignment horizontal="left" vertical="center" wrapText="1"/>
    </xf>
    <xf numFmtId="43" fontId="12" fillId="0" borderId="5" xfId="1" applyFont="1" applyBorder="1" applyAlignment="1">
      <alignment horizontal="left" vertical="center" wrapText="1"/>
    </xf>
    <xf numFmtId="43" fontId="13" fillId="5" borderId="10" xfId="1" applyFont="1" applyFill="1" applyBorder="1" applyAlignment="1">
      <alignment horizontal="right" vertical="center"/>
    </xf>
    <xf numFmtId="43" fontId="13" fillId="0" borderId="0" xfId="1" applyFont="1" applyAlignment="1">
      <alignment horizontal="left" vertical="center"/>
    </xf>
    <xf numFmtId="43" fontId="12" fillId="0" borderId="0" xfId="1" applyFont="1" applyAlignment="1">
      <alignment vertical="center"/>
    </xf>
    <xf numFmtId="43" fontId="13" fillId="0" borderId="0" xfId="1" applyFont="1" applyAlignment="1">
      <alignment horizontal="center" vertical="center"/>
    </xf>
    <xf numFmtId="9" fontId="13" fillId="0" borderId="0" xfId="2" applyFont="1" applyAlignment="1">
      <alignment vertical="center"/>
    </xf>
    <xf numFmtId="4" fontId="12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4" fontId="12" fillId="8" borderId="0" xfId="0" applyNumberFormat="1" applyFont="1" applyFill="1" applyAlignment="1">
      <alignment vertical="center"/>
    </xf>
    <xf numFmtId="43" fontId="12" fillId="8" borderId="0" xfId="1" applyFont="1" applyFill="1" applyBorder="1" applyAlignment="1">
      <alignment vertical="center"/>
    </xf>
    <xf numFmtId="44" fontId="12" fillId="0" borderId="0" xfId="0" applyNumberFormat="1" applyFont="1" applyAlignment="1">
      <alignment vertical="center"/>
    </xf>
    <xf numFmtId="0" fontId="18" fillId="0" borderId="5" xfId="0" applyFont="1" applyBorder="1" applyAlignment="1" applyProtection="1">
      <alignment horizontal="left" vertical="center" wrapText="1"/>
      <protection locked="0"/>
    </xf>
    <xf numFmtId="0" fontId="12" fillId="0" borderId="20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 wrapText="1"/>
    </xf>
    <xf numFmtId="0" fontId="12" fillId="0" borderId="20" xfId="0" applyFont="1" applyBorder="1" applyAlignment="1">
      <alignment vertical="center"/>
    </xf>
    <xf numFmtId="0" fontId="18" fillId="0" borderId="20" xfId="0" applyFont="1" applyBorder="1" applyAlignment="1">
      <alignment horizontal="left" vertical="center"/>
    </xf>
    <xf numFmtId="0" fontId="12" fillId="0" borderId="16" xfId="0" applyFont="1" applyBorder="1" applyAlignment="1">
      <alignment vertical="center"/>
    </xf>
    <xf numFmtId="4" fontId="12" fillId="0" borderId="0" xfId="0" applyNumberFormat="1" applyFont="1" applyAlignment="1">
      <alignment vertical="center" wrapText="1"/>
    </xf>
    <xf numFmtId="4" fontId="12" fillId="6" borderId="0" xfId="0" applyNumberFormat="1" applyFont="1" applyFill="1" applyAlignment="1">
      <alignment vertical="center"/>
    </xf>
    <xf numFmtId="43" fontId="12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6" xfId="0" applyFont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43" fontId="12" fillId="0" borderId="0" xfId="2" applyNumberFormat="1" applyFont="1" applyFill="1" applyBorder="1" applyAlignment="1">
      <alignment horizontal="right" vertical="center" wrapText="1"/>
    </xf>
    <xf numFmtId="9" fontId="13" fillId="0" borderId="0" xfId="2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3" fontId="12" fillId="6" borderId="5" xfId="1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4" fontId="12" fillId="6" borderId="5" xfId="0" applyNumberFormat="1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right" vertical="center"/>
    </xf>
    <xf numFmtId="43" fontId="12" fillId="6" borderId="0" xfId="1" applyFont="1" applyFill="1" applyBorder="1" applyAlignment="1">
      <alignment horizontal="right" vertical="center"/>
    </xf>
    <xf numFmtId="43" fontId="12" fillId="6" borderId="0" xfId="1" applyFont="1" applyFill="1" applyBorder="1" applyAlignment="1">
      <alignment horizontal="right" vertical="center" wrapText="1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164" fontId="13" fillId="5" borderId="7" xfId="1" applyNumberFormat="1" applyFont="1" applyFill="1" applyBorder="1" applyAlignment="1">
      <alignment horizontal="right" vertical="center"/>
    </xf>
    <xf numFmtId="0" fontId="12" fillId="0" borderId="6" xfId="0" applyFont="1" applyBorder="1" applyAlignment="1">
      <alignment horizontal="left" vertical="center" wrapText="1"/>
    </xf>
  </cellXfs>
  <cellStyles count="6">
    <cellStyle name="Comma" xfId="1" builtinId="3"/>
    <cellStyle name="Normal" xfId="0" builtinId="0"/>
    <cellStyle name="Normal 2" xfId="5" xr:uid="{1BA4D82F-E6DE-437C-9221-FE7E3DAB97FC}"/>
    <cellStyle name="Normal 6" xfId="4" xr:uid="{00000000-0005-0000-0000-000002000000}"/>
    <cellStyle name="Percent" xfId="2" builtinId="5"/>
    <cellStyle name="Title" xfId="3" builtinId="15"/>
  </cellStyles>
  <dxfs count="0"/>
  <tableStyles count="0" defaultTableStyle="TableStyleMedium9" defaultPivotStyle="PivotStyleLight16"/>
  <colors>
    <mruColors>
      <color rgb="FFFFFFCC"/>
      <color rgb="FF4A4F54"/>
      <color rgb="FFE5F4F9"/>
      <color rgb="FF009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9"/>
  <sheetViews>
    <sheetView topLeftCell="A7" zoomScaleNormal="100" zoomScalePageLayoutView="70" workbookViewId="0">
      <selection activeCell="N37" sqref="N37"/>
    </sheetView>
  </sheetViews>
  <sheetFormatPr defaultColWidth="9" defaultRowHeight="15"/>
  <cols>
    <col min="1" max="1" width="9.875" style="8" customWidth="1"/>
    <col min="2" max="2" width="7.375" style="8" customWidth="1"/>
    <col min="3" max="4" width="9" style="8"/>
    <col min="5" max="5" width="8.75" style="8" customWidth="1"/>
    <col min="6" max="8" width="9" style="8"/>
    <col min="9" max="9" width="17.75" style="8" customWidth="1"/>
    <col min="10" max="16384" width="9" style="8"/>
  </cols>
  <sheetData>
    <row r="1" spans="1:9" ht="15.4">
      <c r="A1"/>
      <c r="B1"/>
      <c r="C1"/>
      <c r="D1"/>
      <c r="E1"/>
      <c r="F1"/>
      <c r="G1"/>
      <c r="H1"/>
      <c r="I1"/>
    </row>
    <row r="2" spans="1:9" ht="15.4">
      <c r="A2"/>
      <c r="B2"/>
      <c r="C2"/>
      <c r="D2"/>
      <c r="E2"/>
      <c r="F2"/>
      <c r="G2"/>
      <c r="H2"/>
      <c r="I2"/>
    </row>
    <row r="3" spans="1:9" ht="15.4">
      <c r="A3"/>
      <c r="B3"/>
      <c r="C3"/>
      <c r="D3"/>
      <c r="E3"/>
      <c r="F3"/>
      <c r="G3"/>
      <c r="H3"/>
      <c r="I3"/>
    </row>
    <row r="4" spans="1:9" ht="15.4">
      <c r="A4"/>
      <c r="B4"/>
      <c r="C4"/>
      <c r="D4"/>
      <c r="E4"/>
      <c r="F4"/>
      <c r="G4"/>
      <c r="H4"/>
      <c r="I4"/>
    </row>
    <row r="5" spans="1:9" ht="15.4">
      <c r="A5"/>
      <c r="B5"/>
      <c r="C5"/>
      <c r="D5"/>
      <c r="E5"/>
      <c r="F5"/>
      <c r="G5"/>
      <c r="H5"/>
      <c r="I5"/>
    </row>
    <row r="6" spans="1:9" ht="15.4">
      <c r="A6"/>
      <c r="B6"/>
      <c r="C6"/>
      <c r="D6"/>
      <c r="E6"/>
      <c r="F6"/>
      <c r="G6"/>
      <c r="H6"/>
      <c r="I6"/>
    </row>
    <row r="7" spans="1:9" ht="15.4">
      <c r="A7"/>
      <c r="B7"/>
      <c r="C7"/>
      <c r="D7"/>
      <c r="E7"/>
      <c r="F7"/>
      <c r="G7"/>
      <c r="H7"/>
      <c r="I7"/>
    </row>
    <row r="8" spans="1:9" ht="15.4">
      <c r="A8"/>
      <c r="B8"/>
      <c r="C8"/>
      <c r="D8"/>
      <c r="E8"/>
      <c r="F8"/>
      <c r="G8"/>
      <c r="H8"/>
      <c r="I8"/>
    </row>
    <row r="9" spans="1:9" ht="15.4">
      <c r="A9"/>
      <c r="B9"/>
      <c r="C9"/>
      <c r="D9"/>
      <c r="E9"/>
      <c r="F9"/>
      <c r="G9"/>
      <c r="H9"/>
      <c r="I9"/>
    </row>
    <row r="10" spans="1:9" ht="15.4">
      <c r="A10"/>
      <c r="B10"/>
      <c r="C10"/>
      <c r="D10"/>
      <c r="E10"/>
      <c r="F10"/>
      <c r="G10"/>
      <c r="H10"/>
      <c r="I10"/>
    </row>
    <row r="11" spans="1:9" ht="15.4">
      <c r="A11"/>
      <c r="B11"/>
      <c r="C11"/>
      <c r="D11"/>
      <c r="E11"/>
      <c r="F11"/>
      <c r="G11"/>
      <c r="H11"/>
      <c r="I11"/>
    </row>
    <row r="12" spans="1:9" ht="15.4">
      <c r="A12"/>
      <c r="B12"/>
      <c r="C12"/>
      <c r="D12"/>
      <c r="E12"/>
      <c r="F12"/>
      <c r="G12"/>
      <c r="H12"/>
      <c r="I12"/>
    </row>
    <row r="13" spans="1:9" ht="15.4">
      <c r="A13"/>
      <c r="B13"/>
      <c r="C13"/>
      <c r="D13"/>
      <c r="E13"/>
      <c r="F13"/>
      <c r="G13"/>
      <c r="H13"/>
      <c r="I13"/>
    </row>
    <row r="14" spans="1:9" ht="15.4">
      <c r="A14"/>
      <c r="B14"/>
      <c r="C14"/>
      <c r="D14"/>
      <c r="E14"/>
      <c r="F14"/>
      <c r="G14"/>
      <c r="H14"/>
      <c r="I14"/>
    </row>
    <row r="15" spans="1:9" ht="20.65">
      <c r="A15"/>
      <c r="B15"/>
      <c r="C15"/>
      <c r="D15"/>
      <c r="E15"/>
      <c r="F15"/>
      <c r="G15"/>
      <c r="H15"/>
      <c r="I15" s="11" t="s">
        <v>0</v>
      </c>
    </row>
    <row r="16" spans="1:9" ht="20.65">
      <c r="A16"/>
      <c r="B16"/>
      <c r="C16"/>
      <c r="D16"/>
      <c r="E16"/>
      <c r="F16"/>
      <c r="G16"/>
      <c r="H16"/>
      <c r="I16" s="11"/>
    </row>
    <row r="17" spans="1:9" ht="20.65">
      <c r="A17"/>
      <c r="B17"/>
      <c r="C17"/>
      <c r="D17"/>
      <c r="E17"/>
      <c r="F17"/>
      <c r="G17"/>
      <c r="H17"/>
      <c r="I17" s="11" t="s">
        <v>1</v>
      </c>
    </row>
    <row r="18" spans="1:9" ht="20.65">
      <c r="A18"/>
      <c r="B18"/>
      <c r="C18"/>
      <c r="D18"/>
      <c r="E18"/>
      <c r="F18"/>
      <c r="G18"/>
      <c r="H18"/>
      <c r="I18" s="11"/>
    </row>
    <row r="19" spans="1:9" ht="20.65">
      <c r="A19"/>
      <c r="B19"/>
      <c r="C19"/>
      <c r="D19"/>
      <c r="E19"/>
      <c r="F19"/>
      <c r="G19"/>
      <c r="H19"/>
      <c r="I19" s="11" t="s">
        <v>2</v>
      </c>
    </row>
    <row r="20" spans="1:9" ht="20.65">
      <c r="A20"/>
      <c r="B20"/>
      <c r="C20"/>
      <c r="D20"/>
      <c r="E20"/>
      <c r="F20"/>
      <c r="G20"/>
      <c r="H20"/>
      <c r="I20" s="11"/>
    </row>
    <row r="21" spans="1:9" ht="20.65">
      <c r="A21"/>
      <c r="B21"/>
      <c r="C21"/>
      <c r="D21"/>
      <c r="E21"/>
      <c r="F21"/>
      <c r="G21"/>
      <c r="H21"/>
      <c r="I21" s="11" t="s">
        <v>3</v>
      </c>
    </row>
    <row r="22" spans="1:9" ht="20.65">
      <c r="A22"/>
      <c r="B22"/>
      <c r="C22"/>
      <c r="D22"/>
      <c r="E22"/>
      <c r="F22"/>
      <c r="G22"/>
      <c r="H22"/>
      <c r="I22" s="11"/>
    </row>
    <row r="23" spans="1:9" ht="20.65">
      <c r="A23"/>
      <c r="B23"/>
      <c r="C23"/>
      <c r="D23"/>
      <c r="E23"/>
      <c r="F23"/>
      <c r="G23"/>
      <c r="H23"/>
      <c r="I23" s="11" t="s">
        <v>4</v>
      </c>
    </row>
    <row r="24" spans="1:9" ht="20.65">
      <c r="A24"/>
      <c r="B24"/>
      <c r="C24"/>
      <c r="D24"/>
      <c r="E24"/>
      <c r="F24"/>
      <c r="G24"/>
      <c r="H24"/>
      <c r="I24" s="11" t="s">
        <v>5</v>
      </c>
    </row>
    <row r="25" spans="1:9" ht="20.65">
      <c r="A25"/>
      <c r="B25"/>
      <c r="C25"/>
      <c r="D25"/>
      <c r="E25"/>
      <c r="F25"/>
      <c r="G25"/>
      <c r="H25"/>
      <c r="I25" s="11"/>
    </row>
    <row r="26" spans="1:9" ht="20.65">
      <c r="A26"/>
      <c r="B26"/>
      <c r="C26"/>
      <c r="D26"/>
      <c r="E26"/>
      <c r="F26"/>
      <c r="G26"/>
      <c r="H26"/>
      <c r="I26" s="11"/>
    </row>
    <row r="27" spans="1:9" ht="15.4">
      <c r="A27"/>
      <c r="B27"/>
      <c r="C27"/>
      <c r="D27"/>
      <c r="E27"/>
      <c r="F27"/>
      <c r="G27"/>
      <c r="H27"/>
      <c r="I27"/>
    </row>
    <row r="28" spans="1:9" ht="20.65">
      <c r="A28"/>
      <c r="B28"/>
      <c r="C28"/>
      <c r="D28"/>
      <c r="E28"/>
      <c r="F28"/>
      <c r="G28"/>
      <c r="H28"/>
      <c r="I28" s="153"/>
    </row>
    <row r="29" spans="1:9" ht="15.4">
      <c r="A29"/>
      <c r="B29"/>
      <c r="C29"/>
      <c r="D29"/>
      <c r="E29"/>
      <c r="F29"/>
      <c r="G29"/>
      <c r="H29"/>
      <c r="I29"/>
    </row>
    <row r="30" spans="1:9" ht="15.4">
      <c r="A30"/>
      <c r="B30"/>
      <c r="C30"/>
      <c r="D30"/>
      <c r="E30"/>
      <c r="F30"/>
      <c r="G30"/>
      <c r="H30"/>
      <c r="I30"/>
    </row>
    <row r="31" spans="1:9" ht="15.4">
      <c r="A31"/>
      <c r="B31"/>
      <c r="C31"/>
      <c r="D31"/>
      <c r="E31"/>
      <c r="F31"/>
      <c r="G31"/>
      <c r="H31"/>
      <c r="I31"/>
    </row>
    <row r="32" spans="1:9" ht="15.4">
      <c r="A32"/>
      <c r="B32"/>
      <c r="C32"/>
      <c r="D32"/>
      <c r="E32"/>
      <c r="F32"/>
      <c r="G32"/>
      <c r="H32"/>
      <c r="I32"/>
    </row>
    <row r="33" spans="1:9" ht="15.4">
      <c r="A33"/>
      <c r="B33"/>
      <c r="C33"/>
      <c r="D33"/>
      <c r="E33"/>
      <c r="F33"/>
      <c r="G33"/>
      <c r="H33"/>
      <c r="I33"/>
    </row>
    <row r="34" spans="1:9" ht="15.4">
      <c r="A34"/>
      <c r="B34"/>
      <c r="C34"/>
      <c r="D34"/>
      <c r="E34"/>
      <c r="F34"/>
      <c r="G34"/>
      <c r="H34"/>
      <c r="I34"/>
    </row>
    <row r="35" spans="1:9" ht="15.4">
      <c r="A35"/>
      <c r="B35"/>
      <c r="C35"/>
      <c r="D35"/>
      <c r="E35"/>
      <c r="F35"/>
      <c r="G35"/>
      <c r="H35"/>
      <c r="I35"/>
    </row>
    <row r="36" spans="1:9" ht="15.4">
      <c r="A36"/>
      <c r="B36"/>
      <c r="C36"/>
      <c r="D36"/>
      <c r="E36"/>
      <c r="F36"/>
      <c r="G36"/>
      <c r="H36"/>
      <c r="I36"/>
    </row>
    <row r="37" spans="1:9" ht="15.4">
      <c r="A37"/>
      <c r="B37"/>
      <c r="C37"/>
      <c r="D37"/>
      <c r="E37"/>
      <c r="F37"/>
      <c r="G37"/>
      <c r="H37"/>
      <c r="I37"/>
    </row>
    <row r="38" spans="1:9" ht="15.4">
      <c r="A38"/>
      <c r="B38"/>
      <c r="C38"/>
      <c r="D38"/>
      <c r="E38"/>
      <c r="F38"/>
      <c r="G38"/>
      <c r="H38"/>
      <c r="I38"/>
    </row>
    <row r="39" spans="1:9" ht="15.4">
      <c r="A39"/>
      <c r="B39"/>
      <c r="C39"/>
      <c r="D39"/>
      <c r="E39"/>
      <c r="F39"/>
      <c r="G39"/>
      <c r="H39"/>
      <c r="I39"/>
    </row>
    <row r="40" spans="1:9" ht="15.4">
      <c r="A40"/>
      <c r="B40"/>
      <c r="C40"/>
      <c r="D40"/>
      <c r="E40"/>
      <c r="F40"/>
      <c r="G40"/>
      <c r="H40"/>
      <c r="I40"/>
    </row>
    <row r="41" spans="1:9" ht="15.4">
      <c r="A41"/>
      <c r="B41"/>
      <c r="C41"/>
      <c r="D41"/>
      <c r="E41"/>
      <c r="F41"/>
      <c r="G41"/>
      <c r="H41"/>
      <c r="I41"/>
    </row>
    <row r="42" spans="1:9" ht="15.4">
      <c r="A42"/>
      <c r="B42"/>
      <c r="C42"/>
      <c r="D42"/>
      <c r="E42"/>
      <c r="F42"/>
      <c r="G42"/>
      <c r="H42"/>
      <c r="I42"/>
    </row>
    <row r="43" spans="1:9" ht="15.4">
      <c r="A43"/>
      <c r="B43"/>
      <c r="C43"/>
      <c r="D43"/>
      <c r="E43"/>
      <c r="F43"/>
      <c r="G43"/>
      <c r="H43"/>
      <c r="I43"/>
    </row>
    <row r="44" spans="1:9" ht="15.4">
      <c r="A44"/>
      <c r="B44"/>
      <c r="C44"/>
      <c r="D44"/>
      <c r="E44"/>
      <c r="F44"/>
      <c r="G44"/>
      <c r="H44"/>
      <c r="I44"/>
    </row>
    <row r="45" spans="1:9" ht="15.4">
      <c r="A45"/>
      <c r="B45"/>
      <c r="C45"/>
      <c r="D45"/>
      <c r="E45"/>
      <c r="F45"/>
      <c r="G45"/>
      <c r="H45"/>
      <c r="I45"/>
    </row>
    <row r="46" spans="1:9" ht="15.4">
      <c r="A46"/>
      <c r="B46"/>
      <c r="C46"/>
      <c r="D46"/>
      <c r="E46"/>
      <c r="F46"/>
      <c r="G46"/>
      <c r="H46"/>
      <c r="I46"/>
    </row>
    <row r="47" spans="1:9" ht="15.4">
      <c r="A47"/>
      <c r="B47"/>
      <c r="C47"/>
      <c r="D47"/>
      <c r="E47"/>
      <c r="F47"/>
      <c r="G47"/>
      <c r="H47"/>
      <c r="I47"/>
    </row>
    <row r="48" spans="1:9" ht="15.4">
      <c r="A48"/>
      <c r="B48"/>
      <c r="C48"/>
      <c r="D48"/>
      <c r="E48"/>
      <c r="F48"/>
      <c r="G48"/>
      <c r="H48"/>
      <c r="I48"/>
    </row>
    <row r="49" spans="5:9" ht="17.649999999999999">
      <c r="E49" s="10"/>
      <c r="I49" s="9"/>
    </row>
  </sheetData>
  <sheetProtection formatCells="0" formatColumns="0" formatRows="0" insertColumns="0" insertRows="0"/>
  <phoneticPr fontId="2" type="noConversion"/>
  <pageMargins left="0.39370078740157483" right="0.39370078740157483" top="1.4173228346456692" bottom="0.59055118110236215" header="0.3543307086614173" footer="0.27559055118110237"/>
  <pageSetup paperSize="9" orientation="portrait" r:id="rId1"/>
  <headerFooter scaleWithDoc="0">
    <oddHeader>&amp;L&amp;"Arial,Bold"&amp;21&amp;K4A4F54EASTWOOD ESTATE - NORTH
&amp;16CONTRACT SUM ANALYSIS&amp;R&amp;G</oddHeader>
    <oddFooter>&amp;L&amp;"Arial,Regular"&amp;8&amp;K4A4F54Potter Raper Ltd, Duncan House, Burnhill Road, Beckenham, Kent BR3 3LA | 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1"/>
  <sheetViews>
    <sheetView topLeftCell="C6" zoomScale="115" zoomScaleNormal="115" zoomScaleSheetLayoutView="90" zoomScalePageLayoutView="90" workbookViewId="0">
      <selection activeCell="E5" sqref="E5"/>
    </sheetView>
  </sheetViews>
  <sheetFormatPr defaultColWidth="9" defaultRowHeight="13.9"/>
  <cols>
    <col min="1" max="1" width="6.75" style="48" hidden="1" customWidth="1"/>
    <col min="2" max="2" width="5" style="19" hidden="1" customWidth="1"/>
    <col min="3" max="3" width="8" style="48" customWidth="1"/>
    <col min="4" max="4" width="84.125" style="49" customWidth="1"/>
    <col min="5" max="5" width="19.125" style="47" customWidth="1"/>
    <col min="6" max="8" width="9" style="48"/>
    <col min="9" max="9" width="11.125" style="48" bestFit="1" customWidth="1"/>
    <col min="10" max="16384" width="9" style="48"/>
  </cols>
  <sheetData>
    <row r="1" spans="1:9">
      <c r="A1" s="54" t="s">
        <v>6</v>
      </c>
      <c r="C1" s="213" t="s">
        <v>6</v>
      </c>
      <c r="D1" s="213"/>
    </row>
    <row r="3" spans="1:9" ht="21.75" customHeight="1">
      <c r="B3" s="48"/>
      <c r="C3" s="50" t="s">
        <v>7</v>
      </c>
      <c r="D3" s="51" t="s">
        <v>8</v>
      </c>
      <c r="E3" s="58" t="s">
        <v>9</v>
      </c>
    </row>
    <row r="4" spans="1:9" ht="13.5">
      <c r="B4" s="48"/>
      <c r="C4" s="16"/>
      <c r="D4" s="17"/>
      <c r="E4" s="18"/>
    </row>
    <row r="5" spans="1:9" ht="18" customHeight="1">
      <c r="B5" s="48"/>
      <c r="C5" s="19" t="s">
        <v>10</v>
      </c>
      <c r="D5" s="20" t="s">
        <v>11</v>
      </c>
      <c r="E5" s="21">
        <f>'A1-Preliminaries'!H234</f>
        <v>1236865</v>
      </c>
      <c r="I5" s="191"/>
    </row>
    <row r="6" spans="1:9">
      <c r="B6" s="48"/>
      <c r="C6" s="19"/>
      <c r="D6" s="22"/>
      <c r="E6" s="23"/>
    </row>
    <row r="7" spans="1:9" ht="18" customHeight="1">
      <c r="B7" s="48"/>
      <c r="C7" s="19" t="s">
        <v>12</v>
      </c>
      <c r="D7" s="20" t="s">
        <v>13</v>
      </c>
      <c r="E7" s="21">
        <f>'B-Design and Development Costs'!D83</f>
        <v>0</v>
      </c>
    </row>
    <row r="8" spans="1:9">
      <c r="B8" s="48"/>
      <c r="C8" s="16"/>
      <c r="D8" s="22"/>
      <c r="E8" s="24"/>
    </row>
    <row r="9" spans="1:9" ht="18" customHeight="1">
      <c r="B9" s="48"/>
      <c r="C9" s="19" t="s">
        <v>14</v>
      </c>
      <c r="D9" s="20" t="s">
        <v>15</v>
      </c>
      <c r="E9" s="21">
        <f>'C-Demolition &amp; Site Clearance'!D53</f>
        <v>90960.894499999995</v>
      </c>
    </row>
    <row r="10" spans="1:9">
      <c r="B10" s="48"/>
      <c r="C10" s="16"/>
      <c r="D10" s="22"/>
      <c r="E10" s="24"/>
    </row>
    <row r="11" spans="1:9" ht="18" customHeight="1">
      <c r="B11" s="48"/>
      <c r="C11" s="19" t="s">
        <v>16</v>
      </c>
      <c r="D11" s="20" t="s">
        <v>17</v>
      </c>
      <c r="E11" s="21"/>
    </row>
    <row r="12" spans="1:9">
      <c r="B12" s="48"/>
      <c r="C12" s="16"/>
      <c r="D12" s="17"/>
      <c r="E12" s="24"/>
    </row>
    <row r="13" spans="1:9" ht="18" customHeight="1">
      <c r="B13" s="48"/>
      <c r="C13" s="25" t="s">
        <v>18</v>
      </c>
      <c r="D13" s="17" t="s">
        <v>19</v>
      </c>
      <c r="E13" s="21">
        <f>'D1 Building Block N1'!F272</f>
        <v>2304792.2892</v>
      </c>
    </row>
    <row r="14" spans="1:9" ht="5.85" customHeight="1">
      <c r="B14" s="48"/>
      <c r="C14" s="16"/>
      <c r="D14" s="17"/>
      <c r="E14" s="24"/>
    </row>
    <row r="15" spans="1:9" ht="18" customHeight="1">
      <c r="B15" s="48"/>
      <c r="C15" s="25" t="s">
        <v>20</v>
      </c>
      <c r="D15" s="26" t="s">
        <v>21</v>
      </c>
      <c r="E15" s="21">
        <f>'D2 Building Block N7'!F244</f>
        <v>792157.30599999987</v>
      </c>
    </row>
    <row r="16" spans="1:9" ht="5.85" customHeight="1">
      <c r="B16" s="48"/>
      <c r="C16" s="16"/>
      <c r="D16" s="17"/>
      <c r="E16" s="24"/>
    </row>
    <row r="17" spans="2:5" ht="18" customHeight="1">
      <c r="B17" s="48"/>
      <c r="C17" s="25" t="s">
        <v>22</v>
      </c>
      <c r="D17" s="26" t="s">
        <v>23</v>
      </c>
      <c r="E17" s="21">
        <f>'D3 Clubroom Refurb'!F24</f>
        <v>31165</v>
      </c>
    </row>
    <row r="18" spans="2:5" ht="5.85" customHeight="1">
      <c r="B18" s="48"/>
      <c r="C18" s="16"/>
      <c r="D18" s="17"/>
      <c r="E18" s="24"/>
    </row>
    <row r="19" spans="2:5" ht="18" customHeight="1">
      <c r="B19" s="48"/>
      <c r="C19" s="25" t="s">
        <v>24</v>
      </c>
      <c r="D19" s="26" t="s">
        <v>25</v>
      </c>
      <c r="E19" s="21">
        <f>'D4 External Works'!D175</f>
        <v>712951.1825</v>
      </c>
    </row>
    <row r="20" spans="2:5" ht="5.85" customHeight="1">
      <c r="B20" s="48"/>
      <c r="C20" s="16"/>
      <c r="D20" s="17"/>
      <c r="E20" s="24"/>
    </row>
    <row r="21" spans="2:5">
      <c r="B21" s="48"/>
      <c r="C21" s="16"/>
      <c r="D21" s="17"/>
      <c r="E21" s="24"/>
    </row>
    <row r="22" spans="2:5" ht="18" customHeight="1">
      <c r="B22" s="48"/>
      <c r="C22" s="19" t="s">
        <v>26</v>
      </c>
      <c r="D22" s="20" t="s">
        <v>27</v>
      </c>
      <c r="E22" s="21">
        <f>'E-Contractor''s Proposals'!D66</f>
        <v>0</v>
      </c>
    </row>
    <row r="23" spans="2:5">
      <c r="B23" s="48"/>
      <c r="C23" s="19"/>
      <c r="D23" s="22"/>
      <c r="E23" s="23"/>
    </row>
    <row r="24" spans="2:5" ht="18" customHeight="1">
      <c r="B24" s="48"/>
      <c r="C24" s="19" t="s">
        <v>28</v>
      </c>
      <c r="D24" s="20" t="s">
        <v>29</v>
      </c>
      <c r="E24" s="21">
        <f>'F-Works outside the boundary'!D46</f>
        <v>206521.508</v>
      </c>
    </row>
    <row r="25" spans="2:5">
      <c r="B25" s="48"/>
      <c r="C25" s="19"/>
      <c r="D25" s="22"/>
      <c r="E25" s="23"/>
    </row>
    <row r="26" spans="2:5" ht="18" customHeight="1">
      <c r="B26" s="48"/>
      <c r="C26" s="19" t="s">
        <v>30</v>
      </c>
      <c r="D26" s="20" t="s">
        <v>31</v>
      </c>
      <c r="E26" s="21">
        <f>'G-Aftercare'!D62</f>
        <v>0</v>
      </c>
    </row>
    <row r="27" spans="2:5" ht="12.75" customHeight="1">
      <c r="B27" s="48"/>
      <c r="C27" s="27"/>
      <c r="D27" s="22"/>
      <c r="E27" s="24"/>
    </row>
    <row r="28" spans="2:5" ht="17.25" customHeight="1">
      <c r="B28" s="48"/>
      <c r="C28" s="28"/>
      <c r="D28" s="29" t="s">
        <v>32</v>
      </c>
      <c r="E28" s="30">
        <f>SUM(E4:E27)</f>
        <v>5375413.1802000003</v>
      </c>
    </row>
    <row r="29" spans="2:5" ht="9.75" customHeight="1">
      <c r="B29" s="48"/>
      <c r="C29" s="27"/>
      <c r="D29" s="22"/>
      <c r="E29" s="24"/>
    </row>
    <row r="30" spans="2:5" ht="12.75" customHeight="1">
      <c r="B30" s="48"/>
      <c r="C30" s="27" t="s">
        <v>33</v>
      </c>
      <c r="D30" s="22" t="s">
        <v>34</v>
      </c>
      <c r="E30" s="24"/>
    </row>
    <row r="31" spans="2:5" ht="12.75" customHeight="1">
      <c r="B31" s="48"/>
      <c r="C31" s="27"/>
      <c r="D31" s="22"/>
      <c r="E31" s="24"/>
    </row>
    <row r="32" spans="2:5" ht="29.25" customHeight="1">
      <c r="B32" s="48"/>
      <c r="C32" s="27"/>
      <c r="D32" s="26" t="s">
        <v>35</v>
      </c>
      <c r="E32" s="24"/>
    </row>
    <row r="33" spans="2:5" s="60" customFormat="1" ht="18" customHeight="1">
      <c r="C33" s="31"/>
      <c r="D33" s="37" t="s">
        <v>36</v>
      </c>
      <c r="E33" s="21" t="s">
        <v>994</v>
      </c>
    </row>
    <row r="34" spans="2:5" s="60" customFormat="1" ht="21.75" customHeight="1">
      <c r="C34" s="31"/>
      <c r="D34" s="37" t="s">
        <v>37</v>
      </c>
      <c r="E34" s="21" t="s">
        <v>994</v>
      </c>
    </row>
    <row r="35" spans="2:5" ht="12.75" customHeight="1">
      <c r="B35" s="48"/>
      <c r="C35" s="27"/>
      <c r="D35" s="22"/>
      <c r="E35" s="24"/>
    </row>
    <row r="36" spans="2:5" ht="16.5" customHeight="1">
      <c r="B36" s="48"/>
      <c r="C36" s="27" t="s">
        <v>38</v>
      </c>
      <c r="D36" s="22" t="s">
        <v>39</v>
      </c>
      <c r="E36" s="21"/>
    </row>
    <row r="37" spans="2:5">
      <c r="B37" s="48"/>
      <c r="C37" s="19"/>
      <c r="D37" s="202" t="s">
        <v>959</v>
      </c>
      <c r="E37" s="23">
        <v>14474.682325500004</v>
      </c>
    </row>
    <row r="38" spans="2:5" ht="16.5" customHeight="1">
      <c r="B38" s="48"/>
      <c r="C38" s="27" t="s">
        <v>40</v>
      </c>
      <c r="D38" s="106" t="s">
        <v>41</v>
      </c>
      <c r="E38" s="107">
        <v>0</v>
      </c>
    </row>
    <row r="39" spans="2:5">
      <c r="B39" s="48"/>
      <c r="C39" s="19"/>
      <c r="D39" s="22"/>
      <c r="E39" s="23"/>
    </row>
    <row r="40" spans="2:5" ht="16.5" customHeight="1">
      <c r="B40" s="48"/>
      <c r="C40" s="27" t="s">
        <v>42</v>
      </c>
      <c r="D40" s="22" t="s">
        <v>43</v>
      </c>
      <c r="E40" s="21">
        <v>0</v>
      </c>
    </row>
    <row r="41" spans="2:5" ht="12.75" customHeight="1">
      <c r="B41" s="48"/>
      <c r="C41" s="27"/>
      <c r="D41" s="22"/>
      <c r="E41" s="24"/>
    </row>
    <row r="42" spans="2:5" ht="18" customHeight="1">
      <c r="B42" s="48"/>
      <c r="C42" s="32"/>
      <c r="D42" s="33" t="s">
        <v>44</v>
      </c>
      <c r="E42" s="34">
        <f>SUM(E28:E41)</f>
        <v>5389887.8625255004</v>
      </c>
    </row>
    <row r="43" spans="2:5" ht="12.75" customHeight="1">
      <c r="B43" s="48"/>
      <c r="C43" s="27"/>
      <c r="D43" s="22"/>
      <c r="E43" s="24"/>
    </row>
    <row r="44" spans="2:5" ht="12.75" customHeight="1">
      <c r="B44" s="48"/>
      <c r="C44" s="27"/>
      <c r="D44" s="22" t="s">
        <v>45</v>
      </c>
      <c r="E44" s="24"/>
    </row>
    <row r="45" spans="2:5" ht="12.75" customHeight="1">
      <c r="B45" s="48"/>
      <c r="C45" s="27"/>
      <c r="D45" s="22"/>
      <c r="E45" s="24"/>
    </row>
    <row r="46" spans="2:5" ht="27" customHeight="1">
      <c r="B46" s="48"/>
      <c r="C46" s="27" t="s">
        <v>46</v>
      </c>
      <c r="D46" s="20" t="s">
        <v>47</v>
      </c>
      <c r="E46" s="21">
        <f>'G-Aftercare'!D84</f>
        <v>0</v>
      </c>
    </row>
    <row r="47" spans="2:5" ht="12.75" customHeight="1">
      <c r="B47" s="48"/>
      <c r="C47" s="27"/>
      <c r="D47" s="22"/>
      <c r="E47" s="24"/>
    </row>
    <row r="48" spans="2:5" ht="12.75" customHeight="1">
      <c r="B48" s="48"/>
      <c r="C48" s="27"/>
      <c r="D48" s="22"/>
      <c r="E48" s="24"/>
    </row>
    <row r="49" spans="2:5" ht="12.75" customHeight="1">
      <c r="B49" s="48"/>
      <c r="C49" s="32"/>
      <c r="D49" s="33"/>
      <c r="E49" s="34"/>
    </row>
    <row r="50" spans="2:5" ht="12.75" customHeight="1">
      <c r="B50" s="48"/>
      <c r="C50" s="27"/>
      <c r="D50" s="22"/>
      <c r="E50" s="24"/>
    </row>
    <row r="51" spans="2:5">
      <c r="D51" s="56"/>
    </row>
  </sheetData>
  <sheetProtection formatCells="0" formatColumns="0" formatRows="0" insertRows="0"/>
  <mergeCells count="1">
    <mergeCell ref="C1:D1"/>
  </mergeCells>
  <phoneticPr fontId="0" type="noConversion"/>
  <pageMargins left="0.39370078740157483" right="0.39370078740157483" top="1.4173228346456694" bottom="0.59055118110236227" header="0.35433070866141736" footer="0.27559055118110237"/>
  <pageSetup paperSize="9" scale="80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zoomScaleNormal="100" zoomScaleSheetLayoutView="100" zoomScalePageLayoutView="90" workbookViewId="0">
      <selection activeCell="N37" sqref="N37"/>
    </sheetView>
  </sheetViews>
  <sheetFormatPr defaultColWidth="9" defaultRowHeight="13.15"/>
  <cols>
    <col min="1" max="1" width="8.25" style="3" customWidth="1"/>
    <col min="2" max="2" width="72.75" style="2" customWidth="1"/>
    <col min="3" max="3" width="3.25" style="2" customWidth="1"/>
    <col min="4" max="4" width="23.875" style="4" customWidth="1"/>
    <col min="5" max="10" width="9" style="1"/>
    <col min="11" max="16384" width="9" style="2"/>
  </cols>
  <sheetData>
    <row r="1" spans="1:4">
      <c r="A1" s="14" t="s">
        <v>48</v>
      </c>
      <c r="B1" s="15"/>
      <c r="C1" s="15"/>
      <c r="D1" s="12"/>
    </row>
    <row r="2" spans="1:4" ht="14.25" customHeight="1">
      <c r="A2" s="6"/>
      <c r="B2" s="6"/>
      <c r="C2" s="6"/>
    </row>
    <row r="3" spans="1:4" ht="32.1" customHeight="1">
      <c r="A3" s="6">
        <v>1</v>
      </c>
      <c r="B3" s="103" t="s">
        <v>49</v>
      </c>
      <c r="C3" s="6"/>
    </row>
    <row r="4" spans="1:4" ht="14.25" customHeight="1">
      <c r="A4" s="6"/>
      <c r="B4" s="6"/>
      <c r="C4" s="6"/>
    </row>
    <row r="5" spans="1:4" ht="32.1" customHeight="1">
      <c r="A5" s="6">
        <v>2</v>
      </c>
      <c r="B5" s="160" t="s">
        <v>50</v>
      </c>
      <c r="C5" s="6"/>
    </row>
    <row r="6" spans="1:4" ht="14.25" customHeight="1">
      <c r="A6" s="6"/>
      <c r="B6" s="6"/>
      <c r="C6" s="6"/>
    </row>
    <row r="7" spans="1:4" ht="39.6" customHeight="1">
      <c r="A7" s="6">
        <v>3</v>
      </c>
      <c r="B7" s="103" t="s">
        <v>51</v>
      </c>
      <c r="C7" s="6"/>
    </row>
    <row r="8" spans="1:4" ht="14.25" customHeight="1">
      <c r="A8" s="6"/>
      <c r="B8" s="6"/>
      <c r="C8" s="6"/>
    </row>
    <row r="9" spans="1:4" ht="30.95" customHeight="1">
      <c r="A9" s="6">
        <v>4</v>
      </c>
      <c r="B9" s="102" t="s">
        <v>52</v>
      </c>
      <c r="C9" s="6"/>
    </row>
    <row r="10" spans="1:4" ht="14.25" customHeight="1">
      <c r="A10" s="6"/>
      <c r="B10" s="6"/>
      <c r="C10" s="6"/>
    </row>
    <row r="11" spans="1:4" ht="52.5" customHeight="1">
      <c r="A11" s="6"/>
      <c r="B11" s="103"/>
      <c r="C11" s="6"/>
    </row>
    <row r="12" spans="1:4" ht="14.25" customHeight="1">
      <c r="A12" s="6"/>
      <c r="B12" s="6"/>
      <c r="C12" s="6"/>
    </row>
    <row r="13" spans="1:4" ht="14.25" customHeight="1">
      <c r="A13" s="6"/>
      <c r="B13" s="6"/>
      <c r="C13" s="6"/>
    </row>
    <row r="14" spans="1:4" ht="14.25" customHeight="1">
      <c r="A14" s="6"/>
      <c r="B14" s="6"/>
      <c r="C14" s="6"/>
    </row>
    <row r="15" spans="1:4" ht="14.25" customHeight="1">
      <c r="A15" s="6"/>
      <c r="B15" s="6"/>
      <c r="C15" s="6"/>
    </row>
    <row r="16" spans="1:4" ht="14.25" customHeight="1">
      <c r="A16" s="6"/>
      <c r="B16" s="6"/>
      <c r="C16" s="6"/>
    </row>
    <row r="17" spans="1:10" ht="14.25" customHeight="1">
      <c r="A17" s="6"/>
      <c r="B17" s="6"/>
      <c r="C17" s="6"/>
    </row>
    <row r="18" spans="1:10" ht="14.25" customHeight="1">
      <c r="A18" s="6"/>
      <c r="B18" s="6"/>
      <c r="C18" s="6"/>
    </row>
    <row r="19" spans="1:10" ht="14.25" customHeight="1">
      <c r="A19" s="6"/>
      <c r="B19" s="6"/>
      <c r="C19" s="6"/>
    </row>
    <row r="20" spans="1:10" ht="14.25" customHeight="1">
      <c r="A20" s="6"/>
      <c r="B20" s="6"/>
      <c r="C20" s="6"/>
    </row>
    <row r="21" spans="1:10" ht="14.25" customHeight="1">
      <c r="A21" s="6"/>
      <c r="B21" s="6"/>
      <c r="C21" s="6"/>
    </row>
    <row r="22" spans="1:10" ht="14.25" customHeight="1">
      <c r="A22" s="6"/>
      <c r="B22" s="6"/>
      <c r="C22" s="6"/>
    </row>
    <row r="23" spans="1:10" ht="14.25" customHeight="1">
      <c r="A23" s="6"/>
      <c r="B23" s="6"/>
      <c r="C23" s="6"/>
    </row>
    <row r="24" spans="1:10" ht="14.25" customHeight="1">
      <c r="A24" s="6"/>
      <c r="B24" s="6"/>
      <c r="C24" s="6"/>
    </row>
    <row r="25" spans="1:10" ht="14.25" customHeight="1">
      <c r="A25" s="6"/>
      <c r="B25" s="6"/>
      <c r="C25" s="6"/>
    </row>
    <row r="26" spans="1:10" ht="14.25" customHeight="1">
      <c r="A26" s="6"/>
      <c r="B26" s="6"/>
      <c r="C26" s="6"/>
    </row>
    <row r="27" spans="1:10" ht="14.25" customHeight="1">
      <c r="A27" s="6"/>
      <c r="B27" s="6"/>
      <c r="C27" s="6"/>
    </row>
    <row r="28" spans="1:10" ht="14.25" customHeight="1">
      <c r="A28" s="6"/>
      <c r="B28" s="6"/>
      <c r="C28" s="6"/>
    </row>
    <row r="29" spans="1:10" ht="14.25" customHeight="1">
      <c r="A29" s="6"/>
      <c r="B29" s="6"/>
      <c r="C29" s="6"/>
    </row>
    <row r="30" spans="1:10" s="5" customFormat="1">
      <c r="A30" s="101"/>
      <c r="B30" s="6"/>
      <c r="C30" s="6"/>
      <c r="D30" s="13"/>
      <c r="E30" s="7"/>
      <c r="F30" s="7"/>
      <c r="G30" s="7"/>
      <c r="H30" s="7"/>
      <c r="I30" s="7"/>
      <c r="J30" s="7"/>
    </row>
    <row r="31" spans="1:10" s="5" customFormat="1">
      <c r="A31" s="101"/>
      <c r="B31" s="6"/>
      <c r="C31" s="6"/>
      <c r="D31" s="13"/>
      <c r="E31" s="7"/>
      <c r="F31" s="7"/>
      <c r="G31" s="7"/>
      <c r="H31" s="7"/>
      <c r="I31" s="7"/>
      <c r="J31" s="7"/>
    </row>
  </sheetData>
  <sheetProtection formatCells="0" formatColumns="0" formatRows="0" insertRows="0"/>
  <pageMargins left="0.39370078740157483" right="0.39370078740157483" top="1.4173228346456692" bottom="0.59055118110236215" header="0.3543307086614173" footer="0.27559055118110237"/>
  <pageSetup paperSize="9" scale="81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5"/>
  <sheetViews>
    <sheetView topLeftCell="A17" zoomScaleNormal="100" zoomScaleSheetLayoutView="100" zoomScalePageLayoutView="90" workbookViewId="0">
      <selection activeCell="N37" sqref="N37"/>
    </sheetView>
  </sheetViews>
  <sheetFormatPr defaultColWidth="9" defaultRowHeight="13.15"/>
  <cols>
    <col min="1" max="1" width="8.25" style="3" customWidth="1"/>
    <col min="2" max="2" width="72.75" style="2" customWidth="1"/>
    <col min="3" max="3" width="3.25" style="2" customWidth="1"/>
    <col min="4" max="4" width="23.875" style="4" customWidth="1"/>
    <col min="5" max="10" width="9" style="1"/>
    <col min="11" max="16384" width="9" style="2"/>
  </cols>
  <sheetData>
    <row r="1" spans="1:4">
      <c r="A1" s="14" t="s">
        <v>53</v>
      </c>
      <c r="B1" s="15"/>
      <c r="C1" s="15"/>
      <c r="D1" s="12"/>
    </row>
    <row r="2" spans="1:4" ht="14.25" customHeight="1">
      <c r="A2" s="6"/>
      <c r="B2" s="6"/>
      <c r="C2" s="6"/>
    </row>
    <row r="3" spans="1:4">
      <c r="A3" s="6"/>
      <c r="B3" s="104" t="s">
        <v>54</v>
      </c>
      <c r="C3" s="6"/>
    </row>
    <row r="4" spans="1:4" ht="14.25" customHeight="1">
      <c r="A4" s="6"/>
      <c r="B4" s="6"/>
      <c r="C4" s="6"/>
    </row>
    <row r="5" spans="1:4" ht="14.25" customHeight="1">
      <c r="A5" s="6">
        <v>1</v>
      </c>
      <c r="B5" s="203" t="s">
        <v>925</v>
      </c>
      <c r="C5" s="6"/>
    </row>
    <row r="6" spans="1:4" ht="14.25" customHeight="1">
      <c r="A6" s="6"/>
      <c r="B6" s="201" t="s">
        <v>930</v>
      </c>
      <c r="C6" s="6"/>
    </row>
    <row r="7" spans="1:4" ht="14.25" customHeight="1">
      <c r="A7" s="6"/>
      <c r="B7" s="201" t="s">
        <v>936</v>
      </c>
      <c r="C7" s="6"/>
    </row>
    <row r="8" spans="1:4" ht="29.45" customHeight="1">
      <c r="A8" s="6"/>
      <c r="B8" s="102" t="s">
        <v>937</v>
      </c>
      <c r="C8" s="6"/>
    </row>
    <row r="9" spans="1:4" ht="12.75">
      <c r="A9" s="6"/>
      <c r="B9" s="102" t="s">
        <v>988</v>
      </c>
      <c r="C9" s="6"/>
    </row>
    <row r="10" spans="1:4" ht="14.25" customHeight="1">
      <c r="A10" s="6"/>
      <c r="B10" s="201" t="s">
        <v>975</v>
      </c>
      <c r="C10" s="6"/>
    </row>
    <row r="11" spans="1:4" ht="14.25" customHeight="1">
      <c r="A11" s="6"/>
      <c r="B11" s="201" t="s">
        <v>986</v>
      </c>
      <c r="C11" s="6"/>
    </row>
    <row r="12" spans="1:4" ht="14.25" customHeight="1">
      <c r="A12" s="6"/>
      <c r="B12" s="201" t="s">
        <v>976</v>
      </c>
      <c r="C12" s="6"/>
    </row>
    <row r="13" spans="1:4" ht="14.25" customHeight="1">
      <c r="A13" s="6"/>
      <c r="B13" s="201" t="s">
        <v>979</v>
      </c>
      <c r="C13" s="6"/>
    </row>
    <row r="14" spans="1:4" ht="14.25" customHeight="1">
      <c r="A14" s="6"/>
      <c r="B14" s="201" t="s">
        <v>980</v>
      </c>
      <c r="C14" s="6"/>
    </row>
    <row r="15" spans="1:4" ht="38.25">
      <c r="A15" s="6"/>
      <c r="B15" s="102" t="s">
        <v>981</v>
      </c>
      <c r="C15" s="6"/>
    </row>
    <row r="16" spans="1:4" ht="25.5">
      <c r="A16" s="6"/>
      <c r="B16" s="102" t="s">
        <v>982</v>
      </c>
      <c r="C16" s="6"/>
    </row>
    <row r="17" spans="1:3" ht="29.25" customHeight="1">
      <c r="A17" s="6"/>
      <c r="B17" s="102" t="s">
        <v>983</v>
      </c>
      <c r="C17" s="6"/>
    </row>
    <row r="18" spans="1:3" ht="14.25" customHeight="1">
      <c r="A18" s="6"/>
      <c r="B18" s="201"/>
      <c r="C18" s="6"/>
    </row>
    <row r="19" spans="1:3" ht="14.25" customHeight="1">
      <c r="A19" s="6"/>
      <c r="B19" s="201"/>
      <c r="C19" s="6"/>
    </row>
    <row r="20" spans="1:3" ht="14.25" customHeight="1">
      <c r="A20" s="6">
        <v>2</v>
      </c>
      <c r="B20" s="203" t="s">
        <v>926</v>
      </c>
      <c r="C20" s="6"/>
    </row>
    <row r="21" spans="1:3" ht="25.5">
      <c r="A21" s="6"/>
      <c r="B21" s="102" t="s">
        <v>931</v>
      </c>
      <c r="C21" s="6"/>
    </row>
    <row r="22" spans="1:3" ht="12.75">
      <c r="A22" s="6"/>
      <c r="B22" s="102" t="s">
        <v>969</v>
      </c>
      <c r="C22" s="6"/>
    </row>
    <row r="23" spans="1:3" ht="12.75">
      <c r="A23" s="6"/>
      <c r="B23" s="102"/>
      <c r="C23" s="6"/>
    </row>
    <row r="24" spans="1:3" ht="14.25" customHeight="1">
      <c r="A24" s="6"/>
      <c r="B24" s="201"/>
      <c r="C24" s="6"/>
    </row>
    <row r="25" spans="1:3" ht="14.25" customHeight="1">
      <c r="A25" s="6">
        <v>3</v>
      </c>
      <c r="B25" s="203" t="s">
        <v>927</v>
      </c>
      <c r="C25" s="6"/>
    </row>
    <row r="26" spans="1:3" ht="14.25" customHeight="1">
      <c r="A26" s="6"/>
      <c r="B26" s="201" t="s">
        <v>932</v>
      </c>
      <c r="C26" s="6"/>
    </row>
    <row r="27" spans="1:3" ht="14.25" customHeight="1">
      <c r="A27" s="6"/>
      <c r="B27" s="201" t="s">
        <v>934</v>
      </c>
      <c r="C27" s="6"/>
    </row>
    <row r="28" spans="1:3" ht="14.25" customHeight="1">
      <c r="A28" s="6"/>
      <c r="B28" s="201" t="s">
        <v>935</v>
      </c>
      <c r="C28" s="6"/>
    </row>
    <row r="29" spans="1:3" ht="14.25" customHeight="1">
      <c r="A29" s="6"/>
      <c r="B29" s="201" t="s">
        <v>972</v>
      </c>
      <c r="C29" s="6"/>
    </row>
    <row r="30" spans="1:3" ht="14.25" customHeight="1">
      <c r="A30" s="6"/>
      <c r="B30" s="201" t="s">
        <v>973</v>
      </c>
      <c r="C30" s="6"/>
    </row>
    <row r="31" spans="1:3" ht="14.25" customHeight="1">
      <c r="A31" s="6"/>
      <c r="B31" s="201"/>
      <c r="C31" s="6"/>
    </row>
    <row r="32" spans="1:3" ht="14.25" customHeight="1">
      <c r="A32" s="6">
        <v>4</v>
      </c>
      <c r="B32" s="203" t="s">
        <v>938</v>
      </c>
      <c r="C32" s="6"/>
    </row>
    <row r="33" spans="1:3" ht="25.5">
      <c r="A33" s="6"/>
      <c r="B33" s="102" t="s">
        <v>970</v>
      </c>
      <c r="C33" s="6"/>
    </row>
    <row r="34" spans="1:3" ht="14.25" customHeight="1">
      <c r="A34" s="6"/>
      <c r="B34" s="201" t="s">
        <v>954</v>
      </c>
      <c r="C34" s="6"/>
    </row>
    <row r="35" spans="1:3" ht="14.25" customHeight="1">
      <c r="A35" s="6"/>
      <c r="B35" s="201" t="s">
        <v>996</v>
      </c>
      <c r="C35" s="6"/>
    </row>
    <row r="36" spans="1:3" ht="14.25" customHeight="1">
      <c r="A36" s="6"/>
      <c r="B36" s="201" t="s">
        <v>997</v>
      </c>
      <c r="C36" s="6"/>
    </row>
    <row r="37" spans="1:3" ht="14.25" customHeight="1">
      <c r="A37" s="6"/>
      <c r="B37" s="201" t="s">
        <v>999</v>
      </c>
      <c r="C37" s="6"/>
    </row>
    <row r="38" spans="1:3" ht="14.25" customHeight="1">
      <c r="A38" s="6"/>
      <c r="B38" s="201" t="s">
        <v>1001</v>
      </c>
      <c r="C38" s="6"/>
    </row>
    <row r="39" spans="1:3" ht="14.25" customHeight="1">
      <c r="A39" s="6"/>
      <c r="B39" s="201" t="s">
        <v>1020</v>
      </c>
      <c r="C39" s="6"/>
    </row>
    <row r="40" spans="1:3" ht="14.25" customHeight="1">
      <c r="A40" s="6"/>
      <c r="B40" s="201"/>
      <c r="C40" s="6"/>
    </row>
    <row r="41" spans="1:3" ht="14.25" customHeight="1">
      <c r="A41" s="6">
        <v>5</v>
      </c>
      <c r="B41" s="203" t="s">
        <v>928</v>
      </c>
      <c r="C41" s="6"/>
    </row>
    <row r="42" spans="1:3" ht="14.25" customHeight="1">
      <c r="A42" s="6"/>
      <c r="B42" s="201" t="s">
        <v>1002</v>
      </c>
      <c r="C42" s="6"/>
    </row>
    <row r="43" spans="1:3" ht="14.25" customHeight="1">
      <c r="A43" s="6"/>
      <c r="B43" s="201"/>
      <c r="C43" s="6"/>
    </row>
    <row r="44" spans="1:3" ht="14.25" customHeight="1">
      <c r="A44" s="6">
        <v>6</v>
      </c>
      <c r="B44" s="203" t="s">
        <v>929</v>
      </c>
      <c r="C44" s="6"/>
    </row>
    <row r="45" spans="1:3" ht="14.25" customHeight="1">
      <c r="A45" s="6"/>
      <c r="B45" s="201" t="s">
        <v>1010</v>
      </c>
      <c r="C45" s="6"/>
    </row>
    <row r="46" spans="1:3" ht="14.25" customHeight="1">
      <c r="A46" s="6"/>
      <c r="B46" s="201" t="s">
        <v>1011</v>
      </c>
      <c r="C46" s="6"/>
    </row>
    <row r="47" spans="1:3" ht="14.25" customHeight="1">
      <c r="A47" s="6"/>
      <c r="B47" s="201" t="s">
        <v>1012</v>
      </c>
      <c r="C47" s="6"/>
    </row>
    <row r="48" spans="1:3" ht="14.25" customHeight="1">
      <c r="A48" s="6"/>
      <c r="B48" s="201" t="s">
        <v>1013</v>
      </c>
      <c r="C48" s="6"/>
    </row>
    <row r="49" spans="1:3" ht="14.25" customHeight="1">
      <c r="A49" s="6"/>
      <c r="B49" s="201" t="s">
        <v>1014</v>
      </c>
      <c r="C49" s="6"/>
    </row>
    <row r="50" spans="1:3" ht="14.25" customHeight="1">
      <c r="A50" s="6"/>
      <c r="B50" s="201" t="s">
        <v>1015</v>
      </c>
      <c r="C50" s="6"/>
    </row>
    <row r="51" spans="1:3" ht="14.25" customHeight="1">
      <c r="A51" s="6"/>
      <c r="B51" s="201" t="s">
        <v>1016</v>
      </c>
      <c r="C51" s="6"/>
    </row>
    <row r="52" spans="1:3" ht="14.25" customHeight="1">
      <c r="A52" s="6"/>
      <c r="B52" s="201"/>
      <c r="C52" s="6"/>
    </row>
    <row r="53" spans="1:3" ht="14.25" customHeight="1">
      <c r="A53" s="6"/>
      <c r="B53" s="201"/>
      <c r="C53" s="6"/>
    </row>
    <row r="54" spans="1:3" ht="14.25" customHeight="1">
      <c r="A54" s="6"/>
      <c r="B54" s="201"/>
      <c r="C54" s="6"/>
    </row>
    <row r="55" spans="1:3" ht="14.25" customHeight="1">
      <c r="A55" s="6">
        <v>7</v>
      </c>
      <c r="B55" s="203" t="s">
        <v>1005</v>
      </c>
      <c r="C55" s="6"/>
    </row>
    <row r="56" spans="1:3" ht="14.25" customHeight="1">
      <c r="A56" s="6"/>
      <c r="B56" s="201" t="s">
        <v>1006</v>
      </c>
      <c r="C56" s="6"/>
    </row>
    <row r="57" spans="1:3" ht="22.5" customHeight="1">
      <c r="A57" s="6"/>
      <c r="B57" s="102" t="s">
        <v>1007</v>
      </c>
      <c r="C57" s="6"/>
    </row>
    <row r="58" spans="1:3" ht="14.25" customHeight="1">
      <c r="A58" s="6"/>
      <c r="B58" s="6"/>
      <c r="C58" s="6"/>
    </row>
    <row r="59" spans="1:3" ht="14.25" customHeight="1">
      <c r="A59" s="6"/>
      <c r="B59" s="6"/>
      <c r="C59" s="6"/>
    </row>
    <row r="60" spans="1:3" ht="14.25" customHeight="1">
      <c r="A60" s="6"/>
      <c r="B60" s="6"/>
      <c r="C60" s="6"/>
    </row>
    <row r="61" spans="1:3" ht="14.25" customHeight="1">
      <c r="A61" s="6"/>
      <c r="B61" s="6"/>
      <c r="C61" s="6"/>
    </row>
    <row r="62" spans="1:3" ht="14.25" customHeight="1">
      <c r="A62" s="14" t="s">
        <v>55</v>
      </c>
      <c r="B62" s="15"/>
      <c r="C62" s="6"/>
    </row>
    <row r="63" spans="1:3" ht="14.25" customHeight="1">
      <c r="A63" s="6"/>
      <c r="B63" s="6"/>
      <c r="C63" s="6"/>
    </row>
    <row r="64" spans="1:3" ht="14.25" customHeight="1">
      <c r="A64" s="6"/>
      <c r="B64" s="104" t="s">
        <v>56</v>
      </c>
      <c r="C64" s="6"/>
    </row>
    <row r="65" spans="1:10" ht="14.25" customHeight="1">
      <c r="A65" s="6"/>
      <c r="B65" s="6"/>
      <c r="C65" s="6"/>
    </row>
    <row r="66" spans="1:10" ht="14.25" customHeight="1">
      <c r="A66" s="6">
        <v>1</v>
      </c>
      <c r="B66" s="201" t="s">
        <v>1003</v>
      </c>
      <c r="C66" s="6"/>
    </row>
    <row r="67" spans="1:10" s="5" customFormat="1" ht="12.75">
      <c r="A67" s="6">
        <v>2</v>
      </c>
      <c r="B67" s="5" t="s">
        <v>933</v>
      </c>
      <c r="C67" s="6"/>
      <c r="D67" s="13"/>
      <c r="E67" s="7"/>
      <c r="F67" s="7"/>
      <c r="G67" s="7"/>
      <c r="H67" s="7"/>
      <c r="I67" s="7"/>
      <c r="J67" s="7"/>
    </row>
    <row r="68" spans="1:10" s="5" customFormat="1" ht="12.75">
      <c r="A68" s="6">
        <v>3</v>
      </c>
      <c r="B68" s="5" t="s">
        <v>1023</v>
      </c>
      <c r="C68" s="6"/>
      <c r="D68" s="13"/>
      <c r="E68" s="7"/>
      <c r="F68" s="7"/>
      <c r="G68" s="7"/>
      <c r="H68" s="7"/>
      <c r="I68" s="7"/>
      <c r="J68" s="7"/>
    </row>
    <row r="69" spans="1:10" ht="12.75">
      <c r="A69" s="6">
        <v>4</v>
      </c>
      <c r="B69" s="201" t="s">
        <v>1004</v>
      </c>
    </row>
    <row r="70" spans="1:10" ht="12.75">
      <c r="A70" s="6">
        <v>5</v>
      </c>
      <c r="B70" s="201" t="s">
        <v>1017</v>
      </c>
    </row>
    <row r="71" spans="1:10" ht="12.75">
      <c r="A71" s="6">
        <v>6</v>
      </c>
      <c r="B71" s="6"/>
    </row>
    <row r="72" spans="1:10" ht="12.75">
      <c r="A72" s="6">
        <v>7</v>
      </c>
      <c r="B72" s="6"/>
    </row>
    <row r="73" spans="1:10" ht="12.75">
      <c r="A73" s="6">
        <v>8</v>
      </c>
      <c r="B73" s="6"/>
    </row>
    <row r="74" spans="1:10" ht="12.75">
      <c r="A74" s="6">
        <v>9</v>
      </c>
      <c r="B74" s="6"/>
    </row>
    <row r="75" spans="1:10" ht="12.75">
      <c r="A75" s="6">
        <v>10</v>
      </c>
      <c r="B75" s="6"/>
    </row>
  </sheetData>
  <sheetProtection formatCells="0" formatColumns="0" formatRows="0" insertRows="0"/>
  <pageMargins left="0.39370078740157483" right="0.39370078740157483" top="1.4173228346456692" bottom="0.59055118110236215" header="0.3543307086614173" footer="0.27559055118110237"/>
  <pageSetup paperSize="9" scale="76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rowBreaks count="1" manualBreakCount="1">
    <brk id="61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8B69-712D-4BCE-8CDF-93E5B34BF8DC}">
  <dimension ref="A1:J42"/>
  <sheetViews>
    <sheetView view="pageBreakPreview" zoomScale="60" zoomScaleNormal="100" zoomScalePageLayoutView="90" workbookViewId="0">
      <selection activeCell="H51" sqref="H51"/>
    </sheetView>
  </sheetViews>
  <sheetFormatPr defaultColWidth="9" defaultRowHeight="13.9"/>
  <cols>
    <col min="1" max="1" width="8.25" style="19" customWidth="1"/>
    <col min="2" max="2" width="76.25" style="48" customWidth="1"/>
    <col min="3" max="3" width="2.125" style="48" customWidth="1"/>
    <col min="4" max="4" width="20.125" style="49" customWidth="1"/>
    <col min="5" max="10" width="9" style="47"/>
    <col min="11" max="16384" width="9" style="48"/>
  </cols>
  <sheetData>
    <row r="1" spans="1:10">
      <c r="A1" s="213" t="s">
        <v>57</v>
      </c>
      <c r="B1" s="213"/>
      <c r="C1" s="213"/>
      <c r="D1" s="46"/>
    </row>
    <row r="2" spans="1:10" ht="14.25" customHeight="1">
      <c r="A2" s="16"/>
      <c r="B2" s="16"/>
      <c r="C2" s="16"/>
    </row>
    <row r="3" spans="1:10" s="54" customFormat="1" ht="33.75" customHeight="1">
      <c r="A3" s="50" t="s">
        <v>7</v>
      </c>
      <c r="B3" s="51" t="s">
        <v>58</v>
      </c>
      <c r="C3" s="50"/>
      <c r="D3" s="52" t="s">
        <v>9</v>
      </c>
      <c r="E3" s="53"/>
      <c r="F3" s="53"/>
      <c r="G3" s="53"/>
      <c r="H3" s="53"/>
      <c r="I3" s="53"/>
      <c r="J3" s="53"/>
    </row>
    <row r="4" spans="1:10" ht="15" customHeight="1">
      <c r="A4" s="16"/>
      <c r="B4" s="17"/>
      <c r="C4" s="25"/>
      <c r="D4" s="36"/>
    </row>
    <row r="5" spans="1:10" ht="15" customHeight="1">
      <c r="A5" s="16" t="s">
        <v>10</v>
      </c>
      <c r="B5" s="17" t="s">
        <v>59</v>
      </c>
      <c r="C5" s="25" t="s">
        <v>60</v>
      </c>
      <c r="D5" s="36">
        <f>'A1-Preliminaries'!H42</f>
        <v>93578</v>
      </c>
    </row>
    <row r="6" spans="1:10" ht="15" customHeight="1">
      <c r="A6" s="16"/>
      <c r="B6" s="17"/>
      <c r="C6" s="25"/>
      <c r="D6" s="36"/>
    </row>
    <row r="7" spans="1:10" ht="15" customHeight="1">
      <c r="A7" s="16" t="s">
        <v>12</v>
      </c>
      <c r="B7" s="17" t="s">
        <v>61</v>
      </c>
      <c r="C7" s="25" t="s">
        <v>60</v>
      </c>
      <c r="D7" s="36">
        <f>'A1-Preliminaries'!H46</f>
        <v>0</v>
      </c>
      <c r="E7" s="48"/>
      <c r="F7" s="48"/>
      <c r="G7" s="48"/>
      <c r="H7" s="48"/>
      <c r="I7" s="48"/>
      <c r="J7" s="48"/>
    </row>
    <row r="8" spans="1:10" ht="15" customHeight="1">
      <c r="A8" s="16"/>
      <c r="B8" s="17"/>
      <c r="C8" s="25"/>
      <c r="D8" s="36"/>
      <c r="J8" s="48"/>
    </row>
    <row r="9" spans="1:10" ht="15" customHeight="1">
      <c r="A9" s="16" t="s">
        <v>14</v>
      </c>
      <c r="B9" s="17" t="s">
        <v>62</v>
      </c>
      <c r="C9" s="25" t="s">
        <v>60</v>
      </c>
      <c r="D9" s="36">
        <f>'A1-Preliminaries'!H62</f>
        <v>0</v>
      </c>
      <c r="J9" s="48"/>
    </row>
    <row r="10" spans="1:10" ht="15" customHeight="1">
      <c r="A10" s="16"/>
      <c r="B10" s="154"/>
      <c r="C10" s="25"/>
      <c r="D10" s="36"/>
      <c r="J10" s="48"/>
    </row>
    <row r="11" spans="1:10" ht="15" customHeight="1">
      <c r="A11" s="16" t="s">
        <v>16</v>
      </c>
      <c r="B11" s="37" t="s">
        <v>63</v>
      </c>
      <c r="C11" s="25" t="s">
        <v>60</v>
      </c>
      <c r="D11" s="36">
        <f>'A1-Preliminaries'!H91</f>
        <v>431080</v>
      </c>
      <c r="J11" s="48"/>
    </row>
    <row r="12" spans="1:10" ht="15" customHeight="1">
      <c r="A12" s="16"/>
      <c r="B12" s="22"/>
      <c r="C12" s="25"/>
      <c r="D12" s="36"/>
      <c r="J12" s="48"/>
    </row>
    <row r="13" spans="1:10" ht="15" customHeight="1">
      <c r="A13" s="16" t="s">
        <v>26</v>
      </c>
      <c r="B13" s="26" t="s">
        <v>64</v>
      </c>
      <c r="C13" s="25" t="s">
        <v>60</v>
      </c>
      <c r="D13" s="36">
        <f>'A1-Preliminaries'!H112</f>
        <v>111600</v>
      </c>
      <c r="J13" s="48"/>
    </row>
    <row r="14" spans="1:10" ht="15" customHeight="1">
      <c r="A14" s="16"/>
      <c r="B14" s="26"/>
      <c r="C14" s="25"/>
      <c r="D14" s="36"/>
      <c r="J14" s="48"/>
    </row>
    <row r="15" spans="1:10" ht="15" customHeight="1">
      <c r="A15" s="16" t="s">
        <v>28</v>
      </c>
      <c r="B15" s="26" t="s">
        <v>65</v>
      </c>
      <c r="C15" s="25" t="s">
        <v>60</v>
      </c>
      <c r="D15" s="36">
        <f>'A1-Preliminaries'!H123</f>
        <v>222670</v>
      </c>
      <c r="J15" s="48"/>
    </row>
    <row r="16" spans="1:10" ht="15" customHeight="1">
      <c r="A16" s="16"/>
      <c r="B16" s="26"/>
      <c r="C16" s="25"/>
      <c r="D16" s="36"/>
      <c r="J16" s="48"/>
    </row>
    <row r="17" spans="1:9" s="48" customFormat="1" ht="15" customHeight="1">
      <c r="A17" s="16" t="s">
        <v>30</v>
      </c>
      <c r="B17" s="26" t="s">
        <v>66</v>
      </c>
      <c r="C17" s="25" t="s">
        <v>60</v>
      </c>
      <c r="D17" s="36">
        <f>'A1-Preliminaries'!H130</f>
        <v>16640</v>
      </c>
      <c r="E17" s="47"/>
      <c r="F17" s="47"/>
      <c r="G17" s="47"/>
      <c r="H17" s="47"/>
      <c r="I17" s="47"/>
    </row>
    <row r="18" spans="1:9" s="48" customFormat="1" ht="15" customHeight="1">
      <c r="A18" s="16"/>
      <c r="B18" s="26"/>
      <c r="C18" s="25"/>
      <c r="D18" s="36"/>
      <c r="E18" s="47"/>
      <c r="F18" s="47"/>
      <c r="G18" s="47"/>
      <c r="H18" s="47"/>
      <c r="I18" s="47"/>
    </row>
    <row r="19" spans="1:9" s="48" customFormat="1" ht="15" customHeight="1">
      <c r="A19" s="16" t="s">
        <v>33</v>
      </c>
      <c r="B19" s="26" t="s">
        <v>67</v>
      </c>
      <c r="C19" s="25" t="s">
        <v>60</v>
      </c>
      <c r="D19" s="36">
        <f>'A1-Preliminaries'!H143</f>
        <v>73550</v>
      </c>
      <c r="E19" s="47"/>
      <c r="F19" s="47"/>
      <c r="G19" s="47"/>
      <c r="H19" s="47"/>
      <c r="I19" s="47"/>
    </row>
    <row r="20" spans="1:9" s="48" customFormat="1" ht="15" customHeight="1">
      <c r="A20" s="16"/>
      <c r="B20" s="22"/>
      <c r="C20" s="25"/>
      <c r="D20" s="36"/>
      <c r="E20" s="47"/>
      <c r="F20" s="47"/>
      <c r="G20" s="47"/>
      <c r="H20" s="47"/>
      <c r="I20" s="47"/>
    </row>
    <row r="21" spans="1:9" s="48" customFormat="1" ht="15" customHeight="1">
      <c r="A21" s="16" t="s">
        <v>68</v>
      </c>
      <c r="B21" s="17" t="s">
        <v>69</v>
      </c>
      <c r="C21" s="25" t="s">
        <v>60</v>
      </c>
      <c r="D21" s="36">
        <f>'A1-Preliminaries'!H153</f>
        <v>9100</v>
      </c>
      <c r="E21" s="47"/>
      <c r="F21" s="47"/>
      <c r="G21" s="47"/>
      <c r="H21" s="47"/>
      <c r="I21" s="47"/>
    </row>
    <row r="22" spans="1:9" s="48" customFormat="1" ht="15" customHeight="1">
      <c r="A22" s="16"/>
      <c r="B22" s="17"/>
      <c r="C22" s="25"/>
      <c r="D22" s="36"/>
      <c r="E22" s="47"/>
      <c r="F22" s="47"/>
      <c r="G22" s="47"/>
      <c r="H22" s="47"/>
      <c r="I22" s="47"/>
    </row>
    <row r="23" spans="1:9" s="48" customFormat="1" ht="15" customHeight="1">
      <c r="A23" s="16" t="s">
        <v>40</v>
      </c>
      <c r="B23" s="17" t="s">
        <v>70</v>
      </c>
      <c r="C23" s="25" t="s">
        <v>60</v>
      </c>
      <c r="D23" s="36">
        <f>'A1-Preliminaries'!H167</f>
        <v>137149</v>
      </c>
      <c r="E23" s="47"/>
      <c r="F23" s="47"/>
      <c r="G23" s="47"/>
      <c r="H23" s="47"/>
      <c r="I23" s="47"/>
    </row>
    <row r="24" spans="1:9" s="48" customFormat="1" ht="15" customHeight="1">
      <c r="A24" s="16"/>
      <c r="B24" s="17"/>
      <c r="C24" s="25"/>
      <c r="D24" s="36"/>
      <c r="E24" s="47"/>
      <c r="F24" s="47"/>
      <c r="G24" s="47"/>
      <c r="H24" s="47"/>
      <c r="I24" s="47"/>
    </row>
    <row r="25" spans="1:9" s="48" customFormat="1" ht="15" customHeight="1">
      <c r="A25" s="16" t="s">
        <v>42</v>
      </c>
      <c r="B25" s="26" t="s">
        <v>71</v>
      </c>
      <c r="C25" s="25" t="s">
        <v>60</v>
      </c>
      <c r="D25" s="36">
        <f>'A1-Preliminaries'!H175</f>
        <v>0</v>
      </c>
      <c r="E25" s="47"/>
      <c r="F25" s="47"/>
      <c r="G25" s="47"/>
      <c r="H25" s="47"/>
      <c r="I25" s="47"/>
    </row>
    <row r="26" spans="1:9" s="48" customFormat="1" ht="15" customHeight="1">
      <c r="A26" s="16"/>
      <c r="B26" s="17"/>
      <c r="C26" s="25"/>
      <c r="D26" s="36"/>
      <c r="E26" s="47"/>
      <c r="F26" s="47"/>
      <c r="G26" s="47"/>
      <c r="H26" s="47"/>
      <c r="I26" s="47"/>
    </row>
    <row r="27" spans="1:9" s="48" customFormat="1" ht="15" customHeight="1">
      <c r="A27" s="16" t="s">
        <v>46</v>
      </c>
      <c r="B27" s="17" t="s">
        <v>72</v>
      </c>
      <c r="C27" s="25" t="s">
        <v>60</v>
      </c>
      <c r="D27" s="36">
        <f>'A1-Preliminaries'!H187</f>
        <v>69128</v>
      </c>
      <c r="E27" s="47"/>
      <c r="F27" s="47"/>
      <c r="G27" s="47"/>
      <c r="H27" s="47"/>
      <c r="I27" s="47"/>
    </row>
    <row r="28" spans="1:9" s="48" customFormat="1" ht="15" customHeight="1">
      <c r="A28" s="16"/>
      <c r="B28" s="17"/>
      <c r="C28" s="25"/>
      <c r="D28" s="36"/>
      <c r="E28" s="47"/>
      <c r="F28" s="47"/>
      <c r="G28" s="47"/>
      <c r="H28" s="47"/>
      <c r="I28" s="47"/>
    </row>
    <row r="29" spans="1:9" s="48" customFormat="1" ht="15" customHeight="1">
      <c r="A29" s="16" t="s">
        <v>73</v>
      </c>
      <c r="B29" s="17" t="s">
        <v>74</v>
      </c>
      <c r="C29" s="25" t="s">
        <v>60</v>
      </c>
      <c r="D29" s="36">
        <f>'A1-Preliminaries'!H198</f>
        <v>0</v>
      </c>
      <c r="E29" s="47"/>
      <c r="F29" s="47"/>
      <c r="G29" s="47"/>
      <c r="H29" s="47"/>
      <c r="I29" s="47"/>
    </row>
    <row r="30" spans="1:9" s="48" customFormat="1" ht="15" customHeight="1">
      <c r="A30" s="16"/>
      <c r="B30" s="26"/>
      <c r="C30" s="25"/>
      <c r="D30" s="36"/>
      <c r="E30" s="47"/>
      <c r="F30" s="47"/>
      <c r="G30" s="47"/>
      <c r="H30" s="47"/>
      <c r="I30" s="47"/>
    </row>
    <row r="31" spans="1:9" s="48" customFormat="1" ht="15" customHeight="1">
      <c r="A31" s="16" t="s">
        <v>75</v>
      </c>
      <c r="B31" s="17" t="s">
        <v>76</v>
      </c>
      <c r="C31" s="25" t="s">
        <v>60</v>
      </c>
      <c r="D31" s="36">
        <f>'A1-Preliminaries'!H213</f>
        <v>10000</v>
      </c>
      <c r="E31" s="47"/>
      <c r="F31" s="47"/>
      <c r="G31" s="47"/>
      <c r="H31" s="47"/>
      <c r="I31" s="47"/>
    </row>
    <row r="32" spans="1:9" s="48" customFormat="1" ht="15" customHeight="1">
      <c r="A32" s="16"/>
      <c r="B32" s="26"/>
      <c r="C32" s="25"/>
      <c r="D32" s="36"/>
      <c r="E32" s="47"/>
      <c r="F32" s="47"/>
      <c r="G32" s="47"/>
      <c r="H32" s="47"/>
      <c r="I32" s="47"/>
    </row>
    <row r="33" spans="1:10" ht="15" customHeight="1">
      <c r="A33" s="16" t="s">
        <v>77</v>
      </c>
      <c r="B33" s="17" t="s">
        <v>78</v>
      </c>
      <c r="C33" s="25" t="s">
        <v>60</v>
      </c>
      <c r="D33" s="36">
        <f>'A1-Preliminaries'!H231</f>
        <v>62370</v>
      </c>
      <c r="J33" s="48"/>
    </row>
    <row r="34" spans="1:10" ht="15" customHeight="1">
      <c r="A34" s="16"/>
      <c r="B34" s="22"/>
      <c r="C34" s="25"/>
      <c r="D34" s="36"/>
      <c r="J34" s="48"/>
    </row>
    <row r="35" spans="1:10" ht="15" customHeight="1">
      <c r="A35" s="16" t="s">
        <v>79</v>
      </c>
      <c r="B35" s="26" t="s">
        <v>80</v>
      </c>
      <c r="C35" s="25" t="s">
        <v>60</v>
      </c>
      <c r="D35" s="36" t="e">
        <f>'A1-Preliminaries'!#REF!</f>
        <v>#REF!</v>
      </c>
      <c r="J35" s="48"/>
    </row>
    <row r="36" spans="1:10" ht="15" customHeight="1">
      <c r="A36" s="16"/>
      <c r="B36" s="26"/>
      <c r="C36" s="25"/>
      <c r="D36" s="36"/>
      <c r="J36" s="48"/>
    </row>
    <row r="37" spans="1:10" ht="12.75" customHeight="1">
      <c r="A37" s="16"/>
      <c r="B37" s="17"/>
      <c r="C37" s="25"/>
      <c r="D37" s="36"/>
      <c r="J37" s="48"/>
    </row>
    <row r="38" spans="1:10" ht="18" customHeight="1">
      <c r="A38" s="42"/>
      <c r="B38" s="43" t="s">
        <v>81</v>
      </c>
      <c r="C38" s="44" t="s">
        <v>60</v>
      </c>
      <c r="D38" s="45" t="e">
        <f>SUM(D4:D37)</f>
        <v>#REF!</v>
      </c>
      <c r="J38" s="48"/>
    </row>
    <row r="39" spans="1:10">
      <c r="B39" s="55"/>
      <c r="C39" s="55"/>
      <c r="D39" s="56"/>
      <c r="J39" s="48"/>
    </row>
    <row r="40" spans="1:10" ht="10.5" customHeight="1">
      <c r="A40" s="214"/>
      <c r="B40" s="215"/>
      <c r="C40" s="215"/>
      <c r="D40" s="48"/>
    </row>
    <row r="41" spans="1:10">
      <c r="B41" s="16"/>
      <c r="C41" s="16"/>
      <c r="D41" s="56"/>
    </row>
    <row r="42" spans="1:10">
      <c r="B42" s="16"/>
      <c r="C42" s="16"/>
      <c r="D42" s="56"/>
    </row>
  </sheetData>
  <sheetProtection formatCells="0" formatColumns="0" formatRows="0" insertRows="0"/>
  <mergeCells count="2">
    <mergeCell ref="A1:C1"/>
    <mergeCell ref="A40:C40"/>
  </mergeCells>
  <pageMargins left="0.39370078740157483" right="0.39370078740157483" top="1.4173228346456692" bottom="0.59055118110236215" header="0.3543307086614173" footer="0.27559055118110237"/>
  <pageSetup paperSize="9" scale="81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241"/>
  <sheetViews>
    <sheetView zoomScale="110" zoomScaleNormal="110" zoomScaleSheetLayoutView="100" zoomScalePageLayoutView="90" workbookViewId="0">
      <pane xSplit="1" ySplit="6" topLeftCell="B132" activePane="bottomRight" state="frozen"/>
      <selection activeCell="N37" sqref="N37"/>
      <selection pane="topRight" activeCell="N37" sqref="N37"/>
      <selection pane="bottomLeft" activeCell="N37" sqref="N37"/>
      <selection pane="bottomRight" activeCell="C136" sqref="C136"/>
    </sheetView>
  </sheetViews>
  <sheetFormatPr defaultColWidth="9" defaultRowHeight="13.9"/>
  <cols>
    <col min="1" max="1" width="8.25" style="19" customWidth="1"/>
    <col min="2" max="2" width="53.875" style="48" customWidth="1"/>
    <col min="3" max="3" width="16.375" style="184" customWidth="1"/>
    <col min="4" max="4" width="7.875" style="48" bestFit="1" customWidth="1"/>
    <col min="5" max="5" width="5.75" style="48" bestFit="1" customWidth="1"/>
    <col min="6" max="6" width="6.75" style="48" bestFit="1" customWidth="1"/>
    <col min="7" max="7" width="3.25" style="48" customWidth="1"/>
    <col min="8" max="8" width="22.25" style="49" customWidth="1"/>
    <col min="9" max="9" width="21.75" style="47" customWidth="1"/>
    <col min="10" max="10" width="45.625" style="47" bestFit="1" customWidth="1"/>
    <col min="11" max="14" width="9" style="47"/>
    <col min="15" max="16384" width="9" style="48"/>
  </cols>
  <sheetData>
    <row r="1" spans="1:14">
      <c r="A1" s="159" t="s">
        <v>82</v>
      </c>
      <c r="B1" s="159"/>
      <c r="C1" s="175"/>
      <c r="D1" s="159"/>
      <c r="E1" s="159"/>
      <c r="F1" s="159"/>
      <c r="G1" s="159"/>
      <c r="H1" s="46"/>
    </row>
    <row r="2" spans="1:14" ht="14.25" customHeight="1">
      <c r="A2" s="16"/>
      <c r="B2" s="16"/>
      <c r="C2" s="176"/>
      <c r="D2" s="16"/>
      <c r="E2" s="16"/>
      <c r="F2" s="16"/>
      <c r="G2" s="16"/>
      <c r="H2" s="190" t="s">
        <v>746</v>
      </c>
      <c r="I2" s="189">
        <v>52</v>
      </c>
    </row>
    <row r="3" spans="1:14" ht="14.25" customHeight="1">
      <c r="A3" s="60" t="s">
        <v>83</v>
      </c>
      <c r="B3" s="16"/>
      <c r="C3" s="177"/>
      <c r="D3" s="16"/>
      <c r="E3" s="16"/>
      <c r="F3" s="16"/>
      <c r="G3" s="16"/>
    </row>
    <row r="4" spans="1:14" ht="14.25" customHeight="1">
      <c r="A4" s="16"/>
      <c r="B4" s="16"/>
      <c r="C4" s="176"/>
      <c r="D4" s="16"/>
      <c r="E4" s="16"/>
      <c r="F4" s="16"/>
      <c r="G4" s="16"/>
    </row>
    <row r="5" spans="1:14" ht="14.25" customHeight="1">
      <c r="A5" s="16"/>
      <c r="B5" s="16"/>
      <c r="C5" s="176"/>
      <c r="D5" s="16"/>
      <c r="E5" s="16"/>
      <c r="F5" s="16"/>
      <c r="G5" s="16"/>
    </row>
    <row r="6" spans="1:14" s="54" customFormat="1" ht="33" customHeight="1">
      <c r="A6" s="57" t="s">
        <v>7</v>
      </c>
      <c r="B6" s="51" t="s">
        <v>58</v>
      </c>
      <c r="C6" s="178" t="s">
        <v>84</v>
      </c>
      <c r="D6" s="58" t="s">
        <v>85</v>
      </c>
      <c r="E6" s="58" t="s">
        <v>86</v>
      </c>
      <c r="F6" s="58" t="s">
        <v>87</v>
      </c>
      <c r="G6" s="58"/>
      <c r="H6" s="52" t="s">
        <v>9</v>
      </c>
      <c r="I6" s="52" t="s">
        <v>88</v>
      </c>
      <c r="J6" s="53"/>
      <c r="K6" s="53"/>
      <c r="L6" s="53"/>
      <c r="M6" s="53"/>
      <c r="N6" s="53"/>
    </row>
    <row r="7" spans="1:14" ht="15" customHeight="1">
      <c r="A7" s="35"/>
      <c r="B7" s="17"/>
      <c r="C7" s="179"/>
      <c r="D7" s="90"/>
      <c r="E7" s="90"/>
      <c r="F7" s="90"/>
      <c r="G7" s="18"/>
      <c r="H7" s="36"/>
      <c r="I7" s="36"/>
    </row>
    <row r="8" spans="1:14" ht="15" customHeight="1">
      <c r="A8" s="161" t="s">
        <v>10</v>
      </c>
      <c r="B8" s="162" t="s">
        <v>89</v>
      </c>
      <c r="C8" s="180"/>
      <c r="D8" s="163"/>
      <c r="E8" s="163"/>
      <c r="F8" s="163"/>
      <c r="G8" s="164"/>
      <c r="H8" s="165"/>
      <c r="I8" s="165"/>
      <c r="N8" s="48"/>
    </row>
    <row r="9" spans="1:14" ht="15" customHeight="1">
      <c r="A9" s="35">
        <v>1</v>
      </c>
      <c r="B9" s="26" t="s">
        <v>90</v>
      </c>
      <c r="C9" s="181">
        <f>35+15</f>
        <v>50</v>
      </c>
      <c r="D9" s="112">
        <v>1</v>
      </c>
      <c r="E9" s="112">
        <v>1</v>
      </c>
      <c r="F9" s="187">
        <f>$I$2</f>
        <v>52</v>
      </c>
      <c r="G9" s="18" t="s">
        <v>60</v>
      </c>
      <c r="H9" s="36">
        <f>C9*D9*E9*F9</f>
        <v>2600</v>
      </c>
      <c r="I9" s="36"/>
      <c r="N9" s="48"/>
    </row>
    <row r="10" spans="1:14" ht="15" customHeight="1">
      <c r="A10" s="35">
        <v>2</v>
      </c>
      <c r="B10" s="26" t="s">
        <v>91</v>
      </c>
      <c r="C10" s="181">
        <v>10000</v>
      </c>
      <c r="D10" s="112">
        <v>1</v>
      </c>
      <c r="E10" s="112">
        <v>1</v>
      </c>
      <c r="F10" s="112">
        <v>1</v>
      </c>
      <c r="G10" s="18" t="s">
        <v>60</v>
      </c>
      <c r="H10" s="36">
        <f t="shared" ref="H10:H40" si="0">C10*D10*E10*F10</f>
        <v>10000</v>
      </c>
      <c r="I10" s="36" t="s">
        <v>92</v>
      </c>
      <c r="J10" s="47" t="s">
        <v>974</v>
      </c>
      <c r="N10" s="48"/>
    </row>
    <row r="11" spans="1:14" ht="15" customHeight="1">
      <c r="A11" s="35">
        <v>3</v>
      </c>
      <c r="B11" s="26" t="s">
        <v>93</v>
      </c>
      <c r="C11" s="181">
        <v>2000</v>
      </c>
      <c r="D11" s="112">
        <v>1</v>
      </c>
      <c r="E11" s="112">
        <v>1</v>
      </c>
      <c r="F11" s="112">
        <v>1</v>
      </c>
      <c r="G11" s="18" t="s">
        <v>60</v>
      </c>
      <c r="H11" s="36">
        <f t="shared" si="0"/>
        <v>2000</v>
      </c>
      <c r="I11" s="36" t="s">
        <v>92</v>
      </c>
      <c r="N11" s="48"/>
    </row>
    <row r="12" spans="1:14" ht="15" customHeight="1">
      <c r="A12" s="35">
        <v>4</v>
      </c>
      <c r="B12" s="26" t="s">
        <v>94</v>
      </c>
      <c r="C12" s="181"/>
      <c r="D12" s="112"/>
      <c r="E12" s="112"/>
      <c r="F12" s="112"/>
      <c r="G12" s="18" t="s">
        <v>60</v>
      </c>
      <c r="H12" s="36">
        <f t="shared" si="0"/>
        <v>0</v>
      </c>
      <c r="I12" s="36" t="s">
        <v>92</v>
      </c>
      <c r="N12" s="48"/>
    </row>
    <row r="13" spans="1:14" ht="15" customHeight="1">
      <c r="A13" s="35">
        <v>5</v>
      </c>
      <c r="B13" s="26" t="s">
        <v>95</v>
      </c>
      <c r="C13" s="181">
        <v>35</v>
      </c>
      <c r="D13" s="112">
        <v>1</v>
      </c>
      <c r="E13" s="112">
        <v>1</v>
      </c>
      <c r="F13" s="187">
        <f t="shared" ref="F13:F20" si="1">$I$2</f>
        <v>52</v>
      </c>
      <c r="G13" s="18" t="s">
        <v>60</v>
      </c>
      <c r="H13" s="36">
        <f t="shared" si="0"/>
        <v>1820</v>
      </c>
      <c r="I13" s="36"/>
      <c r="N13" s="48"/>
    </row>
    <row r="14" spans="1:14" ht="15" customHeight="1">
      <c r="A14" s="35">
        <v>6</v>
      </c>
      <c r="B14" s="26" t="s">
        <v>96</v>
      </c>
      <c r="C14" s="181">
        <v>35</v>
      </c>
      <c r="D14" s="112">
        <v>2</v>
      </c>
      <c r="E14" s="112">
        <v>1</v>
      </c>
      <c r="F14" s="187">
        <f t="shared" si="1"/>
        <v>52</v>
      </c>
      <c r="G14" s="18" t="s">
        <v>60</v>
      </c>
      <c r="H14" s="36">
        <f t="shared" si="0"/>
        <v>3640</v>
      </c>
      <c r="I14" s="36"/>
      <c r="N14" s="48"/>
    </row>
    <row r="15" spans="1:14" ht="15" customHeight="1">
      <c r="A15" s="35">
        <v>7</v>
      </c>
      <c r="B15" s="26" t="s">
        <v>97</v>
      </c>
      <c r="C15" s="181">
        <v>25</v>
      </c>
      <c r="D15" s="112">
        <v>2</v>
      </c>
      <c r="E15" s="112">
        <v>1</v>
      </c>
      <c r="F15" s="187">
        <f t="shared" si="1"/>
        <v>52</v>
      </c>
      <c r="G15" s="18" t="s">
        <v>60</v>
      </c>
      <c r="H15" s="36">
        <f t="shared" si="0"/>
        <v>2600</v>
      </c>
      <c r="I15" s="36"/>
      <c r="N15" s="48"/>
    </row>
    <row r="16" spans="1:14" ht="15" customHeight="1">
      <c r="A16" s="35">
        <v>8</v>
      </c>
      <c r="B16" s="26" t="s">
        <v>98</v>
      </c>
      <c r="C16" s="181">
        <f>850+110+14</f>
        <v>974</v>
      </c>
      <c r="D16" s="112">
        <v>4</v>
      </c>
      <c r="E16" s="112">
        <v>1</v>
      </c>
      <c r="F16" s="187">
        <v>1</v>
      </c>
      <c r="G16" s="18" t="s">
        <v>60</v>
      </c>
      <c r="H16" s="36">
        <f t="shared" si="0"/>
        <v>3896</v>
      </c>
      <c r="I16" s="36"/>
      <c r="N16" s="48"/>
    </row>
    <row r="17" spans="1:14" ht="15" customHeight="1">
      <c r="A17" s="35">
        <v>9</v>
      </c>
      <c r="B17" s="26" t="s">
        <v>99</v>
      </c>
      <c r="C17" s="181">
        <v>16</v>
      </c>
      <c r="D17" s="112">
        <v>1</v>
      </c>
      <c r="E17" s="112">
        <v>1</v>
      </c>
      <c r="F17" s="187">
        <f t="shared" si="1"/>
        <v>52</v>
      </c>
      <c r="G17" s="18" t="s">
        <v>60</v>
      </c>
      <c r="H17" s="36">
        <f t="shared" si="0"/>
        <v>832</v>
      </c>
      <c r="I17" s="36"/>
      <c r="N17" s="48"/>
    </row>
    <row r="18" spans="1:14" ht="15" customHeight="1">
      <c r="A18" s="35">
        <v>10</v>
      </c>
      <c r="B18" s="26" t="s">
        <v>100</v>
      </c>
      <c r="C18" s="181"/>
      <c r="D18" s="112"/>
      <c r="E18" s="112"/>
      <c r="F18" s="187">
        <f t="shared" si="1"/>
        <v>52</v>
      </c>
      <c r="G18" s="18" t="s">
        <v>60</v>
      </c>
      <c r="H18" s="36">
        <f t="shared" si="0"/>
        <v>0</v>
      </c>
      <c r="I18" s="36"/>
      <c r="N18" s="48"/>
    </row>
    <row r="19" spans="1:14" ht="15" customHeight="1">
      <c r="A19" s="35">
        <v>11</v>
      </c>
      <c r="B19" s="26" t="s">
        <v>101</v>
      </c>
      <c r="C19" s="181"/>
      <c r="D19" s="112"/>
      <c r="E19" s="112"/>
      <c r="F19" s="187">
        <f t="shared" si="1"/>
        <v>52</v>
      </c>
      <c r="G19" s="18" t="s">
        <v>60</v>
      </c>
      <c r="H19" s="36">
        <f t="shared" si="0"/>
        <v>0</v>
      </c>
      <c r="I19" s="36"/>
      <c r="N19" s="48"/>
    </row>
    <row r="20" spans="1:14" ht="15" customHeight="1">
      <c r="A20" s="35">
        <v>12</v>
      </c>
      <c r="B20" s="26" t="s">
        <v>102</v>
      </c>
      <c r="C20" s="181">
        <v>215</v>
      </c>
      <c r="D20" s="112">
        <v>2</v>
      </c>
      <c r="E20" s="112">
        <v>1</v>
      </c>
      <c r="F20" s="187">
        <f t="shared" si="1"/>
        <v>52</v>
      </c>
      <c r="G20" s="18" t="s">
        <v>60</v>
      </c>
      <c r="H20" s="36">
        <f t="shared" si="0"/>
        <v>22360</v>
      </c>
      <c r="I20" s="36"/>
      <c r="N20" s="48"/>
    </row>
    <row r="21" spans="1:14" ht="15" customHeight="1">
      <c r="A21" s="35">
        <v>13</v>
      </c>
      <c r="B21" s="26" t="s">
        <v>103</v>
      </c>
      <c r="C21" s="181">
        <v>5000</v>
      </c>
      <c r="D21" s="112">
        <v>1</v>
      </c>
      <c r="E21" s="112">
        <v>1</v>
      </c>
      <c r="F21" s="187">
        <v>1</v>
      </c>
      <c r="G21" s="18" t="s">
        <v>60</v>
      </c>
      <c r="H21" s="36">
        <f t="shared" si="0"/>
        <v>5000</v>
      </c>
      <c r="I21" s="36"/>
      <c r="N21" s="48"/>
    </row>
    <row r="22" spans="1:14" ht="15" customHeight="1">
      <c r="A22" s="35">
        <v>14</v>
      </c>
      <c r="B22" s="26" t="s">
        <v>104</v>
      </c>
      <c r="C22" s="181"/>
      <c r="D22" s="112"/>
      <c r="E22" s="112"/>
      <c r="F22" s="112">
        <v>1</v>
      </c>
      <c r="G22" s="18" t="s">
        <v>60</v>
      </c>
      <c r="H22" s="36">
        <f t="shared" si="0"/>
        <v>0</v>
      </c>
      <c r="I22" s="36" t="s">
        <v>92</v>
      </c>
      <c r="N22" s="48"/>
    </row>
    <row r="23" spans="1:14" ht="15" customHeight="1">
      <c r="A23" s="35">
        <v>15</v>
      </c>
      <c r="B23" s="26" t="s">
        <v>105</v>
      </c>
      <c r="C23" s="181"/>
      <c r="D23" s="112"/>
      <c r="E23" s="112"/>
      <c r="F23" s="187">
        <f>$I$2</f>
        <v>52</v>
      </c>
      <c r="G23" s="18" t="s">
        <v>60</v>
      </c>
      <c r="H23" s="36">
        <f t="shared" si="0"/>
        <v>0</v>
      </c>
      <c r="I23" s="36"/>
      <c r="N23" s="48"/>
    </row>
    <row r="24" spans="1:14" ht="15" customHeight="1">
      <c r="A24" s="35">
        <v>16</v>
      </c>
      <c r="B24" s="26" t="s">
        <v>106</v>
      </c>
      <c r="C24" s="181"/>
      <c r="D24" s="112"/>
      <c r="E24" s="112"/>
      <c r="F24" s="112">
        <v>1</v>
      </c>
      <c r="G24" s="18" t="s">
        <v>60</v>
      </c>
      <c r="H24" s="36">
        <f t="shared" si="0"/>
        <v>0</v>
      </c>
      <c r="I24" s="36" t="s">
        <v>92</v>
      </c>
      <c r="N24" s="48"/>
    </row>
    <row r="25" spans="1:14" ht="15" customHeight="1">
      <c r="A25" s="35">
        <v>17</v>
      </c>
      <c r="B25" s="26" t="s">
        <v>107</v>
      </c>
      <c r="C25" s="181">
        <v>750</v>
      </c>
      <c r="D25" s="112">
        <v>1</v>
      </c>
      <c r="E25" s="112">
        <v>1</v>
      </c>
      <c r="F25" s="187">
        <v>1</v>
      </c>
      <c r="G25" s="18" t="s">
        <v>60</v>
      </c>
      <c r="H25" s="36">
        <f t="shared" si="0"/>
        <v>750</v>
      </c>
      <c r="I25" s="36"/>
      <c r="N25" s="48"/>
    </row>
    <row r="26" spans="1:14" ht="15" customHeight="1">
      <c r="A26" s="35">
        <v>18</v>
      </c>
      <c r="B26" s="26" t="s">
        <v>108</v>
      </c>
      <c r="C26" s="181">
        <v>15</v>
      </c>
      <c r="D26" s="112">
        <v>1</v>
      </c>
      <c r="E26" s="112">
        <v>1</v>
      </c>
      <c r="F26" s="187">
        <f t="shared" ref="F26:F31" si="2">$I$2</f>
        <v>52</v>
      </c>
      <c r="G26" s="18" t="s">
        <v>60</v>
      </c>
      <c r="H26" s="36">
        <f t="shared" si="0"/>
        <v>780</v>
      </c>
      <c r="I26" s="36"/>
      <c r="N26" s="48"/>
    </row>
    <row r="27" spans="1:14" ht="15" customHeight="1">
      <c r="A27" s="35">
        <v>19</v>
      </c>
      <c r="B27" s="26" t="s">
        <v>109</v>
      </c>
      <c r="C27" s="181">
        <v>100</v>
      </c>
      <c r="D27" s="112">
        <v>1</v>
      </c>
      <c r="E27" s="112">
        <v>1</v>
      </c>
      <c r="F27" s="187">
        <f t="shared" si="2"/>
        <v>52</v>
      </c>
      <c r="G27" s="18" t="s">
        <v>60</v>
      </c>
      <c r="H27" s="36">
        <f t="shared" si="0"/>
        <v>5200</v>
      </c>
      <c r="I27" s="36"/>
      <c r="N27" s="48"/>
    </row>
    <row r="28" spans="1:14" ht="15" customHeight="1">
      <c r="A28" s="35">
        <v>20</v>
      </c>
      <c r="B28" s="26" t="s">
        <v>110</v>
      </c>
      <c r="C28" s="181">
        <f>350</f>
        <v>350</v>
      </c>
      <c r="D28" s="112">
        <v>1</v>
      </c>
      <c r="E28" s="112">
        <v>1</v>
      </c>
      <c r="F28" s="187">
        <f t="shared" si="2"/>
        <v>52</v>
      </c>
      <c r="G28" s="18" t="s">
        <v>60</v>
      </c>
      <c r="H28" s="36">
        <f t="shared" si="0"/>
        <v>18200</v>
      </c>
      <c r="I28" s="36"/>
      <c r="N28" s="48"/>
    </row>
    <row r="29" spans="1:14" ht="15" customHeight="1">
      <c r="A29" s="35">
        <v>21</v>
      </c>
      <c r="B29" s="26" t="s">
        <v>111</v>
      </c>
      <c r="C29" s="181">
        <v>2500</v>
      </c>
      <c r="D29" s="112">
        <v>1</v>
      </c>
      <c r="E29" s="112">
        <v>1</v>
      </c>
      <c r="F29" s="187">
        <v>1</v>
      </c>
      <c r="G29" s="18" t="s">
        <v>60</v>
      </c>
      <c r="H29" s="36">
        <f t="shared" si="0"/>
        <v>2500</v>
      </c>
      <c r="I29" s="36"/>
      <c r="J29" s="47" t="s">
        <v>902</v>
      </c>
      <c r="N29" s="48"/>
    </row>
    <row r="30" spans="1:14" ht="15" customHeight="1">
      <c r="A30" s="35">
        <v>22</v>
      </c>
      <c r="B30" s="26" t="s">
        <v>112</v>
      </c>
      <c r="C30" s="181">
        <v>25</v>
      </c>
      <c r="D30" s="112">
        <v>1</v>
      </c>
      <c r="E30" s="112">
        <v>1</v>
      </c>
      <c r="F30" s="187">
        <f t="shared" si="2"/>
        <v>52</v>
      </c>
      <c r="G30" s="18" t="s">
        <v>60</v>
      </c>
      <c r="H30" s="36">
        <f t="shared" si="0"/>
        <v>1300</v>
      </c>
      <c r="I30" s="36"/>
      <c r="N30" s="48"/>
    </row>
    <row r="31" spans="1:14" ht="15" customHeight="1">
      <c r="A31" s="35">
        <v>23</v>
      </c>
      <c r="B31" s="26" t="s">
        <v>113</v>
      </c>
      <c r="C31" s="181">
        <v>25</v>
      </c>
      <c r="D31" s="112">
        <v>2</v>
      </c>
      <c r="E31" s="112">
        <v>1</v>
      </c>
      <c r="F31" s="187">
        <f t="shared" si="2"/>
        <v>52</v>
      </c>
      <c r="G31" s="18" t="s">
        <v>60</v>
      </c>
      <c r="H31" s="36">
        <f t="shared" si="0"/>
        <v>2600</v>
      </c>
      <c r="I31" s="36"/>
      <c r="N31" s="48"/>
    </row>
    <row r="32" spans="1:14" ht="15" customHeight="1">
      <c r="A32" s="35">
        <v>24</v>
      </c>
      <c r="B32" s="26" t="s">
        <v>114</v>
      </c>
      <c r="C32" s="181"/>
      <c r="D32" s="112"/>
      <c r="E32" s="112"/>
      <c r="F32" s="112">
        <v>1</v>
      </c>
      <c r="G32" s="18" t="s">
        <v>60</v>
      </c>
      <c r="H32" s="36">
        <f t="shared" si="0"/>
        <v>0</v>
      </c>
      <c r="I32" s="36"/>
      <c r="J32" s="47" t="s">
        <v>905</v>
      </c>
      <c r="N32" s="48"/>
    </row>
    <row r="33" spans="1:14" ht="15" customHeight="1">
      <c r="A33" s="35">
        <v>25</v>
      </c>
      <c r="B33" s="26" t="s">
        <v>115</v>
      </c>
      <c r="C33" s="181">
        <v>850</v>
      </c>
      <c r="D33" s="112">
        <v>1</v>
      </c>
      <c r="E33" s="112">
        <v>1</v>
      </c>
      <c r="F33" s="112">
        <v>1</v>
      </c>
      <c r="G33" s="18" t="s">
        <v>60</v>
      </c>
      <c r="H33" s="36">
        <f t="shared" si="0"/>
        <v>850</v>
      </c>
      <c r="I33" s="36" t="s">
        <v>92</v>
      </c>
      <c r="J33" s="47" t="s">
        <v>904</v>
      </c>
      <c r="N33" s="48"/>
    </row>
    <row r="34" spans="1:14" ht="15" customHeight="1">
      <c r="A34" s="35">
        <v>26</v>
      </c>
      <c r="B34" s="26" t="s">
        <v>116</v>
      </c>
      <c r="C34" s="181"/>
      <c r="D34" s="112"/>
      <c r="E34" s="112"/>
      <c r="F34" s="112">
        <v>1</v>
      </c>
      <c r="G34" s="18" t="s">
        <v>60</v>
      </c>
      <c r="H34" s="36">
        <f t="shared" si="0"/>
        <v>0</v>
      </c>
      <c r="I34" s="36" t="s">
        <v>92</v>
      </c>
      <c r="N34" s="48"/>
    </row>
    <row r="35" spans="1:14" ht="15" customHeight="1">
      <c r="A35" s="35">
        <v>27</v>
      </c>
      <c r="B35" s="26" t="s">
        <v>117</v>
      </c>
      <c r="C35" s="181">
        <v>1650</v>
      </c>
      <c r="D35" s="112">
        <v>1</v>
      </c>
      <c r="E35" s="112">
        <v>1</v>
      </c>
      <c r="F35" s="187">
        <v>1</v>
      </c>
      <c r="G35" s="18" t="s">
        <v>60</v>
      </c>
      <c r="H35" s="36">
        <f t="shared" si="0"/>
        <v>1650</v>
      </c>
      <c r="I35" s="36"/>
      <c r="J35" s="47" t="s">
        <v>903</v>
      </c>
      <c r="N35" s="48"/>
    </row>
    <row r="36" spans="1:14" ht="15" customHeight="1">
      <c r="A36" s="35">
        <v>28</v>
      </c>
      <c r="B36" s="48" t="s">
        <v>118</v>
      </c>
      <c r="C36" s="181">
        <v>5000</v>
      </c>
      <c r="D36" s="112">
        <v>1</v>
      </c>
      <c r="E36" s="112">
        <v>1</v>
      </c>
      <c r="F36" s="112">
        <v>1</v>
      </c>
      <c r="G36" s="18" t="s">
        <v>60</v>
      </c>
      <c r="H36" s="36">
        <f t="shared" si="0"/>
        <v>5000</v>
      </c>
      <c r="I36" s="36" t="s">
        <v>92</v>
      </c>
      <c r="J36" s="47" t="s">
        <v>902</v>
      </c>
      <c r="N36" s="48"/>
    </row>
    <row r="37" spans="1:14" ht="15" customHeight="1">
      <c r="A37" s="35">
        <v>29</v>
      </c>
      <c r="B37" s="26" t="s">
        <v>119</v>
      </c>
      <c r="C37" s="181"/>
      <c r="D37" s="112"/>
      <c r="E37" s="112"/>
      <c r="F37" s="112"/>
      <c r="G37" s="18" t="s">
        <v>60</v>
      </c>
      <c r="H37" s="36">
        <f t="shared" si="0"/>
        <v>0</v>
      </c>
      <c r="I37" s="36"/>
      <c r="N37" s="48"/>
    </row>
    <row r="38" spans="1:14" ht="15" customHeight="1">
      <c r="A38" s="35">
        <v>30</v>
      </c>
      <c r="B38" s="26"/>
      <c r="C38" s="181"/>
      <c r="D38" s="112"/>
      <c r="E38" s="112"/>
      <c r="F38" s="112"/>
      <c r="G38" s="18" t="s">
        <v>60</v>
      </c>
      <c r="H38" s="36">
        <f t="shared" si="0"/>
        <v>0</v>
      </c>
      <c r="I38" s="36"/>
      <c r="N38" s="48"/>
    </row>
    <row r="39" spans="1:14" ht="15" customHeight="1">
      <c r="A39" s="35">
        <v>31</v>
      </c>
      <c r="B39" s="26"/>
      <c r="C39" s="181"/>
      <c r="D39" s="112"/>
      <c r="E39" s="112"/>
      <c r="F39" s="112"/>
      <c r="G39" s="18" t="s">
        <v>60</v>
      </c>
      <c r="H39" s="36">
        <f t="shared" si="0"/>
        <v>0</v>
      </c>
      <c r="I39" s="36"/>
      <c r="N39" s="48"/>
    </row>
    <row r="40" spans="1:14" ht="15" customHeight="1">
      <c r="A40" s="35">
        <v>32</v>
      </c>
      <c r="B40" s="26"/>
      <c r="C40" s="181"/>
      <c r="D40" s="112"/>
      <c r="E40" s="112"/>
      <c r="F40" s="112"/>
      <c r="G40" s="18" t="s">
        <v>60</v>
      </c>
      <c r="H40" s="36">
        <f t="shared" si="0"/>
        <v>0</v>
      </c>
      <c r="I40" s="36"/>
      <c r="N40" s="48"/>
    </row>
    <row r="41" spans="1:14" ht="15" customHeight="1">
      <c r="A41" s="35">
        <v>33</v>
      </c>
      <c r="B41" s="26"/>
      <c r="C41" s="181"/>
      <c r="D41" s="112"/>
      <c r="E41" s="112"/>
      <c r="F41" s="112"/>
      <c r="G41" s="18" t="s">
        <v>60</v>
      </c>
      <c r="H41" s="36">
        <f t="shared" ref="H41" si="3">C41*D41*E41*F41</f>
        <v>0</v>
      </c>
      <c r="I41" s="36"/>
      <c r="N41" s="48"/>
    </row>
    <row r="42" spans="1:14" ht="15" customHeight="1">
      <c r="A42" s="161" t="s">
        <v>10</v>
      </c>
      <c r="B42" s="162" t="s">
        <v>120</v>
      </c>
      <c r="C42" s="180" t="s">
        <v>121</v>
      </c>
      <c r="D42" s="163"/>
      <c r="E42" s="163"/>
      <c r="F42" s="163"/>
      <c r="G42" s="164" t="s">
        <v>60</v>
      </c>
      <c r="H42" s="165">
        <f>SUM(H9:H41)</f>
        <v>93578</v>
      </c>
      <c r="I42" s="165"/>
      <c r="N42" s="48"/>
    </row>
    <row r="43" spans="1:14" ht="15" customHeight="1">
      <c r="A43" s="35"/>
      <c r="B43" s="26"/>
      <c r="C43" s="181"/>
      <c r="D43" s="112"/>
      <c r="E43" s="112"/>
      <c r="F43" s="112"/>
      <c r="G43" s="18"/>
      <c r="H43" s="36"/>
      <c r="I43" s="36"/>
      <c r="N43" s="48"/>
    </row>
    <row r="44" spans="1:14" ht="15" customHeight="1">
      <c r="A44" s="161" t="s">
        <v>12</v>
      </c>
      <c r="B44" s="162" t="s">
        <v>61</v>
      </c>
      <c r="C44" s="180"/>
      <c r="D44" s="163"/>
      <c r="E44" s="163"/>
      <c r="F44" s="163"/>
      <c r="G44" s="164"/>
      <c r="H44" s="165"/>
      <c r="I44" s="165"/>
      <c r="N44" s="48"/>
    </row>
    <row r="45" spans="1:14" ht="15" customHeight="1">
      <c r="A45" s="35">
        <v>1</v>
      </c>
      <c r="B45" s="26" t="s">
        <v>61</v>
      </c>
      <c r="C45" s="181"/>
      <c r="D45" s="112">
        <v>1</v>
      </c>
      <c r="E45" s="112">
        <v>1</v>
      </c>
      <c r="F45" s="112"/>
      <c r="G45" s="18" t="s">
        <v>60</v>
      </c>
      <c r="H45" s="36">
        <f t="shared" ref="H45" si="4">C45*D45*E45*F45</f>
        <v>0</v>
      </c>
      <c r="I45" s="36" t="s">
        <v>939</v>
      </c>
      <c r="N45" s="48"/>
    </row>
    <row r="46" spans="1:14" ht="15" customHeight="1">
      <c r="A46" s="161" t="s">
        <v>12</v>
      </c>
      <c r="B46" s="162" t="s">
        <v>120</v>
      </c>
      <c r="C46" s="180"/>
      <c r="D46" s="163"/>
      <c r="E46" s="163"/>
      <c r="F46" s="163"/>
      <c r="G46" s="164" t="s">
        <v>60</v>
      </c>
      <c r="H46" s="165">
        <f>SUM(H45)</f>
        <v>0</v>
      </c>
      <c r="I46" s="165"/>
      <c r="N46" s="48"/>
    </row>
    <row r="47" spans="1:14" ht="15" customHeight="1">
      <c r="A47" s="35"/>
      <c r="B47" s="26"/>
      <c r="C47" s="181"/>
      <c r="D47" s="112"/>
      <c r="E47" s="112"/>
      <c r="F47" s="112"/>
      <c r="G47" s="18"/>
      <c r="H47" s="36"/>
      <c r="I47" s="36"/>
      <c r="N47" s="48"/>
    </row>
    <row r="48" spans="1:14" ht="15" customHeight="1">
      <c r="A48" s="161" t="s">
        <v>14</v>
      </c>
      <c r="B48" s="162" t="s">
        <v>122</v>
      </c>
      <c r="C48" s="180"/>
      <c r="D48" s="163"/>
      <c r="E48" s="163"/>
      <c r="F48" s="163"/>
      <c r="G48" s="164"/>
      <c r="H48" s="165"/>
      <c r="I48" s="165"/>
      <c r="N48" s="48"/>
    </row>
    <row r="49" spans="1:14" ht="13.5">
      <c r="A49" s="35">
        <v>1</v>
      </c>
      <c r="B49" s="26" t="s">
        <v>123</v>
      </c>
      <c r="C49" s="181"/>
      <c r="D49" s="112">
        <v>1</v>
      </c>
      <c r="E49" s="112">
        <v>1</v>
      </c>
      <c r="F49" s="112">
        <v>1</v>
      </c>
      <c r="G49" s="18" t="s">
        <v>60</v>
      </c>
      <c r="H49" s="36">
        <f t="shared" ref="H49:H58" si="5">C49*D49*E49*F49</f>
        <v>0</v>
      </c>
      <c r="I49" s="36" t="s">
        <v>92</v>
      </c>
      <c r="N49" s="48"/>
    </row>
    <row r="50" spans="1:14" ht="13.5">
      <c r="A50" s="35">
        <v>2</v>
      </c>
      <c r="B50" s="26" t="s">
        <v>124</v>
      </c>
      <c r="C50" s="181"/>
      <c r="D50" s="112">
        <v>1</v>
      </c>
      <c r="E50" s="112">
        <v>1</v>
      </c>
      <c r="F50" s="112">
        <v>1</v>
      </c>
      <c r="G50" s="18" t="s">
        <v>60</v>
      </c>
      <c r="H50" s="36">
        <f t="shared" si="5"/>
        <v>0</v>
      </c>
      <c r="I50" s="36" t="s">
        <v>92</v>
      </c>
      <c r="N50" s="48"/>
    </row>
    <row r="51" spans="1:14" ht="13.5">
      <c r="A51" s="35">
        <v>3</v>
      </c>
      <c r="B51" s="26" t="s">
        <v>125</v>
      </c>
      <c r="C51" s="181"/>
      <c r="D51" s="112">
        <v>1</v>
      </c>
      <c r="E51" s="112">
        <v>1</v>
      </c>
      <c r="F51" s="112">
        <v>1</v>
      </c>
      <c r="G51" s="18" t="s">
        <v>60</v>
      </c>
      <c r="H51" s="36">
        <f t="shared" si="5"/>
        <v>0</v>
      </c>
      <c r="I51" s="36" t="s">
        <v>92</v>
      </c>
      <c r="N51" s="48"/>
    </row>
    <row r="52" spans="1:14" ht="13.5">
      <c r="A52" s="35">
        <v>4</v>
      </c>
      <c r="B52" s="26" t="s">
        <v>126</v>
      </c>
      <c r="C52" s="181"/>
      <c r="D52" s="112">
        <v>1</v>
      </c>
      <c r="E52" s="112">
        <v>1</v>
      </c>
      <c r="F52" s="112">
        <v>1</v>
      </c>
      <c r="G52" s="18" t="s">
        <v>60</v>
      </c>
      <c r="H52" s="36">
        <f t="shared" si="5"/>
        <v>0</v>
      </c>
      <c r="I52" s="36" t="s">
        <v>92</v>
      </c>
      <c r="N52" s="48"/>
    </row>
    <row r="53" spans="1:14" ht="13.5">
      <c r="A53" s="35">
        <v>5</v>
      </c>
      <c r="B53" s="26" t="s">
        <v>127</v>
      </c>
      <c r="C53" s="181"/>
      <c r="D53" s="112"/>
      <c r="E53" s="112"/>
      <c r="F53" s="112"/>
      <c r="G53" s="18" t="s">
        <v>60</v>
      </c>
      <c r="H53" s="36">
        <f t="shared" si="5"/>
        <v>0</v>
      </c>
      <c r="I53" s="36"/>
      <c r="N53" s="48"/>
    </row>
    <row r="54" spans="1:14" ht="13.5">
      <c r="A54" s="35">
        <v>6</v>
      </c>
      <c r="B54" s="48" t="s">
        <v>128</v>
      </c>
      <c r="C54" s="181"/>
      <c r="D54" s="112">
        <v>1</v>
      </c>
      <c r="E54" s="112">
        <v>1</v>
      </c>
      <c r="F54" s="112"/>
      <c r="G54" s="18" t="s">
        <v>60</v>
      </c>
      <c r="H54" s="36">
        <f t="shared" si="5"/>
        <v>0</v>
      </c>
      <c r="I54" s="36"/>
      <c r="N54" s="48"/>
    </row>
    <row r="55" spans="1:14" ht="13.5">
      <c r="A55" s="35">
        <v>7</v>
      </c>
      <c r="B55" s="26" t="s">
        <v>129</v>
      </c>
      <c r="C55" s="181"/>
      <c r="D55" s="112">
        <v>1</v>
      </c>
      <c r="E55" s="112">
        <v>1</v>
      </c>
      <c r="F55" s="112"/>
      <c r="G55" s="18" t="s">
        <v>60</v>
      </c>
      <c r="H55" s="36">
        <f t="shared" si="5"/>
        <v>0</v>
      </c>
      <c r="I55" s="36"/>
      <c r="N55" s="48"/>
    </row>
    <row r="56" spans="1:14" ht="13.5">
      <c r="A56" s="35">
        <v>8</v>
      </c>
      <c r="B56" s="48" t="s">
        <v>130</v>
      </c>
      <c r="C56" s="181"/>
      <c r="D56" s="112"/>
      <c r="E56" s="112"/>
      <c r="F56" s="112"/>
      <c r="G56" s="18" t="s">
        <v>60</v>
      </c>
      <c r="H56" s="36">
        <f t="shared" ref="H56:H57" si="6">C56*D56*E56*F56</f>
        <v>0</v>
      </c>
      <c r="I56" s="36"/>
      <c r="N56" s="48"/>
    </row>
    <row r="57" spans="1:14" ht="13.5">
      <c r="A57" s="35">
        <v>9</v>
      </c>
      <c r="B57" s="26" t="s">
        <v>119</v>
      </c>
      <c r="C57" s="181"/>
      <c r="D57" s="112"/>
      <c r="E57" s="112"/>
      <c r="F57" s="112"/>
      <c r="G57" s="18" t="s">
        <v>60</v>
      </c>
      <c r="H57" s="36">
        <f t="shared" si="6"/>
        <v>0</v>
      </c>
      <c r="I57" s="36"/>
      <c r="N57" s="48"/>
    </row>
    <row r="58" spans="1:14" ht="13.5">
      <c r="A58" s="35"/>
      <c r="C58" s="181"/>
      <c r="D58" s="112">
        <v>1</v>
      </c>
      <c r="E58" s="112">
        <v>1</v>
      </c>
      <c r="F58" s="112"/>
      <c r="G58" s="18" t="s">
        <v>60</v>
      </c>
      <c r="H58" s="36">
        <f t="shared" si="5"/>
        <v>0</v>
      </c>
      <c r="I58" s="36"/>
      <c r="N58" s="48"/>
    </row>
    <row r="59" spans="1:14" ht="13.5">
      <c r="A59" s="35"/>
      <c r="C59" s="181"/>
      <c r="D59" s="112"/>
      <c r="E59" s="112"/>
      <c r="F59" s="112"/>
      <c r="G59" s="18" t="s">
        <v>60</v>
      </c>
      <c r="H59" s="36">
        <f t="shared" ref="H59:H61" si="7">C59*D59*E59*F59</f>
        <v>0</v>
      </c>
      <c r="I59" s="36"/>
      <c r="N59" s="48"/>
    </row>
    <row r="60" spans="1:14" ht="13.5">
      <c r="A60" s="35"/>
      <c r="C60" s="181"/>
      <c r="D60" s="112"/>
      <c r="E60" s="112"/>
      <c r="F60" s="112"/>
      <c r="G60" s="18" t="s">
        <v>60</v>
      </c>
      <c r="H60" s="36">
        <f t="shared" si="7"/>
        <v>0</v>
      </c>
      <c r="I60" s="36"/>
      <c r="N60" s="48"/>
    </row>
    <row r="61" spans="1:14" ht="13.5">
      <c r="A61" s="35"/>
      <c r="C61" s="181"/>
      <c r="D61" s="112"/>
      <c r="E61" s="112"/>
      <c r="F61" s="112"/>
      <c r="G61" s="18" t="s">
        <v>60</v>
      </c>
      <c r="H61" s="36">
        <f t="shared" si="7"/>
        <v>0</v>
      </c>
      <c r="I61" s="36"/>
      <c r="N61" s="48"/>
    </row>
    <row r="62" spans="1:14">
      <c r="A62" s="161" t="s">
        <v>14</v>
      </c>
      <c r="B62" s="162" t="s">
        <v>120</v>
      </c>
      <c r="C62" s="180"/>
      <c r="D62" s="163"/>
      <c r="E62" s="163"/>
      <c r="F62" s="163"/>
      <c r="G62" s="164" t="s">
        <v>60</v>
      </c>
      <c r="H62" s="165">
        <f>SUM(H49:H61)</f>
        <v>0</v>
      </c>
      <c r="I62" s="165"/>
      <c r="N62" s="48"/>
    </row>
    <row r="63" spans="1:14" ht="13.5">
      <c r="A63" s="35"/>
      <c r="B63" s="26"/>
      <c r="C63" s="181"/>
      <c r="D63" s="112"/>
      <c r="E63" s="112"/>
      <c r="F63" s="112"/>
      <c r="G63" s="18"/>
      <c r="H63" s="36"/>
      <c r="I63" s="36"/>
      <c r="L63" s="47">
        <v>8.5</v>
      </c>
      <c r="N63" s="48"/>
    </row>
    <row r="64" spans="1:14" ht="27">
      <c r="A64" s="161" t="s">
        <v>16</v>
      </c>
      <c r="B64" s="162" t="s">
        <v>63</v>
      </c>
      <c r="C64" s="180"/>
      <c r="D64" s="163"/>
      <c r="E64" s="163"/>
      <c r="F64" s="163"/>
      <c r="G64" s="164"/>
      <c r="H64" s="165"/>
      <c r="I64" s="165"/>
      <c r="J64" s="47" t="s">
        <v>748</v>
      </c>
      <c r="K64" s="198" t="s">
        <v>747</v>
      </c>
      <c r="L64" s="47" t="s">
        <v>752</v>
      </c>
      <c r="N64" s="48"/>
    </row>
    <row r="65" spans="1:14" ht="13.5">
      <c r="A65" s="35">
        <v>1</v>
      </c>
      <c r="B65" s="26" t="s">
        <v>131</v>
      </c>
      <c r="C65" s="181">
        <f>K65*5</f>
        <v>2250</v>
      </c>
      <c r="D65" s="188">
        <v>1</v>
      </c>
      <c r="E65" s="112">
        <v>0.6</v>
      </c>
      <c r="F65" s="187">
        <f t="shared" ref="F65:F66" si="8">$I$2</f>
        <v>52</v>
      </c>
      <c r="G65" s="18" t="s">
        <v>60</v>
      </c>
      <c r="H65" s="36">
        <f t="shared" ref="H65:H88" si="9">C65*D65*E65*F65</f>
        <v>70200</v>
      </c>
      <c r="I65" s="36"/>
      <c r="K65" s="47">
        <v>450</v>
      </c>
      <c r="L65" s="47">
        <f>K65/$L$63</f>
        <v>52.941176470588232</v>
      </c>
      <c r="N65" s="48"/>
    </row>
    <row r="66" spans="1:14" ht="13.5">
      <c r="A66" s="35">
        <v>2</v>
      </c>
      <c r="B66" s="26" t="s">
        <v>132</v>
      </c>
      <c r="C66" s="181">
        <f>K66*5</f>
        <v>2250</v>
      </c>
      <c r="D66" s="188">
        <v>1</v>
      </c>
      <c r="E66" s="112">
        <v>1</v>
      </c>
      <c r="F66" s="187">
        <f t="shared" si="8"/>
        <v>52</v>
      </c>
      <c r="G66" s="18" t="s">
        <v>60</v>
      </c>
      <c r="H66" s="36">
        <f t="shared" si="9"/>
        <v>117000</v>
      </c>
      <c r="I66" s="36"/>
      <c r="K66" s="47">
        <v>450</v>
      </c>
      <c r="L66" s="47">
        <f t="shared" ref="L66:L67" si="10">K66/$L$63</f>
        <v>52.941176470588232</v>
      </c>
      <c r="N66" s="48"/>
    </row>
    <row r="67" spans="1:14" ht="13.5">
      <c r="A67" s="35">
        <v>3</v>
      </c>
      <c r="B67" s="26" t="s">
        <v>133</v>
      </c>
      <c r="C67" s="181"/>
      <c r="D67" s="188"/>
      <c r="E67" s="112"/>
      <c r="F67" s="187"/>
      <c r="G67" s="18" t="s">
        <v>60</v>
      </c>
      <c r="H67" s="36">
        <f t="shared" si="9"/>
        <v>0</v>
      </c>
      <c r="I67" s="36"/>
      <c r="K67" s="47">
        <v>325</v>
      </c>
      <c r="L67" s="47">
        <f t="shared" si="10"/>
        <v>38.235294117647058</v>
      </c>
      <c r="N67" s="48"/>
    </row>
    <row r="68" spans="1:14" ht="13.5">
      <c r="A68" s="35">
        <v>4</v>
      </c>
      <c r="B68" s="26" t="s">
        <v>134</v>
      </c>
      <c r="C68" s="181"/>
      <c r="D68" s="188">
        <v>1</v>
      </c>
      <c r="E68" s="112">
        <v>1</v>
      </c>
      <c r="F68" s="112"/>
      <c r="G68" s="18" t="s">
        <v>60</v>
      </c>
      <c r="H68" s="36">
        <f t="shared" si="9"/>
        <v>0</v>
      </c>
      <c r="I68" s="36"/>
      <c r="N68" s="48"/>
    </row>
    <row r="69" spans="1:14" ht="13.5">
      <c r="A69" s="35">
        <v>5</v>
      </c>
      <c r="B69" s="26" t="s">
        <v>135</v>
      </c>
      <c r="C69" s="181"/>
      <c r="D69" s="188">
        <v>1</v>
      </c>
      <c r="E69" s="112">
        <v>1</v>
      </c>
      <c r="F69" s="112"/>
      <c r="G69" s="18" t="s">
        <v>60</v>
      </c>
      <c r="H69" s="36">
        <f t="shared" si="9"/>
        <v>0</v>
      </c>
      <c r="I69" s="36"/>
      <c r="N69" s="48"/>
    </row>
    <row r="70" spans="1:14" ht="13.5">
      <c r="A70" s="35">
        <v>6</v>
      </c>
      <c r="B70" s="26" t="s">
        <v>136</v>
      </c>
      <c r="C70" s="181"/>
      <c r="D70" s="188">
        <v>1</v>
      </c>
      <c r="E70" s="112">
        <v>1</v>
      </c>
      <c r="F70" s="112"/>
      <c r="G70" s="18" t="s">
        <v>60</v>
      </c>
      <c r="H70" s="36">
        <f t="shared" si="9"/>
        <v>0</v>
      </c>
      <c r="I70" s="36"/>
      <c r="N70" s="48"/>
    </row>
    <row r="71" spans="1:14" ht="13.5">
      <c r="A71" s="35">
        <v>7</v>
      </c>
      <c r="B71" s="26" t="s">
        <v>137</v>
      </c>
      <c r="C71" s="181"/>
      <c r="D71" s="188">
        <v>1</v>
      </c>
      <c r="E71" s="112">
        <v>1</v>
      </c>
      <c r="F71" s="112"/>
      <c r="G71" s="18" t="s">
        <v>60</v>
      </c>
      <c r="H71" s="36">
        <f t="shared" si="9"/>
        <v>0</v>
      </c>
      <c r="I71" s="36"/>
      <c r="N71" s="48"/>
    </row>
    <row r="72" spans="1:14" ht="13.5">
      <c r="A72" s="35">
        <v>8</v>
      </c>
      <c r="B72" s="26" t="s">
        <v>138</v>
      </c>
      <c r="C72" s="181"/>
      <c r="D72" s="188">
        <v>1</v>
      </c>
      <c r="E72" s="112">
        <v>1</v>
      </c>
      <c r="F72" s="187"/>
      <c r="G72" s="18" t="s">
        <v>60</v>
      </c>
      <c r="H72" s="36">
        <f t="shared" si="9"/>
        <v>0</v>
      </c>
      <c r="I72" s="36"/>
      <c r="N72" s="48"/>
    </row>
    <row r="73" spans="1:14" ht="13.5">
      <c r="A73" s="35">
        <v>9</v>
      </c>
      <c r="B73" s="26" t="s">
        <v>139</v>
      </c>
      <c r="C73" s="181"/>
      <c r="D73" s="188">
        <v>1</v>
      </c>
      <c r="E73" s="112">
        <v>1</v>
      </c>
      <c r="F73" s="112"/>
      <c r="G73" s="18" t="s">
        <v>60</v>
      </c>
      <c r="H73" s="36">
        <f t="shared" si="9"/>
        <v>0</v>
      </c>
      <c r="I73" s="36"/>
      <c r="K73" s="47">
        <v>300</v>
      </c>
      <c r="L73" s="47">
        <f t="shared" ref="L73:L77" si="11">K73/$L$63</f>
        <v>35.294117647058826</v>
      </c>
      <c r="N73" s="48"/>
    </row>
    <row r="74" spans="1:14" ht="13.5">
      <c r="A74" s="35">
        <v>10</v>
      </c>
      <c r="B74" s="26" t="s">
        <v>140</v>
      </c>
      <c r="C74" s="181"/>
      <c r="D74" s="188">
        <v>1</v>
      </c>
      <c r="E74" s="112">
        <v>1</v>
      </c>
      <c r="F74" s="112"/>
      <c r="G74" s="18" t="s">
        <v>60</v>
      </c>
      <c r="H74" s="36">
        <f t="shared" si="9"/>
        <v>0</v>
      </c>
      <c r="I74" s="36"/>
      <c r="K74" s="47">
        <v>300</v>
      </c>
      <c r="L74" s="47">
        <f t="shared" si="11"/>
        <v>35.294117647058826</v>
      </c>
      <c r="N74" s="48"/>
    </row>
    <row r="75" spans="1:14" ht="13.5">
      <c r="A75" s="35">
        <v>11</v>
      </c>
      <c r="B75" s="26" t="s">
        <v>141</v>
      </c>
      <c r="C75" s="181">
        <f>K75*5</f>
        <v>2000</v>
      </c>
      <c r="D75" s="188">
        <v>1</v>
      </c>
      <c r="E75" s="112">
        <v>0.4</v>
      </c>
      <c r="F75" s="187">
        <f t="shared" ref="F75" si="12">$I$2</f>
        <v>52</v>
      </c>
      <c r="G75" s="18" t="s">
        <v>60</v>
      </c>
      <c r="H75" s="36">
        <f t="shared" si="9"/>
        <v>41600</v>
      </c>
      <c r="I75" s="36"/>
      <c r="K75" s="47">
        <v>400</v>
      </c>
      <c r="L75" s="47">
        <f t="shared" si="11"/>
        <v>47.058823529411768</v>
      </c>
      <c r="N75" s="48"/>
    </row>
    <row r="76" spans="1:14" ht="13.5">
      <c r="A76" s="35">
        <v>12</v>
      </c>
      <c r="B76" s="26" t="s">
        <v>142</v>
      </c>
      <c r="C76" s="181"/>
      <c r="D76" s="188">
        <v>1</v>
      </c>
      <c r="E76" s="112">
        <v>1</v>
      </c>
      <c r="F76" s="112"/>
      <c r="G76" s="18" t="s">
        <v>60</v>
      </c>
      <c r="H76" s="36">
        <f t="shared" si="9"/>
        <v>0</v>
      </c>
      <c r="I76" s="36" t="s">
        <v>750</v>
      </c>
      <c r="K76" s="47">
        <v>225</v>
      </c>
      <c r="L76" s="47">
        <f t="shared" si="11"/>
        <v>26.470588235294116</v>
      </c>
      <c r="N76" s="48"/>
    </row>
    <row r="77" spans="1:14" ht="13.5">
      <c r="A77" s="35">
        <v>13</v>
      </c>
      <c r="B77" s="26" t="s">
        <v>66</v>
      </c>
      <c r="C77" s="181"/>
      <c r="D77" s="188"/>
      <c r="E77" s="112"/>
      <c r="F77" s="187"/>
      <c r="G77" s="18" t="s">
        <v>60</v>
      </c>
      <c r="H77" s="36">
        <f t="shared" si="9"/>
        <v>0</v>
      </c>
      <c r="I77" s="36" t="s">
        <v>749</v>
      </c>
      <c r="K77" s="47">
        <v>225</v>
      </c>
      <c r="L77" s="47">
        <f t="shared" si="11"/>
        <v>26.470588235294116</v>
      </c>
      <c r="N77" s="48"/>
    </row>
    <row r="78" spans="1:14" ht="13.5">
      <c r="A78" s="35">
        <v>14</v>
      </c>
      <c r="B78" s="26" t="s">
        <v>143</v>
      </c>
      <c r="C78" s="181"/>
      <c r="D78" s="188"/>
      <c r="E78" s="112"/>
      <c r="F78" s="187"/>
      <c r="G78" s="18" t="s">
        <v>60</v>
      </c>
      <c r="H78" s="36">
        <f t="shared" si="9"/>
        <v>0</v>
      </c>
      <c r="I78" s="36"/>
      <c r="K78" s="47">
        <v>250</v>
      </c>
      <c r="L78" s="47">
        <f t="shared" ref="L78:L80" si="13">K78/$L$63</f>
        <v>29.411764705882351</v>
      </c>
      <c r="N78" s="48"/>
    </row>
    <row r="79" spans="1:14" ht="13.5">
      <c r="A79" s="35">
        <v>15</v>
      </c>
      <c r="B79" s="26" t="s">
        <v>144</v>
      </c>
      <c r="C79" s="181">
        <f t="shared" ref="C79:C80" si="14">K79*5</f>
        <v>2500</v>
      </c>
      <c r="D79" s="188">
        <v>1</v>
      </c>
      <c r="E79" s="112">
        <v>0.2</v>
      </c>
      <c r="F79" s="187">
        <f t="shared" ref="F79" si="15">$I$2</f>
        <v>52</v>
      </c>
      <c r="G79" s="18" t="s">
        <v>60</v>
      </c>
      <c r="H79" s="36">
        <f t="shared" si="9"/>
        <v>26000</v>
      </c>
      <c r="I79" s="36" t="s">
        <v>751</v>
      </c>
      <c r="K79" s="47">
        <v>500</v>
      </c>
      <c r="L79" s="47">
        <f t="shared" si="13"/>
        <v>58.823529411764703</v>
      </c>
      <c r="N79" s="48"/>
    </row>
    <row r="80" spans="1:14" ht="13.5">
      <c r="A80" s="35">
        <v>16</v>
      </c>
      <c r="B80" s="26" t="s">
        <v>145</v>
      </c>
      <c r="C80" s="181">
        <f t="shared" si="14"/>
        <v>2500</v>
      </c>
      <c r="D80" s="188">
        <v>1</v>
      </c>
      <c r="E80" s="112">
        <v>0.2</v>
      </c>
      <c r="F80" s="187">
        <v>52</v>
      </c>
      <c r="G80" s="18" t="s">
        <v>60</v>
      </c>
      <c r="H80" s="36">
        <f t="shared" si="9"/>
        <v>26000</v>
      </c>
      <c r="I80" s="36" t="s">
        <v>751</v>
      </c>
      <c r="K80" s="47">
        <v>500</v>
      </c>
      <c r="L80" s="47">
        <f t="shared" si="13"/>
        <v>58.823529411764703</v>
      </c>
      <c r="N80" s="48"/>
    </row>
    <row r="81" spans="1:14" ht="13.5">
      <c r="A81" s="35">
        <v>17</v>
      </c>
      <c r="B81" s="26" t="s">
        <v>146</v>
      </c>
      <c r="C81" s="181"/>
      <c r="D81" s="188">
        <v>1</v>
      </c>
      <c r="E81" s="112">
        <v>1</v>
      </c>
      <c r="F81" s="112"/>
      <c r="G81" s="18" t="s">
        <v>60</v>
      </c>
      <c r="H81" s="36">
        <f t="shared" si="9"/>
        <v>0</v>
      </c>
      <c r="I81" s="36"/>
      <c r="N81" s="48"/>
    </row>
    <row r="82" spans="1:14" ht="13.5">
      <c r="A82" s="35">
        <v>18</v>
      </c>
      <c r="B82" s="26" t="s">
        <v>147</v>
      </c>
      <c r="C82" s="181">
        <f>K82*5</f>
        <v>807.5</v>
      </c>
      <c r="D82" s="188">
        <v>1</v>
      </c>
      <c r="E82" s="112">
        <v>1</v>
      </c>
      <c r="F82" s="187">
        <f t="shared" ref="F82:F83" si="16">$I$2</f>
        <v>52</v>
      </c>
      <c r="G82" s="18" t="s">
        <v>60</v>
      </c>
      <c r="H82" s="36">
        <f t="shared" si="9"/>
        <v>41990</v>
      </c>
      <c r="I82" s="36"/>
      <c r="K82" s="47">
        <f>19*8.5</f>
        <v>161.5</v>
      </c>
      <c r="L82" s="47">
        <f t="shared" ref="L82:L83" si="17">K82/$L$63</f>
        <v>19</v>
      </c>
      <c r="N82" s="48"/>
    </row>
    <row r="83" spans="1:14" ht="13.5">
      <c r="A83" s="35">
        <v>19</v>
      </c>
      <c r="B83" s="26" t="s">
        <v>148</v>
      </c>
      <c r="C83" s="181">
        <f>K83*5</f>
        <v>765</v>
      </c>
      <c r="D83" s="188">
        <v>1.5</v>
      </c>
      <c r="E83" s="112">
        <v>1</v>
      </c>
      <c r="F83" s="187">
        <f t="shared" si="16"/>
        <v>52</v>
      </c>
      <c r="G83" s="18" t="s">
        <v>60</v>
      </c>
      <c r="H83" s="36">
        <f t="shared" si="9"/>
        <v>59670</v>
      </c>
      <c r="I83" s="36"/>
      <c r="K83" s="47">
        <f>18*8.5</f>
        <v>153</v>
      </c>
      <c r="L83" s="47">
        <f t="shared" si="17"/>
        <v>18</v>
      </c>
      <c r="N83" s="48"/>
    </row>
    <row r="84" spans="1:14" ht="13.5">
      <c r="A84" s="35">
        <v>20</v>
      </c>
      <c r="B84" s="26" t="s">
        <v>149</v>
      </c>
      <c r="C84" s="181"/>
      <c r="D84" s="188"/>
      <c r="E84" s="112"/>
      <c r="F84" s="187"/>
      <c r="G84" s="18" t="s">
        <v>60</v>
      </c>
      <c r="H84" s="36">
        <f t="shared" si="9"/>
        <v>0</v>
      </c>
      <c r="I84" s="36"/>
      <c r="K84" s="47">
        <f>19*8.5</f>
        <v>161.5</v>
      </c>
      <c r="L84" s="47">
        <f t="shared" ref="L84" si="18">K84/$L$63</f>
        <v>19</v>
      </c>
      <c r="N84" s="48"/>
    </row>
    <row r="85" spans="1:14" ht="13.5">
      <c r="A85" s="35">
        <v>21</v>
      </c>
      <c r="B85" s="26" t="s">
        <v>119</v>
      </c>
      <c r="C85" s="181"/>
      <c r="D85" s="188">
        <v>1</v>
      </c>
      <c r="E85" s="112">
        <v>1</v>
      </c>
      <c r="F85" s="112"/>
      <c r="G85" s="18" t="s">
        <v>60</v>
      </c>
      <c r="H85" s="36">
        <f t="shared" si="9"/>
        <v>0</v>
      </c>
      <c r="I85" s="36"/>
      <c r="N85" s="48"/>
    </row>
    <row r="86" spans="1:14" ht="13.5">
      <c r="A86" s="35">
        <v>22</v>
      </c>
      <c r="B86" s="48" t="s">
        <v>945</v>
      </c>
      <c r="C86" s="181">
        <f>K86*5</f>
        <v>935</v>
      </c>
      <c r="D86" s="188">
        <v>1</v>
      </c>
      <c r="E86" s="112">
        <v>1</v>
      </c>
      <c r="F86" s="187">
        <f>I2</f>
        <v>52</v>
      </c>
      <c r="G86" s="18" t="s">
        <v>60</v>
      </c>
      <c r="H86" s="36">
        <f t="shared" si="9"/>
        <v>48620</v>
      </c>
      <c r="I86" s="36"/>
      <c r="K86" s="47">
        <f>22*8.5</f>
        <v>187</v>
      </c>
      <c r="L86" s="47">
        <v>22</v>
      </c>
      <c r="N86" s="48"/>
    </row>
    <row r="87" spans="1:14" ht="13.5">
      <c r="A87" s="35">
        <v>23</v>
      </c>
      <c r="B87" s="26" t="s">
        <v>753</v>
      </c>
      <c r="C87" s="181"/>
      <c r="D87" s="188">
        <v>1</v>
      </c>
      <c r="E87" s="112">
        <v>1</v>
      </c>
      <c r="F87" s="112"/>
      <c r="G87" s="18" t="s">
        <v>60</v>
      </c>
      <c r="H87" s="36">
        <f t="shared" si="9"/>
        <v>0</v>
      </c>
      <c r="I87" s="36"/>
      <c r="N87" s="48"/>
    </row>
    <row r="88" spans="1:14" ht="13.5">
      <c r="A88" s="35">
        <v>24</v>
      </c>
      <c r="B88" s="26"/>
      <c r="C88" s="181"/>
      <c r="D88" s="188">
        <v>1</v>
      </c>
      <c r="E88" s="112">
        <v>1</v>
      </c>
      <c r="F88" s="112"/>
      <c r="G88" s="18" t="s">
        <v>60</v>
      </c>
      <c r="H88" s="36">
        <f t="shared" si="9"/>
        <v>0</v>
      </c>
      <c r="I88" s="36"/>
      <c r="N88" s="48"/>
    </row>
    <row r="89" spans="1:14" ht="13.5">
      <c r="A89" s="35"/>
      <c r="B89" s="26"/>
      <c r="C89" s="181"/>
      <c r="D89" s="112"/>
      <c r="E89" s="112"/>
      <c r="F89" s="112"/>
      <c r="G89" s="18"/>
      <c r="H89" s="36"/>
      <c r="I89" s="36"/>
      <c r="N89" s="48"/>
    </row>
    <row r="90" spans="1:14" ht="13.5">
      <c r="A90" s="35"/>
      <c r="B90" s="26"/>
      <c r="C90" s="181"/>
      <c r="D90" s="112"/>
      <c r="E90" s="112"/>
      <c r="F90" s="112"/>
      <c r="G90" s="18"/>
      <c r="H90" s="36"/>
      <c r="I90" s="36"/>
      <c r="N90" s="48"/>
    </row>
    <row r="91" spans="1:14">
      <c r="A91" s="161" t="s">
        <v>16</v>
      </c>
      <c r="B91" s="162" t="s">
        <v>120</v>
      </c>
      <c r="C91" s="180" t="s">
        <v>121</v>
      </c>
      <c r="D91" s="163"/>
      <c r="E91" s="163"/>
      <c r="F91" s="163"/>
      <c r="G91" s="164" t="s">
        <v>60</v>
      </c>
      <c r="H91" s="165">
        <f>SUM(H65:H90)</f>
        <v>431080</v>
      </c>
      <c r="I91" s="165"/>
      <c r="N91" s="48"/>
    </row>
    <row r="92" spans="1:14" ht="13.5">
      <c r="A92" s="35"/>
      <c r="B92" s="26"/>
      <c r="C92" s="181"/>
      <c r="D92" s="112"/>
      <c r="E92" s="112"/>
      <c r="F92" s="112"/>
      <c r="G92" s="18"/>
      <c r="H92" s="36"/>
      <c r="I92" s="36"/>
      <c r="N92" s="48"/>
    </row>
    <row r="93" spans="1:14">
      <c r="A93" s="161" t="s">
        <v>26</v>
      </c>
      <c r="B93" s="162" t="s">
        <v>150</v>
      </c>
      <c r="C93" s="180"/>
      <c r="D93" s="163"/>
      <c r="E93" s="163"/>
      <c r="F93" s="163"/>
      <c r="G93" s="164"/>
      <c r="H93" s="165"/>
      <c r="I93" s="165"/>
      <c r="N93" s="48"/>
    </row>
    <row r="94" spans="1:14" ht="13.5">
      <c r="A94" s="35">
        <v>1</v>
      </c>
      <c r="B94" s="26" t="s">
        <v>151</v>
      </c>
      <c r="C94" s="181"/>
      <c r="D94" s="112">
        <v>1</v>
      </c>
      <c r="E94" s="112">
        <v>1</v>
      </c>
      <c r="F94" s="112"/>
      <c r="G94" s="18" t="s">
        <v>60</v>
      </c>
      <c r="H94" s="36">
        <f t="shared" ref="H94:H111" si="19">C94*D94*E94*F94</f>
        <v>0</v>
      </c>
      <c r="I94" s="36"/>
      <c r="N94" s="48"/>
    </row>
    <row r="95" spans="1:14" ht="13.5">
      <c r="A95" s="35">
        <v>2</v>
      </c>
      <c r="B95" s="26" t="s">
        <v>152</v>
      </c>
      <c r="C95" s="181"/>
      <c r="D95" s="112">
        <v>1</v>
      </c>
      <c r="E95" s="112">
        <v>1</v>
      </c>
      <c r="F95" s="112">
        <v>1</v>
      </c>
      <c r="G95" s="18" t="s">
        <v>60</v>
      </c>
      <c r="H95" s="36">
        <f t="shared" si="19"/>
        <v>0</v>
      </c>
      <c r="I95" s="36" t="s">
        <v>92</v>
      </c>
      <c r="N95" s="48"/>
    </row>
    <row r="96" spans="1:14" ht="13.5">
      <c r="A96" s="35">
        <v>3</v>
      </c>
      <c r="B96" s="26" t="s">
        <v>153</v>
      </c>
      <c r="C96" s="181"/>
      <c r="D96" s="112">
        <v>1</v>
      </c>
      <c r="E96" s="112">
        <v>1</v>
      </c>
      <c r="F96" s="112"/>
      <c r="G96" s="18" t="s">
        <v>60</v>
      </c>
      <c r="H96" s="36">
        <f t="shared" si="19"/>
        <v>0</v>
      </c>
      <c r="I96" s="36"/>
      <c r="N96" s="48"/>
    </row>
    <row r="97" spans="1:14" ht="13.5">
      <c r="A97" s="35">
        <v>4</v>
      </c>
      <c r="B97" s="26" t="s">
        <v>154</v>
      </c>
      <c r="C97" s="181"/>
      <c r="D97" s="112">
        <v>1</v>
      </c>
      <c r="E97" s="112">
        <v>1</v>
      </c>
      <c r="F97" s="112">
        <v>1</v>
      </c>
      <c r="G97" s="18" t="s">
        <v>60</v>
      </c>
      <c r="H97" s="36">
        <f t="shared" si="19"/>
        <v>0</v>
      </c>
      <c r="I97" s="36" t="s">
        <v>92</v>
      </c>
      <c r="N97" s="48"/>
    </row>
    <row r="98" spans="1:14" ht="13.5">
      <c r="A98" s="35">
        <v>5</v>
      </c>
      <c r="B98" s="26" t="s">
        <v>155</v>
      </c>
      <c r="C98" s="181"/>
      <c r="D98" s="112">
        <v>1</v>
      </c>
      <c r="E98" s="112">
        <v>1</v>
      </c>
      <c r="F98" s="112"/>
      <c r="G98" s="18" t="s">
        <v>60</v>
      </c>
      <c r="H98" s="36">
        <f t="shared" si="19"/>
        <v>0</v>
      </c>
      <c r="I98" s="36"/>
      <c r="N98" s="48"/>
    </row>
    <row r="99" spans="1:14" ht="27">
      <c r="A99" s="35">
        <v>6</v>
      </c>
      <c r="B99" s="26" t="s">
        <v>156</v>
      </c>
      <c r="C99" s="181">
        <v>250</v>
      </c>
      <c r="D99" s="112">
        <v>1</v>
      </c>
      <c r="E99" s="112">
        <v>1</v>
      </c>
      <c r="F99" s="187">
        <f>I2</f>
        <v>52</v>
      </c>
      <c r="G99" s="18" t="s">
        <v>60</v>
      </c>
      <c r="H99" s="36">
        <f t="shared" si="19"/>
        <v>13000</v>
      </c>
      <c r="I99" s="36"/>
      <c r="N99" s="48"/>
    </row>
    <row r="100" spans="1:14" ht="13.5">
      <c r="A100" s="35">
        <v>7</v>
      </c>
      <c r="B100" s="26" t="s">
        <v>157</v>
      </c>
      <c r="C100" s="181"/>
      <c r="D100" s="112">
        <v>1</v>
      </c>
      <c r="E100" s="112">
        <v>1</v>
      </c>
      <c r="F100" s="112"/>
      <c r="G100" s="18" t="s">
        <v>60</v>
      </c>
      <c r="H100" s="36">
        <f t="shared" si="19"/>
        <v>0</v>
      </c>
      <c r="I100" s="36"/>
      <c r="N100" s="48"/>
    </row>
    <row r="101" spans="1:14" ht="13.5">
      <c r="A101" s="35">
        <v>8</v>
      </c>
      <c r="B101" s="26" t="s">
        <v>152</v>
      </c>
      <c r="C101" s="181"/>
      <c r="D101" s="112">
        <v>1</v>
      </c>
      <c r="E101" s="112">
        <v>1</v>
      </c>
      <c r="F101" s="112">
        <v>1</v>
      </c>
      <c r="G101" s="18" t="s">
        <v>60</v>
      </c>
      <c r="H101" s="36">
        <f t="shared" si="19"/>
        <v>0</v>
      </c>
      <c r="I101" s="36" t="s">
        <v>92</v>
      </c>
      <c r="N101" s="48"/>
    </row>
    <row r="102" spans="1:14" ht="13.5">
      <c r="A102" s="35">
        <v>9</v>
      </c>
      <c r="B102" s="26" t="s">
        <v>158</v>
      </c>
      <c r="C102" s="181"/>
      <c r="D102" s="112">
        <v>1</v>
      </c>
      <c r="E102" s="112">
        <v>1</v>
      </c>
      <c r="F102" s="112"/>
      <c r="G102" s="18" t="s">
        <v>60</v>
      </c>
      <c r="H102" s="36">
        <f t="shared" si="19"/>
        <v>0</v>
      </c>
      <c r="I102" s="36"/>
      <c r="N102" s="48"/>
    </row>
    <row r="103" spans="1:14" ht="13.5">
      <c r="A103" s="35">
        <v>10</v>
      </c>
      <c r="B103" s="26" t="s">
        <v>154</v>
      </c>
      <c r="C103" s="181"/>
      <c r="D103" s="112">
        <v>1</v>
      </c>
      <c r="E103" s="112">
        <v>1</v>
      </c>
      <c r="F103" s="112">
        <v>1</v>
      </c>
      <c r="G103" s="18" t="s">
        <v>60</v>
      </c>
      <c r="H103" s="36">
        <f t="shared" si="19"/>
        <v>0</v>
      </c>
      <c r="I103" s="36" t="s">
        <v>92</v>
      </c>
      <c r="N103" s="48"/>
    </row>
    <row r="104" spans="1:14" ht="13.5">
      <c r="A104" s="35">
        <v>11</v>
      </c>
      <c r="B104" s="26" t="s">
        <v>159</v>
      </c>
      <c r="C104" s="181"/>
      <c r="D104" s="112">
        <v>1</v>
      </c>
      <c r="E104" s="112">
        <v>1</v>
      </c>
      <c r="F104" s="112"/>
      <c r="G104" s="18" t="s">
        <v>60</v>
      </c>
      <c r="H104" s="36">
        <f t="shared" si="19"/>
        <v>0</v>
      </c>
      <c r="I104" s="36"/>
      <c r="N104" s="48"/>
    </row>
    <row r="105" spans="1:14" ht="27">
      <c r="A105" s="35">
        <v>12</v>
      </c>
      <c r="B105" s="26" t="s">
        <v>160</v>
      </c>
      <c r="C105" s="207">
        <v>1800</v>
      </c>
      <c r="D105" s="208">
        <v>1</v>
      </c>
      <c r="E105" s="208">
        <v>1</v>
      </c>
      <c r="F105" s="209">
        <f>I2</f>
        <v>52</v>
      </c>
      <c r="G105" s="210" t="s">
        <v>60</v>
      </c>
      <c r="H105" s="211">
        <f t="shared" si="19"/>
        <v>93600</v>
      </c>
      <c r="I105" s="212" t="s">
        <v>987</v>
      </c>
      <c r="N105" s="48"/>
    </row>
    <row r="106" spans="1:14" ht="13.5">
      <c r="A106" s="35">
        <v>13</v>
      </c>
      <c r="B106" s="26" t="s">
        <v>152</v>
      </c>
      <c r="C106" s="181"/>
      <c r="D106" s="112">
        <v>1</v>
      </c>
      <c r="E106" s="112">
        <v>1</v>
      </c>
      <c r="F106" s="112">
        <v>1</v>
      </c>
      <c r="G106" s="18" t="s">
        <v>60</v>
      </c>
      <c r="H106" s="36">
        <f t="shared" si="19"/>
        <v>0</v>
      </c>
      <c r="I106" s="36" t="s">
        <v>92</v>
      </c>
      <c r="N106" s="48"/>
    </row>
    <row r="107" spans="1:14" ht="13.5">
      <c r="A107" s="35">
        <v>14</v>
      </c>
      <c r="B107" s="26" t="s">
        <v>153</v>
      </c>
      <c r="C107" s="181"/>
      <c r="D107" s="112">
        <v>1</v>
      </c>
      <c r="E107" s="112">
        <v>1</v>
      </c>
      <c r="F107" s="112"/>
      <c r="G107" s="18" t="s">
        <v>60</v>
      </c>
      <c r="H107" s="36">
        <f t="shared" si="19"/>
        <v>0</v>
      </c>
      <c r="I107" s="36"/>
      <c r="N107" s="48"/>
    </row>
    <row r="108" spans="1:14" ht="13.5">
      <c r="A108" s="35">
        <v>15</v>
      </c>
      <c r="B108" s="26" t="s">
        <v>154</v>
      </c>
      <c r="C108" s="181"/>
      <c r="D108" s="112">
        <v>1</v>
      </c>
      <c r="E108" s="112">
        <v>1</v>
      </c>
      <c r="F108" s="112">
        <v>1</v>
      </c>
      <c r="G108" s="18" t="s">
        <v>60</v>
      </c>
      <c r="H108" s="36">
        <f t="shared" si="19"/>
        <v>0</v>
      </c>
      <c r="I108" s="36" t="s">
        <v>92</v>
      </c>
      <c r="N108" s="48"/>
    </row>
    <row r="109" spans="1:14" ht="13.5">
      <c r="A109" s="35">
        <v>16</v>
      </c>
      <c r="B109" s="26" t="s">
        <v>159</v>
      </c>
      <c r="C109" s="181"/>
      <c r="D109" s="112">
        <v>1</v>
      </c>
      <c r="E109" s="112">
        <v>1</v>
      </c>
      <c r="F109" s="112"/>
      <c r="G109" s="18" t="s">
        <v>60</v>
      </c>
      <c r="H109" s="36">
        <f t="shared" si="19"/>
        <v>0</v>
      </c>
      <c r="I109" s="36"/>
      <c r="N109" s="48"/>
    </row>
    <row r="110" spans="1:14" ht="13.5">
      <c r="A110" s="35">
        <v>18</v>
      </c>
      <c r="B110" s="26" t="s">
        <v>161</v>
      </c>
      <c r="C110" s="181">
        <v>5000</v>
      </c>
      <c r="D110" s="112">
        <v>1</v>
      </c>
      <c r="E110" s="112">
        <v>1</v>
      </c>
      <c r="F110" s="112">
        <v>1</v>
      </c>
      <c r="G110" s="18" t="s">
        <v>60</v>
      </c>
      <c r="H110" s="36">
        <f t="shared" si="19"/>
        <v>5000</v>
      </c>
      <c r="I110" s="36" t="s">
        <v>1024</v>
      </c>
      <c r="N110" s="48"/>
    </row>
    <row r="111" spans="1:14" ht="13.5">
      <c r="A111" s="35">
        <v>19</v>
      </c>
      <c r="B111" s="26" t="s">
        <v>162</v>
      </c>
      <c r="C111" s="181"/>
      <c r="D111" s="112">
        <v>1</v>
      </c>
      <c r="E111" s="112">
        <v>1</v>
      </c>
      <c r="F111" s="112">
        <v>1</v>
      </c>
      <c r="G111" s="18" t="s">
        <v>60</v>
      </c>
      <c r="H111" s="36">
        <f t="shared" si="19"/>
        <v>0</v>
      </c>
      <c r="I111" s="36" t="s">
        <v>92</v>
      </c>
      <c r="N111" s="48"/>
    </row>
    <row r="112" spans="1:14">
      <c r="A112" s="161" t="s">
        <v>26</v>
      </c>
      <c r="B112" s="162" t="s">
        <v>120</v>
      </c>
      <c r="C112" s="180"/>
      <c r="D112" s="163"/>
      <c r="E112" s="163"/>
      <c r="F112" s="163"/>
      <c r="G112" s="164" t="s">
        <v>60</v>
      </c>
      <c r="H112" s="165">
        <f>SUM(H94:H111)</f>
        <v>111600</v>
      </c>
      <c r="I112" s="165"/>
      <c r="N112" s="48"/>
    </row>
    <row r="113" spans="1:14" ht="13.5">
      <c r="A113" s="35"/>
      <c r="B113" s="26"/>
      <c r="C113" s="181"/>
      <c r="D113" s="112"/>
      <c r="E113" s="112"/>
      <c r="F113" s="112"/>
      <c r="G113" s="18"/>
      <c r="H113" s="36"/>
      <c r="I113" s="36"/>
      <c r="N113" s="48"/>
    </row>
    <row r="114" spans="1:14" ht="41.65">
      <c r="A114" s="161" t="s">
        <v>28</v>
      </c>
      <c r="B114" s="162" t="s">
        <v>163</v>
      </c>
      <c r="C114" s="180"/>
      <c r="D114" s="163"/>
      <c r="E114" s="163"/>
      <c r="F114" s="163"/>
      <c r="G114" s="164"/>
      <c r="H114" s="165"/>
      <c r="I114" s="165"/>
      <c r="N114" s="48"/>
    </row>
    <row r="115" spans="1:14" ht="13.5">
      <c r="A115" s="35">
        <v>1</v>
      </c>
      <c r="B115" s="26" t="s">
        <v>164</v>
      </c>
      <c r="C115" s="181">
        <f>142540+77130</f>
        <v>219670</v>
      </c>
      <c r="D115" s="112">
        <v>1</v>
      </c>
      <c r="E115" s="112">
        <v>1</v>
      </c>
      <c r="F115" s="112">
        <v>1</v>
      </c>
      <c r="G115" s="18" t="s">
        <v>60</v>
      </c>
      <c r="H115" s="36">
        <f t="shared" ref="H115:H122" si="20">C115*D115*E115*F115</f>
        <v>219670</v>
      </c>
      <c r="I115" s="36" t="s">
        <v>92</v>
      </c>
      <c r="J115" s="47" t="s">
        <v>754</v>
      </c>
      <c r="N115" s="48"/>
    </row>
    <row r="116" spans="1:14" ht="13.5">
      <c r="A116" s="35">
        <v>2</v>
      </c>
      <c r="B116" s="26" t="s">
        <v>165</v>
      </c>
      <c r="C116" s="181">
        <f>4276.2+2313.9</f>
        <v>6590.1</v>
      </c>
      <c r="D116" s="112">
        <v>1</v>
      </c>
      <c r="E116" s="112">
        <v>1</v>
      </c>
      <c r="F116" s="112"/>
      <c r="G116" s="18" t="s">
        <v>60</v>
      </c>
      <c r="H116" s="36">
        <f t="shared" si="20"/>
        <v>0</v>
      </c>
      <c r="I116" s="36"/>
      <c r="N116" s="48"/>
    </row>
    <row r="117" spans="1:14" ht="13.5">
      <c r="A117" s="35">
        <v>3</v>
      </c>
      <c r="B117" s="26" t="s">
        <v>166</v>
      </c>
      <c r="C117" s="181"/>
      <c r="D117" s="112">
        <v>1</v>
      </c>
      <c r="E117" s="112">
        <v>1</v>
      </c>
      <c r="F117" s="112">
        <v>1</v>
      </c>
      <c r="G117" s="18" t="s">
        <v>60</v>
      </c>
      <c r="H117" s="36">
        <f t="shared" si="20"/>
        <v>0</v>
      </c>
      <c r="I117" s="36" t="s">
        <v>92</v>
      </c>
      <c r="J117" s="47" t="s">
        <v>939</v>
      </c>
      <c r="N117" s="48"/>
    </row>
    <row r="118" spans="1:14" ht="13.5">
      <c r="A118" s="35">
        <v>4</v>
      </c>
      <c r="B118" s="26" t="s">
        <v>167</v>
      </c>
      <c r="C118" s="181"/>
      <c r="D118" s="112">
        <v>1</v>
      </c>
      <c r="E118" s="112">
        <v>1</v>
      </c>
      <c r="F118" s="112"/>
      <c r="G118" s="18" t="s">
        <v>60</v>
      </c>
      <c r="H118" s="36">
        <f t="shared" si="20"/>
        <v>0</v>
      </c>
      <c r="I118" s="36"/>
      <c r="J118" s="47" t="s">
        <v>939</v>
      </c>
      <c r="N118" s="48"/>
    </row>
    <row r="119" spans="1:14" ht="13.5">
      <c r="A119" s="35">
        <v>5</v>
      </c>
      <c r="B119" s="26" t="s">
        <v>168</v>
      </c>
      <c r="C119" s="181"/>
      <c r="D119" s="112">
        <v>1</v>
      </c>
      <c r="E119" s="112">
        <v>1</v>
      </c>
      <c r="F119" s="112"/>
      <c r="G119" s="18" t="s">
        <v>60</v>
      </c>
      <c r="H119" s="36">
        <f t="shared" si="20"/>
        <v>0</v>
      </c>
      <c r="I119" s="36"/>
      <c r="N119" s="48"/>
    </row>
    <row r="120" spans="1:14" ht="13.5">
      <c r="A120" s="35">
        <v>6</v>
      </c>
      <c r="B120" s="26" t="s">
        <v>169</v>
      </c>
      <c r="C120" s="181"/>
      <c r="D120" s="112">
        <v>1</v>
      </c>
      <c r="E120" s="112">
        <v>1</v>
      </c>
      <c r="F120" s="112"/>
      <c r="G120" s="18" t="s">
        <v>60</v>
      </c>
      <c r="H120" s="36">
        <f t="shared" si="20"/>
        <v>0</v>
      </c>
      <c r="I120" s="36">
        <v>0</v>
      </c>
      <c r="N120" s="48"/>
    </row>
    <row r="121" spans="1:14" ht="13.5">
      <c r="A121" s="35">
        <v>7</v>
      </c>
      <c r="B121" s="26" t="s">
        <v>170</v>
      </c>
      <c r="C121" s="181"/>
      <c r="D121" s="112">
        <v>1</v>
      </c>
      <c r="E121" s="112">
        <v>1</v>
      </c>
      <c r="F121" s="112"/>
      <c r="G121" s="18" t="s">
        <v>60</v>
      </c>
      <c r="H121" s="36">
        <f t="shared" si="20"/>
        <v>0</v>
      </c>
      <c r="I121" s="36">
        <v>0</v>
      </c>
      <c r="N121" s="48"/>
    </row>
    <row r="122" spans="1:14" ht="27">
      <c r="A122" s="35">
        <v>8</v>
      </c>
      <c r="B122" s="26" t="s">
        <v>171</v>
      </c>
      <c r="C122" s="181">
        <v>3000</v>
      </c>
      <c r="D122" s="112">
        <v>1</v>
      </c>
      <c r="E122" s="112">
        <v>1</v>
      </c>
      <c r="F122" s="112">
        <v>1</v>
      </c>
      <c r="G122" s="18" t="s">
        <v>60</v>
      </c>
      <c r="H122" s="36">
        <f t="shared" si="20"/>
        <v>3000</v>
      </c>
      <c r="I122" s="36">
        <v>0</v>
      </c>
      <c r="J122" s="47" t="s">
        <v>978</v>
      </c>
      <c r="N122" s="48"/>
    </row>
    <row r="123" spans="1:14">
      <c r="A123" s="161" t="s">
        <v>28</v>
      </c>
      <c r="B123" s="162" t="s">
        <v>120</v>
      </c>
      <c r="C123" s="180"/>
      <c r="D123" s="163"/>
      <c r="E123" s="163"/>
      <c r="F123" s="163"/>
      <c r="G123" s="164" t="s">
        <v>60</v>
      </c>
      <c r="H123" s="165">
        <f>SUM(H115:H122)</f>
        <v>222670</v>
      </c>
      <c r="I123" s="165"/>
      <c r="N123" s="48"/>
    </row>
    <row r="124" spans="1:14" ht="13.5">
      <c r="A124" s="35"/>
      <c r="B124" s="26"/>
      <c r="C124" s="181"/>
      <c r="D124" s="112"/>
      <c r="E124" s="112"/>
      <c r="F124" s="112"/>
      <c r="G124" s="18"/>
      <c r="H124" s="36"/>
      <c r="I124" s="36"/>
      <c r="N124" s="48"/>
    </row>
    <row r="125" spans="1:14">
      <c r="A125" s="161" t="s">
        <v>30</v>
      </c>
      <c r="B125" s="162" t="s">
        <v>172</v>
      </c>
      <c r="C125" s="180"/>
      <c r="D125" s="163"/>
      <c r="E125" s="163"/>
      <c r="F125" s="163"/>
      <c r="G125" s="164"/>
      <c r="H125" s="165"/>
      <c r="I125" s="165"/>
      <c r="N125" s="48"/>
    </row>
    <row r="126" spans="1:14" ht="13.5">
      <c r="A126" s="35">
        <v>1</v>
      </c>
      <c r="B126" s="26" t="s">
        <v>173</v>
      </c>
      <c r="C126" s="181"/>
      <c r="D126" s="112">
        <v>1</v>
      </c>
      <c r="E126" s="112">
        <v>1</v>
      </c>
      <c r="F126" s="112"/>
      <c r="G126" s="18" t="s">
        <v>60</v>
      </c>
      <c r="H126" s="36">
        <f t="shared" ref="H126:H129" si="21">C126*D126*E126*F126</f>
        <v>0</v>
      </c>
      <c r="I126" s="36"/>
      <c r="N126" s="48"/>
    </row>
    <row r="127" spans="1:14" ht="13.5">
      <c r="A127" s="35">
        <v>2</v>
      </c>
      <c r="B127" s="26" t="s">
        <v>174</v>
      </c>
      <c r="C127" s="181"/>
      <c r="D127" s="112">
        <v>1</v>
      </c>
      <c r="E127" s="112">
        <v>1</v>
      </c>
      <c r="F127" s="112"/>
      <c r="G127" s="18" t="s">
        <v>60</v>
      </c>
      <c r="H127" s="36">
        <f t="shared" si="21"/>
        <v>0</v>
      </c>
      <c r="I127" s="36"/>
      <c r="N127" s="48"/>
    </row>
    <row r="128" spans="1:14" ht="13.5">
      <c r="A128" s="35">
        <v>3</v>
      </c>
      <c r="B128" s="26" t="s">
        <v>175</v>
      </c>
      <c r="C128" s="181"/>
      <c r="D128" s="112">
        <v>1</v>
      </c>
      <c r="E128" s="112">
        <v>1</v>
      </c>
      <c r="F128" s="112"/>
      <c r="G128" s="18" t="s">
        <v>60</v>
      </c>
      <c r="H128" s="36">
        <f t="shared" si="21"/>
        <v>0</v>
      </c>
      <c r="I128" s="36"/>
      <c r="N128" s="48"/>
    </row>
    <row r="129" spans="1:14" ht="27">
      <c r="A129" s="35">
        <v>4</v>
      </c>
      <c r="B129" s="26" t="s">
        <v>176</v>
      </c>
      <c r="C129" s="181">
        <v>320</v>
      </c>
      <c r="D129" s="112">
        <v>1</v>
      </c>
      <c r="E129" s="112">
        <v>1</v>
      </c>
      <c r="F129" s="187">
        <f>I2</f>
        <v>52</v>
      </c>
      <c r="G129" s="18" t="s">
        <v>60</v>
      </c>
      <c r="H129" s="36">
        <f t="shared" si="21"/>
        <v>16640</v>
      </c>
      <c r="I129" s="36"/>
      <c r="J129" s="47" t="s">
        <v>977</v>
      </c>
      <c r="N129" s="48"/>
    </row>
    <row r="130" spans="1:14">
      <c r="A130" s="161" t="s">
        <v>30</v>
      </c>
      <c r="B130" s="162" t="s">
        <v>120</v>
      </c>
      <c r="C130" s="180"/>
      <c r="D130" s="163"/>
      <c r="E130" s="163"/>
      <c r="F130" s="163"/>
      <c r="G130" s="164" t="s">
        <v>60</v>
      </c>
      <c r="H130" s="165">
        <f>SUM(H126:H129)</f>
        <v>16640</v>
      </c>
      <c r="I130" s="165"/>
      <c r="N130" s="48"/>
    </row>
    <row r="131" spans="1:14" ht="13.5">
      <c r="A131" s="35"/>
      <c r="B131" s="26"/>
      <c r="C131" s="181"/>
      <c r="D131" s="112"/>
      <c r="E131" s="112"/>
      <c r="F131" s="112"/>
      <c r="G131" s="18"/>
      <c r="H131" s="36"/>
      <c r="I131" s="36"/>
      <c r="N131" s="48"/>
    </row>
    <row r="132" spans="1:14">
      <c r="A132" s="161" t="s">
        <v>33</v>
      </c>
      <c r="B132" s="162" t="s">
        <v>177</v>
      </c>
      <c r="C132" s="180"/>
      <c r="D132" s="163"/>
      <c r="E132" s="163"/>
      <c r="F132" s="163"/>
      <c r="G132" s="164"/>
      <c r="H132" s="165"/>
      <c r="I132" s="165"/>
      <c r="N132" s="48"/>
    </row>
    <row r="133" spans="1:14" ht="67.5">
      <c r="A133" s="35">
        <v>1</v>
      </c>
      <c r="B133" s="26" t="s">
        <v>178</v>
      </c>
      <c r="C133" s="181">
        <f>18650*2+(75*150*2)</f>
        <v>59800</v>
      </c>
      <c r="D133" s="112">
        <v>1</v>
      </c>
      <c r="E133" s="112">
        <v>1</v>
      </c>
      <c r="F133" s="112">
        <v>1</v>
      </c>
      <c r="G133" s="18" t="s">
        <v>60</v>
      </c>
      <c r="H133" s="36">
        <f t="shared" ref="H133:H142" si="22">C133*D133*E133*F133</f>
        <v>59800</v>
      </c>
      <c r="I133" s="166" t="s">
        <v>918</v>
      </c>
      <c r="N133" s="48"/>
    </row>
    <row r="134" spans="1:14" ht="13.5">
      <c r="A134" s="35">
        <v>2</v>
      </c>
      <c r="B134" s="26" t="s">
        <v>179</v>
      </c>
      <c r="C134" s="181"/>
      <c r="D134" s="112">
        <v>1</v>
      </c>
      <c r="E134" s="112">
        <v>1</v>
      </c>
      <c r="F134" s="112"/>
      <c r="G134" s="18" t="s">
        <v>60</v>
      </c>
      <c r="H134" s="36">
        <f t="shared" si="22"/>
        <v>0</v>
      </c>
      <c r="I134" s="36"/>
      <c r="N134" s="48"/>
    </row>
    <row r="135" spans="1:14" ht="13.5">
      <c r="A135" s="35">
        <v>3</v>
      </c>
      <c r="B135" s="26" t="s">
        <v>180</v>
      </c>
      <c r="C135" s="181"/>
      <c r="D135" s="112">
        <v>1</v>
      </c>
      <c r="E135" s="112">
        <v>1</v>
      </c>
      <c r="F135" s="112"/>
      <c r="G135" s="18" t="s">
        <v>60</v>
      </c>
      <c r="H135" s="36">
        <f t="shared" si="22"/>
        <v>0</v>
      </c>
      <c r="I135" s="36"/>
      <c r="N135" s="48"/>
    </row>
    <row r="136" spans="1:14" ht="13.5">
      <c r="A136" s="35">
        <v>4</v>
      </c>
      <c r="B136" s="26" t="s">
        <v>181</v>
      </c>
      <c r="C136" s="181">
        <f>375/2</f>
        <v>187.5</v>
      </c>
      <c r="D136" s="112">
        <v>1</v>
      </c>
      <c r="E136" s="112">
        <v>1</v>
      </c>
      <c r="F136" s="112">
        <v>52</v>
      </c>
      <c r="G136" s="18" t="s">
        <v>60</v>
      </c>
      <c r="H136" s="36">
        <f t="shared" si="22"/>
        <v>9750</v>
      </c>
      <c r="I136" s="36"/>
      <c r="N136" s="48"/>
    </row>
    <row r="137" spans="1:14" ht="27">
      <c r="A137" s="35">
        <v>5</v>
      </c>
      <c r="B137" s="26" t="s">
        <v>182</v>
      </c>
      <c r="C137" s="181"/>
      <c r="D137" s="112">
        <v>1</v>
      </c>
      <c r="E137" s="112">
        <v>1</v>
      </c>
      <c r="F137" s="112"/>
      <c r="G137" s="18" t="s">
        <v>60</v>
      </c>
      <c r="H137" s="36">
        <f t="shared" si="22"/>
        <v>0</v>
      </c>
      <c r="I137" s="36"/>
      <c r="N137" s="48"/>
    </row>
    <row r="138" spans="1:14" ht="13.5">
      <c r="A138" s="35">
        <v>6</v>
      </c>
      <c r="B138" s="26" t="s">
        <v>183</v>
      </c>
      <c r="C138" s="181"/>
      <c r="D138" s="112">
        <v>1</v>
      </c>
      <c r="E138" s="112">
        <v>1</v>
      </c>
      <c r="F138" s="112"/>
      <c r="G138" s="18" t="s">
        <v>60</v>
      </c>
      <c r="H138" s="36">
        <f t="shared" si="22"/>
        <v>0</v>
      </c>
      <c r="I138" s="36"/>
      <c r="N138" s="48"/>
    </row>
    <row r="139" spans="1:14" ht="13.5">
      <c r="A139" s="35">
        <v>7</v>
      </c>
      <c r="B139" s="26" t="s">
        <v>184</v>
      </c>
      <c r="C139" s="181"/>
      <c r="D139" s="112">
        <v>1</v>
      </c>
      <c r="E139" s="112">
        <v>1</v>
      </c>
      <c r="F139" s="112"/>
      <c r="G139" s="18" t="s">
        <v>60</v>
      </c>
      <c r="H139" s="36">
        <f t="shared" si="22"/>
        <v>0</v>
      </c>
      <c r="I139" s="36"/>
      <c r="N139" s="48"/>
    </row>
    <row r="140" spans="1:14" ht="13.5">
      <c r="A140" s="35">
        <v>8</v>
      </c>
      <c r="B140" s="26" t="s">
        <v>185</v>
      </c>
      <c r="C140" s="181">
        <v>4000</v>
      </c>
      <c r="D140" s="112">
        <v>1</v>
      </c>
      <c r="E140" s="112">
        <v>1</v>
      </c>
      <c r="F140" s="112">
        <v>1</v>
      </c>
      <c r="G140" s="18" t="s">
        <v>60</v>
      </c>
      <c r="H140" s="36">
        <f t="shared" si="22"/>
        <v>4000</v>
      </c>
      <c r="I140" s="36"/>
      <c r="J140" s="47" t="s">
        <v>919</v>
      </c>
      <c r="N140" s="48"/>
    </row>
    <row r="141" spans="1:14" ht="13.5">
      <c r="A141" s="35">
        <v>9</v>
      </c>
      <c r="B141" s="26" t="s">
        <v>186</v>
      </c>
      <c r="C141" s="181"/>
      <c r="D141" s="112">
        <v>1</v>
      </c>
      <c r="E141" s="112">
        <v>1</v>
      </c>
      <c r="F141" s="112"/>
      <c r="G141" s="18" t="s">
        <v>60</v>
      </c>
      <c r="H141" s="36">
        <f t="shared" si="22"/>
        <v>0</v>
      </c>
      <c r="I141" s="36"/>
      <c r="N141" s="48"/>
    </row>
    <row r="142" spans="1:14" ht="13.5">
      <c r="A142" s="35">
        <v>10</v>
      </c>
      <c r="B142" s="26" t="s">
        <v>187</v>
      </c>
      <c r="C142" s="181"/>
      <c r="D142" s="112">
        <v>1</v>
      </c>
      <c r="E142" s="112">
        <v>1</v>
      </c>
      <c r="F142" s="112"/>
      <c r="G142" s="18" t="s">
        <v>60</v>
      </c>
      <c r="H142" s="36">
        <f t="shared" si="22"/>
        <v>0</v>
      </c>
      <c r="I142" s="36"/>
      <c r="N142" s="48"/>
    </row>
    <row r="143" spans="1:14">
      <c r="A143" s="161" t="s">
        <v>33</v>
      </c>
      <c r="B143" s="162" t="s">
        <v>120</v>
      </c>
      <c r="C143" s="180"/>
      <c r="D143" s="163"/>
      <c r="E143" s="163"/>
      <c r="F143" s="163"/>
      <c r="G143" s="164" t="s">
        <v>60</v>
      </c>
      <c r="H143" s="165">
        <f>SUM(H133:H142)</f>
        <v>73550</v>
      </c>
      <c r="I143" s="165"/>
      <c r="N143" s="48"/>
    </row>
    <row r="144" spans="1:14" ht="13.5">
      <c r="A144" s="35"/>
      <c r="B144" s="26"/>
      <c r="C144" s="181"/>
      <c r="D144" s="112"/>
      <c r="E144" s="112"/>
      <c r="F144" s="112"/>
      <c r="G144" s="18"/>
      <c r="H144" s="36"/>
      <c r="I144" s="36"/>
      <c r="N144" s="48"/>
    </row>
    <row r="145" spans="1:14">
      <c r="A145" s="161" t="s">
        <v>68</v>
      </c>
      <c r="B145" s="162" t="s">
        <v>188</v>
      </c>
      <c r="C145" s="180"/>
      <c r="D145" s="163"/>
      <c r="E145" s="163"/>
      <c r="F145" s="163"/>
      <c r="G145" s="164"/>
      <c r="H145" s="165"/>
      <c r="I145" s="165"/>
      <c r="N145" s="48"/>
    </row>
    <row r="146" spans="1:14" ht="13.5">
      <c r="A146" s="35">
        <v>1</v>
      </c>
      <c r="B146" s="26" t="s">
        <v>189</v>
      </c>
      <c r="C146" s="181"/>
      <c r="D146" s="112">
        <v>1</v>
      </c>
      <c r="E146" s="112">
        <v>1</v>
      </c>
      <c r="F146" s="112"/>
      <c r="G146" s="18" t="s">
        <v>60</v>
      </c>
      <c r="H146" s="36">
        <f t="shared" ref="H146:H152" si="23">C146*D146*E146*F146</f>
        <v>0</v>
      </c>
      <c r="I146" s="36"/>
      <c r="N146" s="48"/>
    </row>
    <row r="147" spans="1:14" ht="13.5">
      <c r="A147" s="35">
        <v>2</v>
      </c>
      <c r="B147" s="26" t="s">
        <v>190</v>
      </c>
      <c r="C147" s="181"/>
      <c r="D147" s="112">
        <v>1</v>
      </c>
      <c r="E147" s="112">
        <v>1</v>
      </c>
      <c r="F147" s="112"/>
      <c r="G147" s="18" t="s">
        <v>60</v>
      </c>
      <c r="H147" s="36">
        <f t="shared" si="23"/>
        <v>0</v>
      </c>
      <c r="I147" s="36"/>
      <c r="N147" s="48"/>
    </row>
    <row r="148" spans="1:14" ht="13.5">
      <c r="A148" s="35">
        <v>3</v>
      </c>
      <c r="B148" s="26" t="s">
        <v>984</v>
      </c>
      <c r="C148" s="181">
        <f>(29*150)+(45*50)</f>
        <v>6600</v>
      </c>
      <c r="D148" s="112">
        <v>1</v>
      </c>
      <c r="E148" s="112">
        <v>1</v>
      </c>
      <c r="F148" s="112">
        <v>1</v>
      </c>
      <c r="G148" s="18" t="s">
        <v>60</v>
      </c>
      <c r="H148" s="36">
        <f t="shared" si="23"/>
        <v>6600</v>
      </c>
      <c r="I148" s="36"/>
      <c r="J148" s="47" t="s">
        <v>985</v>
      </c>
      <c r="N148" s="48"/>
    </row>
    <row r="149" spans="1:14" ht="13.5">
      <c r="A149" s="35">
        <v>4</v>
      </c>
      <c r="B149" s="26" t="s">
        <v>191</v>
      </c>
      <c r="C149" s="181"/>
      <c r="D149" s="112">
        <v>1</v>
      </c>
      <c r="E149" s="112">
        <v>1</v>
      </c>
      <c r="F149" s="112"/>
      <c r="G149" s="18" t="s">
        <v>60</v>
      </c>
      <c r="H149" s="36">
        <f t="shared" si="23"/>
        <v>0</v>
      </c>
      <c r="I149" s="36"/>
      <c r="N149" s="48"/>
    </row>
    <row r="150" spans="1:14" ht="13.5">
      <c r="A150" s="35">
        <v>5</v>
      </c>
      <c r="B150" s="26" t="s">
        <v>192</v>
      </c>
      <c r="C150" s="181"/>
      <c r="D150" s="112">
        <v>1</v>
      </c>
      <c r="E150" s="112">
        <v>1</v>
      </c>
      <c r="F150" s="112"/>
      <c r="G150" s="18" t="s">
        <v>60</v>
      </c>
      <c r="H150" s="36">
        <f t="shared" si="23"/>
        <v>0</v>
      </c>
      <c r="I150" s="36"/>
      <c r="N150" s="48"/>
    </row>
    <row r="151" spans="1:14" ht="27">
      <c r="A151" s="35">
        <v>6</v>
      </c>
      <c r="B151" s="26" t="s">
        <v>193</v>
      </c>
      <c r="C151" s="181">
        <v>2500</v>
      </c>
      <c r="D151" s="112">
        <v>1</v>
      </c>
      <c r="E151" s="112">
        <v>1</v>
      </c>
      <c r="F151" s="112">
        <v>1</v>
      </c>
      <c r="G151" s="18" t="s">
        <v>60</v>
      </c>
      <c r="H151" s="36">
        <f t="shared" si="23"/>
        <v>2500</v>
      </c>
      <c r="I151" s="36" t="s">
        <v>92</v>
      </c>
      <c r="N151" s="48"/>
    </row>
    <row r="152" spans="1:14" ht="13.5">
      <c r="A152" s="35">
        <v>7</v>
      </c>
      <c r="B152" s="26" t="s">
        <v>194</v>
      </c>
      <c r="C152" s="181"/>
      <c r="D152" s="112">
        <v>1</v>
      </c>
      <c r="E152" s="112">
        <v>1</v>
      </c>
      <c r="F152" s="112"/>
      <c r="G152" s="18" t="s">
        <v>60</v>
      </c>
      <c r="H152" s="36">
        <f t="shared" si="23"/>
        <v>0</v>
      </c>
      <c r="I152" s="36"/>
      <c r="N152" s="48"/>
    </row>
    <row r="153" spans="1:14">
      <c r="A153" s="161" t="s">
        <v>68</v>
      </c>
      <c r="B153" s="162" t="s">
        <v>120</v>
      </c>
      <c r="C153" s="180"/>
      <c r="D153" s="163"/>
      <c r="E153" s="163"/>
      <c r="F153" s="163"/>
      <c r="G153" s="164" t="s">
        <v>60</v>
      </c>
      <c r="H153" s="165">
        <f>SUM(H146:H152)</f>
        <v>9100</v>
      </c>
      <c r="I153" s="165"/>
      <c r="N153" s="48"/>
    </row>
    <row r="154" spans="1:14" ht="13.5">
      <c r="A154" s="35"/>
      <c r="B154" s="26"/>
      <c r="C154" s="181"/>
      <c r="D154" s="112"/>
      <c r="E154" s="112"/>
      <c r="F154" s="112"/>
      <c r="G154" s="18"/>
      <c r="H154" s="36"/>
      <c r="I154" s="36"/>
      <c r="N154" s="48"/>
    </row>
    <row r="155" spans="1:14">
      <c r="A155" s="161" t="s">
        <v>40</v>
      </c>
      <c r="B155" s="162" t="s">
        <v>70</v>
      </c>
      <c r="C155" s="180"/>
      <c r="D155" s="163"/>
      <c r="E155" s="163"/>
      <c r="F155" s="163"/>
      <c r="G155" s="164"/>
      <c r="H155" s="165"/>
      <c r="I155" s="165"/>
      <c r="N155" s="48"/>
    </row>
    <row r="156" spans="1:14" ht="13.5">
      <c r="A156" s="35">
        <v>1</v>
      </c>
      <c r="B156" s="26" t="s">
        <v>195</v>
      </c>
      <c r="C156" s="181"/>
      <c r="D156" s="112">
        <v>1</v>
      </c>
      <c r="E156" s="112">
        <v>1</v>
      </c>
      <c r="F156" s="112"/>
      <c r="G156" s="18" t="s">
        <v>60</v>
      </c>
      <c r="H156" s="36">
        <f t="shared" ref="H156:H166" si="24">C156*D156*E156*F156</f>
        <v>0</v>
      </c>
      <c r="I156" s="36"/>
      <c r="N156" s="48"/>
    </row>
    <row r="157" spans="1:14" ht="13.5">
      <c r="A157" s="35">
        <v>2</v>
      </c>
      <c r="B157" s="26" t="s">
        <v>196</v>
      </c>
      <c r="C157" s="181">
        <v>110149</v>
      </c>
      <c r="D157" s="112">
        <v>1</v>
      </c>
      <c r="E157" s="112">
        <v>1</v>
      </c>
      <c r="F157" s="112">
        <v>1</v>
      </c>
      <c r="G157" s="18" t="s">
        <v>60</v>
      </c>
      <c r="H157" s="36">
        <f t="shared" si="24"/>
        <v>110149</v>
      </c>
      <c r="I157" s="36"/>
      <c r="J157" s="47" t="s">
        <v>942</v>
      </c>
      <c r="N157" s="48"/>
    </row>
    <row r="158" spans="1:14" ht="13.5">
      <c r="A158" s="35">
        <v>3</v>
      </c>
      <c r="B158" s="26" t="s">
        <v>197</v>
      </c>
      <c r="C158" s="181"/>
      <c r="D158" s="112">
        <v>1</v>
      </c>
      <c r="E158" s="112">
        <v>1</v>
      </c>
      <c r="F158" s="112">
        <v>1</v>
      </c>
      <c r="G158" s="18" t="s">
        <v>60</v>
      </c>
      <c r="H158" s="36">
        <f t="shared" si="24"/>
        <v>0</v>
      </c>
      <c r="I158" s="36" t="s">
        <v>92</v>
      </c>
      <c r="N158" s="48"/>
    </row>
    <row r="159" spans="1:14" ht="13.5">
      <c r="A159" s="35">
        <v>4</v>
      </c>
      <c r="B159" s="26" t="s">
        <v>198</v>
      </c>
      <c r="C159" s="181">
        <v>1800</v>
      </c>
      <c r="D159" s="112">
        <v>2</v>
      </c>
      <c r="E159" s="112">
        <v>1</v>
      </c>
      <c r="F159" s="112">
        <v>1</v>
      </c>
      <c r="G159" s="18" t="s">
        <v>60</v>
      </c>
      <c r="H159" s="36">
        <f t="shared" si="24"/>
        <v>3600</v>
      </c>
      <c r="I159" s="36"/>
      <c r="J159" s="47" t="s">
        <v>940</v>
      </c>
      <c r="N159" s="48"/>
    </row>
    <row r="160" spans="1:14" ht="13.5">
      <c r="A160" s="35">
        <v>5</v>
      </c>
      <c r="B160" s="26" t="s">
        <v>199</v>
      </c>
      <c r="C160" s="181"/>
      <c r="D160" s="112">
        <v>1</v>
      </c>
      <c r="E160" s="112">
        <v>1</v>
      </c>
      <c r="F160" s="112"/>
      <c r="G160" s="18" t="s">
        <v>60</v>
      </c>
      <c r="H160" s="36">
        <f t="shared" si="24"/>
        <v>0</v>
      </c>
      <c r="I160" s="36"/>
      <c r="N160" s="48"/>
    </row>
    <row r="161" spans="1:14" ht="13.5">
      <c r="A161" s="35">
        <v>6</v>
      </c>
      <c r="B161" s="26" t="s">
        <v>200</v>
      </c>
      <c r="C161" s="181">
        <f>250*5</f>
        <v>1250</v>
      </c>
      <c r="D161" s="112">
        <v>1</v>
      </c>
      <c r="E161" s="112">
        <v>1</v>
      </c>
      <c r="F161" s="112"/>
      <c r="G161" s="18" t="s">
        <v>60</v>
      </c>
      <c r="H161" s="36">
        <f t="shared" si="24"/>
        <v>0</v>
      </c>
      <c r="I161" s="36"/>
      <c r="N161" s="48"/>
    </row>
    <row r="162" spans="1:14" ht="13.5">
      <c r="A162" s="35">
        <v>7</v>
      </c>
      <c r="B162" s="26" t="s">
        <v>201</v>
      </c>
      <c r="C162" s="181"/>
      <c r="D162" s="112">
        <v>1</v>
      </c>
      <c r="E162" s="112">
        <v>1</v>
      </c>
      <c r="F162" s="112"/>
      <c r="G162" s="18" t="s">
        <v>60</v>
      </c>
      <c r="H162" s="36">
        <f t="shared" si="24"/>
        <v>0</v>
      </c>
      <c r="I162" s="200" t="s">
        <v>941</v>
      </c>
      <c r="N162" s="48"/>
    </row>
    <row r="163" spans="1:14" ht="13.5">
      <c r="A163" s="35">
        <v>8</v>
      </c>
      <c r="B163" s="26" t="s">
        <v>202</v>
      </c>
      <c r="C163" s="181"/>
      <c r="D163" s="112"/>
      <c r="E163" s="112"/>
      <c r="F163" s="112"/>
      <c r="G163" s="18" t="s">
        <v>60</v>
      </c>
      <c r="H163" s="36">
        <f t="shared" si="24"/>
        <v>0</v>
      </c>
      <c r="I163" s="36"/>
      <c r="N163" s="48"/>
    </row>
    <row r="164" spans="1:14" ht="13.5">
      <c r="A164" s="35">
        <v>9</v>
      </c>
      <c r="B164" s="26" t="s">
        <v>943</v>
      </c>
      <c r="C164" s="181">
        <f>350+100</f>
        <v>450</v>
      </c>
      <c r="D164" s="112">
        <v>1</v>
      </c>
      <c r="E164" s="112">
        <v>1</v>
      </c>
      <c r="F164" s="187">
        <f>I2</f>
        <v>52</v>
      </c>
      <c r="G164" s="18" t="s">
        <v>60</v>
      </c>
      <c r="H164" s="36">
        <f t="shared" si="24"/>
        <v>23400</v>
      </c>
      <c r="I164" s="36" t="s">
        <v>944</v>
      </c>
      <c r="N164" s="48"/>
    </row>
    <row r="165" spans="1:14" ht="13.5">
      <c r="A165" s="35">
        <v>10</v>
      </c>
      <c r="B165" s="26"/>
      <c r="C165" s="181"/>
      <c r="D165" s="112">
        <v>1</v>
      </c>
      <c r="E165" s="112">
        <v>1</v>
      </c>
      <c r="F165" s="112"/>
      <c r="G165" s="18" t="s">
        <v>60</v>
      </c>
      <c r="H165" s="36">
        <f t="shared" si="24"/>
        <v>0</v>
      </c>
      <c r="I165" s="36"/>
      <c r="N165" s="48"/>
    </row>
    <row r="166" spans="1:14" ht="13.5">
      <c r="A166" s="35">
        <v>11</v>
      </c>
      <c r="B166" s="26"/>
      <c r="C166" s="181"/>
      <c r="D166" s="112">
        <v>1</v>
      </c>
      <c r="E166" s="112">
        <v>1</v>
      </c>
      <c r="F166" s="112"/>
      <c r="G166" s="18" t="s">
        <v>60</v>
      </c>
      <c r="H166" s="36">
        <f t="shared" si="24"/>
        <v>0</v>
      </c>
      <c r="I166" s="36"/>
      <c r="N166" s="48"/>
    </row>
    <row r="167" spans="1:14">
      <c r="A167" s="161" t="s">
        <v>40</v>
      </c>
      <c r="B167" s="162" t="s">
        <v>120</v>
      </c>
      <c r="C167" s="180"/>
      <c r="D167" s="163"/>
      <c r="E167" s="163"/>
      <c r="F167" s="163"/>
      <c r="G167" s="164" t="s">
        <v>60</v>
      </c>
      <c r="H167" s="165">
        <f>SUM(H156:H166)</f>
        <v>137149</v>
      </c>
      <c r="I167" s="165"/>
      <c r="N167" s="48"/>
    </row>
    <row r="168" spans="1:14" ht="13.5">
      <c r="A168" s="35"/>
      <c r="B168" s="26"/>
      <c r="C168" s="181"/>
      <c r="D168" s="112"/>
      <c r="E168" s="112"/>
      <c r="F168" s="112"/>
      <c r="G168" s="18"/>
      <c r="H168" s="36"/>
      <c r="I168" s="36"/>
      <c r="N168" s="48"/>
    </row>
    <row r="169" spans="1:14">
      <c r="A169" s="161" t="s">
        <v>42</v>
      </c>
      <c r="B169" s="162" t="s">
        <v>203</v>
      </c>
      <c r="C169" s="180"/>
      <c r="D169" s="163"/>
      <c r="E169" s="163"/>
      <c r="F169" s="163"/>
      <c r="G169" s="164" t="s">
        <v>60</v>
      </c>
      <c r="H169" s="165">
        <f t="shared" ref="H169" si="25">SUM(G169:G169)</f>
        <v>0</v>
      </c>
      <c r="I169" s="165"/>
      <c r="N169" s="48"/>
    </row>
    <row r="170" spans="1:14" ht="13.5">
      <c r="A170" s="35">
        <v>1</v>
      </c>
      <c r="B170" s="26"/>
      <c r="C170" s="181"/>
      <c r="D170" s="112">
        <v>1</v>
      </c>
      <c r="E170" s="112">
        <v>1</v>
      </c>
      <c r="F170" s="112"/>
      <c r="G170" s="18" t="s">
        <v>60</v>
      </c>
      <c r="H170" s="36">
        <f t="shared" ref="H170:H174" si="26">C170*D170*E170*F170</f>
        <v>0</v>
      </c>
      <c r="I170" s="36"/>
      <c r="N170" s="48"/>
    </row>
    <row r="171" spans="1:14" ht="13.5">
      <c r="A171" s="35">
        <v>2</v>
      </c>
      <c r="B171" s="26"/>
      <c r="C171" s="181"/>
      <c r="D171" s="112">
        <v>1</v>
      </c>
      <c r="E171" s="112">
        <v>1</v>
      </c>
      <c r="F171" s="112"/>
      <c r="G171" s="18" t="s">
        <v>60</v>
      </c>
      <c r="H171" s="36">
        <f t="shared" si="26"/>
        <v>0</v>
      </c>
      <c r="I171" s="36"/>
      <c r="N171" s="48"/>
    </row>
    <row r="172" spans="1:14" ht="13.5">
      <c r="A172" s="35">
        <v>3</v>
      </c>
      <c r="B172" s="26"/>
      <c r="C172" s="181"/>
      <c r="D172" s="112">
        <v>1</v>
      </c>
      <c r="E172" s="112">
        <v>1</v>
      </c>
      <c r="F172" s="112"/>
      <c r="G172" s="18" t="s">
        <v>60</v>
      </c>
      <c r="H172" s="36">
        <f t="shared" si="26"/>
        <v>0</v>
      </c>
      <c r="I172" s="36"/>
      <c r="N172" s="48"/>
    </row>
    <row r="173" spans="1:14" ht="13.5">
      <c r="A173" s="35">
        <v>4</v>
      </c>
      <c r="B173" s="26"/>
      <c r="C173" s="181"/>
      <c r="D173" s="112">
        <v>1</v>
      </c>
      <c r="E173" s="112">
        <v>1</v>
      </c>
      <c r="F173" s="112"/>
      <c r="G173" s="18" t="s">
        <v>60</v>
      </c>
      <c r="H173" s="36">
        <f t="shared" si="26"/>
        <v>0</v>
      </c>
      <c r="I173" s="36"/>
      <c r="N173" s="48"/>
    </row>
    <row r="174" spans="1:14" ht="13.5">
      <c r="A174" s="35">
        <v>5</v>
      </c>
      <c r="B174" s="26"/>
      <c r="C174" s="181"/>
      <c r="D174" s="112">
        <v>1</v>
      </c>
      <c r="E174" s="112">
        <v>1</v>
      </c>
      <c r="F174" s="112"/>
      <c r="G174" s="18" t="s">
        <v>60</v>
      </c>
      <c r="H174" s="36">
        <f t="shared" si="26"/>
        <v>0</v>
      </c>
      <c r="I174" s="36"/>
      <c r="N174" s="48"/>
    </row>
    <row r="175" spans="1:14">
      <c r="A175" s="161" t="s">
        <v>42</v>
      </c>
      <c r="B175" s="162" t="s">
        <v>120</v>
      </c>
      <c r="C175" s="180"/>
      <c r="D175" s="163"/>
      <c r="E175" s="163"/>
      <c r="F175" s="163"/>
      <c r="G175" s="164" t="s">
        <v>60</v>
      </c>
      <c r="H175" s="165">
        <f>SUM(H170:H174)</f>
        <v>0</v>
      </c>
      <c r="I175" s="165"/>
      <c r="N175" s="48"/>
    </row>
    <row r="176" spans="1:14" ht="13.5">
      <c r="A176" s="35"/>
      <c r="B176" s="26"/>
      <c r="C176" s="181"/>
      <c r="D176" s="112"/>
      <c r="E176" s="112"/>
      <c r="F176" s="112"/>
      <c r="G176" s="18"/>
      <c r="H176" s="36"/>
      <c r="I176" s="36"/>
      <c r="N176" s="48"/>
    </row>
    <row r="177" spans="1:14">
      <c r="A177" s="161" t="s">
        <v>46</v>
      </c>
      <c r="B177" s="162" t="s">
        <v>74</v>
      </c>
      <c r="C177" s="180"/>
      <c r="D177" s="163"/>
      <c r="E177" s="163"/>
      <c r="F177" s="163"/>
      <c r="G177" s="164"/>
      <c r="H177" s="165"/>
      <c r="I177" s="165"/>
      <c r="N177" s="48"/>
    </row>
    <row r="178" spans="1:14" ht="13.5">
      <c r="A178" s="35">
        <v>1</v>
      </c>
      <c r="B178" s="26" t="s">
        <v>204</v>
      </c>
      <c r="C178" s="181">
        <v>280</v>
      </c>
      <c r="D178" s="112">
        <v>1</v>
      </c>
      <c r="E178" s="112">
        <v>1</v>
      </c>
      <c r="F178" s="112">
        <v>52</v>
      </c>
      <c r="G178" s="18" t="s">
        <v>60</v>
      </c>
      <c r="H178" s="36">
        <f t="shared" ref="H178:H186" si="27">C178*D178*E178*F178</f>
        <v>14560</v>
      </c>
      <c r="I178" s="36"/>
      <c r="N178" s="48"/>
    </row>
    <row r="179" spans="1:14" ht="13.5">
      <c r="A179" s="35">
        <v>2</v>
      </c>
      <c r="B179" s="26" t="s">
        <v>205</v>
      </c>
      <c r="C179" s="181">
        <v>375</v>
      </c>
      <c r="D179" s="112">
        <f>12*5</f>
        <v>60</v>
      </c>
      <c r="E179" s="112">
        <v>1</v>
      </c>
      <c r="F179" s="112">
        <v>1</v>
      </c>
      <c r="G179" s="18" t="s">
        <v>60</v>
      </c>
      <c r="H179" s="36">
        <f t="shared" si="27"/>
        <v>22500</v>
      </c>
      <c r="I179" s="36"/>
      <c r="N179" s="48"/>
    </row>
    <row r="180" spans="1:14" ht="13.5">
      <c r="A180" s="35">
        <v>3</v>
      </c>
      <c r="B180" s="26" t="s">
        <v>206</v>
      </c>
      <c r="C180" s="181">
        <f>(48*4)*2</f>
        <v>384</v>
      </c>
      <c r="D180" s="112">
        <v>1</v>
      </c>
      <c r="E180" s="112">
        <v>1</v>
      </c>
      <c r="F180" s="112">
        <v>52</v>
      </c>
      <c r="G180" s="18" t="s">
        <v>60</v>
      </c>
      <c r="H180" s="36">
        <f t="shared" si="27"/>
        <v>19968</v>
      </c>
      <c r="I180" s="36" t="s">
        <v>920</v>
      </c>
      <c r="N180" s="48"/>
    </row>
    <row r="181" spans="1:14" ht="13.5">
      <c r="A181" s="35">
        <v>4</v>
      </c>
      <c r="B181" s="26" t="s">
        <v>207</v>
      </c>
      <c r="C181" s="181">
        <f>350</f>
        <v>350</v>
      </c>
      <c r="D181" s="112">
        <v>14</v>
      </c>
      <c r="E181" s="112">
        <v>1</v>
      </c>
      <c r="F181" s="112">
        <v>1</v>
      </c>
      <c r="G181" s="18" t="s">
        <v>60</v>
      </c>
      <c r="H181" s="36">
        <f t="shared" si="27"/>
        <v>4900</v>
      </c>
      <c r="I181" s="36" t="s">
        <v>92</v>
      </c>
      <c r="N181" s="48"/>
    </row>
    <row r="182" spans="1:14" ht="13.5">
      <c r="A182" s="35">
        <v>5</v>
      </c>
      <c r="B182" s="26" t="s">
        <v>208</v>
      </c>
      <c r="C182" s="181">
        <v>200</v>
      </c>
      <c r="D182" s="112">
        <v>24</v>
      </c>
      <c r="E182" s="112">
        <v>1</v>
      </c>
      <c r="F182" s="112">
        <v>1</v>
      </c>
      <c r="G182" s="18" t="s">
        <v>60</v>
      </c>
      <c r="H182" s="36">
        <f t="shared" si="27"/>
        <v>4800</v>
      </c>
      <c r="I182" s="36" t="s">
        <v>92</v>
      </c>
      <c r="N182" s="48"/>
    </row>
    <row r="183" spans="1:14" ht="13.5">
      <c r="A183" s="35">
        <v>6</v>
      </c>
      <c r="B183" s="26" t="s">
        <v>209</v>
      </c>
      <c r="C183" s="181">
        <v>400</v>
      </c>
      <c r="D183" s="112">
        <v>6</v>
      </c>
      <c r="E183" s="112">
        <v>1</v>
      </c>
      <c r="F183" s="112">
        <v>1</v>
      </c>
      <c r="G183" s="18" t="s">
        <v>60</v>
      </c>
      <c r="H183" s="36">
        <f t="shared" si="27"/>
        <v>2400</v>
      </c>
      <c r="I183" s="36"/>
      <c r="N183" s="48"/>
    </row>
    <row r="184" spans="1:14" ht="13.5">
      <c r="A184" s="35">
        <v>7</v>
      </c>
      <c r="B184" s="26"/>
      <c r="C184" s="181"/>
      <c r="D184" s="112">
        <v>1</v>
      </c>
      <c r="E184" s="112">
        <v>1</v>
      </c>
      <c r="F184" s="112"/>
      <c r="G184" s="18" t="s">
        <v>60</v>
      </c>
      <c r="H184" s="36">
        <f t="shared" si="27"/>
        <v>0</v>
      </c>
      <c r="I184" s="36"/>
      <c r="N184" s="48"/>
    </row>
    <row r="185" spans="1:14" ht="13.5">
      <c r="A185" s="35">
        <v>8</v>
      </c>
      <c r="B185" s="26"/>
      <c r="C185" s="181"/>
      <c r="D185" s="112">
        <v>1</v>
      </c>
      <c r="E185" s="112">
        <v>1</v>
      </c>
      <c r="F185" s="112"/>
      <c r="G185" s="18" t="s">
        <v>60</v>
      </c>
      <c r="H185" s="36">
        <f t="shared" si="27"/>
        <v>0</v>
      </c>
      <c r="I185" s="36"/>
      <c r="N185" s="48"/>
    </row>
    <row r="186" spans="1:14" ht="13.5">
      <c r="A186" s="35">
        <v>9</v>
      </c>
      <c r="B186" s="26"/>
      <c r="C186" s="181"/>
      <c r="D186" s="112">
        <v>1</v>
      </c>
      <c r="E186" s="112">
        <v>1</v>
      </c>
      <c r="F186" s="112"/>
      <c r="G186" s="18" t="s">
        <v>60</v>
      </c>
      <c r="H186" s="36">
        <f t="shared" si="27"/>
        <v>0</v>
      </c>
      <c r="I186" s="36"/>
      <c r="N186" s="48"/>
    </row>
    <row r="187" spans="1:14">
      <c r="A187" s="161" t="s">
        <v>46</v>
      </c>
      <c r="B187" s="162" t="s">
        <v>120</v>
      </c>
      <c r="C187" s="180"/>
      <c r="D187" s="163"/>
      <c r="E187" s="163"/>
      <c r="F187" s="163"/>
      <c r="G187" s="164" t="s">
        <v>60</v>
      </c>
      <c r="H187" s="165">
        <f>SUM(H178:H186)</f>
        <v>69128</v>
      </c>
      <c r="I187" s="165"/>
      <c r="N187" s="48"/>
    </row>
    <row r="188" spans="1:14" ht="13.5">
      <c r="A188" s="35"/>
      <c r="B188" s="26"/>
      <c r="C188" s="181"/>
      <c r="D188" s="112"/>
      <c r="E188" s="112"/>
      <c r="F188" s="112"/>
      <c r="G188" s="18"/>
      <c r="H188" s="36"/>
      <c r="I188" s="36"/>
      <c r="N188" s="48"/>
    </row>
    <row r="189" spans="1:14">
      <c r="A189" s="161" t="s">
        <v>73</v>
      </c>
      <c r="B189" s="162" t="s">
        <v>210</v>
      </c>
      <c r="C189" s="180"/>
      <c r="D189" s="163"/>
      <c r="E189" s="163"/>
      <c r="F189" s="163"/>
      <c r="G189" s="164"/>
      <c r="H189" s="165"/>
      <c r="I189" s="165"/>
      <c r="N189" s="48"/>
    </row>
    <row r="190" spans="1:14" ht="13.5">
      <c r="A190" s="35">
        <v>1</v>
      </c>
      <c r="B190" s="26" t="s">
        <v>211</v>
      </c>
      <c r="C190" s="181"/>
      <c r="D190" s="112">
        <v>1</v>
      </c>
      <c r="E190" s="112">
        <v>1</v>
      </c>
      <c r="F190" s="112"/>
      <c r="G190" s="18" t="s">
        <v>60</v>
      </c>
      <c r="H190" s="36">
        <f t="shared" ref="H190:H195" si="28">C190*D190*E190*F190</f>
        <v>0</v>
      </c>
      <c r="I190" s="36"/>
      <c r="N190" s="48"/>
    </row>
    <row r="191" spans="1:14" ht="13.5">
      <c r="A191" s="35">
        <v>2</v>
      </c>
      <c r="B191" s="26" t="s">
        <v>212</v>
      </c>
      <c r="C191" s="181"/>
      <c r="D191" s="112">
        <v>1</v>
      </c>
      <c r="E191" s="112">
        <v>1</v>
      </c>
      <c r="F191" s="112"/>
      <c r="G191" s="18" t="s">
        <v>60</v>
      </c>
      <c r="H191" s="36">
        <f t="shared" si="28"/>
        <v>0</v>
      </c>
      <c r="I191" s="36"/>
      <c r="N191" s="48"/>
    </row>
    <row r="192" spans="1:14" ht="13.5">
      <c r="A192" s="35">
        <v>3</v>
      </c>
      <c r="B192" s="26"/>
      <c r="C192" s="181"/>
      <c r="D192" s="112">
        <v>1</v>
      </c>
      <c r="E192" s="112">
        <v>1</v>
      </c>
      <c r="F192" s="112"/>
      <c r="G192" s="18" t="s">
        <v>60</v>
      </c>
      <c r="H192" s="36">
        <f t="shared" si="28"/>
        <v>0</v>
      </c>
      <c r="I192" s="36"/>
      <c r="N192" s="48"/>
    </row>
    <row r="193" spans="1:14" ht="13.5">
      <c r="A193" s="35">
        <v>4</v>
      </c>
      <c r="B193" s="26"/>
      <c r="C193" s="181"/>
      <c r="D193" s="112">
        <v>1</v>
      </c>
      <c r="E193" s="112">
        <v>1</v>
      </c>
      <c r="F193" s="112">
        <v>1</v>
      </c>
      <c r="G193" s="18" t="s">
        <v>60</v>
      </c>
      <c r="H193" s="36">
        <f t="shared" si="28"/>
        <v>0</v>
      </c>
      <c r="I193" s="36"/>
      <c r="N193" s="48"/>
    </row>
    <row r="194" spans="1:14" ht="13.5">
      <c r="A194" s="35">
        <v>5</v>
      </c>
      <c r="B194" s="26"/>
      <c r="C194" s="181"/>
      <c r="D194" s="112">
        <v>1</v>
      </c>
      <c r="E194" s="112">
        <v>1</v>
      </c>
      <c r="F194" s="112">
        <v>1</v>
      </c>
      <c r="G194" s="18" t="s">
        <v>60</v>
      </c>
      <c r="H194" s="36">
        <f t="shared" si="28"/>
        <v>0</v>
      </c>
      <c r="I194" s="36"/>
      <c r="N194" s="48"/>
    </row>
    <row r="195" spans="1:14" ht="13.5">
      <c r="A195" s="35">
        <v>6</v>
      </c>
      <c r="B195" s="26"/>
      <c r="C195" s="181"/>
      <c r="D195" s="112">
        <v>1</v>
      </c>
      <c r="E195" s="112">
        <v>1</v>
      </c>
      <c r="F195" s="112"/>
      <c r="G195" s="18" t="s">
        <v>60</v>
      </c>
      <c r="H195" s="36">
        <f t="shared" si="28"/>
        <v>0</v>
      </c>
      <c r="I195" s="36"/>
      <c r="N195" s="48"/>
    </row>
    <row r="196" spans="1:14" ht="13.5">
      <c r="A196" s="35">
        <v>7</v>
      </c>
      <c r="B196" s="26"/>
      <c r="C196" s="181"/>
      <c r="D196" s="112"/>
      <c r="E196" s="112"/>
      <c r="F196" s="112"/>
      <c r="G196" s="18" t="s">
        <v>60</v>
      </c>
      <c r="H196" s="36">
        <f t="shared" ref="H196" si="29">C196*D196*E196*F196</f>
        <v>0</v>
      </c>
      <c r="I196" s="36"/>
      <c r="N196" s="48"/>
    </row>
    <row r="197" spans="1:14" ht="13.5">
      <c r="A197" s="35"/>
      <c r="B197" s="26"/>
      <c r="C197" s="181"/>
      <c r="D197" s="112"/>
      <c r="E197" s="112"/>
      <c r="F197" s="112"/>
      <c r="G197" s="18"/>
      <c r="H197" s="36"/>
      <c r="I197" s="36"/>
      <c r="N197" s="48"/>
    </row>
    <row r="198" spans="1:14">
      <c r="A198" s="161" t="s">
        <v>73</v>
      </c>
      <c r="B198" s="162" t="s">
        <v>120</v>
      </c>
      <c r="C198" s="180"/>
      <c r="D198" s="163"/>
      <c r="E198" s="163"/>
      <c r="F198" s="163"/>
      <c r="G198" s="164" t="s">
        <v>60</v>
      </c>
      <c r="H198" s="165">
        <f>SUM(H190:H197)</f>
        <v>0</v>
      </c>
      <c r="I198" s="165"/>
      <c r="N198" s="48"/>
    </row>
    <row r="199" spans="1:14" ht="13.5">
      <c r="A199" s="35"/>
      <c r="B199" s="26"/>
      <c r="C199" s="181"/>
      <c r="D199" s="112"/>
      <c r="E199" s="112"/>
      <c r="F199" s="112"/>
      <c r="G199" s="18"/>
      <c r="H199" s="36"/>
      <c r="I199" s="36"/>
      <c r="N199" s="48"/>
    </row>
    <row r="200" spans="1:14">
      <c r="A200" s="161" t="s">
        <v>75</v>
      </c>
      <c r="B200" s="162" t="s">
        <v>213</v>
      </c>
      <c r="C200" s="180"/>
      <c r="D200" s="163"/>
      <c r="E200" s="163"/>
      <c r="F200" s="163"/>
      <c r="G200" s="164"/>
      <c r="H200" s="165"/>
      <c r="I200" s="165"/>
      <c r="N200" s="48"/>
    </row>
    <row r="201" spans="1:14" ht="13.5">
      <c r="A201" s="35">
        <v>1</v>
      </c>
      <c r="B201" s="26" t="s">
        <v>214</v>
      </c>
      <c r="C201" s="181"/>
      <c r="D201" s="112">
        <v>1</v>
      </c>
      <c r="E201" s="112">
        <v>1</v>
      </c>
      <c r="F201" s="112"/>
      <c r="G201" s="18" t="s">
        <v>60</v>
      </c>
      <c r="H201" s="36">
        <f t="shared" ref="H201:H208" si="30">C201*D201*E201*F201</f>
        <v>0</v>
      </c>
      <c r="I201" s="36" t="s">
        <v>92</v>
      </c>
      <c r="K201" s="199" t="s">
        <v>755</v>
      </c>
      <c r="L201" s="199"/>
      <c r="M201" s="199"/>
      <c r="N201" s="48"/>
    </row>
    <row r="202" spans="1:14" ht="13.5">
      <c r="A202" s="35">
        <v>2</v>
      </c>
      <c r="B202" s="26" t="s">
        <v>215</v>
      </c>
      <c r="C202" s="181"/>
      <c r="D202" s="112"/>
      <c r="E202" s="112"/>
      <c r="F202" s="112"/>
      <c r="G202" s="18" t="s">
        <v>60</v>
      </c>
      <c r="H202" s="36">
        <f t="shared" si="30"/>
        <v>0</v>
      </c>
      <c r="I202" s="36" t="s">
        <v>92</v>
      </c>
      <c r="N202" s="48"/>
    </row>
    <row r="203" spans="1:14" ht="13.5">
      <c r="A203" s="35">
        <v>3</v>
      </c>
      <c r="B203" s="26" t="s">
        <v>216</v>
      </c>
      <c r="C203" s="181"/>
      <c r="D203" s="112">
        <v>1</v>
      </c>
      <c r="E203" s="112">
        <v>1</v>
      </c>
      <c r="F203" s="112"/>
      <c r="G203" s="18" t="s">
        <v>60</v>
      </c>
      <c r="H203" s="36">
        <f t="shared" si="30"/>
        <v>0</v>
      </c>
      <c r="I203" s="36" t="s">
        <v>92</v>
      </c>
      <c r="N203" s="48"/>
    </row>
    <row r="204" spans="1:14" ht="13.5">
      <c r="A204" s="35">
        <v>4</v>
      </c>
      <c r="B204" s="26" t="s">
        <v>217</v>
      </c>
      <c r="C204" s="181">
        <v>5000</v>
      </c>
      <c r="D204" s="112">
        <v>1</v>
      </c>
      <c r="E204" s="112">
        <v>1</v>
      </c>
      <c r="F204" s="112">
        <v>1</v>
      </c>
      <c r="G204" s="18" t="s">
        <v>60</v>
      </c>
      <c r="H204" s="36">
        <f t="shared" si="30"/>
        <v>5000</v>
      </c>
      <c r="I204" s="36" t="s">
        <v>92</v>
      </c>
      <c r="N204" s="48"/>
    </row>
    <row r="205" spans="1:14" ht="13.5">
      <c r="A205" s="35">
        <v>5</v>
      </c>
      <c r="B205" s="26" t="s">
        <v>218</v>
      </c>
      <c r="C205" s="181"/>
      <c r="D205" s="112">
        <v>1</v>
      </c>
      <c r="E205" s="112">
        <v>1</v>
      </c>
      <c r="F205" s="112"/>
      <c r="G205" s="18" t="s">
        <v>60</v>
      </c>
      <c r="H205" s="36">
        <f t="shared" si="30"/>
        <v>0</v>
      </c>
      <c r="I205" s="36" t="s">
        <v>92</v>
      </c>
      <c r="N205" s="48"/>
    </row>
    <row r="206" spans="1:14" ht="27">
      <c r="A206" s="35">
        <v>6</v>
      </c>
      <c r="B206" s="26" t="s">
        <v>219</v>
      </c>
      <c r="C206" s="181"/>
      <c r="D206" s="112">
        <v>1</v>
      </c>
      <c r="E206" s="112">
        <v>1</v>
      </c>
      <c r="F206" s="112"/>
      <c r="G206" s="18" t="s">
        <v>60</v>
      </c>
      <c r="H206" s="36">
        <f t="shared" si="30"/>
        <v>0</v>
      </c>
      <c r="I206" s="166" t="s">
        <v>220</v>
      </c>
      <c r="N206" s="48"/>
    </row>
    <row r="207" spans="1:14" ht="13.5">
      <c r="A207" s="35">
        <v>7</v>
      </c>
      <c r="B207" s="26" t="s">
        <v>221</v>
      </c>
      <c r="C207" s="181"/>
      <c r="D207" s="112">
        <v>1</v>
      </c>
      <c r="E207" s="112">
        <v>1</v>
      </c>
      <c r="F207" s="112"/>
      <c r="G207" s="18" t="s">
        <v>60</v>
      </c>
      <c r="H207" s="36">
        <f t="shared" si="30"/>
        <v>0</v>
      </c>
      <c r="I207" s="36" t="s">
        <v>92</v>
      </c>
      <c r="N207" s="48"/>
    </row>
    <row r="208" spans="1:14" ht="13.5">
      <c r="A208" s="35">
        <v>8</v>
      </c>
      <c r="B208" s="26" t="s">
        <v>222</v>
      </c>
      <c r="C208" s="181">
        <v>5000</v>
      </c>
      <c r="D208" s="112">
        <v>1</v>
      </c>
      <c r="E208" s="112">
        <v>1</v>
      </c>
      <c r="F208" s="112">
        <v>1</v>
      </c>
      <c r="G208" s="18" t="s">
        <v>60</v>
      </c>
      <c r="H208" s="36">
        <f t="shared" si="30"/>
        <v>5000</v>
      </c>
      <c r="I208" s="36" t="s">
        <v>92</v>
      </c>
      <c r="N208" s="48"/>
    </row>
    <row r="209" spans="1:14" ht="13.5">
      <c r="A209" s="35">
        <v>9</v>
      </c>
      <c r="B209" s="26" t="s">
        <v>119</v>
      </c>
      <c r="C209" s="181"/>
      <c r="D209" s="112"/>
      <c r="E209" s="112"/>
      <c r="F209" s="112"/>
      <c r="G209" s="18"/>
      <c r="H209" s="36"/>
      <c r="I209" s="36" t="s">
        <v>92</v>
      </c>
      <c r="N209" s="48"/>
    </row>
    <row r="210" spans="1:14" ht="13.5">
      <c r="A210" s="35"/>
      <c r="B210" s="26"/>
      <c r="C210" s="181"/>
      <c r="D210" s="112"/>
      <c r="E210" s="112"/>
      <c r="F210" s="112"/>
      <c r="G210" s="18"/>
      <c r="H210" s="36"/>
      <c r="I210" s="36"/>
      <c r="N210" s="48"/>
    </row>
    <row r="211" spans="1:14" ht="13.5">
      <c r="A211" s="35"/>
      <c r="B211" s="26"/>
      <c r="C211" s="181"/>
      <c r="D211" s="112"/>
      <c r="E211" s="112"/>
      <c r="F211" s="112"/>
      <c r="G211" s="18"/>
      <c r="H211" s="36"/>
      <c r="I211" s="36"/>
      <c r="N211" s="48"/>
    </row>
    <row r="212" spans="1:14" ht="13.5">
      <c r="A212" s="35"/>
      <c r="B212" s="26"/>
      <c r="C212" s="181"/>
      <c r="D212" s="112"/>
      <c r="E212" s="112"/>
      <c r="F212" s="112"/>
      <c r="G212" s="18"/>
      <c r="H212" s="36"/>
      <c r="I212" s="36"/>
      <c r="N212" s="48"/>
    </row>
    <row r="213" spans="1:14">
      <c r="A213" s="161" t="s">
        <v>75</v>
      </c>
      <c r="B213" s="162" t="s">
        <v>120</v>
      </c>
      <c r="C213" s="180"/>
      <c r="D213" s="163"/>
      <c r="E213" s="163"/>
      <c r="F213" s="163"/>
      <c r="G213" s="164" t="s">
        <v>60</v>
      </c>
      <c r="H213" s="165">
        <f>SUM(H201:H208)</f>
        <v>10000</v>
      </c>
      <c r="I213" s="165"/>
      <c r="N213" s="48"/>
    </row>
    <row r="214" spans="1:14" ht="13.5">
      <c r="A214" s="35"/>
      <c r="B214" s="26"/>
      <c r="C214" s="181"/>
      <c r="D214" s="112"/>
      <c r="E214" s="112"/>
      <c r="F214" s="112"/>
      <c r="G214" s="18"/>
      <c r="H214" s="36"/>
      <c r="I214" s="36"/>
      <c r="N214" s="48"/>
    </row>
    <row r="215" spans="1:14">
      <c r="A215" s="161" t="s">
        <v>77</v>
      </c>
      <c r="B215" s="162" t="s">
        <v>907</v>
      </c>
      <c r="C215" s="180"/>
      <c r="D215" s="163"/>
      <c r="E215" s="163"/>
      <c r="F215" s="163"/>
      <c r="G215" s="164"/>
      <c r="H215" s="165"/>
      <c r="I215" s="165"/>
      <c r="N215" s="48"/>
    </row>
    <row r="216" spans="1:14" ht="13.5">
      <c r="A216" s="35">
        <v>1</v>
      </c>
      <c r="B216" s="26" t="s">
        <v>894</v>
      </c>
      <c r="C216" s="181">
        <v>49130</v>
      </c>
      <c r="D216" s="112">
        <v>1</v>
      </c>
      <c r="E216" s="112">
        <v>1</v>
      </c>
      <c r="F216" s="112">
        <v>1</v>
      </c>
      <c r="G216" s="18" t="s">
        <v>60</v>
      </c>
      <c r="H216" s="36">
        <f t="shared" ref="H216:H230" si="31">C216*D216*E216*F216</f>
        <v>49130</v>
      </c>
      <c r="I216" s="36"/>
      <c r="J216" s="47" t="s">
        <v>906</v>
      </c>
      <c r="N216" s="48"/>
    </row>
    <row r="217" spans="1:14" ht="13.5">
      <c r="A217" s="35">
        <v>2</v>
      </c>
      <c r="B217" s="26" t="s">
        <v>895</v>
      </c>
      <c r="C217" s="181">
        <v>13240</v>
      </c>
      <c r="D217" s="112">
        <v>1</v>
      </c>
      <c r="E217" s="112">
        <v>1</v>
      </c>
      <c r="F217" s="112">
        <v>1</v>
      </c>
      <c r="G217" s="18" t="s">
        <v>60</v>
      </c>
      <c r="H217" s="36">
        <f t="shared" si="31"/>
        <v>13240</v>
      </c>
      <c r="I217" s="36"/>
      <c r="J217" s="47" t="s">
        <v>906</v>
      </c>
      <c r="N217" s="48"/>
    </row>
    <row r="218" spans="1:14" ht="13.5">
      <c r="A218" s="35">
        <v>3</v>
      </c>
      <c r="B218" s="26"/>
      <c r="C218" s="181"/>
      <c r="D218" s="112">
        <v>1</v>
      </c>
      <c r="E218" s="112">
        <v>1</v>
      </c>
      <c r="F218" s="112">
        <v>1</v>
      </c>
      <c r="G218" s="18" t="s">
        <v>60</v>
      </c>
      <c r="H218" s="36">
        <f t="shared" si="31"/>
        <v>0</v>
      </c>
      <c r="I218" s="36"/>
      <c r="N218" s="48"/>
    </row>
    <row r="219" spans="1:14" ht="13.5">
      <c r="A219" s="35">
        <v>4</v>
      </c>
      <c r="B219" s="26"/>
      <c r="C219" s="181"/>
      <c r="D219" s="112">
        <v>1</v>
      </c>
      <c r="E219" s="112">
        <v>1</v>
      </c>
      <c r="F219" s="112">
        <v>1</v>
      </c>
      <c r="G219" s="18" t="s">
        <v>60</v>
      </c>
      <c r="H219" s="36">
        <f t="shared" si="31"/>
        <v>0</v>
      </c>
      <c r="I219" s="36"/>
      <c r="N219" s="48"/>
    </row>
    <row r="220" spans="1:14" ht="13.5">
      <c r="A220" s="35">
        <v>5</v>
      </c>
      <c r="B220" s="26"/>
      <c r="C220" s="181"/>
      <c r="D220" s="112">
        <v>1</v>
      </c>
      <c r="E220" s="112">
        <v>1</v>
      </c>
      <c r="F220" s="112">
        <v>1</v>
      </c>
      <c r="G220" s="18" t="s">
        <v>60</v>
      </c>
      <c r="H220" s="36">
        <f t="shared" si="31"/>
        <v>0</v>
      </c>
      <c r="I220" s="36"/>
      <c r="N220" s="48"/>
    </row>
    <row r="221" spans="1:14" ht="13.5">
      <c r="A221" s="35">
        <v>6</v>
      </c>
      <c r="B221" s="26"/>
      <c r="C221" s="181"/>
      <c r="D221" s="112">
        <v>1</v>
      </c>
      <c r="E221" s="112">
        <v>1</v>
      </c>
      <c r="F221" s="112"/>
      <c r="G221" s="18" t="s">
        <v>60</v>
      </c>
      <c r="H221" s="36">
        <f t="shared" si="31"/>
        <v>0</v>
      </c>
      <c r="I221" s="166"/>
      <c r="N221" s="48"/>
    </row>
    <row r="222" spans="1:14" ht="13.5">
      <c r="A222" s="35">
        <v>7</v>
      </c>
      <c r="B222" s="26"/>
      <c r="C222" s="181"/>
      <c r="D222" s="112">
        <v>1</v>
      </c>
      <c r="E222" s="112">
        <v>1</v>
      </c>
      <c r="F222" s="112">
        <v>1</v>
      </c>
      <c r="G222" s="18" t="s">
        <v>60</v>
      </c>
      <c r="H222" s="36">
        <f t="shared" si="31"/>
        <v>0</v>
      </c>
      <c r="I222" s="36"/>
      <c r="N222" s="48"/>
    </row>
    <row r="223" spans="1:14" ht="13.5">
      <c r="A223" s="35">
        <v>8</v>
      </c>
      <c r="B223" s="26"/>
      <c r="C223" s="181"/>
      <c r="D223" s="112">
        <v>1</v>
      </c>
      <c r="E223" s="112">
        <v>1</v>
      </c>
      <c r="F223" s="112">
        <v>1</v>
      </c>
      <c r="G223" s="18" t="s">
        <v>60</v>
      </c>
      <c r="H223" s="36">
        <f t="shared" si="31"/>
        <v>0</v>
      </c>
      <c r="I223" s="36"/>
      <c r="N223" s="48"/>
    </row>
    <row r="224" spans="1:14" ht="13.5">
      <c r="A224" s="35">
        <v>9</v>
      </c>
      <c r="B224" s="26"/>
      <c r="C224" s="181"/>
      <c r="D224" s="112">
        <v>1</v>
      </c>
      <c r="E224" s="112">
        <v>1</v>
      </c>
      <c r="F224" s="112">
        <v>1</v>
      </c>
      <c r="G224" s="18" t="s">
        <v>60</v>
      </c>
      <c r="H224" s="36">
        <f t="shared" si="31"/>
        <v>0</v>
      </c>
      <c r="I224" s="36"/>
      <c r="N224" s="48"/>
    </row>
    <row r="225" spans="1:14" ht="13.5">
      <c r="A225" s="35">
        <v>10</v>
      </c>
      <c r="B225" s="26"/>
      <c r="C225" s="181"/>
      <c r="D225" s="112">
        <v>1</v>
      </c>
      <c r="E225" s="112">
        <v>1</v>
      </c>
      <c r="F225" s="112"/>
      <c r="G225" s="18" t="s">
        <v>60</v>
      </c>
      <c r="H225" s="36">
        <f t="shared" si="31"/>
        <v>0</v>
      </c>
      <c r="I225" s="36"/>
      <c r="N225" s="48"/>
    </row>
    <row r="226" spans="1:14" ht="13.5">
      <c r="A226" s="35">
        <v>11</v>
      </c>
      <c r="B226" s="26"/>
      <c r="C226" s="181"/>
      <c r="D226" s="112">
        <v>1</v>
      </c>
      <c r="E226" s="112">
        <v>1</v>
      </c>
      <c r="F226" s="112"/>
      <c r="G226" s="18" t="s">
        <v>60</v>
      </c>
      <c r="H226" s="36">
        <f t="shared" si="31"/>
        <v>0</v>
      </c>
      <c r="I226" s="36"/>
      <c r="N226" s="48"/>
    </row>
    <row r="227" spans="1:14" ht="13.5">
      <c r="A227" s="35">
        <v>12</v>
      </c>
      <c r="B227" s="26"/>
      <c r="C227" s="181"/>
      <c r="D227" s="112">
        <v>1</v>
      </c>
      <c r="E227" s="112">
        <v>1</v>
      </c>
      <c r="F227" s="112"/>
      <c r="G227" s="18" t="s">
        <v>60</v>
      </c>
      <c r="H227" s="36">
        <f t="shared" si="31"/>
        <v>0</v>
      </c>
      <c r="I227" s="36"/>
      <c r="N227" s="48"/>
    </row>
    <row r="228" spans="1:14" ht="13.5">
      <c r="A228" s="35">
        <v>13</v>
      </c>
      <c r="B228" s="26"/>
      <c r="C228" s="181"/>
      <c r="D228" s="112">
        <v>1</v>
      </c>
      <c r="E228" s="112">
        <v>1</v>
      </c>
      <c r="F228" s="112"/>
      <c r="G228" s="18" t="s">
        <v>60</v>
      </c>
      <c r="H228" s="36">
        <f t="shared" si="31"/>
        <v>0</v>
      </c>
      <c r="I228" s="36"/>
      <c r="N228" s="48"/>
    </row>
    <row r="229" spans="1:14" ht="13.5">
      <c r="A229" s="35">
        <v>14</v>
      </c>
      <c r="B229" s="26"/>
      <c r="C229" s="181"/>
      <c r="D229" s="112">
        <v>1</v>
      </c>
      <c r="E229" s="112">
        <v>1</v>
      </c>
      <c r="F229" s="112"/>
      <c r="G229" s="18" t="s">
        <v>60</v>
      </c>
      <c r="H229" s="36">
        <f t="shared" si="31"/>
        <v>0</v>
      </c>
      <c r="I229" s="36"/>
      <c r="N229" s="48"/>
    </row>
    <row r="230" spans="1:14" ht="13.5">
      <c r="A230" s="35">
        <v>16</v>
      </c>
      <c r="B230" s="26"/>
      <c r="C230" s="181"/>
      <c r="D230" s="112">
        <v>1</v>
      </c>
      <c r="E230" s="112">
        <v>1</v>
      </c>
      <c r="F230" s="112"/>
      <c r="G230" s="18" t="s">
        <v>60</v>
      </c>
      <c r="H230" s="36">
        <f t="shared" si="31"/>
        <v>0</v>
      </c>
      <c r="I230" s="36"/>
      <c r="N230" s="48"/>
    </row>
    <row r="231" spans="1:14">
      <c r="A231" s="161" t="s">
        <v>77</v>
      </c>
      <c r="B231" s="162" t="s">
        <v>120</v>
      </c>
      <c r="C231" s="180"/>
      <c r="D231" s="163"/>
      <c r="E231" s="163"/>
      <c r="F231" s="163"/>
      <c r="G231" s="164" t="s">
        <v>60</v>
      </c>
      <c r="H231" s="165">
        <f>SUM(H216:H230)</f>
        <v>62370</v>
      </c>
      <c r="I231" s="165"/>
      <c r="N231" s="48"/>
    </row>
    <row r="232" spans="1:14" ht="13.5">
      <c r="A232" s="35"/>
      <c r="B232" s="26"/>
      <c r="C232" s="181"/>
      <c r="D232" s="112"/>
      <c r="E232" s="112"/>
      <c r="F232" s="112"/>
      <c r="G232" s="18"/>
      <c r="H232" s="36"/>
      <c r="I232" s="36"/>
      <c r="N232" s="48"/>
    </row>
    <row r="233" spans="1:14" ht="15" customHeight="1">
      <c r="A233" s="35"/>
      <c r="B233" s="17"/>
      <c r="C233" s="179"/>
      <c r="D233" s="90"/>
      <c r="E233" s="90"/>
      <c r="F233" s="90"/>
      <c r="G233" s="18"/>
      <c r="H233" s="36"/>
      <c r="I233" s="36"/>
      <c r="N233" s="48"/>
    </row>
    <row r="234" spans="1:14" ht="12.95" customHeight="1">
      <c r="A234" s="42"/>
      <c r="B234" s="43" t="s">
        <v>223</v>
      </c>
      <c r="C234" s="182"/>
      <c r="D234" s="43"/>
      <c r="E234" s="43"/>
      <c r="F234" s="43"/>
      <c r="G234" s="44" t="s">
        <v>60</v>
      </c>
      <c r="H234" s="45">
        <f>H231+H213+H198+H187+H175+H167+H153+H143+H130+H123+H112+H91+H62+H46+H42</f>
        <v>1236865</v>
      </c>
      <c r="I234" s="45"/>
      <c r="N234" s="48"/>
    </row>
    <row r="235" spans="1:14" ht="12.95" customHeight="1">
      <c r="B235" s="55"/>
      <c r="C235" s="183"/>
      <c r="D235" s="55"/>
      <c r="E235" s="55"/>
      <c r="F235" s="55"/>
      <c r="G235" s="55"/>
      <c r="H235" s="56"/>
      <c r="N235" s="48"/>
    </row>
    <row r="236" spans="1:14" ht="12.95" customHeight="1">
      <c r="H236" s="48"/>
    </row>
    <row r="237" spans="1:14" ht="12.95" customHeight="1">
      <c r="B237" s="16"/>
      <c r="C237" s="176"/>
      <c r="D237" s="16"/>
      <c r="E237" s="16"/>
      <c r="F237" s="16"/>
      <c r="G237" s="16"/>
      <c r="H237" s="56"/>
    </row>
    <row r="238" spans="1:14" ht="12.75" customHeight="1">
      <c r="B238" s="16"/>
      <c r="C238" s="176"/>
      <c r="D238" s="16"/>
      <c r="E238" s="16"/>
      <c r="F238" s="16"/>
      <c r="G238" s="16"/>
      <c r="H238" s="56"/>
    </row>
    <row r="239" spans="1:14" ht="12.95" customHeight="1">
      <c r="B239" s="19"/>
      <c r="C239" s="185"/>
      <c r="D239" s="19"/>
      <c r="E239" s="19"/>
      <c r="F239" s="19"/>
      <c r="G239" s="19"/>
      <c r="H239" s="59"/>
    </row>
    <row r="240" spans="1:14">
      <c r="B240" s="16"/>
      <c r="C240" s="176"/>
      <c r="D240" s="16"/>
      <c r="E240" s="16"/>
      <c r="F240" s="16"/>
      <c r="G240" s="16"/>
      <c r="H240" s="56"/>
    </row>
    <row r="241" spans="2:8">
      <c r="B241" s="16"/>
      <c r="C241" s="176"/>
      <c r="D241" s="16"/>
      <c r="E241" s="16"/>
      <c r="F241" s="16"/>
      <c r="G241" s="16"/>
      <c r="H241" s="56"/>
    </row>
  </sheetData>
  <sheetProtection formatCells="0" formatColumns="0" formatRows="0" insertRows="0"/>
  <phoneticPr fontId="2" type="noConversion"/>
  <pageMargins left="0.39370078740157483" right="0.39370078740157483" top="1.4173228346456692" bottom="0.59055118110236215" header="0.3543307086614173" footer="0.27559055118110237"/>
  <pageSetup paperSize="9" scale="34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N87"/>
  <sheetViews>
    <sheetView topLeftCell="A14" zoomScaleNormal="100" zoomScaleSheetLayoutView="80" zoomScalePageLayoutView="90" workbookViewId="0">
      <selection activeCell="N37" sqref="N37"/>
    </sheetView>
  </sheetViews>
  <sheetFormatPr defaultColWidth="9" defaultRowHeight="13.9"/>
  <cols>
    <col min="1" max="1" width="8.25" style="19" customWidth="1"/>
    <col min="2" max="2" width="76.25" style="48" customWidth="1"/>
    <col min="3" max="3" width="2.125" style="48" customWidth="1"/>
    <col min="4" max="4" width="20.125" style="49" customWidth="1"/>
    <col min="5" max="7" width="9" style="47"/>
    <col min="8" max="8" width="9.625" style="48" bestFit="1" customWidth="1"/>
    <col min="9" max="9" width="9" style="48"/>
    <col min="10" max="10" width="15" style="48" bestFit="1" customWidth="1"/>
    <col min="11" max="11" width="9" style="48"/>
    <col min="12" max="14" width="9" style="47"/>
    <col min="15" max="16384" width="9" style="48"/>
  </cols>
  <sheetData>
    <row r="1" spans="1:14">
      <c r="A1" s="213" t="s">
        <v>224</v>
      </c>
      <c r="B1" s="213"/>
      <c r="C1" s="213"/>
      <c r="D1" s="46"/>
    </row>
    <row r="2" spans="1:14" ht="14.25" customHeight="1">
      <c r="A2" s="16"/>
      <c r="B2" s="16"/>
      <c r="C2" s="16"/>
    </row>
    <row r="3" spans="1:14" s="54" customFormat="1" ht="33.75" customHeight="1">
      <c r="A3" s="50" t="s">
        <v>7</v>
      </c>
      <c r="B3" s="51" t="s">
        <v>58</v>
      </c>
      <c r="C3" s="50"/>
      <c r="D3" s="52" t="s">
        <v>9</v>
      </c>
      <c r="E3" s="53"/>
      <c r="F3" s="53"/>
      <c r="G3" s="53"/>
      <c r="H3" s="53" t="s">
        <v>744</v>
      </c>
      <c r="I3" s="186">
        <v>0.05</v>
      </c>
      <c r="J3" s="53" t="s">
        <v>745</v>
      </c>
      <c r="L3" s="53"/>
      <c r="M3" s="53"/>
      <c r="N3" s="53"/>
    </row>
    <row r="4" spans="1:14" ht="15" customHeight="1">
      <c r="A4" s="16"/>
      <c r="B4" s="17"/>
      <c r="C4" s="25"/>
      <c r="D4" s="36"/>
      <c r="H4" s="47"/>
      <c r="I4" s="47"/>
      <c r="J4" s="47"/>
    </row>
    <row r="5" spans="1:14" ht="15" customHeight="1">
      <c r="A5" s="16"/>
      <c r="B5" s="22" t="s">
        <v>225</v>
      </c>
      <c r="C5" s="25"/>
      <c r="D5" s="36"/>
      <c r="H5" s="47"/>
      <c r="I5" s="47"/>
      <c r="J5" s="47"/>
    </row>
    <row r="6" spans="1:14" ht="15" customHeight="1">
      <c r="A6" s="16">
        <v>1</v>
      </c>
      <c r="B6" s="17" t="s">
        <v>226</v>
      </c>
      <c r="C6" s="25"/>
      <c r="D6" s="36"/>
      <c r="H6" s="47"/>
      <c r="I6" s="47"/>
      <c r="J6" s="47"/>
    </row>
    <row r="7" spans="1:14" ht="15" customHeight="1">
      <c r="A7" s="16"/>
      <c r="B7" s="17" t="s">
        <v>227</v>
      </c>
      <c r="C7" s="25" t="s">
        <v>60</v>
      </c>
      <c r="D7" s="36">
        <f>J7</f>
        <v>0</v>
      </c>
      <c r="H7" s="47"/>
      <c r="I7" s="47">
        <f>H7*$I$3</f>
        <v>0</v>
      </c>
      <c r="J7" s="47">
        <f>SUM(H7:I7)</f>
        <v>0</v>
      </c>
      <c r="K7" s="48" t="s">
        <v>917</v>
      </c>
    </row>
    <row r="8" spans="1:14" ht="15" customHeight="1">
      <c r="A8" s="16"/>
      <c r="B8" s="17" t="s">
        <v>228</v>
      </c>
      <c r="C8" s="25" t="s">
        <v>60</v>
      </c>
      <c r="D8" s="36">
        <f>J8</f>
        <v>0</v>
      </c>
      <c r="H8" s="47"/>
      <c r="I8" s="47">
        <f>H8*$I$3</f>
        <v>0</v>
      </c>
      <c r="J8" s="47">
        <f>SUM(H8:I8)</f>
        <v>0</v>
      </c>
    </row>
    <row r="9" spans="1:14" ht="15" customHeight="1">
      <c r="A9" s="16"/>
      <c r="B9" s="17"/>
      <c r="C9" s="25"/>
      <c r="D9" s="36"/>
    </row>
    <row r="10" spans="1:14" ht="15" customHeight="1">
      <c r="A10" s="16">
        <v>2</v>
      </c>
      <c r="B10" s="17" t="s">
        <v>229</v>
      </c>
      <c r="C10" s="25" t="s">
        <v>60</v>
      </c>
      <c r="D10" s="36">
        <f>J10</f>
        <v>0</v>
      </c>
      <c r="H10" s="47"/>
      <c r="I10" s="47">
        <f>H10*$I$3</f>
        <v>0</v>
      </c>
      <c r="J10" s="47">
        <f>SUM(H10:I10)</f>
        <v>0</v>
      </c>
      <c r="L10" s="48"/>
      <c r="M10" s="48"/>
      <c r="N10" s="48"/>
    </row>
    <row r="11" spans="1:14" ht="15" customHeight="1">
      <c r="A11" s="16"/>
      <c r="B11" s="17"/>
      <c r="C11" s="25"/>
      <c r="D11" s="36"/>
      <c r="E11" s="48"/>
      <c r="F11" s="48"/>
      <c r="G11" s="48"/>
      <c r="L11" s="48"/>
      <c r="M11" s="48"/>
      <c r="N11" s="48"/>
    </row>
    <row r="12" spans="1:14" ht="15" customHeight="1">
      <c r="A12" s="16"/>
      <c r="B12" s="17"/>
      <c r="C12" s="25"/>
      <c r="D12" s="36"/>
      <c r="E12" s="48"/>
      <c r="F12" s="48"/>
      <c r="G12" s="48"/>
      <c r="L12" s="48"/>
      <c r="M12" s="48"/>
      <c r="N12" s="48"/>
    </row>
    <row r="13" spans="1:14" ht="15" customHeight="1">
      <c r="A13" s="16">
        <v>3</v>
      </c>
      <c r="B13" s="17" t="s">
        <v>230</v>
      </c>
      <c r="C13" s="25"/>
      <c r="D13" s="36"/>
      <c r="N13" s="48"/>
    </row>
    <row r="14" spans="1:14" ht="15" customHeight="1">
      <c r="A14" s="16"/>
      <c r="B14" s="17" t="s">
        <v>227</v>
      </c>
      <c r="C14" s="25" t="s">
        <v>60</v>
      </c>
      <c r="D14" s="36">
        <f t="shared" ref="D14:D17" si="0">J14</f>
        <v>0</v>
      </c>
      <c r="H14" s="47"/>
      <c r="I14" s="47">
        <f t="shared" ref="I14:I17" si="1">H14*$I$3</f>
        <v>0</v>
      </c>
      <c r="J14" s="47">
        <f t="shared" ref="J14:J17" si="2">SUM(H14:I14)</f>
        <v>0</v>
      </c>
      <c r="N14" s="48"/>
    </row>
    <row r="15" spans="1:14" ht="15" customHeight="1">
      <c r="A15" s="16"/>
      <c r="B15" s="17" t="s">
        <v>231</v>
      </c>
      <c r="C15" s="25" t="s">
        <v>60</v>
      </c>
      <c r="D15" s="36">
        <f t="shared" si="0"/>
        <v>0</v>
      </c>
      <c r="H15" s="47"/>
      <c r="I15" s="47">
        <f t="shared" si="1"/>
        <v>0</v>
      </c>
      <c r="J15" s="47">
        <f t="shared" si="2"/>
        <v>0</v>
      </c>
      <c r="N15" s="48"/>
    </row>
    <row r="16" spans="1:14" ht="15" customHeight="1">
      <c r="A16" s="16"/>
      <c r="B16" s="17" t="s">
        <v>232</v>
      </c>
      <c r="C16" s="25" t="s">
        <v>60</v>
      </c>
      <c r="D16" s="36">
        <f t="shared" si="0"/>
        <v>0</v>
      </c>
      <c r="H16" s="47"/>
      <c r="I16" s="47">
        <f t="shared" si="1"/>
        <v>0</v>
      </c>
      <c r="J16" s="47">
        <f t="shared" si="2"/>
        <v>0</v>
      </c>
      <c r="N16" s="48"/>
    </row>
    <row r="17" spans="1:14" ht="15" customHeight="1">
      <c r="A17" s="16"/>
      <c r="B17" s="17" t="s">
        <v>233</v>
      </c>
      <c r="C17" s="25" t="s">
        <v>60</v>
      </c>
      <c r="D17" s="36">
        <f t="shared" si="0"/>
        <v>0</v>
      </c>
      <c r="H17" s="47"/>
      <c r="I17" s="47">
        <f t="shared" si="1"/>
        <v>0</v>
      </c>
      <c r="J17" s="47">
        <f t="shared" si="2"/>
        <v>0</v>
      </c>
      <c r="N17" s="48"/>
    </row>
    <row r="18" spans="1:14" ht="15" customHeight="1">
      <c r="A18" s="16"/>
      <c r="B18" s="17"/>
      <c r="C18" s="25"/>
      <c r="D18" s="36"/>
      <c r="N18" s="48"/>
    </row>
    <row r="19" spans="1:14" ht="15" customHeight="1">
      <c r="A19" s="16">
        <v>4</v>
      </c>
      <c r="B19" s="17" t="s">
        <v>234</v>
      </c>
      <c r="C19" s="25"/>
      <c r="D19" s="36"/>
      <c r="N19" s="48"/>
    </row>
    <row r="20" spans="1:14" ht="15" customHeight="1">
      <c r="A20" s="16"/>
      <c r="B20" s="17" t="s">
        <v>227</v>
      </c>
      <c r="C20" s="25" t="s">
        <v>60</v>
      </c>
      <c r="D20" s="36">
        <f t="shared" ref="D20:D21" si="3">J20</f>
        <v>0</v>
      </c>
      <c r="H20" s="47"/>
      <c r="I20" s="47">
        <f t="shared" ref="I20:I21" si="4">H20*$I$3</f>
        <v>0</v>
      </c>
      <c r="J20" s="47">
        <f t="shared" ref="J20:J21" si="5">SUM(H20:I20)</f>
        <v>0</v>
      </c>
      <c r="N20" s="48"/>
    </row>
    <row r="21" spans="1:14" ht="15" customHeight="1">
      <c r="A21" s="16"/>
      <c r="B21" s="17" t="s">
        <v>231</v>
      </c>
      <c r="C21" s="25" t="s">
        <v>60</v>
      </c>
      <c r="D21" s="36">
        <f t="shared" si="3"/>
        <v>0</v>
      </c>
      <c r="H21" s="47"/>
      <c r="I21" s="47">
        <f t="shared" si="4"/>
        <v>0</v>
      </c>
      <c r="J21" s="47">
        <f t="shared" si="5"/>
        <v>0</v>
      </c>
      <c r="N21" s="48"/>
    </row>
    <row r="22" spans="1:14" ht="15" customHeight="1">
      <c r="A22" s="16"/>
      <c r="B22" s="17"/>
      <c r="C22" s="25"/>
      <c r="D22" s="36"/>
      <c r="N22" s="48"/>
    </row>
    <row r="23" spans="1:14" ht="15" customHeight="1">
      <c r="A23" s="16">
        <v>5</v>
      </c>
      <c r="B23" s="154" t="s">
        <v>235</v>
      </c>
      <c r="C23" s="25"/>
      <c r="D23" s="36"/>
      <c r="N23" s="48"/>
    </row>
    <row r="24" spans="1:14" ht="15" customHeight="1">
      <c r="A24" s="16"/>
      <c r="B24" s="154" t="s">
        <v>236</v>
      </c>
      <c r="C24" s="25" t="s">
        <v>60</v>
      </c>
      <c r="D24" s="36">
        <f t="shared" ref="D24:D26" si="6">J24</f>
        <v>0</v>
      </c>
      <c r="H24" s="47"/>
      <c r="I24" s="47">
        <f t="shared" ref="I24:I26" si="7">H24*$I$3</f>
        <v>0</v>
      </c>
      <c r="J24" s="47">
        <f t="shared" ref="J24:J26" si="8">SUM(H24:I24)</f>
        <v>0</v>
      </c>
      <c r="N24" s="48"/>
    </row>
    <row r="25" spans="1:14" ht="15" customHeight="1">
      <c r="A25" s="16"/>
      <c r="B25" s="154" t="s">
        <v>237</v>
      </c>
      <c r="C25" s="25" t="s">
        <v>60</v>
      </c>
      <c r="D25" s="36">
        <f t="shared" si="6"/>
        <v>0</v>
      </c>
      <c r="H25" s="47"/>
      <c r="I25" s="47">
        <f t="shared" si="7"/>
        <v>0</v>
      </c>
      <c r="J25" s="47">
        <f t="shared" si="8"/>
        <v>0</v>
      </c>
      <c r="N25" s="48"/>
    </row>
    <row r="26" spans="1:14" ht="15" customHeight="1">
      <c r="A26" s="16"/>
      <c r="B26" s="154"/>
      <c r="C26" s="25" t="s">
        <v>60</v>
      </c>
      <c r="D26" s="36">
        <f t="shared" si="6"/>
        <v>0</v>
      </c>
      <c r="H26" s="47"/>
      <c r="I26" s="47">
        <f t="shared" si="7"/>
        <v>0</v>
      </c>
      <c r="J26" s="47">
        <f t="shared" si="8"/>
        <v>0</v>
      </c>
      <c r="N26" s="48"/>
    </row>
    <row r="27" spans="1:14" ht="15" customHeight="1">
      <c r="A27" s="16"/>
      <c r="B27" s="154"/>
      <c r="C27" s="25"/>
      <c r="D27" s="36"/>
      <c r="N27" s="48"/>
    </row>
    <row r="28" spans="1:14" ht="15" customHeight="1">
      <c r="A28" s="16"/>
      <c r="B28" s="38"/>
      <c r="C28" s="25"/>
      <c r="D28" s="39"/>
      <c r="N28" s="48"/>
    </row>
    <row r="29" spans="1:14" ht="15" customHeight="1">
      <c r="A29" s="16"/>
      <c r="B29" s="22" t="s">
        <v>238</v>
      </c>
      <c r="C29" s="25"/>
      <c r="D29" s="36"/>
      <c r="N29" s="48"/>
    </row>
    <row r="30" spans="1:14" ht="15" customHeight="1">
      <c r="A30" s="16">
        <v>6</v>
      </c>
      <c r="B30" s="26" t="s">
        <v>239</v>
      </c>
      <c r="C30" s="25" t="s">
        <v>60</v>
      </c>
      <c r="D30" s="36">
        <f t="shared" ref="D30:D38" si="9">J30</f>
        <v>0</v>
      </c>
      <c r="H30" s="47"/>
      <c r="I30" s="47">
        <f t="shared" ref="I30:I38" si="10">H30*$I$3</f>
        <v>0</v>
      </c>
      <c r="J30" s="47">
        <f t="shared" ref="J30:J38" si="11">SUM(H30:I30)</f>
        <v>0</v>
      </c>
      <c r="N30" s="48"/>
    </row>
    <row r="31" spans="1:14" ht="15" customHeight="1">
      <c r="A31" s="16">
        <v>7</v>
      </c>
      <c r="B31" s="26" t="s">
        <v>240</v>
      </c>
      <c r="C31" s="25" t="s">
        <v>60</v>
      </c>
      <c r="D31" s="36">
        <f t="shared" si="9"/>
        <v>0</v>
      </c>
      <c r="H31" s="47"/>
      <c r="I31" s="47">
        <f t="shared" si="10"/>
        <v>0</v>
      </c>
      <c r="J31" s="47">
        <f t="shared" si="11"/>
        <v>0</v>
      </c>
      <c r="N31" s="48"/>
    </row>
    <row r="32" spans="1:14" ht="15" customHeight="1">
      <c r="A32" s="16">
        <v>8</v>
      </c>
      <c r="B32" s="26" t="s">
        <v>241</v>
      </c>
      <c r="C32" s="25" t="s">
        <v>60</v>
      </c>
      <c r="D32" s="36">
        <f t="shared" si="9"/>
        <v>0</v>
      </c>
      <c r="H32" s="47"/>
      <c r="I32" s="47">
        <f t="shared" si="10"/>
        <v>0</v>
      </c>
      <c r="J32" s="47">
        <f t="shared" si="11"/>
        <v>0</v>
      </c>
      <c r="N32" s="48"/>
    </row>
    <row r="33" spans="1:14" ht="15" customHeight="1">
      <c r="A33" s="16">
        <v>9</v>
      </c>
      <c r="B33" s="26" t="s">
        <v>242</v>
      </c>
      <c r="C33" s="25" t="s">
        <v>60</v>
      </c>
      <c r="D33" s="36">
        <f t="shared" si="9"/>
        <v>0</v>
      </c>
      <c r="H33" s="47"/>
      <c r="I33" s="47">
        <f t="shared" si="10"/>
        <v>0</v>
      </c>
      <c r="J33" s="47">
        <f t="shared" si="11"/>
        <v>0</v>
      </c>
      <c r="N33" s="48"/>
    </row>
    <row r="34" spans="1:14" ht="15" customHeight="1">
      <c r="A34" s="16">
        <v>10</v>
      </c>
      <c r="B34" s="26" t="s">
        <v>243</v>
      </c>
      <c r="C34" s="25" t="s">
        <v>60</v>
      </c>
      <c r="D34" s="36">
        <f t="shared" si="9"/>
        <v>0</v>
      </c>
      <c r="H34" s="47"/>
      <c r="I34" s="47">
        <f t="shared" si="10"/>
        <v>0</v>
      </c>
      <c r="J34" s="47">
        <f t="shared" si="11"/>
        <v>0</v>
      </c>
      <c r="N34" s="48"/>
    </row>
    <row r="35" spans="1:14" ht="15" customHeight="1">
      <c r="A35" s="16">
        <v>11</v>
      </c>
      <c r="B35" s="26" t="s">
        <v>244</v>
      </c>
      <c r="C35" s="25" t="s">
        <v>60</v>
      </c>
      <c r="D35" s="36">
        <f t="shared" si="9"/>
        <v>0</v>
      </c>
      <c r="H35" s="47"/>
      <c r="I35" s="47">
        <f t="shared" si="10"/>
        <v>0</v>
      </c>
      <c r="J35" s="47">
        <f t="shared" si="11"/>
        <v>0</v>
      </c>
      <c r="N35" s="48"/>
    </row>
    <row r="36" spans="1:14" ht="15" customHeight="1">
      <c r="A36" s="16">
        <v>12</v>
      </c>
      <c r="B36" s="26" t="s">
        <v>245</v>
      </c>
      <c r="C36" s="25" t="s">
        <v>60</v>
      </c>
      <c r="D36" s="36">
        <f t="shared" si="9"/>
        <v>0</v>
      </c>
      <c r="H36" s="47"/>
      <c r="I36" s="47">
        <f t="shared" si="10"/>
        <v>0</v>
      </c>
      <c r="J36" s="47">
        <f t="shared" si="11"/>
        <v>0</v>
      </c>
      <c r="N36" s="48"/>
    </row>
    <row r="37" spans="1:14" ht="15" customHeight="1">
      <c r="A37" s="16">
        <v>13</v>
      </c>
      <c r="B37" s="26" t="s">
        <v>246</v>
      </c>
      <c r="C37" s="25" t="s">
        <v>60</v>
      </c>
      <c r="D37" s="36">
        <f t="shared" si="9"/>
        <v>0</v>
      </c>
      <c r="H37" s="47"/>
      <c r="I37" s="47">
        <f t="shared" si="10"/>
        <v>0</v>
      </c>
      <c r="J37" s="47">
        <f t="shared" si="11"/>
        <v>0</v>
      </c>
      <c r="N37" s="48"/>
    </row>
    <row r="38" spans="1:14" ht="15" customHeight="1">
      <c r="A38" s="16">
        <v>14</v>
      </c>
      <c r="B38" s="26" t="s">
        <v>247</v>
      </c>
      <c r="C38" s="25" t="s">
        <v>60</v>
      </c>
      <c r="D38" s="36">
        <f t="shared" si="9"/>
        <v>0</v>
      </c>
      <c r="H38" s="47"/>
      <c r="I38" s="47">
        <f t="shared" si="10"/>
        <v>0</v>
      </c>
      <c r="J38" s="47">
        <f t="shared" si="11"/>
        <v>0</v>
      </c>
      <c r="N38" s="48"/>
    </row>
    <row r="39" spans="1:14" ht="15" customHeight="1">
      <c r="A39" s="16">
        <v>15</v>
      </c>
      <c r="B39" s="26" t="s">
        <v>248</v>
      </c>
      <c r="C39" s="25"/>
      <c r="D39" s="36"/>
      <c r="N39" s="48"/>
    </row>
    <row r="40" spans="1:14" ht="15" customHeight="1">
      <c r="A40" s="16"/>
      <c r="B40" s="26"/>
      <c r="C40" s="25"/>
      <c r="D40" s="36"/>
      <c r="N40" s="48"/>
    </row>
    <row r="41" spans="1:14" ht="15" customHeight="1">
      <c r="A41" s="16"/>
      <c r="B41" s="26"/>
      <c r="C41" s="25"/>
      <c r="D41" s="36"/>
      <c r="N41" s="48"/>
    </row>
    <row r="42" spans="1:14" ht="15" customHeight="1">
      <c r="A42" s="16"/>
      <c r="B42" s="40"/>
      <c r="C42" s="25"/>
      <c r="D42" s="39"/>
      <c r="N42" s="48"/>
    </row>
    <row r="43" spans="1:14" ht="15" customHeight="1">
      <c r="A43" s="16"/>
      <c r="B43" s="22" t="s">
        <v>249</v>
      </c>
      <c r="C43" s="25"/>
      <c r="D43" s="39"/>
      <c r="N43" s="48"/>
    </row>
    <row r="44" spans="1:14" ht="15" customHeight="1">
      <c r="A44" s="16">
        <v>16</v>
      </c>
      <c r="B44" s="17" t="s">
        <v>250</v>
      </c>
      <c r="C44" s="25" t="s">
        <v>60</v>
      </c>
      <c r="D44" s="36">
        <f t="shared" ref="D44:D48" si="12">J44</f>
        <v>0</v>
      </c>
      <c r="H44" s="47"/>
      <c r="I44" s="47">
        <f t="shared" ref="I44:I48" si="13">H44*$I$3</f>
        <v>0</v>
      </c>
      <c r="J44" s="47">
        <f t="shared" ref="J44:J48" si="14">SUM(H44:I44)</f>
        <v>0</v>
      </c>
      <c r="N44" s="48"/>
    </row>
    <row r="45" spans="1:14" ht="15" customHeight="1">
      <c r="A45" s="16">
        <v>17</v>
      </c>
      <c r="B45" s="17" t="s">
        <v>251</v>
      </c>
      <c r="C45" s="25" t="s">
        <v>60</v>
      </c>
      <c r="D45" s="36">
        <f t="shared" si="12"/>
        <v>0</v>
      </c>
      <c r="H45" s="47"/>
      <c r="I45" s="47">
        <f t="shared" si="13"/>
        <v>0</v>
      </c>
      <c r="J45" s="47">
        <f t="shared" si="14"/>
        <v>0</v>
      </c>
      <c r="N45" s="48"/>
    </row>
    <row r="46" spans="1:14" ht="15" customHeight="1">
      <c r="A46" s="16">
        <v>18</v>
      </c>
      <c r="B46" s="17" t="s">
        <v>252</v>
      </c>
      <c r="C46" s="25" t="s">
        <v>60</v>
      </c>
      <c r="D46" s="36">
        <f t="shared" si="12"/>
        <v>0</v>
      </c>
      <c r="H46" s="47"/>
      <c r="I46" s="47">
        <f t="shared" si="13"/>
        <v>0</v>
      </c>
      <c r="J46" s="47">
        <f t="shared" si="14"/>
        <v>0</v>
      </c>
      <c r="N46" s="48"/>
    </row>
    <row r="47" spans="1:14" ht="15" customHeight="1">
      <c r="A47" s="16">
        <v>19</v>
      </c>
      <c r="B47" s="17" t="s">
        <v>253</v>
      </c>
      <c r="C47" s="25" t="s">
        <v>60</v>
      </c>
      <c r="D47" s="36">
        <f t="shared" si="12"/>
        <v>0</v>
      </c>
      <c r="H47" s="47"/>
      <c r="I47" s="47">
        <f t="shared" si="13"/>
        <v>0</v>
      </c>
      <c r="J47" s="47">
        <f t="shared" si="14"/>
        <v>0</v>
      </c>
      <c r="N47" s="48"/>
    </row>
    <row r="48" spans="1:14" ht="15" customHeight="1">
      <c r="A48" s="16">
        <v>20</v>
      </c>
      <c r="B48" s="26" t="s">
        <v>254</v>
      </c>
      <c r="C48" s="25" t="s">
        <v>60</v>
      </c>
      <c r="D48" s="36">
        <f t="shared" si="12"/>
        <v>0</v>
      </c>
      <c r="H48" s="47"/>
      <c r="I48" s="47">
        <f t="shared" si="13"/>
        <v>0</v>
      </c>
      <c r="J48" s="47">
        <f t="shared" si="14"/>
        <v>0</v>
      </c>
      <c r="N48" s="48"/>
    </row>
    <row r="49" spans="1:14" ht="15" customHeight="1">
      <c r="A49" s="16"/>
      <c r="B49" s="17"/>
      <c r="C49" s="25"/>
      <c r="D49" s="39"/>
      <c r="N49" s="48"/>
    </row>
    <row r="50" spans="1:14" ht="15" customHeight="1">
      <c r="A50" s="16"/>
      <c r="B50" s="22" t="s">
        <v>255</v>
      </c>
      <c r="C50" s="25"/>
      <c r="D50" s="39"/>
      <c r="N50" s="48"/>
    </row>
    <row r="51" spans="1:14" ht="15" customHeight="1">
      <c r="A51" s="172">
        <v>21</v>
      </c>
      <c r="B51" s="17" t="s">
        <v>256</v>
      </c>
      <c r="C51" s="25" t="s">
        <v>60</v>
      </c>
      <c r="D51" s="36">
        <f t="shared" ref="D51:D55" si="15">J51</f>
        <v>0</v>
      </c>
      <c r="H51" s="47"/>
      <c r="I51" s="47">
        <f t="shared" ref="I51:I55" si="16">H51*$I$3</f>
        <v>0</v>
      </c>
      <c r="J51" s="47">
        <f t="shared" ref="J51:J55" si="17">SUM(H51:I51)</f>
        <v>0</v>
      </c>
      <c r="N51" s="48"/>
    </row>
    <row r="52" spans="1:14" ht="15" customHeight="1">
      <c r="A52" s="172">
        <v>22</v>
      </c>
      <c r="B52" s="26" t="s">
        <v>257</v>
      </c>
      <c r="C52" s="25" t="s">
        <v>60</v>
      </c>
      <c r="D52" s="36">
        <f t="shared" si="15"/>
        <v>0</v>
      </c>
      <c r="H52" s="47"/>
      <c r="I52" s="47">
        <f t="shared" si="16"/>
        <v>0</v>
      </c>
      <c r="J52" s="47">
        <f t="shared" si="17"/>
        <v>0</v>
      </c>
      <c r="N52" s="48"/>
    </row>
    <row r="53" spans="1:14" ht="15" customHeight="1">
      <c r="A53" s="172">
        <v>23</v>
      </c>
      <c r="B53" s="17" t="s">
        <v>258</v>
      </c>
      <c r="C53" s="25" t="s">
        <v>60</v>
      </c>
      <c r="D53" s="36">
        <f t="shared" si="15"/>
        <v>0</v>
      </c>
      <c r="H53" s="47"/>
      <c r="I53" s="47">
        <f t="shared" si="16"/>
        <v>0</v>
      </c>
      <c r="J53" s="47">
        <f t="shared" si="17"/>
        <v>0</v>
      </c>
      <c r="N53" s="48"/>
    </row>
    <row r="54" spans="1:14" ht="15" customHeight="1">
      <c r="A54" s="172">
        <v>24</v>
      </c>
      <c r="B54" s="26" t="s">
        <v>259</v>
      </c>
      <c r="C54" s="25" t="s">
        <v>60</v>
      </c>
      <c r="D54" s="36">
        <f t="shared" si="15"/>
        <v>0</v>
      </c>
      <c r="H54" s="47"/>
      <c r="I54" s="47">
        <f t="shared" si="16"/>
        <v>0</v>
      </c>
      <c r="J54" s="47">
        <f t="shared" si="17"/>
        <v>0</v>
      </c>
      <c r="N54" s="48"/>
    </row>
    <row r="55" spans="1:14" ht="15" customHeight="1">
      <c r="B55" s="26"/>
      <c r="C55" s="25" t="s">
        <v>60</v>
      </c>
      <c r="D55" s="36">
        <f t="shared" si="15"/>
        <v>0</v>
      </c>
      <c r="H55" s="47"/>
      <c r="I55" s="47">
        <f t="shared" si="16"/>
        <v>0</v>
      </c>
      <c r="J55" s="47">
        <f t="shared" si="17"/>
        <v>0</v>
      </c>
      <c r="N55" s="48"/>
    </row>
    <row r="56" spans="1:14" ht="15" customHeight="1">
      <c r="A56" s="16"/>
      <c r="B56" s="26"/>
      <c r="C56" s="25"/>
      <c r="D56" s="36"/>
      <c r="N56" s="48"/>
    </row>
    <row r="57" spans="1:14" ht="15" customHeight="1">
      <c r="A57" s="42"/>
      <c r="B57" s="43" t="s">
        <v>260</v>
      </c>
      <c r="C57" s="44" t="s">
        <v>60</v>
      </c>
      <c r="D57" s="45">
        <f>SUM(D4:D55)</f>
        <v>0</v>
      </c>
      <c r="N57" s="48"/>
    </row>
    <row r="58" spans="1:14" s="54" customFormat="1" ht="33.75" customHeight="1">
      <c r="A58" s="50" t="s">
        <v>7</v>
      </c>
      <c r="B58" s="51" t="s">
        <v>58</v>
      </c>
      <c r="C58" s="50"/>
      <c r="D58" s="52" t="s">
        <v>9</v>
      </c>
      <c r="E58" s="53"/>
      <c r="F58" s="53"/>
      <c r="G58" s="53"/>
      <c r="H58" s="48"/>
      <c r="I58" s="48"/>
      <c r="J58" s="48"/>
      <c r="K58" s="48"/>
      <c r="L58" s="53"/>
      <c r="M58" s="53"/>
      <c r="N58" s="53"/>
    </row>
    <row r="59" spans="1:14" ht="15" customHeight="1">
      <c r="A59" s="16"/>
      <c r="B59" s="17"/>
      <c r="C59" s="25"/>
      <c r="D59" s="39"/>
      <c r="N59" s="48"/>
    </row>
    <row r="60" spans="1:14" ht="15" customHeight="1">
      <c r="A60" s="16"/>
      <c r="B60" s="167" t="s">
        <v>261</v>
      </c>
      <c r="C60" s="25"/>
      <c r="D60" s="39">
        <f>D57</f>
        <v>0</v>
      </c>
      <c r="N60" s="48"/>
    </row>
    <row r="61" spans="1:14" ht="15" customHeight="1">
      <c r="A61" s="16"/>
      <c r="B61" s="17"/>
      <c r="C61" s="25"/>
      <c r="D61" s="39"/>
      <c r="N61" s="48"/>
    </row>
    <row r="62" spans="1:14" ht="15" customHeight="1">
      <c r="A62" s="16"/>
      <c r="B62" s="22" t="s">
        <v>262</v>
      </c>
      <c r="C62" s="25"/>
      <c r="D62" s="39"/>
      <c r="N62" s="48"/>
    </row>
    <row r="63" spans="1:14" ht="15" customHeight="1">
      <c r="A63" s="16">
        <v>25</v>
      </c>
      <c r="B63" s="26" t="s">
        <v>263</v>
      </c>
      <c r="C63" s="25" t="s">
        <v>60</v>
      </c>
      <c r="D63" s="36">
        <f>SUM(C63:C63)</f>
        <v>0</v>
      </c>
      <c r="N63" s="48"/>
    </row>
    <row r="64" spans="1:14" ht="15" customHeight="1">
      <c r="A64" s="16">
        <v>26</v>
      </c>
      <c r="B64" s="26" t="s">
        <v>264</v>
      </c>
      <c r="C64" s="25" t="s">
        <v>60</v>
      </c>
      <c r="D64" s="36">
        <f>SUM(C64:C64)</f>
        <v>0</v>
      </c>
      <c r="N64" s="48"/>
    </row>
    <row r="65" spans="1:14" ht="15" customHeight="1">
      <c r="A65" s="16">
        <v>27</v>
      </c>
      <c r="B65" s="26" t="s">
        <v>265</v>
      </c>
      <c r="C65" s="25" t="s">
        <v>60</v>
      </c>
      <c r="D65" s="36">
        <f>SUM(C65:C65)</f>
        <v>0</v>
      </c>
      <c r="N65" s="48"/>
    </row>
    <row r="66" spans="1:14" ht="15" customHeight="1">
      <c r="A66" s="16"/>
      <c r="B66" s="26"/>
      <c r="C66" s="25"/>
      <c r="D66" s="36"/>
      <c r="N66" s="48"/>
    </row>
    <row r="67" spans="1:14" ht="15" customHeight="1">
      <c r="A67" s="16"/>
      <c r="B67" s="20" t="s">
        <v>266</v>
      </c>
      <c r="C67" s="25"/>
      <c r="D67" s="39"/>
      <c r="N67" s="48"/>
    </row>
    <row r="68" spans="1:14" ht="15" customHeight="1">
      <c r="A68" s="16">
        <v>28</v>
      </c>
      <c r="B68" s="17" t="s">
        <v>267</v>
      </c>
      <c r="C68" s="25" t="s">
        <v>60</v>
      </c>
      <c r="D68" s="36">
        <f t="shared" ref="D68:D73" si="18">SUM(C68:C68)</f>
        <v>0</v>
      </c>
      <c r="N68" s="48"/>
    </row>
    <row r="69" spans="1:14" ht="15" customHeight="1">
      <c r="A69" s="16">
        <v>29</v>
      </c>
      <c r="B69" s="26" t="s">
        <v>268</v>
      </c>
      <c r="C69" s="25" t="s">
        <v>60</v>
      </c>
      <c r="D69" s="36">
        <f t="shared" si="18"/>
        <v>0</v>
      </c>
      <c r="N69" s="48"/>
    </row>
    <row r="70" spans="1:14" ht="15" customHeight="1">
      <c r="A70" s="16">
        <v>30</v>
      </c>
      <c r="B70" s="26" t="s">
        <v>269</v>
      </c>
      <c r="C70" s="25" t="s">
        <v>60</v>
      </c>
      <c r="D70" s="36">
        <f t="shared" si="18"/>
        <v>0</v>
      </c>
      <c r="N70" s="48"/>
    </row>
    <row r="71" spans="1:14" ht="15" customHeight="1">
      <c r="A71" s="16">
        <v>31</v>
      </c>
      <c r="B71" s="26" t="s">
        <v>270</v>
      </c>
      <c r="C71" s="25" t="s">
        <v>60</v>
      </c>
      <c r="D71" s="36">
        <f t="shared" si="18"/>
        <v>0</v>
      </c>
      <c r="N71" s="48"/>
    </row>
    <row r="72" spans="1:14" ht="15" customHeight="1">
      <c r="A72" s="16">
        <v>32</v>
      </c>
      <c r="B72" s="26" t="s">
        <v>271</v>
      </c>
      <c r="C72" s="25" t="s">
        <v>60</v>
      </c>
      <c r="D72" s="36">
        <f t="shared" si="18"/>
        <v>0</v>
      </c>
      <c r="N72" s="48"/>
    </row>
    <row r="73" spans="1:14" ht="15" customHeight="1">
      <c r="A73" s="16">
        <v>33</v>
      </c>
      <c r="B73" s="156" t="s">
        <v>272</v>
      </c>
      <c r="C73" s="25" t="s">
        <v>60</v>
      </c>
      <c r="D73" s="36">
        <f t="shared" si="18"/>
        <v>0</v>
      </c>
      <c r="N73" s="48"/>
    </row>
    <row r="74" spans="1:14" ht="15" customHeight="1">
      <c r="A74" s="16"/>
      <c r="B74" s="41"/>
      <c r="C74" s="25" t="s">
        <v>60</v>
      </c>
      <c r="D74" s="36">
        <f t="shared" ref="D74:D79" si="19">SUM(C74:C74)</f>
        <v>0</v>
      </c>
      <c r="N74" s="48"/>
    </row>
    <row r="75" spans="1:14" ht="15" customHeight="1">
      <c r="A75" s="16"/>
      <c r="B75" s="41"/>
      <c r="C75" s="25" t="s">
        <v>60</v>
      </c>
      <c r="D75" s="36">
        <f t="shared" si="19"/>
        <v>0</v>
      </c>
      <c r="N75" s="48"/>
    </row>
    <row r="76" spans="1:14" ht="15" customHeight="1">
      <c r="A76" s="16"/>
      <c r="B76" s="41"/>
      <c r="C76" s="25" t="s">
        <v>60</v>
      </c>
      <c r="D76" s="36">
        <f t="shared" si="19"/>
        <v>0</v>
      </c>
      <c r="N76" s="48"/>
    </row>
    <row r="77" spans="1:14" ht="15" customHeight="1">
      <c r="A77" s="16"/>
      <c r="B77" s="41"/>
      <c r="C77" s="25" t="s">
        <v>60</v>
      </c>
      <c r="D77" s="36">
        <f t="shared" si="19"/>
        <v>0</v>
      </c>
      <c r="N77" s="48"/>
    </row>
    <row r="78" spans="1:14" ht="15" customHeight="1">
      <c r="A78" s="16"/>
      <c r="B78" s="41"/>
      <c r="C78" s="25" t="s">
        <v>60</v>
      </c>
      <c r="D78" s="36">
        <f t="shared" si="19"/>
        <v>0</v>
      </c>
      <c r="N78" s="48"/>
    </row>
    <row r="79" spans="1:14" ht="15" customHeight="1">
      <c r="A79" s="16"/>
      <c r="B79" s="41"/>
      <c r="C79" s="25" t="s">
        <v>60</v>
      </c>
      <c r="D79" s="36">
        <f t="shared" si="19"/>
        <v>0</v>
      </c>
      <c r="N79" s="48"/>
    </row>
    <row r="80" spans="1:14" ht="15" customHeight="1">
      <c r="A80" s="16"/>
      <c r="B80" s="41"/>
      <c r="C80" s="25"/>
      <c r="D80" s="36"/>
      <c r="N80" s="48"/>
    </row>
    <row r="81" spans="1:14" ht="15" customHeight="1">
      <c r="A81" s="16"/>
      <c r="B81" s="41"/>
      <c r="C81" s="25"/>
      <c r="D81" s="36"/>
      <c r="N81" s="48"/>
    </row>
    <row r="82" spans="1:14" ht="12.75" customHeight="1">
      <c r="A82" s="16"/>
      <c r="B82" s="17"/>
      <c r="C82" s="25"/>
      <c r="D82" s="36"/>
      <c r="N82" s="48"/>
    </row>
    <row r="83" spans="1:14" ht="18" customHeight="1">
      <c r="A83" s="42"/>
      <c r="B83" s="43" t="s">
        <v>223</v>
      </c>
      <c r="C83" s="44" t="s">
        <v>60</v>
      </c>
      <c r="D83" s="45">
        <f>SUM(D60:D82)</f>
        <v>0</v>
      </c>
      <c r="N83" s="48"/>
    </row>
    <row r="84" spans="1:14">
      <c r="B84" s="55"/>
      <c r="C84" s="55"/>
      <c r="D84" s="56"/>
      <c r="N84" s="48"/>
    </row>
    <row r="85" spans="1:14" ht="10.5" customHeight="1">
      <c r="A85" s="214"/>
      <c r="B85" s="215"/>
      <c r="C85" s="215"/>
      <c r="D85" s="48"/>
    </row>
    <row r="86" spans="1:14">
      <c r="B86" s="16"/>
      <c r="C86" s="16"/>
      <c r="D86" s="56"/>
    </row>
    <row r="87" spans="1:14">
      <c r="B87" s="16"/>
      <c r="C87" s="16"/>
      <c r="D87" s="56"/>
    </row>
  </sheetData>
  <sheetProtection formatCells="0" formatColumns="0" formatRows="0" insertRows="0"/>
  <mergeCells count="2">
    <mergeCell ref="A85:C85"/>
    <mergeCell ref="A1:C1"/>
  </mergeCells>
  <pageMargins left="0.39370078740157483" right="0.39370078740157483" top="1.4173228346456692" bottom="0.59055118110236215" header="0.3543307086614173" footer="0.27559055118110237"/>
  <pageSetup paperSize="9" scale="50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7"/>
  <sheetViews>
    <sheetView zoomScale="80" zoomScaleNormal="80" zoomScaleSheetLayoutView="80" zoomScalePageLayoutView="90" workbookViewId="0">
      <selection activeCell="N37" sqref="N37"/>
    </sheetView>
  </sheetViews>
  <sheetFormatPr defaultColWidth="9" defaultRowHeight="13.9"/>
  <cols>
    <col min="1" max="1" width="8.25" style="19" customWidth="1"/>
    <col min="2" max="2" width="76.25" style="48" customWidth="1"/>
    <col min="3" max="3" width="2.125" style="48" customWidth="1"/>
    <col min="4" max="4" width="20.125" style="49" customWidth="1"/>
    <col min="5" max="7" width="9" style="48"/>
    <col min="8" max="9" width="9.625" style="48" bestFit="1" customWidth="1"/>
    <col min="10" max="10" width="15" style="48" bestFit="1" customWidth="1"/>
    <col min="11" max="16384" width="9" style="48"/>
  </cols>
  <sheetData>
    <row r="1" spans="1:10">
      <c r="A1" s="213" t="s">
        <v>273</v>
      </c>
      <c r="B1" s="213"/>
      <c r="C1" s="213"/>
      <c r="D1" s="213"/>
    </row>
    <row r="2" spans="1:10" ht="14.25" customHeight="1">
      <c r="A2" s="16"/>
      <c r="B2" s="16"/>
      <c r="C2" s="16"/>
    </row>
    <row r="3" spans="1:10" s="54" customFormat="1" ht="33.75" customHeight="1">
      <c r="A3" s="50" t="s">
        <v>7</v>
      </c>
      <c r="B3" s="51" t="s">
        <v>58</v>
      </c>
      <c r="C3" s="50"/>
      <c r="D3" s="52" t="s">
        <v>9</v>
      </c>
      <c r="H3" s="53" t="s">
        <v>744</v>
      </c>
      <c r="I3" s="205">
        <v>0.15</v>
      </c>
      <c r="J3" s="53" t="s">
        <v>745</v>
      </c>
    </row>
    <row r="4" spans="1:10" ht="15" customHeight="1">
      <c r="A4" s="16"/>
      <c r="B4" s="17"/>
      <c r="C4" s="25"/>
      <c r="D4" s="36"/>
      <c r="H4" s="47"/>
      <c r="I4" s="47"/>
      <c r="J4" s="47"/>
    </row>
    <row r="5" spans="1:10" ht="15" customHeight="1">
      <c r="A5" s="16">
        <v>1</v>
      </c>
      <c r="B5" s="17" t="s">
        <v>274</v>
      </c>
      <c r="C5" s="25" t="s">
        <v>60</v>
      </c>
      <c r="D5" s="61">
        <f>J5</f>
        <v>82335.894499999995</v>
      </c>
      <c r="H5" s="47">
        <v>71596.429999999993</v>
      </c>
      <c r="I5" s="47">
        <f>H5*I3</f>
        <v>10739.464499999998</v>
      </c>
      <c r="J5" s="47">
        <f>SUM(H5:I5)</f>
        <v>82335.894499999995</v>
      </c>
    </row>
    <row r="6" spans="1:10" ht="15" customHeight="1">
      <c r="A6" s="16"/>
      <c r="B6" s="17"/>
      <c r="C6" s="25"/>
      <c r="D6" s="61"/>
      <c r="H6" s="47"/>
      <c r="I6" s="47"/>
      <c r="J6" s="47"/>
    </row>
    <row r="7" spans="1:10" ht="15" customHeight="1">
      <c r="A7" s="16">
        <v>2</v>
      </c>
      <c r="B7" s="17" t="s">
        <v>275</v>
      </c>
      <c r="C7" s="25" t="s">
        <v>60</v>
      </c>
      <c r="D7" s="61" t="s">
        <v>994</v>
      </c>
      <c r="H7" s="47"/>
      <c r="I7" s="47"/>
      <c r="J7" s="47"/>
    </row>
    <row r="8" spans="1:10" ht="15" customHeight="1">
      <c r="A8" s="16"/>
      <c r="B8" s="17"/>
      <c r="C8" s="25"/>
      <c r="D8" s="61"/>
    </row>
    <row r="9" spans="1:10" ht="15" customHeight="1">
      <c r="A9" s="16">
        <v>3</v>
      </c>
      <c r="B9" s="17" t="s">
        <v>276</v>
      </c>
      <c r="C9" s="25" t="s">
        <v>60</v>
      </c>
      <c r="D9" s="61" t="s">
        <v>1009</v>
      </c>
    </row>
    <row r="10" spans="1:10" ht="15" customHeight="1">
      <c r="A10" s="16"/>
      <c r="B10" s="17"/>
      <c r="C10" s="25"/>
      <c r="D10" s="61"/>
    </row>
    <row r="11" spans="1:10" ht="15" customHeight="1">
      <c r="A11" s="16">
        <v>4</v>
      </c>
      <c r="B11" s="26" t="s">
        <v>277</v>
      </c>
      <c r="C11" s="25" t="s">
        <v>60</v>
      </c>
      <c r="D11" s="61" t="s">
        <v>994</v>
      </c>
    </row>
    <row r="12" spans="1:10" ht="15" customHeight="1">
      <c r="A12" s="16"/>
      <c r="B12" s="26"/>
      <c r="C12" s="25"/>
      <c r="D12" s="61"/>
    </row>
    <row r="13" spans="1:10" ht="15" customHeight="1">
      <c r="A13" s="16">
        <v>5</v>
      </c>
      <c r="B13" s="26" t="s">
        <v>278</v>
      </c>
      <c r="C13" s="25" t="s">
        <v>60</v>
      </c>
      <c r="D13" s="61" t="s">
        <v>994</v>
      </c>
    </row>
    <row r="14" spans="1:10" ht="15" customHeight="1">
      <c r="A14" s="16"/>
      <c r="B14" s="26"/>
      <c r="C14" s="25"/>
      <c r="D14" s="61"/>
    </row>
    <row r="15" spans="1:10" ht="15" customHeight="1">
      <c r="A15" s="16">
        <v>6</v>
      </c>
      <c r="B15" s="26" t="s">
        <v>279</v>
      </c>
      <c r="C15" s="25" t="s">
        <v>60</v>
      </c>
      <c r="D15" s="61" t="s">
        <v>994</v>
      </c>
    </row>
    <row r="16" spans="1:10" ht="15" customHeight="1">
      <c r="A16" s="16"/>
      <c r="B16" s="26"/>
      <c r="C16" s="25"/>
      <c r="D16" s="61"/>
    </row>
    <row r="17" spans="1:11" ht="15" customHeight="1">
      <c r="A17" s="16">
        <v>7</v>
      </c>
      <c r="B17" s="156" t="s">
        <v>280</v>
      </c>
      <c r="C17" s="25" t="s">
        <v>60</v>
      </c>
      <c r="D17" s="158"/>
    </row>
    <row r="18" spans="1:11" ht="15" customHeight="1">
      <c r="A18" s="16"/>
      <c r="B18" s="26"/>
      <c r="C18" s="25"/>
      <c r="D18" s="61"/>
    </row>
    <row r="19" spans="1:11" ht="15" customHeight="1">
      <c r="A19" s="155">
        <v>8</v>
      </c>
      <c r="B19" s="26" t="s">
        <v>1021</v>
      </c>
      <c r="C19" s="25" t="s">
        <v>60</v>
      </c>
      <c r="D19" s="61">
        <f>J19</f>
        <v>8625</v>
      </c>
      <c r="H19" s="47">
        <v>7500</v>
      </c>
      <c r="I19" s="47">
        <f>H19*I3</f>
        <v>1125</v>
      </c>
      <c r="J19" s="47">
        <f>SUM(H19:I19)</f>
        <v>8625</v>
      </c>
      <c r="K19" s="48" t="s">
        <v>1022</v>
      </c>
    </row>
    <row r="20" spans="1:11" ht="15" customHeight="1">
      <c r="A20" s="16"/>
      <c r="B20" s="26"/>
      <c r="C20" s="157"/>
      <c r="D20" s="61"/>
    </row>
    <row r="21" spans="1:11" ht="15" customHeight="1">
      <c r="A21" s="16"/>
      <c r="B21" s="26"/>
      <c r="C21" s="157"/>
      <c r="D21" s="61"/>
    </row>
    <row r="22" spans="1:11" ht="15" customHeight="1">
      <c r="A22" s="16"/>
      <c r="B22" s="26"/>
      <c r="C22" s="157"/>
      <c r="D22" s="61"/>
    </row>
    <row r="23" spans="1:11" ht="15" customHeight="1">
      <c r="A23" s="16"/>
      <c r="B23" s="26"/>
      <c r="C23" s="157"/>
      <c r="D23" s="36"/>
    </row>
    <row r="24" spans="1:11" ht="15" customHeight="1">
      <c r="A24" s="16"/>
      <c r="B24" s="26"/>
      <c r="C24" s="157"/>
      <c r="D24" s="36"/>
    </row>
    <row r="25" spans="1:11" ht="15" customHeight="1">
      <c r="A25" s="16"/>
      <c r="B25" s="26"/>
      <c r="C25" s="157"/>
      <c r="D25" s="36"/>
    </row>
    <row r="26" spans="1:11" ht="15" customHeight="1">
      <c r="A26" s="16"/>
      <c r="B26" s="26"/>
      <c r="C26" s="157"/>
      <c r="D26" s="36"/>
    </row>
    <row r="27" spans="1:11" ht="15" customHeight="1">
      <c r="A27" s="16"/>
      <c r="B27" s="26"/>
      <c r="C27" s="25"/>
      <c r="D27" s="36"/>
    </row>
    <row r="28" spans="1:11" ht="15" customHeight="1">
      <c r="A28" s="16"/>
      <c r="B28" s="17"/>
      <c r="C28" s="25"/>
      <c r="D28" s="39"/>
    </row>
    <row r="29" spans="1:11" ht="15" customHeight="1">
      <c r="A29" s="16"/>
      <c r="B29" s="22"/>
      <c r="C29" s="25"/>
      <c r="D29" s="39"/>
    </row>
    <row r="30" spans="1:11" ht="15" customHeight="1">
      <c r="A30" s="16"/>
      <c r="B30" s="17"/>
      <c r="C30" s="25"/>
      <c r="D30" s="36"/>
    </row>
    <row r="31" spans="1:11" ht="15" customHeight="1">
      <c r="A31" s="16"/>
      <c r="B31" s="17"/>
      <c r="C31" s="25"/>
      <c r="D31" s="39"/>
    </row>
    <row r="32" spans="1:11" ht="15" customHeight="1">
      <c r="A32" s="16"/>
      <c r="B32" s="22"/>
      <c r="C32" s="25"/>
      <c r="D32" s="39"/>
    </row>
    <row r="33" spans="1:4" ht="15" customHeight="1">
      <c r="A33" s="16"/>
      <c r="B33" s="22"/>
      <c r="C33" s="25"/>
      <c r="D33" s="39"/>
    </row>
    <row r="34" spans="1:4" ht="15" customHeight="1">
      <c r="A34" s="16"/>
      <c r="B34" s="22"/>
      <c r="C34" s="25"/>
      <c r="D34" s="39"/>
    </row>
    <row r="35" spans="1:4" ht="15" customHeight="1">
      <c r="A35" s="16"/>
      <c r="B35" s="22"/>
      <c r="C35" s="25"/>
      <c r="D35" s="39"/>
    </row>
    <row r="36" spans="1:4" ht="15" customHeight="1">
      <c r="A36" s="16"/>
      <c r="B36" s="22"/>
      <c r="C36" s="25"/>
      <c r="D36" s="39"/>
    </row>
    <row r="37" spans="1:4" ht="15" customHeight="1">
      <c r="A37" s="16"/>
      <c r="B37" s="22"/>
      <c r="C37" s="25"/>
      <c r="D37" s="39"/>
    </row>
    <row r="38" spans="1:4" ht="15" customHeight="1">
      <c r="A38" s="16"/>
      <c r="B38" s="22"/>
      <c r="C38" s="25"/>
      <c r="D38" s="39"/>
    </row>
    <row r="39" spans="1:4" ht="15" customHeight="1">
      <c r="A39" s="16"/>
      <c r="B39" s="22"/>
      <c r="C39" s="25"/>
      <c r="D39" s="39"/>
    </row>
    <row r="40" spans="1:4" ht="15" customHeight="1">
      <c r="A40" s="16"/>
      <c r="B40" s="26"/>
      <c r="C40" s="25"/>
      <c r="D40" s="36"/>
    </row>
    <row r="41" spans="1:4" ht="15" customHeight="1">
      <c r="A41" s="16"/>
      <c r="B41" s="26"/>
      <c r="C41" s="25"/>
      <c r="D41" s="36"/>
    </row>
    <row r="42" spans="1:4" ht="15" customHeight="1">
      <c r="A42" s="16"/>
      <c r="B42" s="26"/>
      <c r="C42" s="25"/>
      <c r="D42" s="36"/>
    </row>
    <row r="43" spans="1:4" ht="15" customHeight="1">
      <c r="A43" s="16"/>
      <c r="B43" s="20"/>
      <c r="C43" s="25"/>
      <c r="D43" s="39"/>
    </row>
    <row r="44" spans="1:4" ht="15" customHeight="1">
      <c r="A44" s="16"/>
      <c r="B44" s="20"/>
      <c r="C44" s="25"/>
      <c r="D44" s="39"/>
    </row>
    <row r="45" spans="1:4" ht="15" customHeight="1">
      <c r="A45" s="16"/>
      <c r="B45" s="20"/>
      <c r="C45" s="25"/>
      <c r="D45" s="39"/>
    </row>
    <row r="46" spans="1:4" ht="15" customHeight="1">
      <c r="A46" s="16"/>
      <c r="B46" s="20"/>
      <c r="C46" s="25"/>
      <c r="D46" s="39"/>
    </row>
    <row r="47" spans="1:4" ht="15" customHeight="1">
      <c r="A47" s="16"/>
      <c r="B47" s="20"/>
      <c r="C47" s="25"/>
      <c r="D47" s="39"/>
    </row>
    <row r="48" spans="1:4" ht="15" customHeight="1">
      <c r="A48" s="16"/>
      <c r="B48" s="26"/>
      <c r="C48" s="25"/>
      <c r="D48" s="36"/>
    </row>
    <row r="49" spans="1:4" ht="15" customHeight="1">
      <c r="A49" s="16"/>
      <c r="B49" s="26"/>
      <c r="C49" s="25"/>
      <c r="D49" s="36"/>
    </row>
    <row r="50" spans="1:4" ht="15" customHeight="1">
      <c r="A50" s="16"/>
      <c r="B50" s="26"/>
      <c r="C50" s="25"/>
      <c r="D50" s="36"/>
    </row>
    <row r="51" spans="1:4" ht="15" customHeight="1">
      <c r="A51" s="16"/>
      <c r="B51" s="26"/>
      <c r="C51" s="25"/>
      <c r="D51" s="36"/>
    </row>
    <row r="52" spans="1:4" ht="15" customHeight="1">
      <c r="A52" s="16"/>
      <c r="B52" s="17"/>
      <c r="C52" s="25"/>
      <c r="D52" s="36"/>
    </row>
    <row r="53" spans="1:4" ht="18" customHeight="1">
      <c r="A53" s="42"/>
      <c r="B53" s="43" t="s">
        <v>223</v>
      </c>
      <c r="C53" s="44" t="s">
        <v>60</v>
      </c>
      <c r="D53" s="45">
        <f>SUM(D4:D52)</f>
        <v>90960.894499999995</v>
      </c>
    </row>
    <row r="54" spans="1:4">
      <c r="B54" s="55"/>
      <c r="C54" s="55"/>
      <c r="D54" s="56"/>
    </row>
    <row r="55" spans="1:4" ht="10.5" customHeight="1">
      <c r="A55" s="214"/>
      <c r="B55" s="215"/>
      <c r="C55" s="215"/>
      <c r="D55" s="48"/>
    </row>
    <row r="56" spans="1:4">
      <c r="B56" s="16"/>
      <c r="C56" s="16"/>
      <c r="D56" s="56"/>
    </row>
    <row r="57" spans="1:4">
      <c r="B57" s="16"/>
      <c r="C57" s="16"/>
      <c r="D57" s="56"/>
    </row>
  </sheetData>
  <sheetProtection formatCells="0" formatColumns="0" formatRows="0" insertRows="0"/>
  <mergeCells count="2">
    <mergeCell ref="A55:C55"/>
    <mergeCell ref="A1:D1"/>
  </mergeCells>
  <pageMargins left="0.39370078740157483" right="0.39370078740157483" top="1.4173228346456692" bottom="0.59055118110236215" header="0.3543307086614173" footer="0.27559055118110237"/>
  <pageSetup paperSize="9" scale="52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C000"/>
  </sheetPr>
  <dimension ref="A1:N274"/>
  <sheetViews>
    <sheetView tabSelected="1" topLeftCell="A128" zoomScaleNormal="100" zoomScaleSheetLayoutView="90" zoomScalePageLayoutView="110" workbookViewId="0">
      <selection activeCell="H160" sqref="H160"/>
    </sheetView>
  </sheetViews>
  <sheetFormatPr defaultColWidth="7.125" defaultRowHeight="13.9"/>
  <cols>
    <col min="1" max="1" width="9" style="19" customWidth="1"/>
    <col min="2" max="2" width="55.75" style="48" customWidth="1"/>
    <col min="3" max="3" width="3.25" style="48" customWidth="1"/>
    <col min="4" max="4" width="18.75" style="62" customWidth="1"/>
    <col min="5" max="5" width="0.875" style="63" customWidth="1"/>
    <col min="6" max="6" width="18.75" style="47" customWidth="1"/>
    <col min="7" max="7" width="19.875" style="47" bestFit="1" customWidth="1"/>
    <col min="8" max="8" width="10.5" style="47" customWidth="1"/>
    <col min="9" max="9" width="8.75" style="47" bestFit="1" customWidth="1"/>
    <col min="10" max="10" width="14.875" style="47" bestFit="1" customWidth="1"/>
    <col min="11" max="11" width="60.625" style="47" customWidth="1"/>
    <col min="12" max="12" width="7.125" style="47"/>
    <col min="13" max="13" width="8.375" style="47" bestFit="1" customWidth="1"/>
    <col min="14" max="16384" width="7.125" style="48"/>
  </cols>
  <sheetData>
    <row r="1" spans="1:13">
      <c r="A1" s="213" t="s">
        <v>281</v>
      </c>
      <c r="B1" s="213"/>
      <c r="C1" s="213"/>
      <c r="F1" s="70"/>
      <c r="M1" s="47">
        <v>5200</v>
      </c>
    </row>
    <row r="2" spans="1:13" ht="14.25" customHeight="1">
      <c r="A2" s="16"/>
      <c r="B2" s="16"/>
      <c r="C2" s="16"/>
    </row>
    <row r="3" spans="1:13" s="54" customFormat="1">
      <c r="A3" s="50" t="s">
        <v>7</v>
      </c>
      <c r="B3" s="51" t="s">
        <v>58</v>
      </c>
      <c r="C3" s="50"/>
      <c r="D3" s="64" t="s">
        <v>282</v>
      </c>
      <c r="E3" s="65"/>
      <c r="F3" s="66" t="s">
        <v>283</v>
      </c>
      <c r="G3" s="53"/>
      <c r="H3" s="53" t="s">
        <v>744</v>
      </c>
      <c r="I3" s="205">
        <v>0.15</v>
      </c>
      <c r="J3" s="53" t="s">
        <v>745</v>
      </c>
      <c r="K3" s="53"/>
      <c r="L3" s="53"/>
      <c r="M3" s="53"/>
    </row>
    <row r="4" spans="1:13" ht="14.1" customHeight="1">
      <c r="A4" s="16"/>
      <c r="B4" s="17"/>
      <c r="C4" s="25"/>
      <c r="D4" s="39"/>
      <c r="E4" s="71"/>
      <c r="F4" s="70"/>
    </row>
    <row r="5" spans="1:13" ht="16.5" customHeight="1">
      <c r="A5" s="19">
        <v>1</v>
      </c>
      <c r="B5" s="72" t="s">
        <v>284</v>
      </c>
      <c r="C5" s="25"/>
      <c r="D5" s="73"/>
      <c r="E5" s="18"/>
      <c r="F5" s="74"/>
    </row>
    <row r="6" spans="1:13" ht="16.5" customHeight="1">
      <c r="B6" s="72"/>
      <c r="C6" s="25"/>
      <c r="D6" s="73"/>
      <c r="E6" s="18"/>
      <c r="F6" s="74"/>
    </row>
    <row r="7" spans="1:13">
      <c r="A7" s="16">
        <v>1.1000000000000001</v>
      </c>
      <c r="B7" s="26" t="s">
        <v>285</v>
      </c>
      <c r="C7" s="25" t="s">
        <v>60</v>
      </c>
      <c r="D7" s="73">
        <f>J7</f>
        <v>6211.8629999999994</v>
      </c>
      <c r="E7" s="71"/>
      <c r="F7" s="39"/>
      <c r="H7" s="47">
        <v>5401.62</v>
      </c>
      <c r="I7" s="47">
        <f>H7*$I$3</f>
        <v>810.24299999999994</v>
      </c>
      <c r="J7" s="47">
        <f>SUM(H7:I7)</f>
        <v>6211.8629999999994</v>
      </c>
      <c r="M7" s="47">
        <f>D7/$M$1</f>
        <v>1.1945890384615383</v>
      </c>
    </row>
    <row r="8" spans="1:13" ht="8.4499999999999993" customHeight="1">
      <c r="A8" s="16"/>
      <c r="B8" s="17"/>
      <c r="C8" s="25"/>
      <c r="D8" s="73">
        <f t="shared" ref="D8:D24" si="0">J8</f>
        <v>0</v>
      </c>
      <c r="E8" s="18"/>
      <c r="F8" s="74"/>
      <c r="M8" s="47">
        <f t="shared" ref="M8:M71" si="1">D8/$M$1</f>
        <v>0</v>
      </c>
    </row>
    <row r="9" spans="1:13">
      <c r="A9" s="16">
        <v>1.2</v>
      </c>
      <c r="B9" s="26" t="s">
        <v>286</v>
      </c>
      <c r="C9" s="25"/>
      <c r="D9" s="73">
        <f t="shared" si="0"/>
        <v>0</v>
      </c>
      <c r="E9" s="71"/>
      <c r="F9" s="39"/>
      <c r="I9" s="47">
        <f t="shared" ref="I9:I107" si="2">H9*$I$3</f>
        <v>0</v>
      </c>
      <c r="J9" s="47">
        <f t="shared" ref="J9:J107" si="3">SUM(H9:I9)</f>
        <v>0</v>
      </c>
      <c r="M9" s="47">
        <f t="shared" si="1"/>
        <v>0</v>
      </c>
    </row>
    <row r="10" spans="1:13" ht="8.4499999999999993" customHeight="1">
      <c r="A10" s="16"/>
      <c r="B10" s="17"/>
      <c r="C10" s="25"/>
      <c r="D10" s="73">
        <f t="shared" si="0"/>
        <v>0</v>
      </c>
      <c r="E10" s="18"/>
      <c r="F10" s="74"/>
      <c r="M10" s="47">
        <f t="shared" si="1"/>
        <v>0</v>
      </c>
    </row>
    <row r="11" spans="1:13">
      <c r="A11" s="16">
        <v>1.3</v>
      </c>
      <c r="B11" s="26" t="s">
        <v>287</v>
      </c>
      <c r="C11" s="25" t="s">
        <v>60</v>
      </c>
      <c r="D11" s="73">
        <f t="shared" si="0"/>
        <v>159775.158</v>
      </c>
      <c r="E11" s="71"/>
      <c r="F11" s="39"/>
      <c r="H11" s="47">
        <f>51519.92+87415</f>
        <v>138934.91999999998</v>
      </c>
      <c r="I11" s="47">
        <f t="shared" si="2"/>
        <v>20840.237999999998</v>
      </c>
      <c r="J11" s="47">
        <f t="shared" si="3"/>
        <v>159775.158</v>
      </c>
      <c r="M11" s="47">
        <f t="shared" si="1"/>
        <v>30.725991923076922</v>
      </c>
    </row>
    <row r="12" spans="1:13" ht="8.4499999999999993" customHeight="1">
      <c r="A12" s="16"/>
      <c r="B12" s="17"/>
      <c r="C12" s="25"/>
      <c r="D12" s="73">
        <f t="shared" si="0"/>
        <v>0</v>
      </c>
      <c r="E12" s="18"/>
      <c r="F12" s="74"/>
      <c r="M12" s="47">
        <f t="shared" si="1"/>
        <v>0</v>
      </c>
    </row>
    <row r="13" spans="1:13">
      <c r="A13" s="16">
        <v>1.3</v>
      </c>
      <c r="B13" s="26" t="s">
        <v>804</v>
      </c>
      <c r="C13" s="25" t="s">
        <v>60</v>
      </c>
      <c r="D13" s="73">
        <f t="shared" si="0"/>
        <v>82671.637000000002</v>
      </c>
      <c r="E13" s="71"/>
      <c r="F13" s="39"/>
      <c r="H13" s="47">
        <v>71888.38</v>
      </c>
      <c r="I13" s="47">
        <f t="shared" si="2"/>
        <v>10783.257</v>
      </c>
      <c r="J13" s="47">
        <f t="shared" si="3"/>
        <v>82671.637000000002</v>
      </c>
      <c r="M13" s="47">
        <f t="shared" si="1"/>
        <v>15.898391730769232</v>
      </c>
    </row>
    <row r="14" spans="1:13" ht="8.4499999999999993" customHeight="1">
      <c r="A14" s="16"/>
      <c r="B14" s="17"/>
      <c r="C14" s="25"/>
      <c r="D14" s="73">
        <f t="shared" si="0"/>
        <v>0</v>
      </c>
      <c r="E14" s="18"/>
      <c r="F14" s="74"/>
      <c r="M14" s="47">
        <f t="shared" si="1"/>
        <v>0</v>
      </c>
    </row>
    <row r="15" spans="1:13">
      <c r="A15" s="16">
        <v>1.4</v>
      </c>
      <c r="B15" s="17" t="s">
        <v>289</v>
      </c>
      <c r="C15" s="25" t="s">
        <v>60</v>
      </c>
      <c r="D15" s="73">
        <f t="shared" si="0"/>
        <v>0</v>
      </c>
      <c r="E15" s="71"/>
      <c r="F15" s="39"/>
      <c r="I15" s="47">
        <f t="shared" si="2"/>
        <v>0</v>
      </c>
      <c r="J15" s="47">
        <f t="shared" si="3"/>
        <v>0</v>
      </c>
      <c r="M15" s="47">
        <f t="shared" si="1"/>
        <v>0</v>
      </c>
    </row>
    <row r="16" spans="1:13" ht="8.4499999999999993" customHeight="1">
      <c r="A16" s="16"/>
      <c r="B16" s="17"/>
      <c r="C16" s="25"/>
      <c r="D16" s="73">
        <f t="shared" si="0"/>
        <v>0</v>
      </c>
      <c r="E16" s="18"/>
      <c r="F16" s="74"/>
      <c r="M16" s="47">
        <f t="shared" si="1"/>
        <v>0</v>
      </c>
    </row>
    <row r="17" spans="1:13">
      <c r="A17" s="16">
        <v>1.5</v>
      </c>
      <c r="B17" s="17" t="s">
        <v>291</v>
      </c>
      <c r="C17" s="25" t="s">
        <v>60</v>
      </c>
      <c r="D17" s="73">
        <f t="shared" si="0"/>
        <v>17733</v>
      </c>
      <c r="E17" s="71"/>
      <c r="F17" s="39"/>
      <c r="H17" s="47">
        <v>15420</v>
      </c>
      <c r="I17" s="47">
        <f t="shared" si="2"/>
        <v>2313</v>
      </c>
      <c r="J17" s="47">
        <f t="shared" si="3"/>
        <v>17733</v>
      </c>
      <c r="M17" s="47">
        <f t="shared" si="1"/>
        <v>3.4101923076923075</v>
      </c>
    </row>
    <row r="18" spans="1:13" ht="8.4499999999999993" customHeight="1">
      <c r="A18" s="16"/>
      <c r="B18" s="17"/>
      <c r="C18" s="25"/>
      <c r="D18" s="73">
        <f t="shared" si="0"/>
        <v>0</v>
      </c>
      <c r="E18" s="18"/>
      <c r="F18" s="74"/>
      <c r="M18" s="47">
        <f t="shared" si="1"/>
        <v>0</v>
      </c>
    </row>
    <row r="19" spans="1:13">
      <c r="A19" s="16">
        <v>1.6</v>
      </c>
      <c r="B19" s="17" t="s">
        <v>292</v>
      </c>
      <c r="C19" s="25"/>
      <c r="D19" s="73">
        <f t="shared" si="0"/>
        <v>0</v>
      </c>
      <c r="E19" s="71"/>
      <c r="F19" s="39"/>
      <c r="I19" s="47">
        <f t="shared" si="2"/>
        <v>0</v>
      </c>
      <c r="J19" s="47">
        <f t="shared" si="3"/>
        <v>0</v>
      </c>
      <c r="M19" s="47">
        <f t="shared" si="1"/>
        <v>0</v>
      </c>
    </row>
    <row r="20" spans="1:13" ht="14.1" customHeight="1">
      <c r="A20" s="16"/>
      <c r="B20" s="17" t="s">
        <v>293</v>
      </c>
      <c r="C20" s="25" t="s">
        <v>60</v>
      </c>
      <c r="D20" s="73">
        <f t="shared" si="0"/>
        <v>0</v>
      </c>
      <c r="E20" s="71"/>
      <c r="F20" s="39"/>
      <c r="I20" s="47">
        <f t="shared" si="2"/>
        <v>0</v>
      </c>
      <c r="J20" s="47">
        <f t="shared" si="3"/>
        <v>0</v>
      </c>
      <c r="M20" s="47">
        <f t="shared" si="1"/>
        <v>0</v>
      </c>
    </row>
    <row r="21" spans="1:13" ht="14.1" customHeight="1">
      <c r="A21" s="16"/>
      <c r="B21" s="17" t="s">
        <v>803</v>
      </c>
      <c r="C21" s="25" t="s">
        <v>60</v>
      </c>
      <c r="D21" s="73">
        <f t="shared" si="0"/>
        <v>270.25</v>
      </c>
      <c r="E21" s="71"/>
      <c r="F21" s="39"/>
      <c r="H21" s="47">
        <v>235</v>
      </c>
      <c r="I21" s="47">
        <f t="shared" si="2"/>
        <v>35.25</v>
      </c>
      <c r="J21" s="47">
        <f t="shared" si="3"/>
        <v>270.25</v>
      </c>
      <c r="M21" s="47">
        <f t="shared" si="1"/>
        <v>5.1971153846153847E-2</v>
      </c>
    </row>
    <row r="22" spans="1:13" ht="14.1" customHeight="1">
      <c r="A22" s="16"/>
      <c r="B22" s="17" t="s">
        <v>848</v>
      </c>
      <c r="C22" s="25" t="s">
        <v>60</v>
      </c>
      <c r="D22" s="73">
        <f t="shared" si="0"/>
        <v>0</v>
      </c>
      <c r="E22" s="71"/>
      <c r="F22" s="39"/>
      <c r="I22" s="47">
        <f t="shared" si="2"/>
        <v>0</v>
      </c>
      <c r="J22" s="47">
        <f t="shared" si="3"/>
        <v>0</v>
      </c>
      <c r="K22" s="47" t="s">
        <v>908</v>
      </c>
      <c r="M22" s="47">
        <f t="shared" si="1"/>
        <v>0</v>
      </c>
    </row>
    <row r="23" spans="1:13" ht="14.1" customHeight="1">
      <c r="A23" s="16"/>
      <c r="B23" s="17"/>
      <c r="C23" s="25" t="s">
        <v>60</v>
      </c>
      <c r="D23" s="73">
        <f t="shared" si="0"/>
        <v>0</v>
      </c>
      <c r="E23" s="71"/>
      <c r="F23" s="39"/>
      <c r="I23" s="47">
        <f t="shared" si="2"/>
        <v>0</v>
      </c>
      <c r="J23" s="47">
        <f t="shared" si="3"/>
        <v>0</v>
      </c>
      <c r="M23" s="47">
        <f t="shared" si="1"/>
        <v>0</v>
      </c>
    </row>
    <row r="24" spans="1:13" ht="14.1" customHeight="1">
      <c r="A24" s="16"/>
      <c r="B24" s="17"/>
      <c r="C24" s="25" t="s">
        <v>60</v>
      </c>
      <c r="D24" s="73">
        <f t="shared" si="0"/>
        <v>0</v>
      </c>
      <c r="E24" s="71"/>
      <c r="F24" s="39"/>
      <c r="I24" s="47">
        <f t="shared" si="2"/>
        <v>0</v>
      </c>
      <c r="J24" s="47">
        <f t="shared" si="3"/>
        <v>0</v>
      </c>
      <c r="M24" s="47">
        <f t="shared" si="1"/>
        <v>0</v>
      </c>
    </row>
    <row r="25" spans="1:13" ht="14.1" customHeight="1">
      <c r="A25" s="16"/>
      <c r="B25" s="17"/>
      <c r="C25" s="25"/>
      <c r="D25" s="39"/>
      <c r="E25" s="71"/>
      <c r="F25" s="39"/>
      <c r="I25" s="47">
        <f t="shared" si="2"/>
        <v>0</v>
      </c>
      <c r="J25" s="47">
        <f t="shared" si="3"/>
        <v>0</v>
      </c>
      <c r="M25" s="47">
        <f t="shared" si="1"/>
        <v>0</v>
      </c>
    </row>
    <row r="26" spans="1:13" ht="14.1" customHeight="1">
      <c r="A26" s="75"/>
      <c r="B26" s="76"/>
      <c r="C26" s="77"/>
      <c r="D26" s="78" t="s">
        <v>294</v>
      </c>
      <c r="E26" s="79" t="s">
        <v>60</v>
      </c>
      <c r="F26" s="78">
        <f>SUM(D5:D24)</f>
        <v>266661.908</v>
      </c>
      <c r="I26" s="47">
        <f t="shared" si="2"/>
        <v>0</v>
      </c>
      <c r="J26" s="47">
        <f t="shared" si="3"/>
        <v>0</v>
      </c>
      <c r="M26" s="47" t="e">
        <f t="shared" si="1"/>
        <v>#VALUE!</v>
      </c>
    </row>
    <row r="27" spans="1:13" ht="14.1" customHeight="1">
      <c r="A27" s="16"/>
      <c r="B27" s="17"/>
      <c r="C27" s="25"/>
      <c r="D27" s="39"/>
      <c r="E27" s="71"/>
      <c r="F27" s="70"/>
      <c r="I27" s="47">
        <f t="shared" si="2"/>
        <v>0</v>
      </c>
      <c r="J27" s="47">
        <f t="shared" si="3"/>
        <v>0</v>
      </c>
      <c r="M27" s="47">
        <f t="shared" si="1"/>
        <v>0</v>
      </c>
    </row>
    <row r="28" spans="1:13" ht="14.1" customHeight="1">
      <c r="A28" s="19">
        <v>2</v>
      </c>
      <c r="B28" s="72" t="s">
        <v>295</v>
      </c>
      <c r="C28" s="25"/>
      <c r="D28" s="39"/>
      <c r="E28" s="18"/>
      <c r="F28" s="74"/>
      <c r="I28" s="47">
        <f t="shared" si="2"/>
        <v>0</v>
      </c>
      <c r="J28" s="47">
        <f t="shared" si="3"/>
        <v>0</v>
      </c>
      <c r="M28" s="47">
        <f t="shared" si="1"/>
        <v>0</v>
      </c>
    </row>
    <row r="29" spans="1:13" ht="18" customHeight="1">
      <c r="A29" s="16"/>
      <c r="B29" s="17"/>
      <c r="C29" s="25"/>
      <c r="D29" s="39"/>
      <c r="E29" s="18"/>
      <c r="F29" s="74"/>
      <c r="I29" s="47">
        <f t="shared" si="2"/>
        <v>0</v>
      </c>
      <c r="J29" s="47">
        <f t="shared" si="3"/>
        <v>0</v>
      </c>
      <c r="M29" s="47">
        <f t="shared" si="1"/>
        <v>0</v>
      </c>
    </row>
    <row r="30" spans="1:13" ht="14.1" customHeight="1">
      <c r="A30" s="16">
        <v>2.1</v>
      </c>
      <c r="B30" s="17" t="s">
        <v>296</v>
      </c>
      <c r="C30" s="25"/>
      <c r="D30" s="73"/>
      <c r="E30" s="18"/>
      <c r="F30" s="74"/>
      <c r="I30" s="47">
        <f t="shared" si="2"/>
        <v>0</v>
      </c>
      <c r="J30" s="47">
        <f t="shared" si="3"/>
        <v>0</v>
      </c>
      <c r="M30" s="47">
        <f t="shared" si="1"/>
        <v>0</v>
      </c>
    </row>
    <row r="31" spans="1:13" ht="8.4499999999999993" customHeight="1">
      <c r="A31" s="16"/>
      <c r="B31" s="17"/>
      <c r="C31" s="25"/>
      <c r="D31" s="39"/>
      <c r="E31" s="18"/>
      <c r="F31" s="74"/>
      <c r="M31" s="47">
        <f t="shared" si="1"/>
        <v>0</v>
      </c>
    </row>
    <row r="32" spans="1:13" ht="14.1" customHeight="1">
      <c r="A32" s="16"/>
      <c r="B32" s="17" t="s">
        <v>766</v>
      </c>
      <c r="C32" s="25" t="s">
        <v>60</v>
      </c>
      <c r="D32" s="73">
        <f>J32</f>
        <v>0</v>
      </c>
      <c r="E32" s="18"/>
      <c r="F32" s="74"/>
      <c r="I32" s="47">
        <f t="shared" si="2"/>
        <v>0</v>
      </c>
      <c r="J32" s="47">
        <f t="shared" si="3"/>
        <v>0</v>
      </c>
      <c r="M32" s="47">
        <f t="shared" si="1"/>
        <v>0</v>
      </c>
    </row>
    <row r="33" spans="1:13" ht="14.1" customHeight="1">
      <c r="A33" s="25" t="s">
        <v>297</v>
      </c>
      <c r="B33" s="80" t="s">
        <v>757</v>
      </c>
      <c r="C33" s="25" t="s">
        <v>60</v>
      </c>
      <c r="D33" s="73">
        <f t="shared" ref="D33:D96" si="4">J33</f>
        <v>4947.116</v>
      </c>
      <c r="E33" s="18"/>
      <c r="F33" s="74"/>
      <c r="H33" s="47">
        <f>2354.24+1498.15+449.45</f>
        <v>4301.84</v>
      </c>
      <c r="I33" s="47">
        <f t="shared" si="2"/>
        <v>645.27599999999995</v>
      </c>
      <c r="J33" s="47">
        <f t="shared" si="3"/>
        <v>4947.116</v>
      </c>
      <c r="M33" s="47">
        <f t="shared" si="1"/>
        <v>0.95136846153846155</v>
      </c>
    </row>
    <row r="34" spans="1:13" ht="14.1" customHeight="1">
      <c r="A34" s="25" t="s">
        <v>298</v>
      </c>
      <c r="B34" s="80" t="s">
        <v>758</v>
      </c>
      <c r="C34" s="25" t="s">
        <v>60</v>
      </c>
      <c r="D34" s="73">
        <f t="shared" si="4"/>
        <v>12812.794</v>
      </c>
      <c r="E34" s="18"/>
      <c r="F34" s="74"/>
      <c r="H34" s="47">
        <v>11141.56</v>
      </c>
      <c r="I34" s="47">
        <f t="shared" si="2"/>
        <v>1671.2339999999999</v>
      </c>
      <c r="J34" s="47">
        <f t="shared" si="3"/>
        <v>12812.794</v>
      </c>
      <c r="M34" s="47">
        <f t="shared" si="1"/>
        <v>2.4639988461538462</v>
      </c>
    </row>
    <row r="35" spans="1:13" ht="14.1" customHeight="1">
      <c r="A35" s="25" t="s">
        <v>299</v>
      </c>
      <c r="B35" s="80" t="s">
        <v>759</v>
      </c>
      <c r="C35" s="25" t="s">
        <v>60</v>
      </c>
      <c r="D35" s="73">
        <f t="shared" si="4"/>
        <v>5954.4125000000004</v>
      </c>
      <c r="E35" s="18"/>
      <c r="F35" s="74"/>
      <c r="H35" s="47">
        <v>5177.75</v>
      </c>
      <c r="I35" s="47">
        <f t="shared" si="2"/>
        <v>776.66250000000002</v>
      </c>
      <c r="J35" s="47">
        <f t="shared" si="3"/>
        <v>5954.4125000000004</v>
      </c>
      <c r="M35" s="47">
        <f t="shared" si="1"/>
        <v>1.145079326923077</v>
      </c>
    </row>
    <row r="36" spans="1:13" ht="14.1" customHeight="1">
      <c r="A36" s="25" t="s">
        <v>761</v>
      </c>
      <c r="B36" s="80" t="s">
        <v>760</v>
      </c>
      <c r="C36" s="25" t="s">
        <v>60</v>
      </c>
      <c r="D36" s="73">
        <f t="shared" si="4"/>
        <v>301.70250000000004</v>
      </c>
      <c r="E36" s="18"/>
      <c r="F36" s="74"/>
      <c r="H36" s="47">
        <v>262.35000000000002</v>
      </c>
      <c r="I36" s="47">
        <f t="shared" si="2"/>
        <v>39.352499999999999</v>
      </c>
      <c r="J36" s="47">
        <f t="shared" si="3"/>
        <v>301.70250000000004</v>
      </c>
      <c r="M36" s="47">
        <f t="shared" si="1"/>
        <v>5.8019711538461548E-2</v>
      </c>
    </row>
    <row r="37" spans="1:13" ht="14.1" customHeight="1">
      <c r="A37" s="25" t="s">
        <v>762</v>
      </c>
      <c r="B37" s="80" t="s">
        <v>765</v>
      </c>
      <c r="C37" s="25" t="s">
        <v>60</v>
      </c>
      <c r="D37" s="73">
        <f t="shared" si="4"/>
        <v>1207.5</v>
      </c>
      <c r="E37" s="18"/>
      <c r="F37" s="74"/>
      <c r="H37" s="47">
        <f>175*6</f>
        <v>1050</v>
      </c>
      <c r="I37" s="47">
        <f t="shared" si="2"/>
        <v>157.5</v>
      </c>
      <c r="J37" s="47">
        <f t="shared" si="3"/>
        <v>1207.5</v>
      </c>
      <c r="M37" s="47">
        <f t="shared" si="1"/>
        <v>0.23221153846153847</v>
      </c>
    </row>
    <row r="38" spans="1:13" ht="14.1" customHeight="1">
      <c r="A38" s="25"/>
      <c r="B38" s="17" t="s">
        <v>767</v>
      </c>
      <c r="C38" s="25"/>
      <c r="D38" s="73">
        <f t="shared" si="4"/>
        <v>0</v>
      </c>
      <c r="E38" s="18"/>
      <c r="F38" s="74"/>
      <c r="M38" s="47">
        <f t="shared" si="1"/>
        <v>0</v>
      </c>
    </row>
    <row r="39" spans="1:13" ht="14.1" customHeight="1">
      <c r="A39" s="25" t="s">
        <v>763</v>
      </c>
      <c r="B39" s="80" t="s">
        <v>757</v>
      </c>
      <c r="C39" s="25" t="s">
        <v>60</v>
      </c>
      <c r="D39" s="73">
        <f t="shared" si="4"/>
        <v>13607.766</v>
      </c>
      <c r="E39" s="18"/>
      <c r="F39" s="74"/>
      <c r="H39" s="47">
        <v>11832.84</v>
      </c>
      <c r="I39" s="47">
        <f t="shared" si="2"/>
        <v>1774.9259999999999</v>
      </c>
      <c r="J39" s="47">
        <f t="shared" si="3"/>
        <v>13607.766</v>
      </c>
      <c r="M39" s="47">
        <f t="shared" si="1"/>
        <v>2.6168780769230771</v>
      </c>
    </row>
    <row r="40" spans="1:13" ht="14.1" customHeight="1">
      <c r="A40" s="25" t="s">
        <v>764</v>
      </c>
      <c r="B40" s="80" t="s">
        <v>758</v>
      </c>
      <c r="C40" s="25" t="s">
        <v>60</v>
      </c>
      <c r="D40" s="73">
        <f t="shared" si="4"/>
        <v>22969.823999999997</v>
      </c>
      <c r="E40" s="18"/>
      <c r="F40" s="74"/>
      <c r="H40" s="47">
        <v>19973.759999999998</v>
      </c>
      <c r="I40" s="47">
        <f t="shared" ref="I40:I50" si="5">H40*$I$3</f>
        <v>2996.0639999999999</v>
      </c>
      <c r="J40" s="47">
        <f t="shared" ref="J40:J50" si="6">SUM(H40:I40)</f>
        <v>22969.823999999997</v>
      </c>
      <c r="M40" s="47">
        <f t="shared" si="1"/>
        <v>4.4172738461538454</v>
      </c>
    </row>
    <row r="41" spans="1:13" ht="14.1" customHeight="1">
      <c r="A41" s="25" t="s">
        <v>775</v>
      </c>
      <c r="B41" s="80" t="s">
        <v>759</v>
      </c>
      <c r="C41" s="25" t="s">
        <v>60</v>
      </c>
      <c r="D41" s="73">
        <f t="shared" si="4"/>
        <v>14826.0875</v>
      </c>
      <c r="E41" s="18"/>
      <c r="F41" s="74"/>
      <c r="H41" s="47">
        <v>12892.25</v>
      </c>
      <c r="I41" s="47">
        <f t="shared" si="5"/>
        <v>1933.8374999999999</v>
      </c>
      <c r="J41" s="47">
        <f t="shared" si="6"/>
        <v>14826.0875</v>
      </c>
      <c r="M41" s="47">
        <f t="shared" si="1"/>
        <v>2.8511706730769228</v>
      </c>
    </row>
    <row r="42" spans="1:13" ht="14.1" customHeight="1">
      <c r="A42" s="25" t="s">
        <v>776</v>
      </c>
      <c r="B42" s="80" t="s">
        <v>760</v>
      </c>
      <c r="C42" s="25" t="s">
        <v>60</v>
      </c>
      <c r="D42" s="73">
        <f t="shared" si="4"/>
        <v>1449.0574999999999</v>
      </c>
      <c r="E42" s="18"/>
      <c r="F42" s="74"/>
      <c r="H42" s="47">
        <v>1260.05</v>
      </c>
      <c r="I42" s="47">
        <f t="shared" si="5"/>
        <v>189.00749999999999</v>
      </c>
      <c r="J42" s="47">
        <f t="shared" si="6"/>
        <v>1449.0574999999999</v>
      </c>
      <c r="M42" s="47">
        <f t="shared" si="1"/>
        <v>0.27866490384615383</v>
      </c>
    </row>
    <row r="43" spans="1:13" ht="14.1" customHeight="1">
      <c r="A43" s="25" t="s">
        <v>777</v>
      </c>
      <c r="B43" s="80" t="s">
        <v>765</v>
      </c>
      <c r="C43" s="25" t="s">
        <v>60</v>
      </c>
      <c r="D43" s="73">
        <f t="shared" si="4"/>
        <v>1207.5</v>
      </c>
      <c r="E43" s="18"/>
      <c r="F43" s="74"/>
      <c r="H43" s="47">
        <f>175*6</f>
        <v>1050</v>
      </c>
      <c r="I43" s="47">
        <f t="shared" si="5"/>
        <v>157.5</v>
      </c>
      <c r="J43" s="47">
        <f t="shared" si="6"/>
        <v>1207.5</v>
      </c>
      <c r="M43" s="47">
        <f t="shared" si="1"/>
        <v>0.23221153846153847</v>
      </c>
    </row>
    <row r="44" spans="1:13" ht="14.1" customHeight="1">
      <c r="A44" s="25" t="s">
        <v>778</v>
      </c>
      <c r="B44" s="80" t="s">
        <v>768</v>
      </c>
      <c r="C44" s="25" t="s">
        <v>60</v>
      </c>
      <c r="D44" s="73">
        <f t="shared" si="4"/>
        <v>1225.7850000000001</v>
      </c>
      <c r="E44" s="18"/>
      <c r="F44" s="74"/>
      <c r="H44" s="47">
        <v>1065.9000000000001</v>
      </c>
      <c r="I44" s="47">
        <f t="shared" si="5"/>
        <v>159.88500000000002</v>
      </c>
      <c r="J44" s="47">
        <f t="shared" si="6"/>
        <v>1225.7850000000001</v>
      </c>
      <c r="M44" s="47">
        <f t="shared" si="1"/>
        <v>0.23572788461538463</v>
      </c>
    </row>
    <row r="45" spans="1:13" ht="14.1" customHeight="1">
      <c r="A45" s="25" t="s">
        <v>779</v>
      </c>
      <c r="B45" s="80" t="s">
        <v>769</v>
      </c>
      <c r="C45" s="25" t="s">
        <v>60</v>
      </c>
      <c r="D45" s="73">
        <f t="shared" si="4"/>
        <v>2213.6120000000001</v>
      </c>
      <c r="E45" s="18"/>
      <c r="F45" s="74"/>
      <c r="H45" s="47">
        <v>1924.88</v>
      </c>
      <c r="I45" s="47">
        <f t="shared" si="5"/>
        <v>288.73200000000003</v>
      </c>
      <c r="J45" s="47">
        <f t="shared" si="6"/>
        <v>2213.6120000000001</v>
      </c>
      <c r="M45" s="47">
        <f t="shared" si="1"/>
        <v>0.42569461538461539</v>
      </c>
    </row>
    <row r="46" spans="1:13" ht="14.1" customHeight="1">
      <c r="A46" s="25"/>
      <c r="B46" s="80" t="s">
        <v>770</v>
      </c>
      <c r="C46" s="25"/>
      <c r="D46" s="73">
        <f t="shared" si="4"/>
        <v>0</v>
      </c>
      <c r="E46" s="18"/>
      <c r="F46" s="74"/>
      <c r="M46" s="47">
        <f t="shared" si="1"/>
        <v>0</v>
      </c>
    </row>
    <row r="47" spans="1:13" ht="14.1" customHeight="1">
      <c r="A47" s="25" t="s">
        <v>779</v>
      </c>
      <c r="B47" s="80" t="s">
        <v>757</v>
      </c>
      <c r="C47" s="25" t="s">
        <v>60</v>
      </c>
      <c r="D47" s="73">
        <f t="shared" si="4"/>
        <v>13607.766</v>
      </c>
      <c r="E47" s="18"/>
      <c r="F47" s="74"/>
      <c r="H47" s="47">
        <v>11832.84</v>
      </c>
      <c r="I47" s="47">
        <f t="shared" si="5"/>
        <v>1774.9259999999999</v>
      </c>
      <c r="J47" s="47">
        <f t="shared" si="6"/>
        <v>13607.766</v>
      </c>
      <c r="M47" s="47">
        <f t="shared" si="1"/>
        <v>2.6168780769230771</v>
      </c>
    </row>
    <row r="48" spans="1:13" ht="14.1" customHeight="1">
      <c r="A48" s="25" t="s">
        <v>780</v>
      </c>
      <c r="B48" s="80" t="s">
        <v>758</v>
      </c>
      <c r="C48" s="25" t="s">
        <v>60</v>
      </c>
      <c r="D48" s="73">
        <f t="shared" si="4"/>
        <v>22969.823999999997</v>
      </c>
      <c r="E48" s="18"/>
      <c r="F48" s="74"/>
      <c r="H48" s="47">
        <v>19973.759999999998</v>
      </c>
      <c r="I48" s="47">
        <f t="shared" si="5"/>
        <v>2996.0639999999999</v>
      </c>
      <c r="J48" s="47">
        <f t="shared" si="6"/>
        <v>22969.823999999997</v>
      </c>
      <c r="M48" s="47">
        <f t="shared" si="1"/>
        <v>4.4172738461538454</v>
      </c>
    </row>
    <row r="49" spans="1:13" ht="14.1" customHeight="1">
      <c r="A49" s="25" t="s">
        <v>781</v>
      </c>
      <c r="B49" s="80" t="s">
        <v>759</v>
      </c>
      <c r="C49" s="25" t="s">
        <v>60</v>
      </c>
      <c r="D49" s="73">
        <f t="shared" si="4"/>
        <v>14826.0875</v>
      </c>
      <c r="E49" s="18"/>
      <c r="F49" s="74"/>
      <c r="H49" s="47">
        <v>12892.25</v>
      </c>
      <c r="I49" s="47">
        <f t="shared" si="5"/>
        <v>1933.8374999999999</v>
      </c>
      <c r="J49" s="47">
        <f t="shared" si="6"/>
        <v>14826.0875</v>
      </c>
      <c r="M49" s="47">
        <f t="shared" si="1"/>
        <v>2.8511706730769228</v>
      </c>
    </row>
    <row r="50" spans="1:13" ht="14.1" customHeight="1">
      <c r="A50" s="25" t="s">
        <v>782</v>
      </c>
      <c r="B50" s="80" t="s">
        <v>760</v>
      </c>
      <c r="C50" s="25" t="s">
        <v>60</v>
      </c>
      <c r="D50" s="73">
        <f t="shared" si="4"/>
        <v>1449.0574999999999</v>
      </c>
      <c r="E50" s="18"/>
      <c r="F50" s="74"/>
      <c r="H50" s="47">
        <v>1260.05</v>
      </c>
      <c r="I50" s="47">
        <f t="shared" si="5"/>
        <v>189.00749999999999</v>
      </c>
      <c r="J50" s="47">
        <f t="shared" si="6"/>
        <v>1449.0574999999999</v>
      </c>
      <c r="M50" s="47">
        <f t="shared" si="1"/>
        <v>0.27866490384615383</v>
      </c>
    </row>
    <row r="51" spans="1:13" ht="14.1" customHeight="1">
      <c r="A51" s="25" t="s">
        <v>783</v>
      </c>
      <c r="B51" s="80" t="s">
        <v>765</v>
      </c>
      <c r="C51" s="25" t="s">
        <v>60</v>
      </c>
      <c r="D51" s="73">
        <f t="shared" si="4"/>
        <v>1207.5</v>
      </c>
      <c r="E51" s="18"/>
      <c r="F51" s="74"/>
      <c r="H51" s="47">
        <f>175*6</f>
        <v>1050</v>
      </c>
      <c r="I51" s="47">
        <f t="shared" ref="I51:I52" si="7">H51*$I$3</f>
        <v>157.5</v>
      </c>
      <c r="J51" s="47">
        <f t="shared" ref="J51:J52" si="8">SUM(H51:I51)</f>
        <v>1207.5</v>
      </c>
      <c r="M51" s="47">
        <f t="shared" si="1"/>
        <v>0.23221153846153847</v>
      </c>
    </row>
    <row r="52" spans="1:13" ht="14.1" customHeight="1">
      <c r="A52" s="25" t="s">
        <v>784</v>
      </c>
      <c r="B52" s="80" t="s">
        <v>769</v>
      </c>
      <c r="C52" s="25" t="s">
        <v>60</v>
      </c>
      <c r="D52" s="73">
        <f t="shared" si="4"/>
        <v>2213.6120000000001</v>
      </c>
      <c r="E52" s="18"/>
      <c r="F52" s="74"/>
      <c r="H52" s="47">
        <v>1924.88</v>
      </c>
      <c r="I52" s="47">
        <f t="shared" si="7"/>
        <v>288.73200000000003</v>
      </c>
      <c r="J52" s="47">
        <f t="shared" si="8"/>
        <v>2213.6120000000001</v>
      </c>
      <c r="M52" s="47">
        <f t="shared" si="1"/>
        <v>0.42569461538461539</v>
      </c>
    </row>
    <row r="53" spans="1:13" ht="14.1" customHeight="1">
      <c r="A53" s="25"/>
      <c r="B53" s="80" t="s">
        <v>771</v>
      </c>
      <c r="C53" s="25"/>
      <c r="D53" s="73">
        <f t="shared" si="4"/>
        <v>0</v>
      </c>
      <c r="E53" s="18"/>
      <c r="F53" s="74"/>
      <c r="M53" s="47">
        <f t="shared" si="1"/>
        <v>0</v>
      </c>
    </row>
    <row r="54" spans="1:13" ht="14.1" customHeight="1">
      <c r="A54" s="25" t="s">
        <v>785</v>
      </c>
      <c r="B54" s="80" t="s">
        <v>757</v>
      </c>
      <c r="C54" s="25" t="s">
        <v>60</v>
      </c>
      <c r="D54" s="73">
        <f t="shared" si="4"/>
        <v>13607.766</v>
      </c>
      <c r="E54" s="18"/>
      <c r="F54" s="74"/>
      <c r="H54" s="47">
        <v>11832.84</v>
      </c>
      <c r="I54" s="47">
        <f t="shared" ref="I54:I59" si="9">H54*$I$3</f>
        <v>1774.9259999999999</v>
      </c>
      <c r="J54" s="47">
        <f t="shared" ref="J54:J59" si="10">SUM(H54:I54)</f>
        <v>13607.766</v>
      </c>
      <c r="M54" s="47">
        <f t="shared" si="1"/>
        <v>2.6168780769230771</v>
      </c>
    </row>
    <row r="55" spans="1:13" ht="14.1" customHeight="1">
      <c r="A55" s="25" t="s">
        <v>786</v>
      </c>
      <c r="B55" s="80" t="s">
        <v>758</v>
      </c>
      <c r="C55" s="25" t="s">
        <v>60</v>
      </c>
      <c r="D55" s="73">
        <f t="shared" si="4"/>
        <v>22969.823999999997</v>
      </c>
      <c r="E55" s="18"/>
      <c r="F55" s="74"/>
      <c r="H55" s="47">
        <v>19973.759999999998</v>
      </c>
      <c r="I55" s="47">
        <f t="shared" si="9"/>
        <v>2996.0639999999999</v>
      </c>
      <c r="J55" s="47">
        <f t="shared" si="10"/>
        <v>22969.823999999997</v>
      </c>
      <c r="M55" s="47">
        <f t="shared" si="1"/>
        <v>4.4172738461538454</v>
      </c>
    </row>
    <row r="56" spans="1:13" ht="14.1" customHeight="1">
      <c r="A56" s="25" t="s">
        <v>787</v>
      </c>
      <c r="B56" s="80" t="s">
        <v>759</v>
      </c>
      <c r="C56" s="25" t="s">
        <v>60</v>
      </c>
      <c r="D56" s="73">
        <f t="shared" si="4"/>
        <v>14826.0875</v>
      </c>
      <c r="E56" s="18"/>
      <c r="F56" s="74"/>
      <c r="H56" s="47">
        <v>12892.25</v>
      </c>
      <c r="I56" s="47">
        <f t="shared" si="9"/>
        <v>1933.8374999999999</v>
      </c>
      <c r="J56" s="47">
        <f t="shared" si="10"/>
        <v>14826.0875</v>
      </c>
      <c r="M56" s="47">
        <f t="shared" si="1"/>
        <v>2.8511706730769228</v>
      </c>
    </row>
    <row r="57" spans="1:13" ht="14.1" customHeight="1">
      <c r="A57" s="25" t="s">
        <v>788</v>
      </c>
      <c r="B57" s="80" t="s">
        <v>760</v>
      </c>
      <c r="C57" s="25" t="s">
        <v>60</v>
      </c>
      <c r="D57" s="73">
        <f t="shared" si="4"/>
        <v>1449.0574999999999</v>
      </c>
      <c r="E57" s="18"/>
      <c r="F57" s="74"/>
      <c r="H57" s="47">
        <v>1260.05</v>
      </c>
      <c r="I57" s="47">
        <f t="shared" si="9"/>
        <v>189.00749999999999</v>
      </c>
      <c r="J57" s="47">
        <f t="shared" si="10"/>
        <v>1449.0574999999999</v>
      </c>
      <c r="M57" s="47">
        <f t="shared" si="1"/>
        <v>0.27866490384615383</v>
      </c>
    </row>
    <row r="58" spans="1:13" ht="14.1" customHeight="1">
      <c r="A58" s="25" t="s">
        <v>789</v>
      </c>
      <c r="B58" s="80" t="s">
        <v>765</v>
      </c>
      <c r="C58" s="25" t="s">
        <v>60</v>
      </c>
      <c r="D58" s="73">
        <f t="shared" si="4"/>
        <v>1207.5</v>
      </c>
      <c r="E58" s="18"/>
      <c r="F58" s="74"/>
      <c r="H58" s="47">
        <f>175*6</f>
        <v>1050</v>
      </c>
      <c r="I58" s="47">
        <f t="shared" si="9"/>
        <v>157.5</v>
      </c>
      <c r="J58" s="47">
        <f t="shared" si="10"/>
        <v>1207.5</v>
      </c>
      <c r="M58" s="47">
        <f t="shared" si="1"/>
        <v>0.23221153846153847</v>
      </c>
    </row>
    <row r="59" spans="1:13" ht="14.1" customHeight="1">
      <c r="A59" s="25" t="s">
        <v>790</v>
      </c>
      <c r="B59" s="80" t="s">
        <v>769</v>
      </c>
      <c r="C59" s="25" t="s">
        <v>60</v>
      </c>
      <c r="D59" s="73">
        <f t="shared" si="4"/>
        <v>2213.6120000000001</v>
      </c>
      <c r="E59" s="18"/>
      <c r="F59" s="74"/>
      <c r="H59" s="47">
        <v>1924.88</v>
      </c>
      <c r="I59" s="47">
        <f t="shared" si="9"/>
        <v>288.73200000000003</v>
      </c>
      <c r="J59" s="47">
        <f t="shared" si="10"/>
        <v>2213.6120000000001</v>
      </c>
      <c r="M59" s="47">
        <f t="shared" si="1"/>
        <v>0.42569461538461539</v>
      </c>
    </row>
    <row r="60" spans="1:13" ht="14.1" customHeight="1">
      <c r="A60" s="25"/>
      <c r="B60" s="80" t="s">
        <v>772</v>
      </c>
      <c r="C60" s="25"/>
      <c r="D60" s="73">
        <f t="shared" si="4"/>
        <v>0</v>
      </c>
      <c r="E60" s="18"/>
      <c r="F60" s="74"/>
      <c r="M60" s="47">
        <f t="shared" si="1"/>
        <v>0</v>
      </c>
    </row>
    <row r="61" spans="1:13" ht="14.1" customHeight="1">
      <c r="A61" s="25" t="s">
        <v>791</v>
      </c>
      <c r="B61" s="80" t="s">
        <v>757</v>
      </c>
      <c r="C61" s="25" t="s">
        <v>60</v>
      </c>
      <c r="D61" s="73">
        <f t="shared" si="4"/>
        <v>13607.766</v>
      </c>
      <c r="E61" s="18"/>
      <c r="F61" s="74"/>
      <c r="H61" s="47">
        <v>11832.84</v>
      </c>
      <c r="I61" s="47">
        <f t="shared" ref="I61:I71" si="11">H61*$I$3</f>
        <v>1774.9259999999999</v>
      </c>
      <c r="J61" s="47">
        <f t="shared" ref="J61:J71" si="12">SUM(H61:I61)</f>
        <v>13607.766</v>
      </c>
      <c r="M61" s="47">
        <f t="shared" si="1"/>
        <v>2.6168780769230771</v>
      </c>
    </row>
    <row r="62" spans="1:13" ht="14.1" customHeight="1">
      <c r="A62" s="25" t="s">
        <v>792</v>
      </c>
      <c r="B62" s="80" t="s">
        <v>758</v>
      </c>
      <c r="C62" s="25" t="s">
        <v>60</v>
      </c>
      <c r="D62" s="73">
        <f t="shared" si="4"/>
        <v>23314.019</v>
      </c>
      <c r="E62" s="18"/>
      <c r="F62" s="74"/>
      <c r="H62" s="47">
        <v>20273.060000000001</v>
      </c>
      <c r="I62" s="47">
        <f t="shared" si="11"/>
        <v>3040.9590000000003</v>
      </c>
      <c r="J62" s="47">
        <f t="shared" si="12"/>
        <v>23314.019</v>
      </c>
      <c r="M62" s="47">
        <f t="shared" si="1"/>
        <v>4.4834651923076922</v>
      </c>
    </row>
    <row r="63" spans="1:13" ht="14.1" customHeight="1">
      <c r="A63" s="25" t="s">
        <v>793</v>
      </c>
      <c r="B63" s="80" t="s">
        <v>759</v>
      </c>
      <c r="C63" s="25" t="s">
        <v>60</v>
      </c>
      <c r="D63" s="73">
        <f t="shared" si="4"/>
        <v>14826.0875</v>
      </c>
      <c r="E63" s="18"/>
      <c r="F63" s="74"/>
      <c r="H63" s="47">
        <v>12892.25</v>
      </c>
      <c r="I63" s="47">
        <f t="shared" si="11"/>
        <v>1933.8374999999999</v>
      </c>
      <c r="J63" s="47">
        <f t="shared" si="12"/>
        <v>14826.0875</v>
      </c>
      <c r="M63" s="47">
        <f t="shared" si="1"/>
        <v>2.8511706730769228</v>
      </c>
    </row>
    <row r="64" spans="1:13" ht="14.1" customHeight="1">
      <c r="A64" s="25" t="s">
        <v>794</v>
      </c>
      <c r="B64" s="80" t="s">
        <v>760</v>
      </c>
      <c r="C64" s="25" t="s">
        <v>60</v>
      </c>
      <c r="D64" s="73">
        <f t="shared" si="4"/>
        <v>1449.0574999999999</v>
      </c>
      <c r="E64" s="18"/>
      <c r="F64" s="74"/>
      <c r="H64" s="47">
        <v>1260.05</v>
      </c>
      <c r="I64" s="47">
        <f t="shared" si="11"/>
        <v>189.00749999999999</v>
      </c>
      <c r="J64" s="47">
        <f t="shared" si="12"/>
        <v>1449.0574999999999</v>
      </c>
      <c r="M64" s="47">
        <f t="shared" si="1"/>
        <v>0.27866490384615383</v>
      </c>
    </row>
    <row r="65" spans="1:13" ht="14.1" customHeight="1">
      <c r="A65" s="25" t="s">
        <v>795</v>
      </c>
      <c r="B65" s="80" t="s">
        <v>765</v>
      </c>
      <c r="C65" s="25" t="s">
        <v>60</v>
      </c>
      <c r="D65" s="73">
        <f t="shared" si="4"/>
        <v>1207.5</v>
      </c>
      <c r="E65" s="18"/>
      <c r="F65" s="74"/>
      <c r="H65" s="47">
        <f>175*6</f>
        <v>1050</v>
      </c>
      <c r="I65" s="47">
        <f t="shared" si="11"/>
        <v>157.5</v>
      </c>
      <c r="J65" s="47">
        <f t="shared" si="12"/>
        <v>1207.5</v>
      </c>
      <c r="M65" s="47">
        <f t="shared" si="1"/>
        <v>0.23221153846153847</v>
      </c>
    </row>
    <row r="66" spans="1:13" ht="14.1" customHeight="1">
      <c r="A66" s="25" t="s">
        <v>796</v>
      </c>
      <c r="B66" s="80" t="s">
        <v>769</v>
      </c>
      <c r="C66" s="25" t="s">
        <v>60</v>
      </c>
      <c r="D66" s="73">
        <f t="shared" si="4"/>
        <v>2213.6120000000001</v>
      </c>
      <c r="E66" s="18"/>
      <c r="F66" s="74"/>
      <c r="H66" s="47">
        <v>1924.88</v>
      </c>
      <c r="I66" s="47">
        <f t="shared" si="11"/>
        <v>288.73200000000003</v>
      </c>
      <c r="J66" s="47">
        <f t="shared" si="12"/>
        <v>2213.6120000000001</v>
      </c>
      <c r="M66" s="47">
        <f t="shared" si="1"/>
        <v>0.42569461538461539</v>
      </c>
    </row>
    <row r="67" spans="1:13" ht="14.1" customHeight="1">
      <c r="A67" s="25"/>
      <c r="B67" s="80" t="s">
        <v>773</v>
      </c>
      <c r="C67" s="25"/>
      <c r="D67" s="73">
        <f t="shared" si="4"/>
        <v>0</v>
      </c>
      <c r="E67" s="18"/>
      <c r="F67" s="74"/>
      <c r="M67" s="47">
        <f t="shared" si="1"/>
        <v>0</v>
      </c>
    </row>
    <row r="68" spans="1:13" ht="14.1" customHeight="1">
      <c r="A68" s="25" t="s">
        <v>797</v>
      </c>
      <c r="B68" s="80" t="s">
        <v>757</v>
      </c>
      <c r="C68" s="25" t="s">
        <v>60</v>
      </c>
      <c r="D68" s="73">
        <f t="shared" si="4"/>
        <v>9693.798499999999</v>
      </c>
      <c r="E68" s="18"/>
      <c r="F68" s="74"/>
      <c r="H68" s="47">
        <v>8429.39</v>
      </c>
      <c r="I68" s="47">
        <f t="shared" si="11"/>
        <v>1264.4084999999998</v>
      </c>
      <c r="J68" s="47">
        <f t="shared" si="12"/>
        <v>9693.798499999999</v>
      </c>
      <c r="M68" s="47">
        <f t="shared" si="1"/>
        <v>1.864192019230769</v>
      </c>
    </row>
    <row r="69" spans="1:13" ht="14.1" customHeight="1">
      <c r="A69" s="25" t="s">
        <v>798</v>
      </c>
      <c r="B69" s="80" t="s">
        <v>758</v>
      </c>
      <c r="C69" s="25" t="s">
        <v>60</v>
      </c>
      <c r="D69" s="73">
        <f t="shared" si="4"/>
        <v>21572.482</v>
      </c>
      <c r="E69" s="18"/>
      <c r="F69" s="74"/>
      <c r="H69" s="47">
        <v>18758.68</v>
      </c>
      <c r="I69" s="47">
        <f t="shared" si="11"/>
        <v>2813.8020000000001</v>
      </c>
      <c r="J69" s="47">
        <f t="shared" si="12"/>
        <v>21572.482</v>
      </c>
      <c r="M69" s="47">
        <f t="shared" si="1"/>
        <v>4.1485542307692311</v>
      </c>
    </row>
    <row r="70" spans="1:13" ht="14.1" customHeight="1">
      <c r="A70" s="25" t="s">
        <v>799</v>
      </c>
      <c r="B70" s="80" t="s">
        <v>759</v>
      </c>
      <c r="C70" s="25" t="s">
        <v>60</v>
      </c>
      <c r="D70" s="73">
        <f t="shared" si="4"/>
        <v>9630.9624999999996</v>
      </c>
      <c r="E70" s="18"/>
      <c r="F70" s="74"/>
      <c r="H70" s="47">
        <v>8374.75</v>
      </c>
      <c r="I70" s="47">
        <f t="shared" si="11"/>
        <v>1256.2124999999999</v>
      </c>
      <c r="J70" s="47">
        <f t="shared" si="12"/>
        <v>9630.9624999999996</v>
      </c>
      <c r="M70" s="47">
        <f t="shared" si="1"/>
        <v>1.8521081730769231</v>
      </c>
    </row>
    <row r="71" spans="1:13" ht="14.1" customHeight="1">
      <c r="A71" s="25" t="s">
        <v>800</v>
      </c>
      <c r="B71" s="80" t="s">
        <v>760</v>
      </c>
      <c r="C71" s="25" t="s">
        <v>60</v>
      </c>
      <c r="D71" s="73">
        <f t="shared" si="4"/>
        <v>2723.3150000000001</v>
      </c>
      <c r="E71" s="18"/>
      <c r="F71" s="74"/>
      <c r="H71" s="47">
        <v>2368.1</v>
      </c>
      <c r="I71" s="47">
        <f t="shared" si="11"/>
        <v>355.21499999999997</v>
      </c>
      <c r="J71" s="47">
        <f t="shared" si="12"/>
        <v>2723.3150000000001</v>
      </c>
      <c r="M71" s="47">
        <f t="shared" si="1"/>
        <v>0.52371442307692306</v>
      </c>
    </row>
    <row r="72" spans="1:13" ht="14.1" customHeight="1">
      <c r="A72" s="25" t="s">
        <v>801</v>
      </c>
      <c r="B72" s="80" t="s">
        <v>765</v>
      </c>
      <c r="C72" s="25" t="s">
        <v>60</v>
      </c>
      <c r="D72" s="73">
        <f t="shared" si="4"/>
        <v>1207.5</v>
      </c>
      <c r="E72" s="18"/>
      <c r="F72" s="74"/>
      <c r="H72" s="47">
        <f>175*6</f>
        <v>1050</v>
      </c>
      <c r="I72" s="47">
        <f t="shared" ref="I72:I73" si="13">H72*$I$3</f>
        <v>157.5</v>
      </c>
      <c r="J72" s="47">
        <f t="shared" ref="J72:J73" si="14">SUM(H72:I72)</f>
        <v>1207.5</v>
      </c>
      <c r="M72" s="47">
        <f t="shared" ref="M72:M135" si="15">D72/$M$1</f>
        <v>0.23221153846153847</v>
      </c>
    </row>
    <row r="73" spans="1:13" ht="14.1" customHeight="1">
      <c r="A73" s="25" t="s">
        <v>802</v>
      </c>
      <c r="B73" s="80" t="s">
        <v>769</v>
      </c>
      <c r="C73" s="25" t="s">
        <v>60</v>
      </c>
      <c r="D73" s="73">
        <f t="shared" si="4"/>
        <v>1286.8499999999999</v>
      </c>
      <c r="E73" s="18"/>
      <c r="F73" s="74"/>
      <c r="H73" s="47">
        <v>1119</v>
      </c>
      <c r="I73" s="47">
        <f t="shared" si="13"/>
        <v>167.85</v>
      </c>
      <c r="J73" s="47">
        <f t="shared" si="14"/>
        <v>1286.8499999999999</v>
      </c>
      <c r="M73" s="47">
        <f t="shared" si="15"/>
        <v>0.24747115384615384</v>
      </c>
    </row>
    <row r="74" spans="1:13">
      <c r="A74" s="16"/>
      <c r="B74" s="17"/>
      <c r="C74" s="25"/>
      <c r="D74" s="73">
        <f t="shared" si="4"/>
        <v>0</v>
      </c>
      <c r="E74" s="18"/>
      <c r="F74" s="74"/>
      <c r="I74" s="47">
        <f t="shared" si="2"/>
        <v>0</v>
      </c>
      <c r="J74" s="47">
        <f t="shared" si="3"/>
        <v>0</v>
      </c>
      <c r="M74" s="47">
        <f t="shared" si="15"/>
        <v>0</v>
      </c>
    </row>
    <row r="75" spans="1:13" ht="14.1" customHeight="1">
      <c r="A75" s="16">
        <v>2.2000000000000002</v>
      </c>
      <c r="B75" s="17" t="s">
        <v>300</v>
      </c>
      <c r="C75" s="25"/>
      <c r="D75" s="73">
        <f t="shared" si="4"/>
        <v>0</v>
      </c>
      <c r="E75" s="18"/>
      <c r="F75" s="74"/>
      <c r="I75" s="47">
        <f t="shared" si="2"/>
        <v>0</v>
      </c>
      <c r="J75" s="47">
        <f t="shared" si="3"/>
        <v>0</v>
      </c>
      <c r="M75" s="47">
        <f t="shared" si="15"/>
        <v>0</v>
      </c>
    </row>
    <row r="76" spans="1:13" ht="14.1" customHeight="1">
      <c r="A76" s="25" t="s">
        <v>301</v>
      </c>
      <c r="B76" s="17" t="s">
        <v>302</v>
      </c>
      <c r="C76" s="25" t="s">
        <v>60</v>
      </c>
      <c r="D76" s="73">
        <f t="shared" si="4"/>
        <v>0</v>
      </c>
      <c r="E76" s="18"/>
      <c r="F76" s="74"/>
      <c r="I76" s="47">
        <f t="shared" si="2"/>
        <v>0</v>
      </c>
      <c r="J76" s="47">
        <f t="shared" si="3"/>
        <v>0</v>
      </c>
      <c r="M76" s="47">
        <f t="shared" si="15"/>
        <v>0</v>
      </c>
    </row>
    <row r="77" spans="1:13" ht="14.1" customHeight="1">
      <c r="A77" s="25" t="s">
        <v>303</v>
      </c>
      <c r="B77" s="17" t="s">
        <v>304</v>
      </c>
      <c r="C77" s="25" t="s">
        <v>60</v>
      </c>
      <c r="D77" s="73">
        <f t="shared" si="4"/>
        <v>6520.5</v>
      </c>
      <c r="E77" s="18"/>
      <c r="F77" s="74"/>
      <c r="H77" s="47">
        <f>90*9*7</f>
        <v>5670</v>
      </c>
      <c r="I77" s="47">
        <f t="shared" si="2"/>
        <v>850.5</v>
      </c>
      <c r="J77" s="47">
        <f t="shared" si="3"/>
        <v>6520.5</v>
      </c>
      <c r="M77" s="47">
        <f t="shared" si="15"/>
        <v>1.2539423076923077</v>
      </c>
    </row>
    <row r="78" spans="1:13" ht="14.1" customHeight="1">
      <c r="A78" s="25" t="s">
        <v>305</v>
      </c>
      <c r="B78" s="17" t="s">
        <v>306</v>
      </c>
      <c r="C78" s="25" t="s">
        <v>60</v>
      </c>
      <c r="D78" s="73">
        <f t="shared" si="4"/>
        <v>0</v>
      </c>
      <c r="E78" s="18"/>
      <c r="F78" s="74"/>
      <c r="G78" s="47" t="s">
        <v>990</v>
      </c>
      <c r="I78" s="47">
        <f t="shared" si="2"/>
        <v>0</v>
      </c>
      <c r="J78" s="47">
        <f t="shared" si="3"/>
        <v>0</v>
      </c>
      <c r="M78" s="47">
        <f t="shared" si="15"/>
        <v>0</v>
      </c>
    </row>
    <row r="79" spans="1:13" ht="18" customHeight="1">
      <c r="A79" s="16"/>
      <c r="B79" s="17"/>
      <c r="C79" s="25"/>
      <c r="D79" s="73">
        <f t="shared" si="4"/>
        <v>0</v>
      </c>
      <c r="E79" s="18"/>
      <c r="F79" s="74"/>
      <c r="I79" s="47">
        <f t="shared" si="2"/>
        <v>0</v>
      </c>
      <c r="J79" s="47">
        <f t="shared" si="3"/>
        <v>0</v>
      </c>
      <c r="M79" s="47">
        <f t="shared" si="15"/>
        <v>0</v>
      </c>
    </row>
    <row r="80" spans="1:13" ht="14.1" customHeight="1">
      <c r="A80" s="16">
        <v>2.2999999999999998</v>
      </c>
      <c r="B80" s="17" t="s">
        <v>307</v>
      </c>
      <c r="C80" s="25"/>
      <c r="D80" s="73">
        <f t="shared" si="4"/>
        <v>0</v>
      </c>
      <c r="E80" s="18"/>
      <c r="F80" s="74"/>
      <c r="I80" s="47">
        <f t="shared" si="2"/>
        <v>0</v>
      </c>
      <c r="J80" s="47">
        <f t="shared" si="3"/>
        <v>0</v>
      </c>
      <c r="M80" s="47">
        <f t="shared" si="15"/>
        <v>0</v>
      </c>
    </row>
    <row r="81" spans="1:13" ht="8.4499999999999993" customHeight="1">
      <c r="A81" s="16"/>
      <c r="B81" s="17"/>
      <c r="C81" s="25"/>
      <c r="D81" s="73">
        <f t="shared" si="4"/>
        <v>0</v>
      </c>
      <c r="E81" s="18"/>
      <c r="F81" s="74"/>
      <c r="M81" s="47">
        <f t="shared" si="15"/>
        <v>0</v>
      </c>
    </row>
    <row r="82" spans="1:13" ht="14.1" customHeight="1">
      <c r="A82" s="25" t="s">
        <v>308</v>
      </c>
      <c r="B82" s="17" t="s">
        <v>309</v>
      </c>
      <c r="C82" s="25" t="s">
        <v>60</v>
      </c>
      <c r="D82" s="73">
        <f t="shared" si="4"/>
        <v>0</v>
      </c>
      <c r="E82" s="18"/>
      <c r="F82" s="74"/>
      <c r="G82" s="74" t="s">
        <v>989</v>
      </c>
      <c r="I82" s="47">
        <f t="shared" si="2"/>
        <v>0</v>
      </c>
      <c r="J82" s="47">
        <f t="shared" si="3"/>
        <v>0</v>
      </c>
      <c r="M82" s="47">
        <f t="shared" si="15"/>
        <v>0</v>
      </c>
    </row>
    <row r="83" spans="1:13" ht="14.1" customHeight="1">
      <c r="A83" s="25" t="s">
        <v>310</v>
      </c>
      <c r="B83" s="17" t="s">
        <v>311</v>
      </c>
      <c r="C83" s="25" t="s">
        <v>60</v>
      </c>
      <c r="D83" s="73">
        <f t="shared" si="4"/>
        <v>60568.2</v>
      </c>
      <c r="E83" s="18"/>
      <c r="F83" s="74"/>
      <c r="G83" s="74"/>
      <c r="H83" s="47">
        <v>52668</v>
      </c>
      <c r="I83" s="47">
        <f t="shared" si="2"/>
        <v>7900.2</v>
      </c>
      <c r="J83" s="47">
        <f t="shared" si="3"/>
        <v>60568.2</v>
      </c>
      <c r="M83" s="47">
        <f t="shared" si="15"/>
        <v>11.647730769230769</v>
      </c>
    </row>
    <row r="84" spans="1:13" ht="14.1" customHeight="1">
      <c r="A84" s="25" t="s">
        <v>312</v>
      </c>
      <c r="B84" s="17" t="s">
        <v>291</v>
      </c>
      <c r="C84" s="25"/>
      <c r="D84" s="73">
        <f t="shared" si="4"/>
        <v>0</v>
      </c>
      <c r="E84" s="18"/>
      <c r="F84" s="74"/>
      <c r="G84" s="74" t="s">
        <v>990</v>
      </c>
      <c r="I84" s="47">
        <f t="shared" si="2"/>
        <v>0</v>
      </c>
      <c r="J84" s="47">
        <f t="shared" si="3"/>
        <v>0</v>
      </c>
      <c r="M84" s="47">
        <f t="shared" si="15"/>
        <v>0</v>
      </c>
    </row>
    <row r="85" spans="1:13" ht="14.1" customHeight="1">
      <c r="A85" s="25" t="s">
        <v>313</v>
      </c>
      <c r="B85" s="80" t="s">
        <v>314</v>
      </c>
      <c r="C85" s="25" t="s">
        <v>60</v>
      </c>
      <c r="D85" s="73">
        <f t="shared" si="4"/>
        <v>0</v>
      </c>
      <c r="E85" s="18"/>
      <c r="F85" s="74"/>
      <c r="G85" s="74"/>
      <c r="I85" s="47">
        <f t="shared" si="2"/>
        <v>0</v>
      </c>
      <c r="J85" s="47">
        <f t="shared" si="3"/>
        <v>0</v>
      </c>
      <c r="M85" s="47">
        <f t="shared" si="15"/>
        <v>0</v>
      </c>
    </row>
    <row r="86" spans="1:13" ht="14.1" customHeight="1">
      <c r="A86" s="25" t="s">
        <v>315</v>
      </c>
      <c r="B86" s="80" t="s">
        <v>316</v>
      </c>
      <c r="C86" s="25" t="s">
        <v>60</v>
      </c>
      <c r="D86" s="73">
        <f t="shared" si="4"/>
        <v>6919.7684999999992</v>
      </c>
      <c r="E86" s="18"/>
      <c r="F86" s="74"/>
      <c r="G86" s="74"/>
      <c r="H86" s="47">
        <f>6017.19</f>
        <v>6017.19</v>
      </c>
      <c r="I86" s="47">
        <f t="shared" si="2"/>
        <v>902.57849999999996</v>
      </c>
      <c r="J86" s="47">
        <f t="shared" si="3"/>
        <v>6919.7684999999992</v>
      </c>
      <c r="M86" s="47">
        <f t="shared" si="15"/>
        <v>1.3307247115384613</v>
      </c>
    </row>
    <row r="87" spans="1:13" ht="14.1" customHeight="1">
      <c r="A87" s="25" t="s">
        <v>317</v>
      </c>
      <c r="B87" s="17" t="s">
        <v>318</v>
      </c>
      <c r="C87" s="25" t="s">
        <v>60</v>
      </c>
      <c r="D87" s="73">
        <f t="shared" si="4"/>
        <v>10746.75</v>
      </c>
      <c r="E87" s="18"/>
      <c r="F87" s="74"/>
      <c r="G87" s="74"/>
      <c r="H87" s="61">
        <f>6335+3010</f>
        <v>9345</v>
      </c>
      <c r="I87" s="47">
        <f t="shared" si="2"/>
        <v>1401.75</v>
      </c>
      <c r="J87" s="47">
        <f t="shared" si="3"/>
        <v>10746.75</v>
      </c>
      <c r="M87" s="47">
        <f t="shared" si="15"/>
        <v>2.0666826923076922</v>
      </c>
    </row>
    <row r="88" spans="1:13" ht="14.1" customHeight="1">
      <c r="A88" s="16"/>
      <c r="B88" s="80"/>
      <c r="C88" s="25"/>
      <c r="D88" s="73">
        <f t="shared" si="4"/>
        <v>0</v>
      </c>
      <c r="E88" s="18"/>
      <c r="F88" s="74"/>
      <c r="G88" s="74"/>
      <c r="I88" s="47">
        <f t="shared" si="2"/>
        <v>0</v>
      </c>
      <c r="J88" s="47">
        <f t="shared" si="3"/>
        <v>0</v>
      </c>
      <c r="M88" s="47">
        <f t="shared" si="15"/>
        <v>0</v>
      </c>
    </row>
    <row r="89" spans="1:13" ht="14.1" customHeight="1">
      <c r="A89" s="16">
        <v>2.4</v>
      </c>
      <c r="B89" s="17" t="s">
        <v>319</v>
      </c>
      <c r="C89" s="25"/>
      <c r="D89" s="73">
        <f t="shared" si="4"/>
        <v>0</v>
      </c>
      <c r="E89" s="18"/>
      <c r="F89" s="74"/>
      <c r="G89" s="74"/>
      <c r="I89" s="47">
        <f t="shared" si="2"/>
        <v>0</v>
      </c>
      <c r="J89" s="47">
        <f t="shared" si="3"/>
        <v>0</v>
      </c>
      <c r="M89" s="47">
        <f t="shared" si="15"/>
        <v>0</v>
      </c>
    </row>
    <row r="90" spans="1:13" ht="8.4499999999999993" customHeight="1">
      <c r="A90" s="16"/>
      <c r="B90" s="17"/>
      <c r="C90" s="25"/>
      <c r="D90" s="73">
        <f t="shared" si="4"/>
        <v>0</v>
      </c>
      <c r="E90" s="18"/>
      <c r="F90" s="74"/>
      <c r="G90" s="74"/>
      <c r="M90" s="47">
        <f t="shared" si="15"/>
        <v>0</v>
      </c>
    </row>
    <row r="91" spans="1:13" ht="14.1" customHeight="1">
      <c r="A91" s="25" t="s">
        <v>320</v>
      </c>
      <c r="B91" s="17" t="s">
        <v>321</v>
      </c>
      <c r="C91" s="25" t="s">
        <v>60</v>
      </c>
      <c r="D91" s="73">
        <f t="shared" si="4"/>
        <v>20700</v>
      </c>
      <c r="E91" s="18"/>
      <c r="F91" s="74"/>
      <c r="G91" s="74"/>
      <c r="H91" s="47">
        <f>4500*4</f>
        <v>18000</v>
      </c>
      <c r="I91" s="47">
        <f t="shared" si="2"/>
        <v>2700</v>
      </c>
      <c r="J91" s="47">
        <f t="shared" si="3"/>
        <v>20700</v>
      </c>
      <c r="K91" s="47" t="s">
        <v>774</v>
      </c>
      <c r="M91" s="47">
        <f t="shared" si="15"/>
        <v>3.9807692307692308</v>
      </c>
    </row>
    <row r="92" spans="1:13">
      <c r="A92" s="25" t="s">
        <v>322</v>
      </c>
      <c r="B92" s="17" t="s">
        <v>323</v>
      </c>
      <c r="C92" s="25" t="s">
        <v>60</v>
      </c>
      <c r="D92" s="73">
        <f t="shared" si="4"/>
        <v>0</v>
      </c>
      <c r="E92" s="18"/>
      <c r="F92" s="74"/>
      <c r="G92" s="74" t="s">
        <v>990</v>
      </c>
      <c r="I92" s="47">
        <f t="shared" si="2"/>
        <v>0</v>
      </c>
      <c r="J92" s="47">
        <f t="shared" si="3"/>
        <v>0</v>
      </c>
      <c r="M92" s="47">
        <f t="shared" si="15"/>
        <v>0</v>
      </c>
    </row>
    <row r="93" spans="1:13">
      <c r="A93" s="25" t="s">
        <v>324</v>
      </c>
      <c r="B93" s="17" t="s">
        <v>325</v>
      </c>
      <c r="C93" s="25" t="s">
        <v>60</v>
      </c>
      <c r="D93" s="73">
        <f t="shared" si="4"/>
        <v>24048.846000000001</v>
      </c>
      <c r="E93" s="18"/>
      <c r="F93" s="74"/>
      <c r="H93" s="47">
        <f>14922.6+5989.44</f>
        <v>20912.04</v>
      </c>
      <c r="I93" s="47">
        <f t="shared" si="2"/>
        <v>3136.806</v>
      </c>
      <c r="J93" s="47">
        <f t="shared" si="3"/>
        <v>24048.846000000001</v>
      </c>
      <c r="M93" s="47">
        <f t="shared" si="15"/>
        <v>4.6247780769230769</v>
      </c>
    </row>
    <row r="94" spans="1:13" ht="18" customHeight="1">
      <c r="A94" s="16"/>
      <c r="B94" s="17"/>
      <c r="C94" s="25"/>
      <c r="D94" s="73">
        <f t="shared" si="4"/>
        <v>0</v>
      </c>
      <c r="E94" s="18"/>
      <c r="F94" s="74"/>
      <c r="I94" s="47">
        <f t="shared" si="2"/>
        <v>0</v>
      </c>
      <c r="J94" s="47">
        <f t="shared" si="3"/>
        <v>0</v>
      </c>
      <c r="M94" s="47">
        <f t="shared" si="15"/>
        <v>0</v>
      </c>
    </row>
    <row r="95" spans="1:13" ht="14.1" customHeight="1">
      <c r="A95" s="16">
        <v>2.5</v>
      </c>
      <c r="B95" s="17" t="s">
        <v>326</v>
      </c>
      <c r="C95" s="25"/>
      <c r="D95" s="73">
        <f t="shared" si="4"/>
        <v>0</v>
      </c>
      <c r="E95" s="18"/>
      <c r="F95" s="74"/>
      <c r="I95" s="47">
        <f t="shared" si="2"/>
        <v>0</v>
      </c>
      <c r="J95" s="47">
        <f t="shared" si="3"/>
        <v>0</v>
      </c>
      <c r="M95" s="47">
        <f t="shared" si="15"/>
        <v>0</v>
      </c>
    </row>
    <row r="96" spans="1:13" ht="8.4499999999999993" customHeight="1">
      <c r="A96" s="16"/>
      <c r="B96" s="17"/>
      <c r="C96" s="25"/>
      <c r="D96" s="73">
        <f t="shared" si="4"/>
        <v>0</v>
      </c>
      <c r="E96" s="18"/>
      <c r="F96" s="74"/>
      <c r="I96" s="47">
        <f t="shared" si="2"/>
        <v>0</v>
      </c>
      <c r="J96" s="47">
        <f t="shared" si="3"/>
        <v>0</v>
      </c>
      <c r="M96" s="47">
        <f t="shared" si="15"/>
        <v>0</v>
      </c>
    </row>
    <row r="97" spans="1:13" ht="14.1" customHeight="1">
      <c r="A97" s="25" t="s">
        <v>327</v>
      </c>
      <c r="B97" s="80" t="s">
        <v>328</v>
      </c>
      <c r="C97" s="25" t="s">
        <v>60</v>
      </c>
      <c r="D97" s="73">
        <f t="shared" ref="D97:D140" si="16">J97</f>
        <v>211115.85</v>
      </c>
      <c r="E97" s="18"/>
      <c r="F97" s="74"/>
      <c r="H97" s="47">
        <f>134049+49530</f>
        <v>183579</v>
      </c>
      <c r="I97" s="47">
        <f t="shared" si="2"/>
        <v>27536.85</v>
      </c>
      <c r="J97" s="47">
        <f t="shared" si="3"/>
        <v>211115.85</v>
      </c>
      <c r="L97" s="47" t="s">
        <v>922</v>
      </c>
      <c r="M97" s="47">
        <f t="shared" si="15"/>
        <v>40.599201923076926</v>
      </c>
    </row>
    <row r="98" spans="1:13" ht="14.1" customHeight="1">
      <c r="A98" s="25" t="s">
        <v>329</v>
      </c>
      <c r="B98" s="80" t="s">
        <v>291</v>
      </c>
      <c r="C98" s="25" t="s">
        <v>60</v>
      </c>
      <c r="D98" s="73">
        <f t="shared" si="16"/>
        <v>233544.10449999999</v>
      </c>
      <c r="E98" s="18"/>
      <c r="F98" s="74"/>
      <c r="H98" s="199">
        <f>203081.83</f>
        <v>203081.83</v>
      </c>
      <c r="I98" s="47">
        <f t="shared" si="2"/>
        <v>30462.274499999996</v>
      </c>
      <c r="J98" s="47">
        <f t="shared" si="3"/>
        <v>233544.10449999999</v>
      </c>
      <c r="M98" s="47">
        <f t="shared" si="15"/>
        <v>44.912327788461539</v>
      </c>
    </row>
    <row r="99" spans="1:13">
      <c r="A99" s="25" t="s">
        <v>330</v>
      </c>
      <c r="B99" s="81" t="s">
        <v>331</v>
      </c>
      <c r="C99" s="25" t="s">
        <v>60</v>
      </c>
      <c r="D99" s="73">
        <f t="shared" si="16"/>
        <v>19830.4735</v>
      </c>
      <c r="E99" s="18"/>
      <c r="F99" s="74"/>
      <c r="H99" s="47">
        <f>17243.89</f>
        <v>17243.89</v>
      </c>
      <c r="I99" s="47">
        <f t="shared" si="2"/>
        <v>2586.5834999999997</v>
      </c>
      <c r="J99" s="47">
        <f t="shared" si="3"/>
        <v>19830.4735</v>
      </c>
      <c r="M99" s="47">
        <f t="shared" si="15"/>
        <v>3.8135525961538463</v>
      </c>
    </row>
    <row r="100" spans="1:13" ht="27.75">
      <c r="A100" s="25" t="s">
        <v>332</v>
      </c>
      <c r="B100" s="81" t="s">
        <v>333</v>
      </c>
      <c r="C100" s="25" t="s">
        <v>60</v>
      </c>
      <c r="D100" s="73">
        <f t="shared" si="16"/>
        <v>1709.4749999999999</v>
      </c>
      <c r="E100" s="18"/>
      <c r="F100" s="74"/>
      <c r="H100" s="47">
        <v>1486.5</v>
      </c>
      <c r="I100" s="47">
        <f t="shared" si="2"/>
        <v>222.97499999999999</v>
      </c>
      <c r="J100" s="47">
        <f t="shared" si="3"/>
        <v>1709.4749999999999</v>
      </c>
      <c r="L100" s="47" t="s">
        <v>966</v>
      </c>
      <c r="M100" s="47">
        <f t="shared" si="15"/>
        <v>0.32874519230769228</v>
      </c>
    </row>
    <row r="101" spans="1:13">
      <c r="A101" s="25" t="s">
        <v>334</v>
      </c>
      <c r="B101" s="81" t="s">
        <v>335</v>
      </c>
      <c r="C101" s="25" t="s">
        <v>60</v>
      </c>
      <c r="D101" s="73">
        <f t="shared" si="16"/>
        <v>8956.2114999999994</v>
      </c>
      <c r="E101" s="18"/>
      <c r="F101" s="74"/>
      <c r="H101" s="47">
        <f>4422.66+526.8+351.35+1765.94+721.26</f>
        <v>7788.01</v>
      </c>
      <c r="I101" s="47">
        <f t="shared" si="2"/>
        <v>1168.2014999999999</v>
      </c>
      <c r="J101" s="47">
        <f t="shared" si="3"/>
        <v>8956.2114999999994</v>
      </c>
      <c r="M101" s="47">
        <f t="shared" si="15"/>
        <v>1.7223483653846152</v>
      </c>
    </row>
    <row r="102" spans="1:13">
      <c r="A102" s="25" t="s">
        <v>336</v>
      </c>
      <c r="B102" s="81" t="s">
        <v>337</v>
      </c>
      <c r="C102" s="25" t="s">
        <v>60</v>
      </c>
      <c r="D102" s="73">
        <f t="shared" si="16"/>
        <v>0</v>
      </c>
      <c r="E102" s="18"/>
      <c r="F102" s="74"/>
      <c r="I102" s="47">
        <f t="shared" si="2"/>
        <v>0</v>
      </c>
      <c r="J102" s="47">
        <f t="shared" si="3"/>
        <v>0</v>
      </c>
      <c r="K102" s="47" t="s">
        <v>921</v>
      </c>
      <c r="M102" s="47">
        <f t="shared" si="15"/>
        <v>0</v>
      </c>
    </row>
    <row r="103" spans="1:13">
      <c r="A103" s="25" t="s">
        <v>338</v>
      </c>
      <c r="B103" s="81" t="s">
        <v>339</v>
      </c>
      <c r="C103" s="25" t="s">
        <v>60</v>
      </c>
      <c r="D103" s="73">
        <f t="shared" si="16"/>
        <v>36130.47</v>
      </c>
      <c r="E103" s="18"/>
      <c r="F103" s="74"/>
      <c r="H103" s="47">
        <f>9256.2+22161.6</f>
        <v>31417.8</v>
      </c>
      <c r="I103" s="47">
        <f t="shared" si="2"/>
        <v>4712.67</v>
      </c>
      <c r="J103" s="47">
        <f t="shared" si="3"/>
        <v>36130.47</v>
      </c>
      <c r="K103" s="47" t="s">
        <v>946</v>
      </c>
      <c r="M103" s="47">
        <f t="shared" si="15"/>
        <v>6.9481673076923078</v>
      </c>
    </row>
    <row r="104" spans="1:13">
      <c r="A104" s="25" t="s">
        <v>340</v>
      </c>
      <c r="B104" s="81" t="s">
        <v>341</v>
      </c>
      <c r="C104" s="25"/>
      <c r="D104" s="73">
        <f t="shared" si="16"/>
        <v>0</v>
      </c>
      <c r="E104" s="18"/>
      <c r="F104" s="74"/>
      <c r="G104" s="74" t="s">
        <v>991</v>
      </c>
      <c r="I104" s="47">
        <f t="shared" si="2"/>
        <v>0</v>
      </c>
      <c r="J104" s="47">
        <f t="shared" si="3"/>
        <v>0</v>
      </c>
      <c r="M104" s="47">
        <f t="shared" si="15"/>
        <v>0</v>
      </c>
    </row>
    <row r="105" spans="1:13" ht="27.75">
      <c r="A105" s="25" t="s">
        <v>342</v>
      </c>
      <c r="B105" s="81" t="s">
        <v>343</v>
      </c>
      <c r="C105" s="25" t="s">
        <v>60</v>
      </c>
      <c r="D105" s="73">
        <f t="shared" si="16"/>
        <v>7178.875</v>
      </c>
      <c r="E105" s="18"/>
      <c r="F105" s="74"/>
      <c r="H105" s="47">
        <v>6242.5</v>
      </c>
      <c r="I105" s="47">
        <f t="shared" si="2"/>
        <v>936.375</v>
      </c>
      <c r="J105" s="47">
        <f t="shared" si="3"/>
        <v>7178.875</v>
      </c>
      <c r="M105" s="47">
        <f t="shared" si="15"/>
        <v>1.3805528846153847</v>
      </c>
    </row>
    <row r="106" spans="1:13">
      <c r="A106" s="25" t="s">
        <v>344</v>
      </c>
      <c r="B106" s="81" t="s">
        <v>345</v>
      </c>
      <c r="C106" s="25" t="s">
        <v>60</v>
      </c>
      <c r="D106" s="73">
        <f t="shared" si="16"/>
        <v>18370.559999999998</v>
      </c>
      <c r="E106" s="18"/>
      <c r="F106" s="74"/>
      <c r="H106" s="47">
        <v>15974.4</v>
      </c>
      <c r="I106" s="47">
        <f t="shared" si="2"/>
        <v>2396.16</v>
      </c>
      <c r="J106" s="47">
        <f t="shared" si="3"/>
        <v>18370.559999999998</v>
      </c>
      <c r="M106" s="47">
        <f t="shared" si="15"/>
        <v>3.5327999999999995</v>
      </c>
    </row>
    <row r="107" spans="1:13">
      <c r="A107" s="25" t="s">
        <v>346</v>
      </c>
      <c r="B107" s="81" t="s">
        <v>347</v>
      </c>
      <c r="C107" s="25" t="s">
        <v>60</v>
      </c>
      <c r="D107" s="73">
        <f t="shared" si="16"/>
        <v>10171.980000000001</v>
      </c>
      <c r="E107" s="18"/>
      <c r="F107" s="74"/>
      <c r="H107" s="47">
        <v>8845.2000000000007</v>
      </c>
      <c r="I107" s="47">
        <f t="shared" si="2"/>
        <v>1326.78</v>
      </c>
      <c r="J107" s="47">
        <f t="shared" si="3"/>
        <v>10171.980000000001</v>
      </c>
      <c r="M107" s="47">
        <f t="shared" si="15"/>
        <v>1.9561500000000003</v>
      </c>
    </row>
    <row r="108" spans="1:13">
      <c r="A108" s="25" t="s">
        <v>348</v>
      </c>
      <c r="B108" s="81" t="s">
        <v>349</v>
      </c>
      <c r="C108" s="25" t="s">
        <v>60</v>
      </c>
      <c r="D108" s="73">
        <f t="shared" si="16"/>
        <v>0</v>
      </c>
      <c r="E108" s="18"/>
      <c r="F108" s="74"/>
      <c r="G108" s="47" t="s">
        <v>756</v>
      </c>
      <c r="I108" s="47">
        <f t="shared" ref="I108:I171" si="17">H108*$I$3</f>
        <v>0</v>
      </c>
      <c r="J108" s="47">
        <f t="shared" ref="J108:J171" si="18">SUM(H108:I108)</f>
        <v>0</v>
      </c>
      <c r="M108" s="47">
        <f t="shared" si="15"/>
        <v>0</v>
      </c>
    </row>
    <row r="109" spans="1:13" ht="18" customHeight="1">
      <c r="A109" s="16"/>
      <c r="B109" s="81"/>
      <c r="C109" s="25"/>
      <c r="D109" s="73">
        <f t="shared" si="16"/>
        <v>0</v>
      </c>
      <c r="E109" s="18"/>
      <c r="F109" s="74"/>
      <c r="I109" s="47">
        <f t="shared" si="17"/>
        <v>0</v>
      </c>
      <c r="J109" s="47">
        <f t="shared" si="18"/>
        <v>0</v>
      </c>
      <c r="M109" s="47">
        <f t="shared" si="15"/>
        <v>0</v>
      </c>
    </row>
    <row r="110" spans="1:13" ht="14.1" customHeight="1">
      <c r="A110" s="16">
        <v>2.6</v>
      </c>
      <c r="B110" s="17" t="s">
        <v>350</v>
      </c>
      <c r="C110" s="25"/>
      <c r="D110" s="73">
        <f t="shared" si="16"/>
        <v>0</v>
      </c>
      <c r="E110" s="18"/>
      <c r="F110" s="74"/>
      <c r="G110" s="47" t="s">
        <v>743</v>
      </c>
      <c r="I110" s="47">
        <f t="shared" si="17"/>
        <v>0</v>
      </c>
      <c r="J110" s="47">
        <f t="shared" si="18"/>
        <v>0</v>
      </c>
      <c r="M110" s="47">
        <f t="shared" si="15"/>
        <v>0</v>
      </c>
    </row>
    <row r="111" spans="1:13" ht="8.4499999999999993" customHeight="1">
      <c r="A111" s="16"/>
      <c r="B111" s="17"/>
      <c r="C111" s="25"/>
      <c r="D111" s="73">
        <f t="shared" si="16"/>
        <v>0</v>
      </c>
      <c r="E111" s="18"/>
      <c r="F111" s="74"/>
      <c r="I111" s="47">
        <f t="shared" si="17"/>
        <v>0</v>
      </c>
      <c r="J111" s="47">
        <f t="shared" si="18"/>
        <v>0</v>
      </c>
      <c r="M111" s="47">
        <f t="shared" si="15"/>
        <v>0</v>
      </c>
    </row>
    <row r="112" spans="1:13" ht="14.1" customHeight="1">
      <c r="A112" s="16" t="s">
        <v>351</v>
      </c>
      <c r="B112" s="17" t="s">
        <v>352</v>
      </c>
      <c r="C112" s="25"/>
      <c r="D112" s="73">
        <f t="shared" si="16"/>
        <v>51712.487000000008</v>
      </c>
      <c r="E112" s="18"/>
      <c r="F112" s="74"/>
      <c r="H112" s="47">
        <f>637.73+483.48+(2*965.94)+(2*585.77)+505.59+(8*477.73)+(4*460.87)+(8*794.65)+(8*425.69)+(4*1278.13)+(4*436.91)+(9*1730.78)+(1064.33)+(180.75)+39.66+(4*36.21)+(11*31.4)+(1*21.32)+(14*21.32)+(12*21.32)+(1*21.32)</f>
        <v>44967.380000000005</v>
      </c>
      <c r="I112" s="47">
        <f t="shared" si="17"/>
        <v>6745.1070000000009</v>
      </c>
      <c r="J112" s="47">
        <f t="shared" si="18"/>
        <v>51712.487000000008</v>
      </c>
      <c r="K112" s="47" t="s">
        <v>910</v>
      </c>
      <c r="M112" s="47">
        <f t="shared" si="15"/>
        <v>9.9447090384615393</v>
      </c>
    </row>
    <row r="113" spans="1:13" ht="14.1" customHeight="1">
      <c r="A113" s="25" t="s">
        <v>353</v>
      </c>
      <c r="B113" s="80" t="s">
        <v>354</v>
      </c>
      <c r="C113" s="25" t="s">
        <v>60</v>
      </c>
      <c r="D113" s="73">
        <f t="shared" si="16"/>
        <v>0</v>
      </c>
      <c r="E113" s="18"/>
      <c r="F113" s="74"/>
      <c r="G113" s="47" t="s">
        <v>756</v>
      </c>
      <c r="I113" s="47">
        <f t="shared" si="17"/>
        <v>0</v>
      </c>
      <c r="J113" s="47">
        <f t="shared" si="18"/>
        <v>0</v>
      </c>
      <c r="M113" s="47">
        <f t="shared" si="15"/>
        <v>0</v>
      </c>
    </row>
    <row r="114" spans="1:13" ht="14.1" customHeight="1">
      <c r="A114" s="25" t="s">
        <v>355</v>
      </c>
      <c r="B114" s="80" t="s">
        <v>356</v>
      </c>
      <c r="C114" s="25" t="s">
        <v>60</v>
      </c>
      <c r="D114" s="73">
        <f t="shared" si="16"/>
        <v>20700</v>
      </c>
      <c r="E114" s="18"/>
      <c r="F114" s="74"/>
      <c r="H114" s="47">
        <f>24*750</f>
        <v>18000</v>
      </c>
      <c r="I114" s="47">
        <f t="shared" si="17"/>
        <v>2700</v>
      </c>
      <c r="J114" s="47">
        <f t="shared" si="18"/>
        <v>20700</v>
      </c>
      <c r="K114" s="47" t="s">
        <v>909</v>
      </c>
      <c r="M114" s="47">
        <f t="shared" si="15"/>
        <v>3.9807692307692308</v>
      </c>
    </row>
    <row r="115" spans="1:13" ht="8.4499999999999993" customHeight="1">
      <c r="A115" s="16"/>
      <c r="B115" s="17"/>
      <c r="C115" s="25"/>
      <c r="D115" s="73">
        <f t="shared" si="16"/>
        <v>0</v>
      </c>
      <c r="E115" s="18"/>
      <c r="F115" s="74"/>
      <c r="I115" s="47">
        <f t="shared" si="17"/>
        <v>0</v>
      </c>
      <c r="J115" s="47">
        <f t="shared" si="18"/>
        <v>0</v>
      </c>
      <c r="M115" s="47">
        <f t="shared" si="15"/>
        <v>0</v>
      </c>
    </row>
    <row r="116" spans="1:13" ht="14.1" customHeight="1">
      <c r="A116" s="16" t="s">
        <v>357</v>
      </c>
      <c r="B116" s="80" t="s">
        <v>358</v>
      </c>
      <c r="C116" s="25"/>
      <c r="D116" s="73">
        <f t="shared" si="16"/>
        <v>0</v>
      </c>
      <c r="E116" s="18"/>
      <c r="F116" s="74"/>
      <c r="I116" s="47">
        <f t="shared" si="17"/>
        <v>0</v>
      </c>
      <c r="J116" s="47">
        <f t="shared" si="18"/>
        <v>0</v>
      </c>
      <c r="M116" s="47">
        <f t="shared" si="15"/>
        <v>0</v>
      </c>
    </row>
    <row r="117" spans="1:13" ht="14.1" customHeight="1">
      <c r="A117" s="25" t="s">
        <v>359</v>
      </c>
      <c r="B117" s="80" t="s">
        <v>360</v>
      </c>
      <c r="C117" s="25" t="s">
        <v>60</v>
      </c>
      <c r="D117" s="73">
        <f t="shared" si="16"/>
        <v>10298.25</v>
      </c>
      <c r="E117" s="18"/>
      <c r="F117" s="74"/>
      <c r="H117" s="47">
        <f>(845+150)*9</f>
        <v>8955</v>
      </c>
      <c r="I117" s="47">
        <f t="shared" si="17"/>
        <v>1343.25</v>
      </c>
      <c r="J117" s="47">
        <f t="shared" si="18"/>
        <v>10298.25</v>
      </c>
      <c r="M117" s="47">
        <f t="shared" si="15"/>
        <v>1.9804326923076923</v>
      </c>
    </row>
    <row r="118" spans="1:13" ht="14.1" customHeight="1">
      <c r="A118" s="25" t="s">
        <v>361</v>
      </c>
      <c r="B118" s="80" t="s">
        <v>362</v>
      </c>
      <c r="C118" s="25" t="s">
        <v>60</v>
      </c>
      <c r="D118" s="73">
        <f t="shared" si="16"/>
        <v>6210</v>
      </c>
      <c r="E118" s="18"/>
      <c r="F118" s="74"/>
      <c r="H118" s="47">
        <f>2700*2</f>
        <v>5400</v>
      </c>
      <c r="I118" s="47">
        <f t="shared" si="17"/>
        <v>810</v>
      </c>
      <c r="J118" s="47">
        <f t="shared" si="18"/>
        <v>6210</v>
      </c>
      <c r="M118" s="47">
        <f t="shared" si="15"/>
        <v>1.1942307692307692</v>
      </c>
    </row>
    <row r="119" spans="1:13" ht="14.1" customHeight="1">
      <c r="A119" s="25" t="s">
        <v>363</v>
      </c>
      <c r="B119" s="80" t="s">
        <v>364</v>
      </c>
      <c r="C119" s="25" t="s">
        <v>60</v>
      </c>
      <c r="D119" s="73">
        <f t="shared" si="16"/>
        <v>18400</v>
      </c>
      <c r="E119" s="18"/>
      <c r="F119" s="74"/>
      <c r="G119" s="47" t="s">
        <v>756</v>
      </c>
      <c r="H119" s="47">
        <f>16*1000</f>
        <v>16000</v>
      </c>
      <c r="I119" s="47">
        <f t="shared" si="17"/>
        <v>2400</v>
      </c>
      <c r="J119" s="47">
        <f t="shared" si="18"/>
        <v>18400</v>
      </c>
      <c r="M119" s="47">
        <f t="shared" si="15"/>
        <v>3.5384615384615383</v>
      </c>
    </row>
    <row r="120" spans="1:13" ht="14.1" customHeight="1">
      <c r="A120" s="25" t="s">
        <v>365</v>
      </c>
      <c r="B120" s="80" t="s">
        <v>366</v>
      </c>
      <c r="C120" s="25" t="s">
        <v>60</v>
      </c>
      <c r="D120" s="73">
        <f t="shared" si="16"/>
        <v>0</v>
      </c>
      <c r="E120" s="18"/>
      <c r="F120" s="74"/>
      <c r="G120" s="47" t="s">
        <v>756</v>
      </c>
      <c r="I120" s="47">
        <f t="shared" si="17"/>
        <v>0</v>
      </c>
      <c r="J120" s="47">
        <f t="shared" si="18"/>
        <v>0</v>
      </c>
      <c r="M120" s="47">
        <f t="shared" si="15"/>
        <v>0</v>
      </c>
    </row>
    <row r="121" spans="1:13" ht="14.1" customHeight="1">
      <c r="A121" s="25" t="s">
        <v>367</v>
      </c>
      <c r="B121" s="80" t="s">
        <v>368</v>
      </c>
      <c r="C121" s="25" t="s">
        <v>60</v>
      </c>
      <c r="D121" s="73">
        <f t="shared" si="16"/>
        <v>0</v>
      </c>
      <c r="E121" s="18"/>
      <c r="F121" s="74"/>
      <c r="G121" s="47" t="s">
        <v>756</v>
      </c>
      <c r="I121" s="47">
        <f t="shared" si="17"/>
        <v>0</v>
      </c>
      <c r="J121" s="47">
        <f t="shared" si="18"/>
        <v>0</v>
      </c>
      <c r="M121" s="47">
        <f t="shared" si="15"/>
        <v>0</v>
      </c>
    </row>
    <row r="122" spans="1:13" ht="18" customHeight="1">
      <c r="A122" s="16"/>
      <c r="B122" s="17"/>
      <c r="C122" s="25"/>
      <c r="D122" s="73">
        <f t="shared" si="16"/>
        <v>0</v>
      </c>
      <c r="E122" s="18"/>
      <c r="F122" s="74"/>
      <c r="I122" s="47">
        <f t="shared" si="17"/>
        <v>0</v>
      </c>
      <c r="J122" s="47">
        <f t="shared" si="18"/>
        <v>0</v>
      </c>
      <c r="M122" s="47">
        <f t="shared" si="15"/>
        <v>0</v>
      </c>
    </row>
    <row r="123" spans="1:13" ht="18" customHeight="1">
      <c r="A123" s="16">
        <v>2.7</v>
      </c>
      <c r="B123" s="17" t="s">
        <v>369</v>
      </c>
      <c r="C123" s="25"/>
      <c r="D123" s="73">
        <f t="shared" si="16"/>
        <v>0</v>
      </c>
      <c r="E123" s="18"/>
      <c r="F123" s="74"/>
      <c r="I123" s="47">
        <f t="shared" si="17"/>
        <v>0</v>
      </c>
      <c r="J123" s="47">
        <f t="shared" si="18"/>
        <v>0</v>
      </c>
      <c r="M123" s="47">
        <f t="shared" si="15"/>
        <v>0</v>
      </c>
    </row>
    <row r="124" spans="1:13" ht="8.4499999999999993" customHeight="1">
      <c r="A124" s="16"/>
      <c r="B124" s="17"/>
      <c r="C124" s="25"/>
      <c r="D124" s="73">
        <f t="shared" si="16"/>
        <v>0</v>
      </c>
      <c r="E124" s="18"/>
      <c r="F124" s="74"/>
      <c r="I124" s="47">
        <f t="shared" si="17"/>
        <v>0</v>
      </c>
      <c r="J124" s="47">
        <f t="shared" si="18"/>
        <v>0</v>
      </c>
      <c r="M124" s="47">
        <f t="shared" si="15"/>
        <v>0</v>
      </c>
    </row>
    <row r="125" spans="1:13">
      <c r="A125" s="25" t="s">
        <v>370</v>
      </c>
      <c r="B125" s="80" t="s">
        <v>371</v>
      </c>
      <c r="C125" s="25" t="s">
        <v>60</v>
      </c>
      <c r="D125" s="73">
        <f t="shared" si="16"/>
        <v>58654.646000000001</v>
      </c>
      <c r="E125" s="18"/>
      <c r="F125" s="74"/>
      <c r="H125" s="199">
        <v>51004.04</v>
      </c>
      <c r="I125" s="47">
        <f>H125*$I$3</f>
        <v>7650.6059999999998</v>
      </c>
      <c r="J125" s="47">
        <f t="shared" si="18"/>
        <v>58654.646000000001</v>
      </c>
      <c r="M125" s="47">
        <f t="shared" si="15"/>
        <v>11.279739615384615</v>
      </c>
    </row>
    <row r="126" spans="1:13" ht="16.5" customHeight="1">
      <c r="A126" s="25" t="s">
        <v>372</v>
      </c>
      <c r="B126" s="80" t="s">
        <v>373</v>
      </c>
      <c r="C126" s="25" t="s">
        <v>60</v>
      </c>
      <c r="D126" s="73">
        <f t="shared" si="16"/>
        <v>0</v>
      </c>
      <c r="E126" s="18"/>
      <c r="F126" s="74"/>
      <c r="G126" s="47" t="s">
        <v>992</v>
      </c>
      <c r="I126" s="47">
        <f t="shared" si="17"/>
        <v>0</v>
      </c>
      <c r="J126" s="47">
        <f t="shared" si="18"/>
        <v>0</v>
      </c>
      <c r="M126" s="47">
        <f t="shared" si="15"/>
        <v>0</v>
      </c>
    </row>
    <row r="127" spans="1:13" ht="18" customHeight="1">
      <c r="A127" s="16"/>
      <c r="B127" s="17"/>
      <c r="C127" s="25"/>
      <c r="D127" s="73">
        <f t="shared" si="16"/>
        <v>0</v>
      </c>
      <c r="E127" s="18"/>
      <c r="F127" s="74"/>
      <c r="I127" s="47">
        <f t="shared" si="17"/>
        <v>0</v>
      </c>
      <c r="J127" s="47">
        <f t="shared" si="18"/>
        <v>0</v>
      </c>
      <c r="M127" s="47">
        <f t="shared" si="15"/>
        <v>0</v>
      </c>
    </row>
    <row r="128" spans="1:13" ht="17.25" customHeight="1">
      <c r="A128" s="16">
        <v>2.8</v>
      </c>
      <c r="B128" s="17" t="s">
        <v>374</v>
      </c>
      <c r="C128" s="25"/>
      <c r="D128" s="73">
        <f t="shared" si="16"/>
        <v>0</v>
      </c>
      <c r="E128" s="18"/>
      <c r="F128" s="74"/>
      <c r="I128" s="47">
        <f t="shared" si="17"/>
        <v>0</v>
      </c>
      <c r="J128" s="47">
        <f t="shared" si="18"/>
        <v>0</v>
      </c>
      <c r="M128" s="47">
        <f t="shared" si="15"/>
        <v>0</v>
      </c>
    </row>
    <row r="129" spans="1:13" ht="8.4499999999999993" customHeight="1">
      <c r="A129" s="16"/>
      <c r="B129" s="17"/>
      <c r="C129" s="25"/>
      <c r="D129" s="73">
        <f t="shared" si="16"/>
        <v>0</v>
      </c>
      <c r="E129" s="18"/>
      <c r="F129" s="74"/>
      <c r="M129" s="47">
        <f t="shared" si="15"/>
        <v>0</v>
      </c>
    </row>
    <row r="130" spans="1:13" ht="14.1" customHeight="1">
      <c r="A130" s="25" t="s">
        <v>375</v>
      </c>
      <c r="B130" s="80" t="s">
        <v>376</v>
      </c>
      <c r="C130" s="25" t="s">
        <v>60</v>
      </c>
      <c r="D130" s="73">
        <f t="shared" si="16"/>
        <v>11692.877999999999</v>
      </c>
      <c r="E130" s="18"/>
      <c r="F130" s="74"/>
      <c r="H130" s="47">
        <v>10167.719999999999</v>
      </c>
      <c r="I130" s="47">
        <f t="shared" si="17"/>
        <v>1525.1579999999999</v>
      </c>
      <c r="J130" s="47">
        <f t="shared" si="18"/>
        <v>11692.877999999999</v>
      </c>
      <c r="M130" s="47">
        <f t="shared" si="15"/>
        <v>2.2486303846153843</v>
      </c>
    </row>
    <row r="131" spans="1:13" ht="14.1" customHeight="1">
      <c r="A131" s="25" t="s">
        <v>377</v>
      </c>
      <c r="B131" s="80" t="s">
        <v>378</v>
      </c>
      <c r="C131" s="25" t="s">
        <v>60</v>
      </c>
      <c r="D131" s="73">
        <f t="shared" si="16"/>
        <v>3730.9680000000003</v>
      </c>
      <c r="E131" s="18"/>
      <c r="F131" s="74"/>
      <c r="H131" s="47">
        <v>3244.32</v>
      </c>
      <c r="I131" s="47">
        <f t="shared" si="17"/>
        <v>486.64800000000002</v>
      </c>
      <c r="J131" s="47">
        <f t="shared" si="18"/>
        <v>3730.9680000000003</v>
      </c>
      <c r="M131" s="47">
        <f t="shared" si="15"/>
        <v>0.71749384615384626</v>
      </c>
    </row>
    <row r="132" spans="1:13" ht="14.1" customHeight="1">
      <c r="A132" s="25" t="s">
        <v>379</v>
      </c>
      <c r="B132" s="80" t="s">
        <v>380</v>
      </c>
      <c r="C132" s="25" t="s">
        <v>60</v>
      </c>
      <c r="D132" s="73">
        <f t="shared" si="16"/>
        <v>0</v>
      </c>
      <c r="E132" s="18"/>
      <c r="F132" s="74"/>
      <c r="I132" s="47">
        <f t="shared" si="17"/>
        <v>0</v>
      </c>
      <c r="J132" s="47">
        <f t="shared" si="18"/>
        <v>0</v>
      </c>
      <c r="M132" s="47">
        <f t="shared" si="15"/>
        <v>0</v>
      </c>
    </row>
    <row r="133" spans="1:13" ht="14.1" customHeight="1">
      <c r="A133" s="25" t="s">
        <v>381</v>
      </c>
      <c r="B133" s="80" t="s">
        <v>382</v>
      </c>
      <c r="C133" s="25" t="s">
        <v>60</v>
      </c>
      <c r="D133" s="73">
        <f t="shared" si="16"/>
        <v>0</v>
      </c>
      <c r="E133" s="18"/>
      <c r="F133" s="74"/>
      <c r="I133" s="47">
        <f t="shared" si="17"/>
        <v>0</v>
      </c>
      <c r="J133" s="47">
        <f t="shared" si="18"/>
        <v>0</v>
      </c>
      <c r="M133" s="47">
        <f t="shared" si="15"/>
        <v>0</v>
      </c>
    </row>
    <row r="134" spans="1:13" ht="8.4499999999999993" customHeight="1">
      <c r="A134" s="16"/>
      <c r="B134" s="17"/>
      <c r="C134" s="25"/>
      <c r="D134" s="73">
        <f t="shared" si="16"/>
        <v>0</v>
      </c>
      <c r="E134" s="18"/>
      <c r="F134" s="74"/>
      <c r="I134" s="47">
        <f t="shared" si="17"/>
        <v>0</v>
      </c>
      <c r="J134" s="47">
        <f t="shared" si="18"/>
        <v>0</v>
      </c>
      <c r="M134" s="47">
        <f t="shared" si="15"/>
        <v>0</v>
      </c>
    </row>
    <row r="135" spans="1:13" ht="14.1" customHeight="1">
      <c r="A135" s="16">
        <v>2.9</v>
      </c>
      <c r="B135" s="17" t="s">
        <v>383</v>
      </c>
      <c r="C135" s="25"/>
      <c r="D135" s="73">
        <f t="shared" si="16"/>
        <v>0</v>
      </c>
      <c r="E135" s="71"/>
      <c r="F135" s="39"/>
      <c r="I135" s="47">
        <f t="shared" si="17"/>
        <v>0</v>
      </c>
      <c r="J135" s="47">
        <f t="shared" si="18"/>
        <v>0</v>
      </c>
      <c r="M135" s="47">
        <f t="shared" si="15"/>
        <v>0</v>
      </c>
    </row>
    <row r="136" spans="1:13" ht="14.1" customHeight="1">
      <c r="A136" s="16"/>
      <c r="B136" s="17"/>
      <c r="C136" s="25" t="s">
        <v>60</v>
      </c>
      <c r="D136" s="73">
        <f t="shared" si="16"/>
        <v>0</v>
      </c>
      <c r="E136" s="71"/>
      <c r="F136" s="39"/>
      <c r="I136" s="47">
        <f t="shared" si="17"/>
        <v>0</v>
      </c>
      <c r="J136" s="47">
        <f t="shared" si="18"/>
        <v>0</v>
      </c>
      <c r="M136" s="47">
        <f t="shared" ref="M136:M199" si="19">D136/$M$1</f>
        <v>0</v>
      </c>
    </row>
    <row r="137" spans="1:13" ht="14.1" customHeight="1">
      <c r="A137" s="16"/>
      <c r="B137" s="17" t="s">
        <v>952</v>
      </c>
      <c r="C137" s="25" t="s">
        <v>60</v>
      </c>
      <c r="D137" s="73">
        <f t="shared" si="16"/>
        <v>63215.5</v>
      </c>
      <c r="E137" s="71"/>
      <c r="F137" s="39"/>
      <c r="H137" s="47">
        <f>18819+5555+(3743*4)+(3906*4)</f>
        <v>54970</v>
      </c>
      <c r="I137" s="47">
        <f t="shared" si="17"/>
        <v>8245.5</v>
      </c>
      <c r="J137" s="47">
        <f t="shared" si="18"/>
        <v>63215.5</v>
      </c>
      <c r="M137" s="47">
        <f t="shared" si="19"/>
        <v>12.156826923076924</v>
      </c>
    </row>
    <row r="138" spans="1:13" ht="14.1" customHeight="1">
      <c r="A138" s="16"/>
      <c r="B138" s="17" t="s">
        <v>955</v>
      </c>
      <c r="C138" s="25" t="s">
        <v>60</v>
      </c>
      <c r="D138" s="73">
        <f t="shared" si="16"/>
        <v>7753.3</v>
      </c>
      <c r="E138" s="71"/>
      <c r="F138" s="39"/>
      <c r="H138" s="47">
        <f>499.5+6242.5</f>
        <v>6742</v>
      </c>
      <c r="I138" s="47">
        <f t="shared" si="17"/>
        <v>1011.3</v>
      </c>
      <c r="J138" s="47">
        <f t="shared" si="18"/>
        <v>7753.3</v>
      </c>
      <c r="M138" s="47">
        <f t="shared" si="19"/>
        <v>1.4910192307692307</v>
      </c>
    </row>
    <row r="139" spans="1:13" ht="14.1" customHeight="1">
      <c r="A139" s="16"/>
      <c r="B139" s="17" t="s">
        <v>960</v>
      </c>
      <c r="C139" s="25" t="s">
        <v>60</v>
      </c>
      <c r="D139" s="73">
        <f t="shared" si="16"/>
        <v>2116.9544999999998</v>
      </c>
      <c r="E139" s="71"/>
      <c r="F139" s="39"/>
      <c r="H139" s="47">
        <v>1840.83</v>
      </c>
      <c r="I139" s="47">
        <f t="shared" si="17"/>
        <v>276.12449999999995</v>
      </c>
      <c r="J139" s="47">
        <f t="shared" si="18"/>
        <v>2116.9544999999998</v>
      </c>
      <c r="M139" s="47">
        <f t="shared" si="19"/>
        <v>0.4071066346153846</v>
      </c>
    </row>
    <row r="140" spans="1:13" ht="14.1" customHeight="1">
      <c r="A140" s="16"/>
      <c r="B140" s="17"/>
      <c r="C140" s="25" t="s">
        <v>60</v>
      </c>
      <c r="D140" s="73">
        <f t="shared" si="16"/>
        <v>0</v>
      </c>
      <c r="E140" s="71"/>
      <c r="F140" s="39"/>
      <c r="I140" s="47">
        <f t="shared" si="17"/>
        <v>0</v>
      </c>
      <c r="J140" s="47">
        <f t="shared" si="18"/>
        <v>0</v>
      </c>
      <c r="M140" s="47">
        <f t="shared" si="19"/>
        <v>0</v>
      </c>
    </row>
    <row r="141" spans="1:13" ht="14.1" customHeight="1">
      <c r="A141" s="16"/>
      <c r="B141" s="17"/>
      <c r="C141" s="25"/>
      <c r="D141" s="39"/>
      <c r="E141" s="71"/>
      <c r="F141" s="39"/>
      <c r="I141" s="47">
        <f t="shared" si="17"/>
        <v>0</v>
      </c>
      <c r="J141" s="47">
        <f t="shared" si="18"/>
        <v>0</v>
      </c>
      <c r="M141" s="47">
        <f t="shared" si="19"/>
        <v>0</v>
      </c>
    </row>
    <row r="142" spans="1:13" ht="14.1" customHeight="1">
      <c r="A142" s="75"/>
      <c r="B142" s="76"/>
      <c r="C142" s="77"/>
      <c r="D142" s="78" t="s">
        <v>384</v>
      </c>
      <c r="E142" s="79" t="s">
        <v>60</v>
      </c>
      <c r="F142" s="78">
        <f>SUM(D30:D141)</f>
        <v>1229000.8484999998</v>
      </c>
      <c r="I142" s="47">
        <f t="shared" si="17"/>
        <v>0</v>
      </c>
      <c r="J142" s="47">
        <f t="shared" si="18"/>
        <v>0</v>
      </c>
      <c r="M142" s="47" t="e">
        <f t="shared" si="19"/>
        <v>#VALUE!</v>
      </c>
    </row>
    <row r="143" spans="1:13" ht="14.1" customHeight="1">
      <c r="A143" s="16"/>
      <c r="B143" s="17"/>
      <c r="C143" s="25"/>
      <c r="D143" s="39"/>
      <c r="E143" s="71"/>
      <c r="F143" s="70"/>
      <c r="I143" s="47">
        <f t="shared" si="17"/>
        <v>0</v>
      </c>
      <c r="J143" s="47">
        <f t="shared" si="18"/>
        <v>0</v>
      </c>
      <c r="M143" s="47">
        <f t="shared" si="19"/>
        <v>0</v>
      </c>
    </row>
    <row r="144" spans="1:13" ht="14.1" customHeight="1">
      <c r="A144" s="19">
        <v>3</v>
      </c>
      <c r="B144" s="72" t="s">
        <v>385</v>
      </c>
      <c r="C144" s="25"/>
      <c r="D144" s="39"/>
      <c r="E144" s="18"/>
      <c r="F144" s="74"/>
      <c r="G144" s="48"/>
      <c r="H144" s="48"/>
      <c r="I144" s="47">
        <f t="shared" si="17"/>
        <v>0</v>
      </c>
      <c r="J144" s="47">
        <f t="shared" si="18"/>
        <v>0</v>
      </c>
      <c r="K144" s="48"/>
      <c r="L144" s="48"/>
      <c r="M144" s="47">
        <f t="shared" si="19"/>
        <v>0</v>
      </c>
    </row>
    <row r="145" spans="1:13" ht="14.1" customHeight="1">
      <c r="B145" s="72"/>
      <c r="C145" s="25"/>
      <c r="D145" s="39"/>
      <c r="E145" s="18"/>
      <c r="F145" s="74"/>
      <c r="G145" s="48"/>
      <c r="H145" s="48"/>
      <c r="I145" s="47">
        <f t="shared" si="17"/>
        <v>0</v>
      </c>
      <c r="J145" s="47">
        <f t="shared" si="18"/>
        <v>0</v>
      </c>
      <c r="K145" s="48"/>
      <c r="L145" s="48"/>
      <c r="M145" s="47">
        <f t="shared" si="19"/>
        <v>0</v>
      </c>
    </row>
    <row r="146" spans="1:13" ht="14.1" customHeight="1">
      <c r="A146" s="16">
        <v>3.1</v>
      </c>
      <c r="B146" s="17" t="s">
        <v>386</v>
      </c>
      <c r="C146" s="25"/>
      <c r="D146" s="39"/>
      <c r="E146" s="18"/>
      <c r="F146" s="74"/>
      <c r="I146" s="47">
        <f t="shared" si="17"/>
        <v>0</v>
      </c>
      <c r="J146" s="47">
        <f t="shared" si="18"/>
        <v>0</v>
      </c>
      <c r="M146" s="47">
        <f t="shared" si="19"/>
        <v>0</v>
      </c>
    </row>
    <row r="147" spans="1:13" ht="14.1" customHeight="1">
      <c r="A147" s="25" t="s">
        <v>387</v>
      </c>
      <c r="B147" s="80" t="s">
        <v>388</v>
      </c>
      <c r="C147" s="25" t="s">
        <v>60</v>
      </c>
      <c r="D147" s="73">
        <f>J147</f>
        <v>25357.5</v>
      </c>
      <c r="E147" s="18"/>
      <c r="F147" s="74"/>
      <c r="H147" s="47">
        <f>15600+2200+4250</f>
        <v>22050</v>
      </c>
      <c r="I147" s="47">
        <f t="shared" si="17"/>
        <v>3307.5</v>
      </c>
      <c r="J147" s="47">
        <f t="shared" si="18"/>
        <v>25357.5</v>
      </c>
      <c r="M147" s="47">
        <f t="shared" si="19"/>
        <v>4.876442307692308</v>
      </c>
    </row>
    <row r="148" spans="1:13" ht="14.1" customHeight="1">
      <c r="A148" s="25" t="s">
        <v>389</v>
      </c>
      <c r="B148" s="80" t="s">
        <v>390</v>
      </c>
      <c r="C148" s="25" t="s">
        <v>60</v>
      </c>
      <c r="D148" s="73">
        <f t="shared" ref="D148:D161" si="20">J148</f>
        <v>15919.381000000001</v>
      </c>
      <c r="E148" s="18"/>
      <c r="F148" s="74"/>
      <c r="H148" s="47">
        <f>27062.69-5933.51-H157</f>
        <v>13842.94</v>
      </c>
      <c r="I148" s="47">
        <f t="shared" si="17"/>
        <v>2076.4409999999998</v>
      </c>
      <c r="J148" s="47">
        <f t="shared" si="18"/>
        <v>15919.381000000001</v>
      </c>
      <c r="M148" s="47">
        <f t="shared" si="19"/>
        <v>3.0614194230769232</v>
      </c>
    </row>
    <row r="149" spans="1:13" ht="8.4499999999999993" customHeight="1">
      <c r="A149" s="16"/>
      <c r="B149" s="80"/>
      <c r="C149" s="25"/>
      <c r="D149" s="73"/>
      <c r="E149" s="18"/>
      <c r="F149" s="74"/>
      <c r="I149" s="47">
        <f t="shared" si="17"/>
        <v>0</v>
      </c>
      <c r="J149" s="47">
        <f t="shared" si="18"/>
        <v>0</v>
      </c>
      <c r="M149" s="47">
        <f t="shared" si="19"/>
        <v>0</v>
      </c>
    </row>
    <row r="150" spans="1:13" ht="14.1" customHeight="1">
      <c r="A150" s="16">
        <v>3.2</v>
      </c>
      <c r="B150" s="17" t="s">
        <v>391</v>
      </c>
      <c r="C150" s="25"/>
      <c r="D150" s="73"/>
      <c r="E150" s="18"/>
      <c r="F150" s="74"/>
      <c r="I150" s="47">
        <f t="shared" si="17"/>
        <v>0</v>
      </c>
      <c r="J150" s="47">
        <f t="shared" si="18"/>
        <v>0</v>
      </c>
      <c r="M150" s="47">
        <f t="shared" si="19"/>
        <v>0</v>
      </c>
    </row>
    <row r="151" spans="1:13" ht="14.1" customHeight="1">
      <c r="A151" s="25" t="s">
        <v>392</v>
      </c>
      <c r="B151" s="80" t="s">
        <v>393</v>
      </c>
      <c r="C151" s="25" t="s">
        <v>60</v>
      </c>
      <c r="D151" s="73">
        <f t="shared" si="20"/>
        <v>49292.978999999999</v>
      </c>
      <c r="E151" s="18"/>
      <c r="F151" s="74"/>
      <c r="H151" s="47">
        <v>42863.46</v>
      </c>
      <c r="I151" s="47">
        <f t="shared" si="17"/>
        <v>6429.5189999999993</v>
      </c>
      <c r="J151" s="47">
        <f t="shared" si="18"/>
        <v>49292.978999999999</v>
      </c>
      <c r="M151" s="47">
        <f t="shared" si="19"/>
        <v>9.479419038461538</v>
      </c>
    </row>
    <row r="152" spans="1:13" ht="14.1" customHeight="1">
      <c r="A152" s="25" t="s">
        <v>394</v>
      </c>
      <c r="B152" s="80" t="s">
        <v>395</v>
      </c>
      <c r="C152" s="25" t="s">
        <v>60</v>
      </c>
      <c r="D152" s="73">
        <f t="shared" si="20"/>
        <v>5934</v>
      </c>
      <c r="E152" s="18"/>
      <c r="F152" s="74"/>
      <c r="H152" s="47">
        <v>5160</v>
      </c>
      <c r="I152" s="47">
        <f t="shared" si="17"/>
        <v>774</v>
      </c>
      <c r="J152" s="47">
        <f t="shared" si="18"/>
        <v>5934</v>
      </c>
      <c r="M152" s="47">
        <f t="shared" si="19"/>
        <v>1.1411538461538462</v>
      </c>
    </row>
    <row r="153" spans="1:13" ht="14.1" customHeight="1">
      <c r="A153" s="25" t="s">
        <v>396</v>
      </c>
      <c r="B153" s="80" t="s">
        <v>397</v>
      </c>
      <c r="C153" s="25" t="s">
        <v>60</v>
      </c>
      <c r="D153" s="73">
        <f t="shared" si="20"/>
        <v>0</v>
      </c>
      <c r="E153" s="18"/>
      <c r="F153" s="74"/>
      <c r="G153" s="47" t="s">
        <v>1008</v>
      </c>
      <c r="I153" s="47">
        <f t="shared" si="17"/>
        <v>0</v>
      </c>
      <c r="J153" s="47">
        <f t="shared" si="18"/>
        <v>0</v>
      </c>
      <c r="M153" s="47">
        <f t="shared" si="19"/>
        <v>0</v>
      </c>
    </row>
    <row r="154" spans="1:13" ht="14.1" customHeight="1">
      <c r="A154" s="25" t="s">
        <v>398</v>
      </c>
      <c r="B154" s="80" t="s">
        <v>399</v>
      </c>
      <c r="C154" s="25" t="s">
        <v>60</v>
      </c>
      <c r="D154" s="73">
        <f t="shared" si="20"/>
        <v>40899.025499999996</v>
      </c>
      <c r="E154" s="18"/>
      <c r="F154" s="74"/>
      <c r="H154" s="47">
        <f>24108+2250+(1022.93*9)</f>
        <v>35564.369999999995</v>
      </c>
      <c r="I154" s="47">
        <f t="shared" si="17"/>
        <v>5334.6554999999989</v>
      </c>
      <c r="J154" s="47">
        <f t="shared" si="18"/>
        <v>40899.025499999996</v>
      </c>
      <c r="M154" s="47">
        <f t="shared" si="19"/>
        <v>7.8651972115384607</v>
      </c>
    </row>
    <row r="155" spans="1:13" ht="14.1" customHeight="1">
      <c r="A155" s="25" t="s">
        <v>400</v>
      </c>
      <c r="B155" s="196" t="s">
        <v>401</v>
      </c>
      <c r="C155" s="25" t="s">
        <v>60</v>
      </c>
      <c r="D155" s="73">
        <f t="shared" si="20"/>
        <v>1725</v>
      </c>
      <c r="E155" s="18"/>
      <c r="F155" s="74"/>
      <c r="H155" s="47">
        <v>1500</v>
      </c>
      <c r="I155" s="47">
        <f t="shared" si="17"/>
        <v>225</v>
      </c>
      <c r="J155" s="47">
        <f t="shared" si="18"/>
        <v>1725</v>
      </c>
      <c r="M155" s="47">
        <f t="shared" si="19"/>
        <v>0.33173076923076922</v>
      </c>
    </row>
    <row r="156" spans="1:13" ht="14.1" customHeight="1">
      <c r="A156" s="25" t="s">
        <v>402</v>
      </c>
      <c r="B156" s="196" t="s">
        <v>403</v>
      </c>
      <c r="C156" s="25" t="s">
        <v>60</v>
      </c>
      <c r="D156" s="73">
        <f t="shared" si="20"/>
        <v>235.75</v>
      </c>
      <c r="E156" s="18"/>
      <c r="F156" s="74"/>
      <c r="H156" s="47">
        <v>205</v>
      </c>
      <c r="I156" s="47">
        <f t="shared" si="17"/>
        <v>30.75</v>
      </c>
      <c r="J156" s="47">
        <f t="shared" si="18"/>
        <v>235.75</v>
      </c>
      <c r="M156" s="47">
        <f t="shared" si="19"/>
        <v>4.5336538461538463E-2</v>
      </c>
    </row>
    <row r="157" spans="1:13" ht="14.1" customHeight="1">
      <c r="A157" s="25" t="s">
        <v>404</v>
      </c>
      <c r="B157" s="193" t="s">
        <v>405</v>
      </c>
      <c r="C157" s="25" t="s">
        <v>60</v>
      </c>
      <c r="D157" s="73"/>
      <c r="E157" s="18"/>
      <c r="F157" s="74"/>
      <c r="H157" s="47">
        <f>879.76+987.93+1806.2+1806.2+1806.15</f>
        <v>7286.24</v>
      </c>
      <c r="I157" s="47">
        <f t="shared" si="17"/>
        <v>1092.9359999999999</v>
      </c>
      <c r="J157" s="47">
        <f t="shared" si="18"/>
        <v>8379.1759999999995</v>
      </c>
      <c r="M157" s="47">
        <f t="shared" si="19"/>
        <v>0</v>
      </c>
    </row>
    <row r="158" spans="1:13" ht="8.4499999999999993" customHeight="1">
      <c r="A158" s="16"/>
      <c r="B158" s="197"/>
      <c r="C158" s="25"/>
      <c r="D158" s="73"/>
      <c r="E158" s="18"/>
      <c r="F158" s="74"/>
      <c r="M158" s="47">
        <f t="shared" si="19"/>
        <v>0</v>
      </c>
    </row>
    <row r="159" spans="1:13" ht="14.1" customHeight="1">
      <c r="A159" s="16">
        <v>3.3</v>
      </c>
      <c r="B159" s="193" t="s">
        <v>406</v>
      </c>
      <c r="C159" s="25"/>
      <c r="D159" s="73"/>
      <c r="E159" s="18"/>
      <c r="F159" s="74"/>
      <c r="I159" s="47">
        <f t="shared" si="17"/>
        <v>0</v>
      </c>
      <c r="J159" s="47">
        <f t="shared" si="18"/>
        <v>0</v>
      </c>
      <c r="M159" s="47">
        <f t="shared" si="19"/>
        <v>0</v>
      </c>
    </row>
    <row r="160" spans="1:13" ht="14.1" customHeight="1">
      <c r="A160" s="25" t="s">
        <v>407</v>
      </c>
      <c r="B160" s="196" t="s">
        <v>408</v>
      </c>
      <c r="C160" s="25" t="s">
        <v>60</v>
      </c>
      <c r="D160" s="73">
        <f t="shared" si="20"/>
        <v>32645.786</v>
      </c>
      <c r="E160" s="18"/>
      <c r="F160" s="74"/>
      <c r="H160" s="47">
        <f>23778.66+4608.98</f>
        <v>28387.64</v>
      </c>
      <c r="I160" s="47">
        <f t="shared" si="17"/>
        <v>4258.1459999999997</v>
      </c>
      <c r="J160" s="47">
        <f t="shared" si="18"/>
        <v>32645.786</v>
      </c>
      <c r="M160" s="47">
        <f t="shared" si="19"/>
        <v>6.2780357692307689</v>
      </c>
    </row>
    <row r="161" spans="1:13" ht="14.1" customHeight="1">
      <c r="A161" s="25" t="s">
        <v>409</v>
      </c>
      <c r="B161" s="80" t="s">
        <v>410</v>
      </c>
      <c r="C161" s="25" t="s">
        <v>60</v>
      </c>
      <c r="D161" s="73">
        <f t="shared" si="20"/>
        <v>10350</v>
      </c>
      <c r="E161" s="18"/>
      <c r="F161" s="74"/>
      <c r="H161" s="47">
        <f>9*1000</f>
        <v>9000</v>
      </c>
      <c r="I161" s="47">
        <f t="shared" si="17"/>
        <v>1350</v>
      </c>
      <c r="J161" s="47">
        <f t="shared" si="18"/>
        <v>10350</v>
      </c>
      <c r="M161" s="47">
        <f t="shared" si="19"/>
        <v>1.9903846153846154</v>
      </c>
    </row>
    <row r="162" spans="1:13" ht="8.4499999999999993" customHeight="1">
      <c r="A162" s="16"/>
      <c r="B162" s="17"/>
      <c r="C162" s="25"/>
      <c r="D162" s="73"/>
      <c r="E162" s="18"/>
      <c r="F162" s="74"/>
      <c r="M162" s="47">
        <f t="shared" si="19"/>
        <v>0</v>
      </c>
    </row>
    <row r="163" spans="1:13">
      <c r="A163" s="16">
        <v>3.4</v>
      </c>
      <c r="B163" s="17" t="s">
        <v>411</v>
      </c>
      <c r="C163" s="25"/>
      <c r="D163" s="73"/>
      <c r="E163" s="71"/>
      <c r="F163" s="39"/>
      <c r="I163" s="47">
        <f t="shared" si="17"/>
        <v>0</v>
      </c>
      <c r="J163" s="47">
        <f t="shared" si="18"/>
        <v>0</v>
      </c>
      <c r="M163" s="47">
        <f t="shared" si="19"/>
        <v>0</v>
      </c>
    </row>
    <row r="164" spans="1:13">
      <c r="A164" s="16"/>
      <c r="B164" s="17"/>
      <c r="C164" s="25"/>
      <c r="D164" s="73"/>
      <c r="E164" s="71"/>
      <c r="F164" s="39"/>
      <c r="I164" s="47">
        <f t="shared" si="17"/>
        <v>0</v>
      </c>
      <c r="J164" s="47">
        <f t="shared" si="18"/>
        <v>0</v>
      </c>
      <c r="M164" s="47">
        <f t="shared" si="19"/>
        <v>0</v>
      </c>
    </row>
    <row r="165" spans="1:13">
      <c r="A165" s="16"/>
      <c r="B165" s="17" t="s">
        <v>1019</v>
      </c>
      <c r="C165" s="25"/>
      <c r="D165" s="73">
        <f t="shared" ref="D165" si="21">J165</f>
        <v>38605.5</v>
      </c>
      <c r="E165" s="71"/>
      <c r="F165" s="39"/>
      <c r="H165" s="47">
        <v>33570</v>
      </c>
      <c r="I165" s="47">
        <f t="shared" si="17"/>
        <v>5035.5</v>
      </c>
      <c r="J165" s="47">
        <f t="shared" si="18"/>
        <v>38605.5</v>
      </c>
      <c r="M165" s="47">
        <f t="shared" si="19"/>
        <v>7.4241346153846157</v>
      </c>
    </row>
    <row r="166" spans="1:13">
      <c r="A166" s="16"/>
      <c r="B166" s="17"/>
      <c r="C166" s="25"/>
      <c r="D166" s="73"/>
      <c r="E166" s="71"/>
      <c r="F166" s="39"/>
      <c r="I166" s="47">
        <f t="shared" si="17"/>
        <v>0</v>
      </c>
      <c r="J166" s="47">
        <f t="shared" si="18"/>
        <v>0</v>
      </c>
      <c r="M166" s="47">
        <f t="shared" si="19"/>
        <v>0</v>
      </c>
    </row>
    <row r="167" spans="1:13">
      <c r="A167" s="16"/>
      <c r="B167" s="17"/>
      <c r="C167" s="25"/>
      <c r="D167" s="73"/>
      <c r="E167" s="71"/>
      <c r="F167" s="39"/>
      <c r="I167" s="47">
        <f t="shared" si="17"/>
        <v>0</v>
      </c>
      <c r="J167" s="47">
        <f t="shared" si="18"/>
        <v>0</v>
      </c>
      <c r="M167" s="47">
        <f t="shared" si="19"/>
        <v>0</v>
      </c>
    </row>
    <row r="168" spans="1:13">
      <c r="A168" s="16"/>
      <c r="B168" s="17"/>
      <c r="C168" s="25"/>
      <c r="D168" s="73"/>
      <c r="E168" s="71"/>
      <c r="F168" s="39"/>
      <c r="I168" s="47">
        <f t="shared" si="17"/>
        <v>0</v>
      </c>
      <c r="J168" s="47">
        <f t="shared" si="18"/>
        <v>0</v>
      </c>
      <c r="M168" s="47">
        <f t="shared" si="19"/>
        <v>0</v>
      </c>
    </row>
    <row r="169" spans="1:13" ht="14.1" customHeight="1">
      <c r="A169" s="16"/>
      <c r="B169" s="17"/>
      <c r="C169" s="25"/>
      <c r="D169" s="39"/>
      <c r="E169" s="71"/>
      <c r="F169" s="39"/>
      <c r="I169" s="47">
        <f t="shared" si="17"/>
        <v>0</v>
      </c>
      <c r="J169" s="47">
        <f t="shared" si="18"/>
        <v>0</v>
      </c>
      <c r="M169" s="47">
        <f t="shared" si="19"/>
        <v>0</v>
      </c>
    </row>
    <row r="170" spans="1:13" ht="14.1" customHeight="1">
      <c r="A170" s="75"/>
      <c r="B170" s="76"/>
      <c r="C170" s="77"/>
      <c r="D170" s="78" t="s">
        <v>412</v>
      </c>
      <c r="E170" s="79" t="s">
        <v>60</v>
      </c>
      <c r="F170" s="78">
        <f>SUM(D144:D169)</f>
        <v>220964.9215</v>
      </c>
      <c r="I170" s="47">
        <f t="shared" si="17"/>
        <v>0</v>
      </c>
      <c r="J170" s="47">
        <f t="shared" si="18"/>
        <v>0</v>
      </c>
      <c r="M170" s="47" t="e">
        <f t="shared" si="19"/>
        <v>#VALUE!</v>
      </c>
    </row>
    <row r="171" spans="1:13" ht="14.1" customHeight="1">
      <c r="A171" s="16"/>
      <c r="B171" s="17"/>
      <c r="C171" s="25"/>
      <c r="D171" s="39"/>
      <c r="E171" s="71"/>
      <c r="F171" s="70"/>
      <c r="I171" s="47">
        <f t="shared" si="17"/>
        <v>0</v>
      </c>
      <c r="J171" s="47">
        <f t="shared" si="18"/>
        <v>0</v>
      </c>
      <c r="M171" s="47">
        <f t="shared" si="19"/>
        <v>0</v>
      </c>
    </row>
    <row r="172" spans="1:13" ht="14.25" customHeight="1">
      <c r="A172" s="19">
        <v>4</v>
      </c>
      <c r="B172" s="82" t="s">
        <v>413</v>
      </c>
      <c r="C172" s="25"/>
      <c r="D172" s="39"/>
      <c r="E172" s="18"/>
      <c r="F172" s="74"/>
      <c r="I172" s="47">
        <f t="shared" ref="I172:I235" si="22">H172*$I$3</f>
        <v>0</v>
      </c>
      <c r="J172" s="47">
        <f t="shared" ref="J172:J235" si="23">SUM(H172:I172)</f>
        <v>0</v>
      </c>
      <c r="M172" s="47">
        <f t="shared" si="19"/>
        <v>0</v>
      </c>
    </row>
    <row r="173" spans="1:13" ht="14.25" customHeight="1">
      <c r="B173" s="82"/>
      <c r="C173" s="25"/>
      <c r="D173" s="39"/>
      <c r="E173" s="18"/>
      <c r="F173" s="74"/>
      <c r="I173" s="47">
        <f t="shared" si="22"/>
        <v>0</v>
      </c>
      <c r="J173" s="47">
        <f t="shared" si="23"/>
        <v>0</v>
      </c>
      <c r="M173" s="47">
        <f t="shared" si="19"/>
        <v>0</v>
      </c>
    </row>
    <row r="174" spans="1:13" ht="14.25" customHeight="1">
      <c r="A174" s="16">
        <v>4.0999999999999996</v>
      </c>
      <c r="B174" s="26" t="s">
        <v>414</v>
      </c>
      <c r="C174" s="25" t="s">
        <v>60</v>
      </c>
      <c r="D174" s="73">
        <f>J174</f>
        <v>0</v>
      </c>
      <c r="E174" s="18"/>
      <c r="F174" s="74"/>
      <c r="I174" s="47">
        <f t="shared" si="22"/>
        <v>0</v>
      </c>
      <c r="J174" s="47">
        <f t="shared" si="23"/>
        <v>0</v>
      </c>
      <c r="M174" s="47">
        <f t="shared" si="19"/>
        <v>0</v>
      </c>
    </row>
    <row r="175" spans="1:13" ht="8.4499999999999993" customHeight="1">
      <c r="A175" s="16"/>
      <c r="B175" s="17"/>
      <c r="C175" s="25"/>
      <c r="D175" s="73">
        <f t="shared" ref="D175:D189" si="24">J175</f>
        <v>0</v>
      </c>
      <c r="E175" s="18"/>
      <c r="F175" s="74"/>
      <c r="I175" s="47">
        <f t="shared" si="22"/>
        <v>0</v>
      </c>
      <c r="J175" s="47">
        <f t="shared" si="23"/>
        <v>0</v>
      </c>
      <c r="M175" s="47">
        <f t="shared" si="19"/>
        <v>0</v>
      </c>
    </row>
    <row r="176" spans="1:13" ht="14.25" customHeight="1">
      <c r="A176" s="16" t="s">
        <v>415</v>
      </c>
      <c r="B176" s="26" t="s">
        <v>416</v>
      </c>
      <c r="C176" s="25"/>
      <c r="D176" s="73">
        <f t="shared" si="24"/>
        <v>0</v>
      </c>
      <c r="E176" s="18"/>
      <c r="F176" s="74"/>
      <c r="I176" s="47">
        <f t="shared" si="22"/>
        <v>0</v>
      </c>
      <c r="J176" s="47">
        <f t="shared" si="23"/>
        <v>0</v>
      </c>
      <c r="M176" s="47">
        <f t="shared" si="19"/>
        <v>0</v>
      </c>
    </row>
    <row r="177" spans="1:13" ht="27.75" customHeight="1">
      <c r="A177" s="25" t="s">
        <v>417</v>
      </c>
      <c r="B177" s="81" t="s">
        <v>418</v>
      </c>
      <c r="C177" s="25" t="s">
        <v>60</v>
      </c>
      <c r="D177" s="73">
        <f t="shared" si="24"/>
        <v>2587.5</v>
      </c>
      <c r="E177" s="18"/>
      <c r="F177" s="204" t="s">
        <v>993</v>
      </c>
      <c r="H177" s="47">
        <f>250*9</f>
        <v>2250</v>
      </c>
      <c r="I177" s="47">
        <f t="shared" si="22"/>
        <v>337.5</v>
      </c>
      <c r="J177" s="47">
        <f t="shared" si="23"/>
        <v>2587.5</v>
      </c>
      <c r="M177" s="47">
        <f t="shared" si="19"/>
        <v>0.49759615384615385</v>
      </c>
    </row>
    <row r="178" spans="1:13" ht="8.4499999999999993" customHeight="1">
      <c r="A178" s="16"/>
      <c r="B178" s="17"/>
      <c r="C178" s="25"/>
      <c r="D178" s="73">
        <f t="shared" si="24"/>
        <v>0</v>
      </c>
      <c r="E178" s="18"/>
      <c r="F178" s="74"/>
      <c r="I178" s="47">
        <f t="shared" si="22"/>
        <v>0</v>
      </c>
      <c r="J178" s="47">
        <f t="shared" si="23"/>
        <v>0</v>
      </c>
      <c r="M178" s="47">
        <f t="shared" si="19"/>
        <v>0</v>
      </c>
    </row>
    <row r="179" spans="1:13" ht="15" customHeight="1">
      <c r="A179" s="16" t="s">
        <v>419</v>
      </c>
      <c r="B179" s="81" t="s">
        <v>420</v>
      </c>
      <c r="C179" s="25" t="s">
        <v>60</v>
      </c>
      <c r="D179" s="73">
        <f t="shared" si="24"/>
        <v>46575</v>
      </c>
      <c r="E179" s="18"/>
      <c r="F179" s="74"/>
      <c r="H179" s="47">
        <f>4500*9</f>
        <v>40500</v>
      </c>
      <c r="I179" s="47">
        <f t="shared" si="22"/>
        <v>6075</v>
      </c>
      <c r="J179" s="47">
        <f t="shared" si="23"/>
        <v>46575</v>
      </c>
      <c r="K179" s="47" t="s">
        <v>1000</v>
      </c>
      <c r="M179" s="47">
        <f t="shared" si="19"/>
        <v>8.9567307692307701</v>
      </c>
    </row>
    <row r="180" spans="1:13" ht="8.4499999999999993" customHeight="1">
      <c r="A180" s="16"/>
      <c r="B180" s="17"/>
      <c r="C180" s="25"/>
      <c r="D180" s="73">
        <f t="shared" si="24"/>
        <v>0</v>
      </c>
      <c r="E180" s="18"/>
      <c r="F180" s="74"/>
      <c r="I180" s="47">
        <f t="shared" si="22"/>
        <v>0</v>
      </c>
      <c r="J180" s="47">
        <f t="shared" si="23"/>
        <v>0</v>
      </c>
      <c r="M180" s="47">
        <f t="shared" si="19"/>
        <v>0</v>
      </c>
    </row>
    <row r="181" spans="1:13">
      <c r="A181" s="16" t="s">
        <v>421</v>
      </c>
      <c r="B181" s="81" t="s">
        <v>422</v>
      </c>
      <c r="C181" s="25" t="s">
        <v>60</v>
      </c>
      <c r="D181" s="73">
        <f t="shared" si="24"/>
        <v>0</v>
      </c>
      <c r="E181" s="18"/>
      <c r="F181" s="74"/>
      <c r="I181" s="47">
        <f t="shared" si="22"/>
        <v>0</v>
      </c>
      <c r="J181" s="47">
        <f t="shared" si="23"/>
        <v>0</v>
      </c>
      <c r="M181" s="47">
        <f t="shared" si="19"/>
        <v>0</v>
      </c>
    </row>
    <row r="182" spans="1:13" ht="8.4499999999999993" customHeight="1">
      <c r="A182" s="16"/>
      <c r="B182" s="17"/>
      <c r="C182" s="25"/>
      <c r="D182" s="73">
        <f t="shared" si="24"/>
        <v>0</v>
      </c>
      <c r="E182" s="18"/>
      <c r="F182" s="74"/>
      <c r="I182" s="47">
        <f t="shared" si="22"/>
        <v>0</v>
      </c>
      <c r="J182" s="47">
        <f t="shared" si="23"/>
        <v>0</v>
      </c>
      <c r="M182" s="47">
        <f t="shared" si="19"/>
        <v>0</v>
      </c>
    </row>
    <row r="183" spans="1:13" ht="14.25" customHeight="1">
      <c r="A183" s="16" t="s">
        <v>421</v>
      </c>
      <c r="B183" s="81" t="s">
        <v>423</v>
      </c>
      <c r="C183" s="25" t="s">
        <v>60</v>
      </c>
      <c r="D183" s="73">
        <f t="shared" si="24"/>
        <v>1150</v>
      </c>
      <c r="E183" s="18"/>
      <c r="F183" s="74"/>
      <c r="H183" s="47">
        <v>1000</v>
      </c>
      <c r="I183" s="47">
        <f t="shared" si="22"/>
        <v>150</v>
      </c>
      <c r="J183" s="47">
        <f t="shared" si="23"/>
        <v>1150</v>
      </c>
      <c r="K183" s="47" t="s">
        <v>911</v>
      </c>
      <c r="M183" s="47">
        <f t="shared" si="19"/>
        <v>0.22115384615384615</v>
      </c>
    </row>
    <row r="184" spans="1:13" ht="8.4499999999999993" customHeight="1">
      <c r="A184" s="16"/>
      <c r="B184" s="17"/>
      <c r="C184" s="25"/>
      <c r="D184" s="73">
        <f t="shared" si="24"/>
        <v>0</v>
      </c>
      <c r="E184" s="18"/>
      <c r="F184" s="74"/>
      <c r="I184" s="47">
        <f t="shared" si="22"/>
        <v>0</v>
      </c>
      <c r="J184" s="47">
        <f t="shared" si="23"/>
        <v>0</v>
      </c>
      <c r="M184" s="47">
        <f t="shared" si="19"/>
        <v>0</v>
      </c>
    </row>
    <row r="185" spans="1:13" ht="14.25" customHeight="1">
      <c r="A185" s="16">
        <v>4.2</v>
      </c>
      <c r="B185" s="17" t="s">
        <v>424</v>
      </c>
      <c r="C185" s="25"/>
      <c r="D185" s="73">
        <f t="shared" si="24"/>
        <v>0</v>
      </c>
      <c r="E185" s="71"/>
      <c r="F185" s="39"/>
      <c r="I185" s="47">
        <f t="shared" si="22"/>
        <v>0</v>
      </c>
      <c r="J185" s="47">
        <f t="shared" si="23"/>
        <v>0</v>
      </c>
      <c r="M185" s="47">
        <f t="shared" si="19"/>
        <v>0</v>
      </c>
    </row>
    <row r="186" spans="1:13" ht="14.25" customHeight="1">
      <c r="A186" s="16"/>
      <c r="B186" s="17" t="s">
        <v>425</v>
      </c>
      <c r="C186" s="25" t="s">
        <v>60</v>
      </c>
      <c r="D186" s="73">
        <f t="shared" si="24"/>
        <v>0</v>
      </c>
      <c r="E186" s="71"/>
      <c r="F186" s="39"/>
      <c r="I186" s="47">
        <f t="shared" si="22"/>
        <v>0</v>
      </c>
      <c r="J186" s="47">
        <f t="shared" si="23"/>
        <v>0</v>
      </c>
      <c r="M186" s="47">
        <f t="shared" si="19"/>
        <v>0</v>
      </c>
    </row>
    <row r="187" spans="1:13" ht="14.25" customHeight="1">
      <c r="A187" s="16"/>
      <c r="B187" s="17" t="s">
        <v>426</v>
      </c>
      <c r="C187" s="25" t="s">
        <v>60</v>
      </c>
      <c r="D187" s="73">
        <f t="shared" si="24"/>
        <v>8625</v>
      </c>
      <c r="E187" s="71"/>
      <c r="F187" s="39"/>
      <c r="G187" s="47" t="s">
        <v>958</v>
      </c>
      <c r="H187" s="47">
        <v>7500</v>
      </c>
      <c r="I187" s="47">
        <f>H187*$I$3</f>
        <v>1125</v>
      </c>
      <c r="J187" s="47">
        <f t="shared" si="23"/>
        <v>8625</v>
      </c>
      <c r="M187" s="47">
        <f t="shared" si="19"/>
        <v>1.6586538461538463</v>
      </c>
    </row>
    <row r="188" spans="1:13" ht="14.25" customHeight="1">
      <c r="A188" s="16"/>
      <c r="B188" s="17" t="s">
        <v>427</v>
      </c>
      <c r="C188" s="25" t="s">
        <v>60</v>
      </c>
      <c r="D188" s="73">
        <f t="shared" si="24"/>
        <v>1437.5</v>
      </c>
      <c r="E188" s="71"/>
      <c r="F188" s="39"/>
      <c r="H188" s="47">
        <v>1250</v>
      </c>
      <c r="I188" s="47">
        <f t="shared" si="22"/>
        <v>187.5</v>
      </c>
      <c r="J188" s="47">
        <f t="shared" si="23"/>
        <v>1437.5</v>
      </c>
      <c r="M188" s="47">
        <f t="shared" si="19"/>
        <v>0.27644230769230771</v>
      </c>
    </row>
    <row r="189" spans="1:13" ht="14.25" customHeight="1">
      <c r="A189" s="16"/>
      <c r="B189" s="17" t="s">
        <v>428</v>
      </c>
      <c r="C189" s="25" t="s">
        <v>60</v>
      </c>
      <c r="D189" s="73">
        <f t="shared" si="24"/>
        <v>345</v>
      </c>
      <c r="E189" s="71"/>
      <c r="F189" s="39"/>
      <c r="H189" s="47">
        <v>300</v>
      </c>
      <c r="I189" s="47">
        <f t="shared" si="22"/>
        <v>45</v>
      </c>
      <c r="J189" s="47">
        <f t="shared" si="23"/>
        <v>345</v>
      </c>
      <c r="M189" s="47">
        <f t="shared" si="19"/>
        <v>6.6346153846153846E-2</v>
      </c>
    </row>
    <row r="190" spans="1:13" ht="14.25" customHeight="1">
      <c r="A190" s="16"/>
      <c r="B190" s="17"/>
      <c r="C190" s="25"/>
      <c r="D190" s="73"/>
      <c r="E190" s="71"/>
      <c r="F190" s="39"/>
      <c r="I190" s="47">
        <f t="shared" si="22"/>
        <v>0</v>
      </c>
      <c r="J190" s="47">
        <f t="shared" si="23"/>
        <v>0</v>
      </c>
      <c r="M190" s="47">
        <f t="shared" si="19"/>
        <v>0</v>
      </c>
    </row>
    <row r="191" spans="1:13" ht="14.25" customHeight="1">
      <c r="A191" s="16"/>
      <c r="B191" s="17"/>
      <c r="C191" s="25"/>
      <c r="D191" s="39"/>
      <c r="E191" s="71"/>
      <c r="F191" s="39"/>
      <c r="I191" s="47">
        <f t="shared" si="22"/>
        <v>0</v>
      </c>
      <c r="J191" s="47">
        <f t="shared" si="23"/>
        <v>0</v>
      </c>
      <c r="M191" s="47">
        <f t="shared" si="19"/>
        <v>0</v>
      </c>
    </row>
    <row r="192" spans="1:13" ht="14.1" customHeight="1">
      <c r="A192" s="75"/>
      <c r="B192" s="76"/>
      <c r="C192" s="77"/>
      <c r="D192" s="78" t="s">
        <v>429</v>
      </c>
      <c r="E192" s="79" t="s">
        <v>60</v>
      </c>
      <c r="F192" s="78">
        <f>SUM(D172:D191)</f>
        <v>60720</v>
      </c>
      <c r="I192" s="47">
        <f t="shared" si="22"/>
        <v>0</v>
      </c>
      <c r="J192" s="47">
        <f t="shared" si="23"/>
        <v>0</v>
      </c>
      <c r="M192" s="47" t="e">
        <f t="shared" si="19"/>
        <v>#VALUE!</v>
      </c>
    </row>
    <row r="193" spans="1:13" ht="14.1" customHeight="1">
      <c r="A193" s="16"/>
      <c r="B193" s="17"/>
      <c r="C193" s="25"/>
      <c r="D193" s="39"/>
      <c r="E193" s="71"/>
      <c r="F193" s="70"/>
      <c r="I193" s="47">
        <f t="shared" si="22"/>
        <v>0</v>
      </c>
      <c r="J193" s="47">
        <f t="shared" si="23"/>
        <v>0</v>
      </c>
      <c r="M193" s="47">
        <f t="shared" si="19"/>
        <v>0</v>
      </c>
    </row>
    <row r="194" spans="1:13" ht="14.25" customHeight="1">
      <c r="A194" s="19">
        <v>5</v>
      </c>
      <c r="B194" s="72" t="s">
        <v>430</v>
      </c>
      <c r="C194" s="25"/>
      <c r="D194" s="39"/>
      <c r="E194" s="18"/>
      <c r="F194" s="74"/>
      <c r="I194" s="47">
        <f t="shared" si="22"/>
        <v>0</v>
      </c>
      <c r="J194" s="47">
        <f t="shared" si="23"/>
        <v>0</v>
      </c>
      <c r="M194" s="47">
        <f t="shared" si="19"/>
        <v>0</v>
      </c>
    </row>
    <row r="195" spans="1:13" ht="8.4499999999999993" customHeight="1">
      <c r="A195" s="16"/>
      <c r="B195" s="17"/>
      <c r="C195" s="25"/>
      <c r="D195" s="39"/>
      <c r="E195" s="18"/>
      <c r="F195" s="74"/>
      <c r="I195" s="47">
        <f t="shared" si="22"/>
        <v>0</v>
      </c>
      <c r="J195" s="47">
        <f t="shared" si="23"/>
        <v>0</v>
      </c>
      <c r="M195" s="47">
        <f t="shared" si="19"/>
        <v>0</v>
      </c>
    </row>
    <row r="196" spans="1:13" ht="14.25" customHeight="1">
      <c r="A196" s="16">
        <v>5.0999999999999996</v>
      </c>
      <c r="B196" s="17" t="s">
        <v>431</v>
      </c>
      <c r="C196" s="25"/>
      <c r="D196" s="73"/>
      <c r="E196" s="18"/>
      <c r="F196" s="74"/>
      <c r="I196" s="47">
        <f t="shared" si="22"/>
        <v>0</v>
      </c>
      <c r="J196" s="47">
        <f t="shared" si="23"/>
        <v>0</v>
      </c>
      <c r="M196" s="47">
        <f t="shared" si="19"/>
        <v>0</v>
      </c>
    </row>
    <row r="197" spans="1:13" ht="14.25" customHeight="1">
      <c r="A197" s="25" t="s">
        <v>432</v>
      </c>
      <c r="B197" s="80" t="s">
        <v>433</v>
      </c>
      <c r="C197" s="25" t="s">
        <v>60</v>
      </c>
      <c r="D197" s="73">
        <f t="shared" ref="D197:D244" si="25">J197</f>
        <v>23287.5</v>
      </c>
      <c r="E197" s="18"/>
      <c r="F197" s="74"/>
      <c r="H197" s="47">
        <v>20250</v>
      </c>
      <c r="I197" s="47">
        <f t="shared" si="22"/>
        <v>3037.5</v>
      </c>
      <c r="J197" s="47">
        <f t="shared" si="23"/>
        <v>23287.5</v>
      </c>
      <c r="M197" s="47">
        <f t="shared" si="19"/>
        <v>4.478365384615385</v>
      </c>
    </row>
    <row r="198" spans="1:13" ht="14.25" customHeight="1">
      <c r="A198" s="25" t="s">
        <v>434</v>
      </c>
      <c r="B198" s="80" t="s">
        <v>435</v>
      </c>
      <c r="C198" s="25" t="s">
        <v>60</v>
      </c>
      <c r="D198" s="73">
        <f t="shared" si="25"/>
        <v>0</v>
      </c>
      <c r="E198" s="18"/>
      <c r="F198" s="74"/>
      <c r="I198" s="47">
        <f t="shared" si="22"/>
        <v>0</v>
      </c>
      <c r="J198" s="47">
        <f t="shared" si="23"/>
        <v>0</v>
      </c>
      <c r="M198" s="47">
        <f t="shared" si="19"/>
        <v>0</v>
      </c>
    </row>
    <row r="199" spans="1:13" ht="8.4499999999999993" customHeight="1">
      <c r="A199" s="16"/>
      <c r="B199" s="17"/>
      <c r="C199" s="25"/>
      <c r="D199" s="73">
        <f t="shared" si="25"/>
        <v>0</v>
      </c>
      <c r="E199" s="18"/>
      <c r="F199" s="74"/>
      <c r="I199" s="47">
        <f t="shared" si="22"/>
        <v>0</v>
      </c>
      <c r="J199" s="47">
        <f t="shared" si="23"/>
        <v>0</v>
      </c>
      <c r="M199" s="47">
        <f t="shared" si="19"/>
        <v>0</v>
      </c>
    </row>
    <row r="200" spans="1:13" ht="14.25" customHeight="1">
      <c r="A200" s="16">
        <v>5.2</v>
      </c>
      <c r="B200" s="17" t="s">
        <v>436</v>
      </c>
      <c r="C200" s="25" t="s">
        <v>60</v>
      </c>
      <c r="D200" s="73">
        <f t="shared" si="25"/>
        <v>0</v>
      </c>
      <c r="E200" s="18"/>
      <c r="F200" s="74"/>
      <c r="I200" s="47">
        <f t="shared" si="22"/>
        <v>0</v>
      </c>
      <c r="J200" s="47">
        <f t="shared" si="23"/>
        <v>0</v>
      </c>
      <c r="M200" s="47">
        <f t="shared" ref="M200:M241" si="26">D200/$M$1</f>
        <v>0</v>
      </c>
    </row>
    <row r="201" spans="1:13" ht="8.4499999999999993" customHeight="1">
      <c r="A201" s="16"/>
      <c r="B201" s="17"/>
      <c r="C201" s="25"/>
      <c r="D201" s="73">
        <f t="shared" si="25"/>
        <v>0</v>
      </c>
      <c r="E201" s="18"/>
      <c r="F201" s="74"/>
      <c r="I201" s="47">
        <f t="shared" si="22"/>
        <v>0</v>
      </c>
      <c r="J201" s="47">
        <f t="shared" si="23"/>
        <v>0</v>
      </c>
      <c r="M201" s="47">
        <f t="shared" si="26"/>
        <v>0</v>
      </c>
    </row>
    <row r="202" spans="1:13" ht="14.25" customHeight="1">
      <c r="A202" s="16">
        <v>5.3</v>
      </c>
      <c r="B202" s="17" t="s">
        <v>437</v>
      </c>
      <c r="C202" s="25"/>
      <c r="D202" s="73">
        <f t="shared" si="25"/>
        <v>0</v>
      </c>
      <c r="E202" s="18"/>
      <c r="F202" s="74"/>
      <c r="I202" s="47">
        <f t="shared" si="22"/>
        <v>0</v>
      </c>
      <c r="J202" s="47">
        <f t="shared" si="23"/>
        <v>0</v>
      </c>
      <c r="M202" s="47">
        <f t="shared" si="26"/>
        <v>0</v>
      </c>
    </row>
    <row r="203" spans="1:13" ht="14.25" customHeight="1">
      <c r="A203" s="25" t="s">
        <v>438</v>
      </c>
      <c r="B203" s="80" t="s">
        <v>439</v>
      </c>
      <c r="C203" s="25" t="s">
        <v>60</v>
      </c>
      <c r="D203" s="73">
        <f t="shared" si="25"/>
        <v>27600</v>
      </c>
      <c r="E203" s="18"/>
      <c r="F203" s="74"/>
      <c r="H203" s="47">
        <v>24000</v>
      </c>
      <c r="I203" s="47">
        <f t="shared" si="22"/>
        <v>3600</v>
      </c>
      <c r="J203" s="47">
        <f t="shared" si="23"/>
        <v>27600</v>
      </c>
      <c r="M203" s="47">
        <f t="shared" si="26"/>
        <v>5.3076923076923075</v>
      </c>
    </row>
    <row r="204" spans="1:13" ht="14.25" customHeight="1">
      <c r="A204" s="25" t="s">
        <v>440</v>
      </c>
      <c r="B204" s="80" t="s">
        <v>441</v>
      </c>
      <c r="C204" s="25" t="s">
        <v>60</v>
      </c>
      <c r="D204" s="73">
        <f t="shared" si="25"/>
        <v>0</v>
      </c>
      <c r="E204" s="18"/>
      <c r="F204" s="74"/>
      <c r="I204" s="47">
        <f t="shared" si="22"/>
        <v>0</v>
      </c>
      <c r="J204" s="47">
        <f t="shared" si="23"/>
        <v>0</v>
      </c>
      <c r="M204" s="47">
        <f t="shared" si="26"/>
        <v>0</v>
      </c>
    </row>
    <row r="205" spans="1:13" ht="8.4499999999999993" customHeight="1">
      <c r="A205" s="16"/>
      <c r="B205" s="17"/>
      <c r="C205" s="25"/>
      <c r="D205" s="73">
        <f t="shared" si="25"/>
        <v>0</v>
      </c>
      <c r="E205" s="18"/>
      <c r="F205" s="74"/>
      <c r="I205" s="47">
        <f t="shared" si="22"/>
        <v>0</v>
      </c>
      <c r="J205" s="47">
        <f t="shared" si="23"/>
        <v>0</v>
      </c>
      <c r="M205" s="47">
        <f t="shared" si="26"/>
        <v>0</v>
      </c>
    </row>
    <row r="206" spans="1:13" ht="14.25" customHeight="1">
      <c r="A206" s="16">
        <v>5.4</v>
      </c>
      <c r="B206" s="17" t="s">
        <v>442</v>
      </c>
      <c r="C206" s="25"/>
      <c r="D206" s="73">
        <f t="shared" si="25"/>
        <v>0</v>
      </c>
      <c r="E206" s="18"/>
      <c r="F206" s="74"/>
      <c r="I206" s="47">
        <f t="shared" si="22"/>
        <v>0</v>
      </c>
      <c r="J206" s="47">
        <f t="shared" si="23"/>
        <v>0</v>
      </c>
      <c r="M206" s="47">
        <f t="shared" si="26"/>
        <v>0</v>
      </c>
    </row>
    <row r="207" spans="1:13" ht="14.25" customHeight="1">
      <c r="A207" s="25" t="s">
        <v>443</v>
      </c>
      <c r="B207" s="80" t="s">
        <v>444</v>
      </c>
      <c r="C207" s="25" t="s">
        <v>60</v>
      </c>
      <c r="D207" s="73">
        <f t="shared" si="25"/>
        <v>16818.75</v>
      </c>
      <c r="E207" s="18"/>
      <c r="F207" s="74"/>
      <c r="H207" s="47">
        <v>14625</v>
      </c>
      <c r="I207" s="47">
        <f t="shared" si="22"/>
        <v>2193.75</v>
      </c>
      <c r="J207" s="47">
        <f t="shared" si="23"/>
        <v>16818.75</v>
      </c>
      <c r="M207" s="47">
        <f t="shared" si="26"/>
        <v>3.234375</v>
      </c>
    </row>
    <row r="208" spans="1:13" ht="14.25" customHeight="1">
      <c r="A208" s="25" t="s">
        <v>445</v>
      </c>
      <c r="B208" s="80" t="s">
        <v>446</v>
      </c>
      <c r="C208" s="25" t="s">
        <v>60</v>
      </c>
      <c r="D208" s="73">
        <f t="shared" si="25"/>
        <v>0</v>
      </c>
      <c r="E208" s="18"/>
      <c r="F208" s="74"/>
      <c r="I208" s="47">
        <f t="shared" si="22"/>
        <v>0</v>
      </c>
      <c r="J208" s="47">
        <f t="shared" si="23"/>
        <v>0</v>
      </c>
      <c r="M208" s="47">
        <f t="shared" si="26"/>
        <v>0</v>
      </c>
    </row>
    <row r="209" spans="1:13" ht="8.4499999999999993" customHeight="1">
      <c r="A209" s="16"/>
      <c r="B209" s="17"/>
      <c r="C209" s="25"/>
      <c r="D209" s="73">
        <f t="shared" si="25"/>
        <v>0</v>
      </c>
      <c r="E209" s="18"/>
      <c r="F209" s="74"/>
      <c r="I209" s="47">
        <f t="shared" si="22"/>
        <v>0</v>
      </c>
      <c r="J209" s="47">
        <f t="shared" si="23"/>
        <v>0</v>
      </c>
      <c r="M209" s="47">
        <f t="shared" si="26"/>
        <v>0</v>
      </c>
    </row>
    <row r="210" spans="1:13" ht="14.25" customHeight="1">
      <c r="A210" s="16">
        <v>5.5</v>
      </c>
      <c r="B210" s="17" t="s">
        <v>447</v>
      </c>
      <c r="C210" s="25"/>
      <c r="D210" s="73">
        <f t="shared" si="25"/>
        <v>0</v>
      </c>
      <c r="E210" s="18"/>
      <c r="F210" s="74"/>
      <c r="I210" s="47">
        <f t="shared" si="22"/>
        <v>0</v>
      </c>
      <c r="J210" s="47">
        <f t="shared" si="23"/>
        <v>0</v>
      </c>
      <c r="M210" s="47">
        <f t="shared" si="26"/>
        <v>0</v>
      </c>
    </row>
    <row r="211" spans="1:13" ht="14.25" customHeight="1">
      <c r="A211" s="25" t="s">
        <v>448</v>
      </c>
      <c r="B211" s="81" t="s">
        <v>449</v>
      </c>
      <c r="C211" s="25" t="s">
        <v>60</v>
      </c>
      <c r="D211" s="73">
        <f t="shared" si="25"/>
        <v>0</v>
      </c>
      <c r="E211" s="18"/>
      <c r="F211" s="74"/>
      <c r="I211" s="47">
        <f t="shared" si="22"/>
        <v>0</v>
      </c>
      <c r="J211" s="47">
        <f t="shared" si="23"/>
        <v>0</v>
      </c>
      <c r="M211" s="47">
        <f t="shared" si="26"/>
        <v>0</v>
      </c>
    </row>
    <row r="212" spans="1:13" ht="14.25" customHeight="1">
      <c r="A212" s="25" t="s">
        <v>448</v>
      </c>
      <c r="B212" s="81" t="s">
        <v>450</v>
      </c>
      <c r="C212" s="25" t="s">
        <v>60</v>
      </c>
      <c r="D212" s="73">
        <f t="shared" si="25"/>
        <v>0</v>
      </c>
      <c r="E212" s="18"/>
      <c r="F212" s="74"/>
      <c r="I212" s="47">
        <f t="shared" si="22"/>
        <v>0</v>
      </c>
      <c r="J212" s="47">
        <f t="shared" si="23"/>
        <v>0</v>
      </c>
      <c r="M212" s="47">
        <f t="shared" si="26"/>
        <v>0</v>
      </c>
    </row>
    <row r="213" spans="1:13" ht="14.25" customHeight="1">
      <c r="A213" s="25" t="s">
        <v>448</v>
      </c>
      <c r="B213" s="81" t="s">
        <v>451</v>
      </c>
      <c r="C213" s="25"/>
      <c r="D213" s="73">
        <f t="shared" si="25"/>
        <v>109968.75</v>
      </c>
      <c r="E213" s="18"/>
      <c r="F213" s="74"/>
      <c r="H213" s="47">
        <v>95625</v>
      </c>
      <c r="I213" s="47">
        <f t="shared" si="22"/>
        <v>14343.75</v>
      </c>
      <c r="J213" s="47">
        <f t="shared" si="23"/>
        <v>109968.75</v>
      </c>
      <c r="M213" s="47">
        <f t="shared" si="26"/>
        <v>21.14783653846154</v>
      </c>
    </row>
    <row r="214" spans="1:13" ht="8.4499999999999993" customHeight="1">
      <c r="A214" s="16"/>
      <c r="B214" s="17"/>
      <c r="C214" s="25"/>
      <c r="D214" s="73">
        <f t="shared" si="25"/>
        <v>0</v>
      </c>
      <c r="E214" s="18"/>
      <c r="F214" s="74"/>
      <c r="I214" s="47">
        <f t="shared" si="22"/>
        <v>0</v>
      </c>
      <c r="J214" s="47">
        <f t="shared" si="23"/>
        <v>0</v>
      </c>
      <c r="M214" s="47">
        <f t="shared" si="26"/>
        <v>0</v>
      </c>
    </row>
    <row r="215" spans="1:13" ht="14.25" customHeight="1">
      <c r="A215" s="16">
        <v>5.6</v>
      </c>
      <c r="B215" s="17" t="s">
        <v>452</v>
      </c>
      <c r="C215" s="25"/>
      <c r="D215" s="73">
        <f t="shared" si="25"/>
        <v>0</v>
      </c>
      <c r="E215" s="18"/>
      <c r="F215" s="74"/>
      <c r="I215" s="47">
        <f t="shared" si="22"/>
        <v>0</v>
      </c>
      <c r="J215" s="47">
        <f t="shared" si="23"/>
        <v>0</v>
      </c>
      <c r="M215" s="47">
        <f t="shared" si="26"/>
        <v>0</v>
      </c>
    </row>
    <row r="216" spans="1:13" ht="14.25" customHeight="1">
      <c r="A216" s="25" t="s">
        <v>453</v>
      </c>
      <c r="B216" s="81" t="s">
        <v>454</v>
      </c>
      <c r="C216" s="25" t="s">
        <v>60</v>
      </c>
      <c r="D216" s="73">
        <f t="shared" si="25"/>
        <v>0</v>
      </c>
      <c r="E216" s="18"/>
      <c r="F216" s="74"/>
      <c r="I216" s="47">
        <f t="shared" si="22"/>
        <v>0</v>
      </c>
      <c r="J216" s="47">
        <f t="shared" si="23"/>
        <v>0</v>
      </c>
      <c r="M216" s="47">
        <f t="shared" si="26"/>
        <v>0</v>
      </c>
    </row>
    <row r="217" spans="1:13" ht="14.25" customHeight="1">
      <c r="A217" s="25" t="s">
        <v>455</v>
      </c>
      <c r="B217" s="81" t="s">
        <v>456</v>
      </c>
      <c r="C217" s="25" t="s">
        <v>60</v>
      </c>
      <c r="D217" s="73">
        <f t="shared" si="25"/>
        <v>0</v>
      </c>
      <c r="E217" s="18"/>
      <c r="F217" s="74"/>
      <c r="I217" s="47">
        <f t="shared" si="22"/>
        <v>0</v>
      </c>
      <c r="J217" s="47">
        <f t="shared" si="23"/>
        <v>0</v>
      </c>
      <c r="M217" s="47">
        <f t="shared" si="26"/>
        <v>0</v>
      </c>
    </row>
    <row r="218" spans="1:13" ht="8.4499999999999993" customHeight="1">
      <c r="A218" s="16"/>
      <c r="B218" s="17"/>
      <c r="C218" s="25"/>
      <c r="D218" s="73">
        <f t="shared" si="25"/>
        <v>0</v>
      </c>
      <c r="E218" s="18"/>
      <c r="F218" s="74"/>
      <c r="I218" s="47">
        <f t="shared" si="22"/>
        <v>0</v>
      </c>
      <c r="J218" s="47">
        <f t="shared" si="23"/>
        <v>0</v>
      </c>
      <c r="M218" s="47">
        <f t="shared" si="26"/>
        <v>0</v>
      </c>
    </row>
    <row r="219" spans="1:13" ht="14.25" customHeight="1">
      <c r="A219" s="16">
        <v>5.7</v>
      </c>
      <c r="B219" s="17" t="s">
        <v>457</v>
      </c>
      <c r="C219" s="25"/>
      <c r="D219" s="73">
        <f t="shared" si="25"/>
        <v>0</v>
      </c>
      <c r="E219" s="18"/>
      <c r="F219" s="74"/>
      <c r="I219" s="47">
        <f t="shared" si="22"/>
        <v>0</v>
      </c>
      <c r="J219" s="47">
        <f t="shared" si="23"/>
        <v>0</v>
      </c>
      <c r="M219" s="47">
        <f t="shared" si="26"/>
        <v>0</v>
      </c>
    </row>
    <row r="220" spans="1:13" ht="14.25" customHeight="1">
      <c r="A220" s="25" t="s">
        <v>458</v>
      </c>
      <c r="B220" s="81" t="s">
        <v>459</v>
      </c>
      <c r="C220" s="25" t="s">
        <v>60</v>
      </c>
      <c r="D220" s="73">
        <f t="shared" si="25"/>
        <v>77625</v>
      </c>
      <c r="E220" s="18"/>
      <c r="F220" s="74"/>
      <c r="H220" s="47">
        <v>67500</v>
      </c>
      <c r="I220" s="47">
        <f t="shared" si="22"/>
        <v>10125</v>
      </c>
      <c r="J220" s="47">
        <f t="shared" si="23"/>
        <v>77625</v>
      </c>
      <c r="M220" s="47">
        <f t="shared" si="26"/>
        <v>14.927884615384615</v>
      </c>
    </row>
    <row r="221" spans="1:13" ht="14.25" customHeight="1">
      <c r="A221" s="25" t="s">
        <v>460</v>
      </c>
      <c r="B221" s="81" t="s">
        <v>461</v>
      </c>
      <c r="C221" s="25"/>
      <c r="D221" s="73">
        <f t="shared" si="25"/>
        <v>0</v>
      </c>
      <c r="E221" s="18"/>
      <c r="F221" s="74"/>
      <c r="I221" s="47">
        <f t="shared" si="22"/>
        <v>0</v>
      </c>
      <c r="J221" s="47">
        <f t="shared" si="23"/>
        <v>0</v>
      </c>
      <c r="M221" s="47">
        <f t="shared" si="26"/>
        <v>0</v>
      </c>
    </row>
    <row r="222" spans="1:13" ht="8.4499999999999993" customHeight="1">
      <c r="A222" s="16"/>
      <c r="B222" s="17"/>
      <c r="C222" s="25"/>
      <c r="D222" s="73">
        <f t="shared" si="25"/>
        <v>0</v>
      </c>
      <c r="E222" s="18"/>
      <c r="F222" s="74"/>
      <c r="I222" s="47">
        <f t="shared" si="22"/>
        <v>0</v>
      </c>
      <c r="J222" s="47">
        <f t="shared" si="23"/>
        <v>0</v>
      </c>
      <c r="M222" s="47">
        <f t="shared" si="26"/>
        <v>0</v>
      </c>
    </row>
    <row r="223" spans="1:13" ht="14.25" customHeight="1">
      <c r="A223" s="16">
        <v>5.8</v>
      </c>
      <c r="B223" s="17" t="s">
        <v>462</v>
      </c>
      <c r="C223" s="25"/>
      <c r="D223" s="73">
        <f t="shared" si="25"/>
        <v>0</v>
      </c>
      <c r="E223" s="18"/>
      <c r="F223" s="74"/>
      <c r="I223" s="47">
        <f t="shared" si="22"/>
        <v>0</v>
      </c>
      <c r="J223" s="47">
        <f t="shared" si="23"/>
        <v>0</v>
      </c>
      <c r="M223" s="47">
        <f t="shared" si="26"/>
        <v>0</v>
      </c>
    </row>
    <row r="224" spans="1:13">
      <c r="A224" s="25" t="s">
        <v>463</v>
      </c>
      <c r="B224" s="81" t="s">
        <v>464</v>
      </c>
      <c r="C224" s="25" t="s">
        <v>60</v>
      </c>
      <c r="D224" s="73">
        <f t="shared" si="25"/>
        <v>60100.793999999994</v>
      </c>
      <c r="E224" s="18"/>
      <c r="F224" s="74"/>
      <c r="H224" s="47">
        <f>11860.8+6776.76+30744+2880</f>
        <v>52261.56</v>
      </c>
      <c r="I224" s="47">
        <f t="shared" si="22"/>
        <v>7839.2339999999995</v>
      </c>
      <c r="J224" s="47">
        <f t="shared" si="23"/>
        <v>60100.793999999994</v>
      </c>
      <c r="M224" s="47">
        <f t="shared" si="26"/>
        <v>11.557844999999999</v>
      </c>
    </row>
    <row r="225" spans="1:13">
      <c r="A225" s="25"/>
      <c r="B225" s="81" t="s">
        <v>465</v>
      </c>
      <c r="C225" s="25" t="s">
        <v>60</v>
      </c>
      <c r="D225" s="73">
        <f t="shared" si="25"/>
        <v>0</v>
      </c>
      <c r="E225" s="18"/>
      <c r="F225" s="74"/>
      <c r="I225" s="47">
        <f t="shared" si="22"/>
        <v>0</v>
      </c>
      <c r="J225" s="47">
        <f t="shared" si="23"/>
        <v>0</v>
      </c>
      <c r="M225" s="47">
        <f t="shared" si="26"/>
        <v>0</v>
      </c>
    </row>
    <row r="226" spans="1:13">
      <c r="A226" s="25"/>
      <c r="B226" s="81" t="s">
        <v>466</v>
      </c>
      <c r="C226" s="25" t="s">
        <v>60</v>
      </c>
      <c r="D226" s="73">
        <f t="shared" si="25"/>
        <v>0</v>
      </c>
      <c r="E226" s="18"/>
      <c r="F226" s="74"/>
      <c r="I226" s="47">
        <f t="shared" si="22"/>
        <v>0</v>
      </c>
      <c r="J226" s="47">
        <f t="shared" si="23"/>
        <v>0</v>
      </c>
      <c r="M226" s="47">
        <f t="shared" si="26"/>
        <v>0</v>
      </c>
    </row>
    <row r="227" spans="1:13" ht="14.25" customHeight="1">
      <c r="A227" s="25" t="s">
        <v>467</v>
      </c>
      <c r="B227" s="81" t="s">
        <v>468</v>
      </c>
      <c r="C227" s="25" t="s">
        <v>60</v>
      </c>
      <c r="D227" s="73">
        <f t="shared" si="25"/>
        <v>0</v>
      </c>
      <c r="E227" s="18"/>
      <c r="F227" s="74"/>
      <c r="I227" s="47">
        <f t="shared" si="22"/>
        <v>0</v>
      </c>
      <c r="J227" s="47">
        <f t="shared" si="23"/>
        <v>0</v>
      </c>
      <c r="M227" s="47">
        <f t="shared" si="26"/>
        <v>0</v>
      </c>
    </row>
    <row r="228" spans="1:13" ht="14.25" customHeight="1">
      <c r="A228" s="25"/>
      <c r="B228" s="81" t="s">
        <v>465</v>
      </c>
      <c r="C228" s="25" t="s">
        <v>60</v>
      </c>
      <c r="D228" s="73">
        <f t="shared" si="25"/>
        <v>0</v>
      </c>
      <c r="E228" s="18"/>
      <c r="F228" s="74"/>
      <c r="I228" s="47">
        <f t="shared" si="22"/>
        <v>0</v>
      </c>
      <c r="J228" s="47">
        <f t="shared" si="23"/>
        <v>0</v>
      </c>
      <c r="M228" s="47">
        <f t="shared" si="26"/>
        <v>0</v>
      </c>
    </row>
    <row r="229" spans="1:13" ht="14.25" customHeight="1">
      <c r="A229" s="25"/>
      <c r="B229" s="81" t="s">
        <v>466</v>
      </c>
      <c r="C229" s="25" t="s">
        <v>60</v>
      </c>
      <c r="D229" s="73">
        <f t="shared" si="25"/>
        <v>0</v>
      </c>
      <c r="E229" s="18"/>
      <c r="F229" s="74"/>
      <c r="I229" s="47">
        <f t="shared" si="22"/>
        <v>0</v>
      </c>
      <c r="J229" s="47">
        <f t="shared" si="23"/>
        <v>0</v>
      </c>
      <c r="M229" s="47">
        <f t="shared" si="26"/>
        <v>0</v>
      </c>
    </row>
    <row r="230" spans="1:13" ht="14.25" customHeight="1">
      <c r="A230" s="25" t="s">
        <v>469</v>
      </c>
      <c r="B230" s="80" t="s">
        <v>470</v>
      </c>
      <c r="C230" s="25" t="s">
        <v>60</v>
      </c>
      <c r="D230" s="73">
        <f t="shared" si="25"/>
        <v>0</v>
      </c>
      <c r="E230" s="18"/>
      <c r="F230" s="74"/>
      <c r="I230" s="47">
        <f t="shared" si="22"/>
        <v>0</v>
      </c>
      <c r="J230" s="47">
        <f t="shared" si="23"/>
        <v>0</v>
      </c>
      <c r="M230" s="47">
        <f t="shared" si="26"/>
        <v>0</v>
      </c>
    </row>
    <row r="231" spans="1:13" ht="14.25" customHeight="1">
      <c r="A231" s="25"/>
      <c r="B231" s="81" t="s">
        <v>465</v>
      </c>
      <c r="C231" s="25" t="s">
        <v>60</v>
      </c>
      <c r="D231" s="73">
        <f t="shared" si="25"/>
        <v>0</v>
      </c>
      <c r="E231" s="18"/>
      <c r="F231" s="74"/>
      <c r="I231" s="47">
        <f t="shared" si="22"/>
        <v>0</v>
      </c>
      <c r="J231" s="47">
        <f t="shared" si="23"/>
        <v>0</v>
      </c>
      <c r="M231" s="47">
        <f t="shared" si="26"/>
        <v>0</v>
      </c>
    </row>
    <row r="232" spans="1:13" ht="14.25" customHeight="1">
      <c r="A232" s="25"/>
      <c r="B232" s="81" t="s">
        <v>466</v>
      </c>
      <c r="C232" s="25" t="s">
        <v>60</v>
      </c>
      <c r="D232" s="73">
        <f t="shared" si="25"/>
        <v>0</v>
      </c>
      <c r="E232" s="18"/>
      <c r="F232" s="74"/>
      <c r="I232" s="47">
        <f t="shared" si="22"/>
        <v>0</v>
      </c>
      <c r="J232" s="47">
        <f t="shared" si="23"/>
        <v>0</v>
      </c>
      <c r="M232" s="47">
        <f t="shared" si="26"/>
        <v>0</v>
      </c>
    </row>
    <row r="233" spans="1:13" ht="14.25" customHeight="1">
      <c r="A233" s="25" t="s">
        <v>471</v>
      </c>
      <c r="B233" s="80" t="s">
        <v>472</v>
      </c>
      <c r="C233" s="25" t="s">
        <v>60</v>
      </c>
      <c r="D233" s="73">
        <f t="shared" si="25"/>
        <v>0</v>
      </c>
      <c r="E233" s="18"/>
      <c r="F233" s="74"/>
      <c r="I233" s="47">
        <f t="shared" si="22"/>
        <v>0</v>
      </c>
      <c r="J233" s="47">
        <f t="shared" si="23"/>
        <v>0</v>
      </c>
      <c r="M233" s="47">
        <f t="shared" si="26"/>
        <v>0</v>
      </c>
    </row>
    <row r="234" spans="1:13" ht="27.75">
      <c r="A234" s="25" t="s">
        <v>473</v>
      </c>
      <c r="B234" s="81" t="s">
        <v>474</v>
      </c>
      <c r="C234" s="25" t="s">
        <v>60</v>
      </c>
      <c r="D234" s="73">
        <f t="shared" si="25"/>
        <v>0</v>
      </c>
      <c r="E234" s="18"/>
      <c r="F234" s="74"/>
      <c r="I234" s="47">
        <f t="shared" si="22"/>
        <v>0</v>
      </c>
      <c r="J234" s="47">
        <f t="shared" si="23"/>
        <v>0</v>
      </c>
      <c r="K234" s="47" t="s">
        <v>912</v>
      </c>
      <c r="M234" s="47">
        <f t="shared" si="26"/>
        <v>0</v>
      </c>
    </row>
    <row r="235" spans="1:13" ht="14.25" customHeight="1">
      <c r="A235" s="25" t="s">
        <v>475</v>
      </c>
      <c r="B235" s="80" t="s">
        <v>476</v>
      </c>
      <c r="C235" s="25" t="s">
        <v>60</v>
      </c>
      <c r="D235" s="73">
        <f t="shared" si="25"/>
        <v>0</v>
      </c>
      <c r="E235" s="18"/>
      <c r="F235" s="74"/>
      <c r="I235" s="47">
        <f t="shared" si="22"/>
        <v>0</v>
      </c>
      <c r="J235" s="47">
        <f t="shared" si="23"/>
        <v>0</v>
      </c>
      <c r="M235" s="47">
        <f t="shared" si="26"/>
        <v>0</v>
      </c>
    </row>
    <row r="236" spans="1:13" ht="8.4499999999999993" customHeight="1">
      <c r="A236" s="16"/>
      <c r="B236" s="17"/>
      <c r="C236" s="25"/>
      <c r="D236" s="73">
        <f t="shared" si="25"/>
        <v>0</v>
      </c>
      <c r="E236" s="18"/>
      <c r="F236" s="74"/>
      <c r="I236" s="47">
        <f t="shared" ref="I236:I269" si="27">H236*$I$3</f>
        <v>0</v>
      </c>
      <c r="J236" s="47">
        <f t="shared" ref="J236:J269" si="28">SUM(H236:I236)</f>
        <v>0</v>
      </c>
      <c r="M236" s="47">
        <f t="shared" si="26"/>
        <v>0</v>
      </c>
    </row>
    <row r="237" spans="1:13" ht="14.25" customHeight="1">
      <c r="A237" s="16">
        <v>5.9</v>
      </c>
      <c r="B237" s="17" t="s">
        <v>477</v>
      </c>
      <c r="C237" s="25" t="s">
        <v>60</v>
      </c>
      <c r="D237" s="73">
        <f t="shared" si="25"/>
        <v>0</v>
      </c>
      <c r="E237" s="18"/>
      <c r="F237" s="74"/>
      <c r="I237" s="47">
        <f t="shared" si="27"/>
        <v>0</v>
      </c>
      <c r="J237" s="47">
        <f t="shared" si="28"/>
        <v>0</v>
      </c>
      <c r="M237" s="47">
        <f t="shared" si="26"/>
        <v>0</v>
      </c>
    </row>
    <row r="238" spans="1:13" ht="14.25" customHeight="1">
      <c r="A238" s="25" t="s">
        <v>478</v>
      </c>
      <c r="B238" s="80" t="s">
        <v>479</v>
      </c>
      <c r="C238" s="25" t="s">
        <v>60</v>
      </c>
      <c r="D238" s="73">
        <f t="shared" si="25"/>
        <v>0</v>
      </c>
      <c r="E238" s="18"/>
      <c r="F238" s="74"/>
      <c r="I238" s="47">
        <f t="shared" si="27"/>
        <v>0</v>
      </c>
      <c r="J238" s="47">
        <f t="shared" si="28"/>
        <v>0</v>
      </c>
      <c r="M238" s="47">
        <f t="shared" si="26"/>
        <v>0</v>
      </c>
    </row>
    <row r="239" spans="1:13" ht="8.4499999999999993" customHeight="1">
      <c r="A239" s="16"/>
      <c r="B239" s="17"/>
      <c r="C239" s="25"/>
      <c r="D239" s="73">
        <f t="shared" si="25"/>
        <v>0</v>
      </c>
      <c r="E239" s="18"/>
      <c r="F239" s="74"/>
      <c r="I239" s="47">
        <f t="shared" si="27"/>
        <v>0</v>
      </c>
      <c r="J239" s="47">
        <f t="shared" si="28"/>
        <v>0</v>
      </c>
      <c r="M239" s="47">
        <f t="shared" si="26"/>
        <v>0</v>
      </c>
    </row>
    <row r="240" spans="1:13" ht="14.25" customHeight="1">
      <c r="A240" s="31">
        <v>5.0999999999999996</v>
      </c>
      <c r="B240" s="17" t="s">
        <v>480</v>
      </c>
      <c r="C240" s="25" t="s">
        <v>60</v>
      </c>
      <c r="D240" s="73">
        <f t="shared" si="25"/>
        <v>97750</v>
      </c>
      <c r="E240" s="18"/>
      <c r="F240" s="74"/>
      <c r="H240" s="199">
        <v>85000</v>
      </c>
      <c r="I240" s="47">
        <f t="shared" si="27"/>
        <v>12750</v>
      </c>
      <c r="J240" s="47">
        <f t="shared" si="28"/>
        <v>97750</v>
      </c>
      <c r="K240" s="47" t="s">
        <v>913</v>
      </c>
      <c r="M240" s="47">
        <f t="shared" si="26"/>
        <v>18.798076923076923</v>
      </c>
    </row>
    <row r="241" spans="1:14" ht="8.4499999999999993" customHeight="1">
      <c r="A241" s="16"/>
      <c r="B241" s="17"/>
      <c r="C241" s="25"/>
      <c r="D241" s="73">
        <f t="shared" si="25"/>
        <v>0</v>
      </c>
      <c r="E241" s="18"/>
      <c r="F241" s="74"/>
      <c r="I241" s="47">
        <f t="shared" si="27"/>
        <v>0</v>
      </c>
      <c r="J241" s="47">
        <f t="shared" si="28"/>
        <v>0</v>
      </c>
      <c r="M241" s="47">
        <f t="shared" si="26"/>
        <v>0</v>
      </c>
    </row>
    <row r="242" spans="1:14" ht="14.25" customHeight="1">
      <c r="A242" s="16">
        <v>5.1100000000000003</v>
      </c>
      <c r="B242" s="17" t="s">
        <v>481</v>
      </c>
      <c r="C242" s="25"/>
      <c r="D242" s="73">
        <f t="shared" si="25"/>
        <v>0</v>
      </c>
      <c r="E242" s="18"/>
      <c r="F242" s="74"/>
      <c r="I242" s="47">
        <f t="shared" si="27"/>
        <v>0</v>
      </c>
      <c r="J242" s="47">
        <f t="shared" si="28"/>
        <v>0</v>
      </c>
    </row>
    <row r="243" spans="1:14" ht="14.25" customHeight="1">
      <c r="A243" s="25" t="s">
        <v>482</v>
      </c>
      <c r="B243" s="80" t="s">
        <v>483</v>
      </c>
      <c r="C243" s="25" t="s">
        <v>60</v>
      </c>
      <c r="D243" s="73">
        <f t="shared" si="25"/>
        <v>23810.75</v>
      </c>
      <c r="E243" s="18"/>
      <c r="F243" s="74"/>
      <c r="H243" s="47">
        <v>20705</v>
      </c>
      <c r="I243" s="47">
        <f t="shared" si="27"/>
        <v>3105.75</v>
      </c>
      <c r="J243" s="47">
        <f t="shared" si="28"/>
        <v>23810.75</v>
      </c>
    </row>
    <row r="244" spans="1:14" ht="14.25" customHeight="1">
      <c r="A244" s="25" t="s">
        <v>484</v>
      </c>
      <c r="B244" s="80" t="s">
        <v>485</v>
      </c>
      <c r="C244" s="25" t="s">
        <v>60</v>
      </c>
      <c r="D244" s="73">
        <f t="shared" si="25"/>
        <v>1725</v>
      </c>
      <c r="E244" s="18"/>
      <c r="F244" s="74"/>
      <c r="H244" s="47">
        <v>1500</v>
      </c>
      <c r="I244" s="47">
        <f t="shared" si="27"/>
        <v>225</v>
      </c>
      <c r="J244" s="47">
        <f t="shared" si="28"/>
        <v>1725</v>
      </c>
    </row>
    <row r="245" spans="1:14" ht="14.25" customHeight="1">
      <c r="A245" s="25" t="s">
        <v>486</v>
      </c>
      <c r="B245" s="80" t="s">
        <v>487</v>
      </c>
      <c r="C245" s="25" t="s">
        <v>60</v>
      </c>
      <c r="D245" s="73">
        <f>J245</f>
        <v>31752.65</v>
      </c>
      <c r="E245" s="18"/>
      <c r="F245" s="74"/>
      <c r="H245" s="47">
        <v>27611</v>
      </c>
      <c r="I245" s="47">
        <f t="shared" si="27"/>
        <v>4141.6499999999996</v>
      </c>
      <c r="J245" s="47">
        <f t="shared" si="28"/>
        <v>31752.65</v>
      </c>
      <c r="N245" s="47"/>
    </row>
    <row r="246" spans="1:14" ht="14.25" customHeight="1">
      <c r="A246" s="25" t="s">
        <v>488</v>
      </c>
      <c r="B246" s="80" t="s">
        <v>489</v>
      </c>
      <c r="C246" s="25" t="s">
        <v>60</v>
      </c>
      <c r="D246" s="73">
        <f t="shared" ref="D246:D263" si="29">J246</f>
        <v>5750</v>
      </c>
      <c r="E246" s="18"/>
      <c r="F246" s="74"/>
      <c r="H246" s="47">
        <v>5000</v>
      </c>
      <c r="I246" s="47">
        <f t="shared" si="27"/>
        <v>750</v>
      </c>
      <c r="J246" s="47">
        <f t="shared" si="28"/>
        <v>5750</v>
      </c>
      <c r="K246" s="47" t="s">
        <v>967</v>
      </c>
    </row>
    <row r="247" spans="1:14" ht="14.25" customHeight="1">
      <c r="A247" s="25" t="s">
        <v>490</v>
      </c>
      <c r="B247" s="80" t="s">
        <v>491</v>
      </c>
      <c r="C247" s="25" t="s">
        <v>60</v>
      </c>
      <c r="D247" s="73">
        <f t="shared" si="29"/>
        <v>0</v>
      </c>
      <c r="E247" s="18"/>
      <c r="F247" s="74"/>
      <c r="I247" s="47">
        <f t="shared" si="27"/>
        <v>0</v>
      </c>
      <c r="J247" s="47">
        <f t="shared" si="28"/>
        <v>0</v>
      </c>
    </row>
    <row r="248" spans="1:14" ht="8.4499999999999993" customHeight="1">
      <c r="A248" s="16"/>
      <c r="B248" s="17"/>
      <c r="C248" s="25"/>
      <c r="D248" s="73">
        <f t="shared" si="29"/>
        <v>0</v>
      </c>
      <c r="E248" s="18"/>
      <c r="F248" s="74"/>
      <c r="I248" s="47">
        <f t="shared" si="27"/>
        <v>0</v>
      </c>
      <c r="J248" s="47">
        <f t="shared" si="28"/>
        <v>0</v>
      </c>
    </row>
    <row r="249" spans="1:14" ht="14.25" customHeight="1">
      <c r="A249" s="16">
        <v>5.12</v>
      </c>
      <c r="B249" s="17" t="s">
        <v>492</v>
      </c>
      <c r="C249" s="25"/>
      <c r="D249" s="73">
        <f t="shared" si="29"/>
        <v>0</v>
      </c>
      <c r="E249" s="18"/>
      <c r="F249" s="74"/>
      <c r="I249" s="47">
        <f t="shared" si="27"/>
        <v>0</v>
      </c>
      <c r="J249" s="47">
        <f t="shared" si="28"/>
        <v>0</v>
      </c>
    </row>
    <row r="250" spans="1:14" ht="14.25" customHeight="1">
      <c r="A250" s="25" t="s">
        <v>493</v>
      </c>
      <c r="B250" s="80" t="s">
        <v>494</v>
      </c>
      <c r="C250" s="25" t="s">
        <v>60</v>
      </c>
      <c r="D250" s="73">
        <f t="shared" si="29"/>
        <v>5175</v>
      </c>
      <c r="E250" s="18"/>
      <c r="F250" s="74"/>
      <c r="H250" s="47">
        <v>4500</v>
      </c>
      <c r="I250" s="47">
        <f t="shared" si="27"/>
        <v>675</v>
      </c>
      <c r="J250" s="47">
        <f t="shared" si="28"/>
        <v>5175</v>
      </c>
      <c r="K250" s="47" t="s">
        <v>967</v>
      </c>
    </row>
    <row r="251" spans="1:14" ht="14.25" customHeight="1">
      <c r="A251" s="25" t="s">
        <v>495</v>
      </c>
      <c r="B251" s="80" t="s">
        <v>496</v>
      </c>
      <c r="C251" s="25" t="s">
        <v>60</v>
      </c>
      <c r="D251" s="73">
        <f t="shared" si="29"/>
        <v>3577.65</v>
      </c>
      <c r="E251" s="18"/>
      <c r="F251" s="74"/>
      <c r="H251" s="47">
        <v>3111</v>
      </c>
      <c r="I251" s="47">
        <f t="shared" si="27"/>
        <v>466.65</v>
      </c>
      <c r="J251" s="47">
        <f t="shared" si="28"/>
        <v>3577.65</v>
      </c>
    </row>
    <row r="252" spans="1:14" ht="14.25" customHeight="1">
      <c r="A252" s="25" t="s">
        <v>497</v>
      </c>
      <c r="B252" s="80" t="s">
        <v>498</v>
      </c>
      <c r="C252" s="25" t="s">
        <v>60</v>
      </c>
      <c r="D252" s="73">
        <f t="shared" si="29"/>
        <v>4600</v>
      </c>
      <c r="E252" s="18"/>
      <c r="F252" s="74"/>
      <c r="H252" s="47">
        <v>4000</v>
      </c>
      <c r="I252" s="47">
        <f t="shared" si="27"/>
        <v>600</v>
      </c>
      <c r="J252" s="47">
        <f t="shared" si="28"/>
        <v>4600</v>
      </c>
    </row>
    <row r="253" spans="1:14" ht="14.25" customHeight="1">
      <c r="A253" s="25" t="s">
        <v>499</v>
      </c>
      <c r="B253" s="80" t="s">
        <v>500</v>
      </c>
      <c r="C253" s="25" t="s">
        <v>60</v>
      </c>
      <c r="D253" s="73">
        <f t="shared" si="29"/>
        <v>0</v>
      </c>
      <c r="E253" s="18"/>
      <c r="F253" s="74"/>
      <c r="I253" s="47">
        <f t="shared" si="27"/>
        <v>0</v>
      </c>
      <c r="J253" s="47">
        <f t="shared" si="28"/>
        <v>0</v>
      </c>
    </row>
    <row r="254" spans="1:14" ht="14.25" customHeight="1">
      <c r="A254" s="25" t="s">
        <v>501</v>
      </c>
      <c r="B254" s="80" t="s">
        <v>502</v>
      </c>
      <c r="C254" s="25" t="s">
        <v>60</v>
      </c>
      <c r="D254" s="73">
        <f t="shared" si="29"/>
        <v>1265</v>
      </c>
      <c r="E254" s="18"/>
      <c r="F254" s="74"/>
      <c r="H254" s="47">
        <v>1100</v>
      </c>
      <c r="I254" s="47">
        <f t="shared" si="27"/>
        <v>165</v>
      </c>
      <c r="J254" s="47">
        <f t="shared" si="28"/>
        <v>1265</v>
      </c>
    </row>
    <row r="255" spans="1:14" ht="8.4499999999999993" customHeight="1">
      <c r="A255" s="16"/>
      <c r="B255" s="17"/>
      <c r="C255" s="25"/>
      <c r="D255" s="73">
        <f t="shared" si="29"/>
        <v>0</v>
      </c>
      <c r="E255" s="18"/>
      <c r="F255" s="74"/>
      <c r="I255" s="47">
        <f t="shared" si="27"/>
        <v>0</v>
      </c>
      <c r="J255" s="47">
        <f t="shared" si="28"/>
        <v>0</v>
      </c>
    </row>
    <row r="256" spans="1:14" ht="14.25" customHeight="1">
      <c r="A256" s="16">
        <v>5.13</v>
      </c>
      <c r="B256" s="17" t="s">
        <v>503</v>
      </c>
      <c r="C256" s="25"/>
      <c r="D256" s="73">
        <f t="shared" si="29"/>
        <v>0</v>
      </c>
      <c r="E256" s="18"/>
      <c r="F256" s="74"/>
      <c r="I256" s="47">
        <f t="shared" si="27"/>
        <v>0</v>
      </c>
      <c r="J256" s="47">
        <f t="shared" si="28"/>
        <v>0</v>
      </c>
    </row>
    <row r="257" spans="1:11" ht="14.25" customHeight="1">
      <c r="A257" s="25"/>
      <c r="B257" s="80" t="s">
        <v>504</v>
      </c>
      <c r="C257" s="25" t="s">
        <v>60</v>
      </c>
      <c r="D257" s="73">
        <f t="shared" si="29"/>
        <v>9878.5</v>
      </c>
      <c r="E257" s="18"/>
      <c r="F257" s="74"/>
      <c r="H257" s="47">
        <v>8590</v>
      </c>
      <c r="I257" s="47">
        <f t="shared" si="27"/>
        <v>1288.5</v>
      </c>
      <c r="J257" s="47">
        <f t="shared" si="28"/>
        <v>9878.5</v>
      </c>
      <c r="K257" s="47" t="s">
        <v>998</v>
      </c>
    </row>
    <row r="258" spans="1:11" ht="8.4499999999999993" customHeight="1">
      <c r="A258" s="16"/>
      <c r="B258" s="17"/>
      <c r="C258" s="25"/>
      <c r="D258" s="73">
        <f t="shared" si="29"/>
        <v>0</v>
      </c>
      <c r="E258" s="18"/>
      <c r="F258" s="74"/>
      <c r="I258" s="47">
        <f t="shared" si="27"/>
        <v>0</v>
      </c>
      <c r="J258" s="47">
        <f t="shared" si="28"/>
        <v>0</v>
      </c>
    </row>
    <row r="259" spans="1:11" ht="14.25" customHeight="1">
      <c r="A259" s="16">
        <v>5.14</v>
      </c>
      <c r="B259" s="26" t="s">
        <v>505</v>
      </c>
      <c r="C259" s="25"/>
      <c r="D259" s="73">
        <f t="shared" si="29"/>
        <v>0</v>
      </c>
      <c r="E259" s="18"/>
      <c r="F259" s="74"/>
      <c r="I259" s="47">
        <f t="shared" si="27"/>
        <v>0</v>
      </c>
      <c r="J259" s="47">
        <f t="shared" si="28"/>
        <v>0</v>
      </c>
    </row>
    <row r="260" spans="1:11" ht="14.25" customHeight="1">
      <c r="A260" s="25" t="s">
        <v>506</v>
      </c>
      <c r="B260" s="26" t="s">
        <v>507</v>
      </c>
      <c r="C260" s="25" t="s">
        <v>60</v>
      </c>
      <c r="D260" s="73">
        <f t="shared" si="29"/>
        <v>25034.267199999998</v>
      </c>
      <c r="E260" s="18"/>
      <c r="F260" s="74"/>
      <c r="H260" s="47">
        <f>SUM(H196:H259)*5%</f>
        <v>21768.928</v>
      </c>
      <c r="I260" s="47">
        <f t="shared" si="27"/>
        <v>3265.3391999999999</v>
      </c>
      <c r="J260" s="47">
        <f t="shared" si="28"/>
        <v>25034.267199999998</v>
      </c>
      <c r="K260" s="47" t="s">
        <v>968</v>
      </c>
    </row>
    <row r="261" spans="1:11" ht="14.25" customHeight="1">
      <c r="A261" s="25" t="s">
        <v>508</v>
      </c>
      <c r="B261" s="26" t="s">
        <v>509</v>
      </c>
      <c r="C261" s="25" t="s">
        <v>60</v>
      </c>
      <c r="D261" s="73">
        <f t="shared" si="29"/>
        <v>1725</v>
      </c>
      <c r="E261" s="18"/>
      <c r="F261" s="74"/>
      <c r="H261" s="47">
        <v>1500</v>
      </c>
      <c r="I261" s="47">
        <f t="shared" si="27"/>
        <v>225</v>
      </c>
      <c r="J261" s="47">
        <f t="shared" si="28"/>
        <v>1725</v>
      </c>
    </row>
    <row r="262" spans="1:11" ht="14.25" customHeight="1">
      <c r="A262" s="16"/>
      <c r="B262" s="26"/>
      <c r="C262" s="25"/>
      <c r="D262" s="73">
        <f t="shared" si="29"/>
        <v>0</v>
      </c>
      <c r="E262" s="18"/>
      <c r="F262" s="74"/>
      <c r="I262" s="47">
        <f t="shared" si="27"/>
        <v>0</v>
      </c>
      <c r="J262" s="47">
        <f t="shared" si="28"/>
        <v>0</v>
      </c>
    </row>
    <row r="263" spans="1:11" ht="14.25" customHeight="1">
      <c r="A263" s="16">
        <v>5.15</v>
      </c>
      <c r="B263" s="17" t="s">
        <v>510</v>
      </c>
      <c r="C263" s="25"/>
      <c r="D263" s="73">
        <f t="shared" si="29"/>
        <v>0</v>
      </c>
      <c r="E263" s="18"/>
      <c r="F263" s="74"/>
      <c r="I263" s="47">
        <f t="shared" si="27"/>
        <v>0</v>
      </c>
      <c r="J263" s="47">
        <f t="shared" si="28"/>
        <v>0</v>
      </c>
    </row>
    <row r="264" spans="1:11" ht="14.25" customHeight="1">
      <c r="A264" s="16"/>
      <c r="B264" s="17"/>
      <c r="C264" s="25"/>
      <c r="D264" s="73"/>
      <c r="E264" s="18"/>
      <c r="F264" s="74"/>
      <c r="I264" s="47">
        <f t="shared" si="27"/>
        <v>0</v>
      </c>
      <c r="J264" s="47">
        <f t="shared" si="28"/>
        <v>0</v>
      </c>
    </row>
    <row r="265" spans="1:11" ht="14.25" customHeight="1">
      <c r="A265" s="16"/>
      <c r="B265" s="17"/>
      <c r="C265" s="25"/>
      <c r="D265" s="73"/>
      <c r="E265" s="18"/>
      <c r="F265" s="74"/>
      <c r="I265" s="47">
        <f t="shared" si="27"/>
        <v>0</v>
      </c>
      <c r="J265" s="47">
        <f t="shared" si="28"/>
        <v>0</v>
      </c>
    </row>
    <row r="266" spans="1:11" ht="14.25" customHeight="1">
      <c r="A266" s="16"/>
      <c r="B266" s="17"/>
      <c r="C266" s="25"/>
      <c r="D266" s="73"/>
      <c r="E266" s="18"/>
      <c r="F266" s="74"/>
      <c r="I266" s="47">
        <f t="shared" si="27"/>
        <v>0</v>
      </c>
      <c r="J266" s="47">
        <f t="shared" si="28"/>
        <v>0</v>
      </c>
    </row>
    <row r="267" spans="1:11" ht="14.25" customHeight="1">
      <c r="A267" s="16"/>
      <c r="B267" s="17"/>
      <c r="C267" s="25"/>
      <c r="D267" s="73"/>
      <c r="E267" s="18"/>
      <c r="F267" s="74"/>
      <c r="I267" s="47">
        <f t="shared" si="27"/>
        <v>0</v>
      </c>
      <c r="J267" s="47">
        <f t="shared" si="28"/>
        <v>0</v>
      </c>
    </row>
    <row r="268" spans="1:11" ht="14.25" customHeight="1">
      <c r="A268" s="16"/>
      <c r="B268" s="17"/>
      <c r="C268" s="25"/>
      <c r="D268" s="73"/>
      <c r="E268" s="18"/>
      <c r="F268" s="74"/>
      <c r="I268" s="47">
        <f t="shared" si="27"/>
        <v>0</v>
      </c>
      <c r="J268" s="47">
        <f t="shared" si="28"/>
        <v>0</v>
      </c>
    </row>
    <row r="269" spans="1:11" ht="14.25" customHeight="1">
      <c r="A269" s="16"/>
      <c r="B269" s="26"/>
      <c r="C269" s="25"/>
      <c r="D269" s="73"/>
      <c r="E269" s="18"/>
      <c r="F269" s="74"/>
      <c r="I269" s="47">
        <f t="shared" si="27"/>
        <v>0</v>
      </c>
      <c r="J269" s="47">
        <f t="shared" si="28"/>
        <v>0</v>
      </c>
    </row>
    <row r="270" spans="1:11" ht="14.1" customHeight="1">
      <c r="A270" s="75"/>
      <c r="B270" s="218" t="s">
        <v>511</v>
      </c>
      <c r="C270" s="218"/>
      <c r="D270" s="218"/>
      <c r="E270" s="83" t="s">
        <v>60</v>
      </c>
      <c r="F270" s="84">
        <f>SUM(D196:D269)</f>
        <v>527444.61120000004</v>
      </c>
    </row>
    <row r="271" spans="1:11">
      <c r="A271" s="16"/>
      <c r="D271" s="39"/>
      <c r="E271" s="85"/>
      <c r="F271" s="86"/>
    </row>
    <row r="272" spans="1:11">
      <c r="A272" s="75"/>
      <c r="B272" s="87"/>
      <c r="C272" s="87"/>
      <c r="D272" s="78" t="s">
        <v>223</v>
      </c>
      <c r="E272" s="83" t="s">
        <v>60</v>
      </c>
      <c r="F272" s="84">
        <f>F26+F142+F170+F192+F270</f>
        <v>2304792.2892</v>
      </c>
    </row>
    <row r="273" spans="1:6" ht="6" customHeight="1">
      <c r="C273" s="55"/>
      <c r="D273" s="59"/>
      <c r="E273" s="88"/>
      <c r="F273" s="89"/>
    </row>
    <row r="274" spans="1:6" ht="9.75" customHeight="1">
      <c r="A274" s="67"/>
      <c r="B274" s="68"/>
      <c r="C274" s="69"/>
      <c r="D274" s="216"/>
      <c r="E274" s="217"/>
      <c r="F274" s="217"/>
    </row>
  </sheetData>
  <sheetProtection formatCells="0" formatColumns="0" formatRows="0" insertRows="0"/>
  <mergeCells count="3">
    <mergeCell ref="D274:F274"/>
    <mergeCell ref="B270:D270"/>
    <mergeCell ref="A1:C1"/>
  </mergeCells>
  <phoneticPr fontId="3" type="noConversion"/>
  <pageMargins left="0.39370078740157483" right="0.39370078740157483" top="1.4173228346456692" bottom="0.59055118110236215" header="0.3543307086614173" footer="0.27559055118110237"/>
  <pageSetup paperSize="9" scale="54" fitToHeight="2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rowBreaks count="1" manualBreakCount="1">
    <brk id="94" max="6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O246"/>
  <sheetViews>
    <sheetView topLeftCell="A177" zoomScaleNormal="100" zoomScaleSheetLayoutView="100" zoomScalePageLayoutView="110" workbookViewId="0">
      <selection activeCell="G232" sqref="G232"/>
    </sheetView>
  </sheetViews>
  <sheetFormatPr defaultColWidth="7.125" defaultRowHeight="13.9"/>
  <cols>
    <col min="1" max="1" width="9" style="19" customWidth="1"/>
    <col min="2" max="2" width="55.75" style="48" customWidth="1"/>
    <col min="3" max="3" width="3.25" style="48" customWidth="1"/>
    <col min="4" max="4" width="18.75" style="62" customWidth="1"/>
    <col min="5" max="5" width="0.875" style="63" customWidth="1"/>
    <col min="6" max="6" width="18.75" style="47" customWidth="1"/>
    <col min="7" max="7" width="19.875" style="47" bestFit="1" customWidth="1"/>
    <col min="8" max="8" width="10.5" style="47" customWidth="1"/>
    <col min="9" max="9" width="10.25" style="47" customWidth="1"/>
    <col min="10" max="10" width="14.625" style="47" bestFit="1" customWidth="1"/>
    <col min="11" max="12" width="7.125" style="47"/>
    <col min="13" max="13" width="7.875" style="47" bestFit="1" customWidth="1"/>
    <col min="14" max="15" width="7.125" style="47"/>
    <col min="16" max="16384" width="7.125" style="48"/>
  </cols>
  <sheetData>
    <row r="1" spans="1:15">
      <c r="A1" s="213" t="s">
        <v>512</v>
      </c>
      <c r="B1" s="213"/>
      <c r="C1" s="213"/>
      <c r="F1" s="70"/>
    </row>
    <row r="2" spans="1:15" ht="14.25" customHeight="1">
      <c r="A2" s="16"/>
      <c r="B2" s="16"/>
      <c r="C2" s="16"/>
    </row>
    <row r="3" spans="1:15" s="54" customFormat="1">
      <c r="A3" s="50" t="s">
        <v>7</v>
      </c>
      <c r="B3" s="51" t="s">
        <v>58</v>
      </c>
      <c r="C3" s="50"/>
      <c r="D3" s="64" t="s">
        <v>282</v>
      </c>
      <c r="E3" s="65"/>
      <c r="F3" s="66" t="s">
        <v>283</v>
      </c>
      <c r="G3" s="53"/>
      <c r="H3" s="53" t="s">
        <v>744</v>
      </c>
      <c r="I3" s="205">
        <v>0.15</v>
      </c>
      <c r="J3" s="53" t="s">
        <v>745</v>
      </c>
      <c r="K3" s="53"/>
      <c r="L3" s="53"/>
      <c r="M3" s="53"/>
      <c r="N3" s="53"/>
      <c r="O3" s="53"/>
    </row>
    <row r="4" spans="1:15" ht="14.1" customHeight="1">
      <c r="A4" s="16"/>
      <c r="B4" s="17"/>
      <c r="C4" s="25"/>
      <c r="D4" s="39"/>
      <c r="E4" s="71"/>
      <c r="F4" s="70"/>
    </row>
    <row r="5" spans="1:15" ht="16.5" customHeight="1">
      <c r="A5" s="19">
        <v>1</v>
      </c>
      <c r="B5" s="72" t="s">
        <v>284</v>
      </c>
      <c r="C5" s="25"/>
      <c r="D5" s="73"/>
      <c r="E5" s="18"/>
      <c r="F5" s="74"/>
    </row>
    <row r="6" spans="1:15" ht="16.5" customHeight="1">
      <c r="B6" s="72"/>
      <c r="C6" s="25"/>
      <c r="D6" s="73"/>
      <c r="E6" s="18"/>
      <c r="F6" s="74"/>
    </row>
    <row r="7" spans="1:15">
      <c r="A7" s="16">
        <v>1.1000000000000001</v>
      </c>
      <c r="B7" s="26" t="s">
        <v>285</v>
      </c>
      <c r="C7" s="25" t="s">
        <v>60</v>
      </c>
      <c r="D7" s="73">
        <f>J7</f>
        <v>16865.267500000002</v>
      </c>
      <c r="E7" s="71"/>
      <c r="F7" s="39"/>
      <c r="H7" s="47">
        <v>14665.45</v>
      </c>
      <c r="I7" s="47">
        <f>H7*$I$3</f>
        <v>2199.8175000000001</v>
      </c>
      <c r="J7" s="47">
        <f>SUM(H7:I7)</f>
        <v>16865.267500000002</v>
      </c>
    </row>
    <row r="8" spans="1:15" ht="8.4499999999999993" customHeight="1">
      <c r="A8" s="16"/>
      <c r="B8" s="17"/>
      <c r="C8" s="25"/>
      <c r="D8" s="73">
        <f t="shared" ref="D8:D26" si="0">J8</f>
        <v>0</v>
      </c>
      <c r="E8" s="18"/>
      <c r="F8" s="74"/>
    </row>
    <row r="9" spans="1:15">
      <c r="A9" s="16">
        <v>1.2</v>
      </c>
      <c r="B9" s="26" t="s">
        <v>286</v>
      </c>
      <c r="C9" s="25"/>
      <c r="D9" s="73">
        <f t="shared" si="0"/>
        <v>11969.43</v>
      </c>
      <c r="E9" s="71"/>
      <c r="F9" s="39"/>
      <c r="H9" s="47">
        <f>8290.8+1367+277.2+473.2</f>
        <v>10408.200000000001</v>
      </c>
      <c r="I9" s="47">
        <f t="shared" ref="I9:I73" si="1">H9*$I$3</f>
        <v>1561.23</v>
      </c>
      <c r="J9" s="47">
        <f t="shared" ref="J9:J73" si="2">SUM(H9:I9)</f>
        <v>11969.43</v>
      </c>
    </row>
    <row r="10" spans="1:15" ht="8.4499999999999993" customHeight="1">
      <c r="A10" s="16"/>
      <c r="B10" s="17"/>
      <c r="C10" s="25"/>
      <c r="D10" s="73">
        <f t="shared" si="0"/>
        <v>0</v>
      </c>
      <c r="E10" s="18"/>
      <c r="F10" s="74"/>
    </row>
    <row r="11" spans="1:15">
      <c r="A11" s="16">
        <v>1.3</v>
      </c>
      <c r="B11" s="26" t="s">
        <v>287</v>
      </c>
      <c r="C11" s="25" t="s">
        <v>60</v>
      </c>
      <c r="D11" s="73">
        <f t="shared" si="0"/>
        <v>0</v>
      </c>
      <c r="E11" s="71"/>
      <c r="F11" s="39"/>
      <c r="I11" s="47">
        <f t="shared" si="1"/>
        <v>0</v>
      </c>
      <c r="J11" s="47">
        <f t="shared" si="2"/>
        <v>0</v>
      </c>
    </row>
    <row r="12" spans="1:15" ht="8.4499999999999993" customHeight="1">
      <c r="A12" s="16"/>
      <c r="B12" s="17"/>
      <c r="C12" s="25"/>
      <c r="D12" s="73">
        <f t="shared" si="0"/>
        <v>0</v>
      </c>
      <c r="E12" s="18"/>
      <c r="F12" s="74"/>
    </row>
    <row r="13" spans="1:15">
      <c r="A13" s="16">
        <v>1.3</v>
      </c>
      <c r="B13" s="26" t="s">
        <v>288</v>
      </c>
      <c r="C13" s="25" t="s">
        <v>60</v>
      </c>
      <c r="D13" s="73">
        <f t="shared" si="0"/>
        <v>0</v>
      </c>
      <c r="E13" s="71"/>
      <c r="F13" s="39"/>
      <c r="I13" s="47">
        <f t="shared" si="1"/>
        <v>0</v>
      </c>
      <c r="J13" s="47">
        <f t="shared" si="2"/>
        <v>0</v>
      </c>
    </row>
    <row r="14" spans="1:15" ht="8.4499999999999993" customHeight="1">
      <c r="A14" s="16"/>
      <c r="B14" s="17"/>
      <c r="C14" s="25"/>
      <c r="D14" s="73">
        <f t="shared" si="0"/>
        <v>0</v>
      </c>
      <c r="E14" s="18"/>
      <c r="F14" s="74"/>
    </row>
    <row r="15" spans="1:15">
      <c r="A15" s="16">
        <v>1.4</v>
      </c>
      <c r="B15" s="17" t="s">
        <v>289</v>
      </c>
      <c r="C15" s="25" t="s">
        <v>60</v>
      </c>
      <c r="D15" s="73">
        <f t="shared" si="0"/>
        <v>0</v>
      </c>
      <c r="E15" s="71"/>
      <c r="F15" s="39"/>
      <c r="I15" s="47">
        <f t="shared" si="1"/>
        <v>0</v>
      </c>
      <c r="J15" s="47">
        <f t="shared" si="2"/>
        <v>0</v>
      </c>
    </row>
    <row r="16" spans="1:15" ht="8.4499999999999993" customHeight="1">
      <c r="A16" s="16"/>
      <c r="B16" s="17"/>
      <c r="C16" s="25"/>
      <c r="D16" s="73">
        <f t="shared" si="0"/>
        <v>0</v>
      </c>
      <c r="E16" s="18"/>
      <c r="F16" s="74"/>
    </row>
    <row r="17" spans="1:10">
      <c r="A17" s="16">
        <v>1.5</v>
      </c>
      <c r="B17" s="17" t="s">
        <v>290</v>
      </c>
      <c r="C17" s="25" t="s">
        <v>60</v>
      </c>
      <c r="D17" s="73">
        <f t="shared" si="0"/>
        <v>14520.59</v>
      </c>
      <c r="E17" s="71"/>
      <c r="F17" s="39"/>
      <c r="H17" s="47">
        <v>12626.6</v>
      </c>
      <c r="I17" s="47">
        <f t="shared" si="1"/>
        <v>1893.99</v>
      </c>
      <c r="J17" s="47">
        <f t="shared" si="2"/>
        <v>14520.59</v>
      </c>
    </row>
    <row r="18" spans="1:10" ht="8.4499999999999993" customHeight="1">
      <c r="A18" s="16"/>
      <c r="B18" s="17"/>
      <c r="C18" s="25"/>
      <c r="D18" s="73">
        <f t="shared" si="0"/>
        <v>0</v>
      </c>
      <c r="E18" s="18"/>
      <c r="F18" s="74"/>
    </row>
    <row r="19" spans="1:10">
      <c r="A19" s="16">
        <v>1.6</v>
      </c>
      <c r="B19" s="17" t="s">
        <v>291</v>
      </c>
      <c r="C19" s="25" t="s">
        <v>60</v>
      </c>
      <c r="D19" s="73">
        <f t="shared" si="0"/>
        <v>0</v>
      </c>
      <c r="E19" s="71"/>
      <c r="F19" s="39"/>
      <c r="I19" s="47">
        <f t="shared" si="1"/>
        <v>0</v>
      </c>
      <c r="J19" s="47">
        <f t="shared" si="2"/>
        <v>0</v>
      </c>
    </row>
    <row r="20" spans="1:10" ht="14.1" customHeight="1">
      <c r="A20" s="16"/>
      <c r="B20" s="17"/>
      <c r="C20" s="25"/>
      <c r="D20" s="73">
        <f t="shared" si="0"/>
        <v>0</v>
      </c>
      <c r="E20" s="71"/>
      <c r="F20" s="39"/>
      <c r="I20" s="47">
        <f t="shared" si="1"/>
        <v>0</v>
      </c>
      <c r="J20" s="47">
        <f t="shared" si="2"/>
        <v>0</v>
      </c>
    </row>
    <row r="21" spans="1:10" ht="14.1" customHeight="1">
      <c r="A21" s="16">
        <v>1.7</v>
      </c>
      <c r="B21" s="17" t="s">
        <v>292</v>
      </c>
      <c r="C21" s="25" t="s">
        <v>60</v>
      </c>
      <c r="D21" s="73">
        <f t="shared" si="0"/>
        <v>0</v>
      </c>
      <c r="E21" s="71"/>
      <c r="F21" s="39"/>
      <c r="I21" s="47">
        <f t="shared" si="1"/>
        <v>0</v>
      </c>
      <c r="J21" s="47">
        <f t="shared" si="2"/>
        <v>0</v>
      </c>
    </row>
    <row r="22" spans="1:10" ht="14.1" customHeight="1">
      <c r="A22" s="16"/>
      <c r="B22" s="17" t="s">
        <v>846</v>
      </c>
      <c r="C22" s="25" t="s">
        <v>60</v>
      </c>
      <c r="D22" s="73">
        <f t="shared" si="0"/>
        <v>15588.342000000001</v>
      </c>
      <c r="E22" s="71"/>
      <c r="F22" s="39"/>
      <c r="H22" s="47">
        <v>13555.08</v>
      </c>
      <c r="I22" s="47">
        <f t="shared" si="1"/>
        <v>2033.2619999999999</v>
      </c>
      <c r="J22" s="47">
        <f t="shared" si="2"/>
        <v>15588.342000000001</v>
      </c>
    </row>
    <row r="23" spans="1:10" ht="14.1" customHeight="1">
      <c r="A23" s="16"/>
      <c r="B23" s="17" t="s">
        <v>847</v>
      </c>
      <c r="C23" s="25" t="s">
        <v>60</v>
      </c>
      <c r="D23" s="73">
        <f t="shared" si="0"/>
        <v>7470.3540000000003</v>
      </c>
      <c r="E23" s="71"/>
      <c r="F23" s="39"/>
      <c r="H23" s="47">
        <v>6495.96</v>
      </c>
      <c r="I23" s="47">
        <f t="shared" si="1"/>
        <v>974.39400000000001</v>
      </c>
      <c r="J23" s="47">
        <f t="shared" si="2"/>
        <v>7470.3540000000003</v>
      </c>
    </row>
    <row r="24" spans="1:10" ht="14.1" customHeight="1">
      <c r="A24" s="16"/>
      <c r="B24" s="17" t="s">
        <v>848</v>
      </c>
      <c r="C24" s="25" t="s">
        <v>60</v>
      </c>
      <c r="D24" s="73">
        <f t="shared" si="0"/>
        <v>1779.096</v>
      </c>
      <c r="E24" s="71"/>
      <c r="F24" s="39"/>
      <c r="H24" s="47">
        <v>1547.04</v>
      </c>
      <c r="I24" s="47">
        <f t="shared" si="1"/>
        <v>232.05599999999998</v>
      </c>
      <c r="J24" s="47">
        <f t="shared" si="2"/>
        <v>1779.096</v>
      </c>
    </row>
    <row r="25" spans="1:10" ht="14.1" customHeight="1">
      <c r="A25" s="16"/>
      <c r="B25" s="17"/>
      <c r="C25" s="25" t="s">
        <v>60</v>
      </c>
      <c r="D25" s="73">
        <f t="shared" si="0"/>
        <v>0</v>
      </c>
      <c r="E25" s="71"/>
      <c r="F25" s="39"/>
      <c r="I25" s="47">
        <f t="shared" si="1"/>
        <v>0</v>
      </c>
      <c r="J25" s="47">
        <f t="shared" si="2"/>
        <v>0</v>
      </c>
    </row>
    <row r="26" spans="1:10" ht="14.1" customHeight="1">
      <c r="A26" s="16"/>
      <c r="B26" s="17"/>
      <c r="C26" s="25" t="s">
        <v>60</v>
      </c>
      <c r="D26" s="73">
        <f t="shared" si="0"/>
        <v>0</v>
      </c>
      <c r="E26" s="71"/>
      <c r="F26" s="39"/>
      <c r="I26" s="47">
        <f t="shared" si="1"/>
        <v>0</v>
      </c>
      <c r="J26" s="47">
        <f t="shared" si="2"/>
        <v>0</v>
      </c>
    </row>
    <row r="27" spans="1:10" ht="14.1" customHeight="1">
      <c r="A27" s="16"/>
      <c r="B27" s="17"/>
      <c r="C27" s="25"/>
      <c r="D27" s="39"/>
      <c r="E27" s="71"/>
      <c r="F27" s="39"/>
      <c r="I27" s="47">
        <f t="shared" si="1"/>
        <v>0</v>
      </c>
      <c r="J27" s="47">
        <f t="shared" si="2"/>
        <v>0</v>
      </c>
    </row>
    <row r="28" spans="1:10" ht="14.1" customHeight="1">
      <c r="A28" s="75"/>
      <c r="B28" s="76"/>
      <c r="C28" s="77"/>
      <c r="D28" s="78" t="s">
        <v>294</v>
      </c>
      <c r="E28" s="79" t="s">
        <v>60</v>
      </c>
      <c r="F28" s="78">
        <f>SUM(D5:D26)</f>
        <v>68193.079500000022</v>
      </c>
      <c r="I28" s="47">
        <f t="shared" si="1"/>
        <v>0</v>
      </c>
      <c r="J28" s="47">
        <f t="shared" si="2"/>
        <v>0</v>
      </c>
    </row>
    <row r="29" spans="1:10" ht="14.1" customHeight="1">
      <c r="A29" s="16"/>
      <c r="B29" s="17"/>
      <c r="C29" s="25"/>
      <c r="D29" s="39"/>
      <c r="E29" s="71"/>
      <c r="F29" s="70"/>
      <c r="I29" s="47">
        <f t="shared" si="1"/>
        <v>0</v>
      </c>
      <c r="J29" s="47">
        <f t="shared" si="2"/>
        <v>0</v>
      </c>
    </row>
    <row r="30" spans="1:10" ht="14.1" customHeight="1">
      <c r="A30" s="19">
        <v>2</v>
      </c>
      <c r="B30" s="72" t="s">
        <v>295</v>
      </c>
      <c r="C30" s="25"/>
      <c r="D30" s="39"/>
      <c r="E30" s="18"/>
      <c r="F30" s="74"/>
      <c r="I30" s="47">
        <f t="shared" si="1"/>
        <v>0</v>
      </c>
      <c r="J30" s="47">
        <f t="shared" si="2"/>
        <v>0</v>
      </c>
    </row>
    <row r="31" spans="1:10" ht="18" customHeight="1">
      <c r="A31" s="16"/>
      <c r="B31" s="17"/>
      <c r="C31" s="25"/>
      <c r="D31" s="39"/>
      <c r="E31" s="18"/>
      <c r="F31" s="74"/>
      <c r="I31" s="47">
        <f t="shared" si="1"/>
        <v>0</v>
      </c>
      <c r="J31" s="47">
        <f t="shared" si="2"/>
        <v>0</v>
      </c>
    </row>
    <row r="32" spans="1:10" ht="14.1" customHeight="1">
      <c r="A32" s="16">
        <v>2.1</v>
      </c>
      <c r="B32" s="17" t="s">
        <v>296</v>
      </c>
      <c r="C32" s="25"/>
      <c r="D32" s="73"/>
      <c r="E32" s="18"/>
      <c r="F32" s="74"/>
      <c r="I32" s="47">
        <f t="shared" si="1"/>
        <v>0</v>
      </c>
      <c r="J32" s="47">
        <f t="shared" si="2"/>
        <v>0</v>
      </c>
    </row>
    <row r="33" spans="1:10" ht="8.4499999999999993" customHeight="1">
      <c r="A33" s="16"/>
      <c r="B33" s="17"/>
      <c r="C33" s="25"/>
      <c r="D33" s="39"/>
      <c r="E33" s="18"/>
      <c r="F33" s="74"/>
      <c r="I33" s="47">
        <f t="shared" si="1"/>
        <v>0</v>
      </c>
      <c r="J33" s="47">
        <f t="shared" si="2"/>
        <v>0</v>
      </c>
    </row>
    <row r="34" spans="1:10" ht="14.1" customHeight="1">
      <c r="A34" s="16" t="s">
        <v>513</v>
      </c>
      <c r="B34" s="17" t="s">
        <v>514</v>
      </c>
      <c r="C34" s="25"/>
      <c r="D34" s="73"/>
      <c r="E34" s="18"/>
      <c r="F34" s="74"/>
      <c r="I34" s="47">
        <f t="shared" si="1"/>
        <v>0</v>
      </c>
      <c r="J34" s="47">
        <f t="shared" si="2"/>
        <v>0</v>
      </c>
    </row>
    <row r="35" spans="1:10" ht="14.1" customHeight="1">
      <c r="A35" s="25" t="s">
        <v>515</v>
      </c>
      <c r="B35" s="80" t="s">
        <v>516</v>
      </c>
      <c r="C35" s="25" t="s">
        <v>60</v>
      </c>
      <c r="D35" s="73">
        <f>J35</f>
        <v>42527.506000000001</v>
      </c>
      <c r="E35" s="18"/>
      <c r="F35" s="74"/>
      <c r="H35" s="47">
        <f>18845.54+18134.9</f>
        <v>36980.44</v>
      </c>
      <c r="I35" s="47">
        <f t="shared" si="1"/>
        <v>5547.0659999999998</v>
      </c>
      <c r="J35" s="47">
        <f t="shared" si="2"/>
        <v>42527.506000000001</v>
      </c>
    </row>
    <row r="36" spans="1:10" ht="14.1" customHeight="1">
      <c r="A36" s="25" t="s">
        <v>517</v>
      </c>
      <c r="B36" s="80" t="s">
        <v>518</v>
      </c>
      <c r="C36" s="25" t="s">
        <v>60</v>
      </c>
      <c r="D36" s="73">
        <f t="shared" ref="D36:D99" si="3">J36</f>
        <v>6465.9900000000007</v>
      </c>
      <c r="E36" s="18"/>
      <c r="F36" s="74"/>
      <c r="H36" s="47">
        <v>5622.6</v>
      </c>
      <c r="I36" s="47">
        <f t="shared" si="1"/>
        <v>843.39</v>
      </c>
      <c r="J36" s="47">
        <f t="shared" si="2"/>
        <v>6465.9900000000007</v>
      </c>
    </row>
    <row r="37" spans="1:10" ht="8.4499999999999993" customHeight="1">
      <c r="A37" s="16"/>
      <c r="B37" s="17"/>
      <c r="C37" s="25"/>
      <c r="D37" s="73">
        <f t="shared" si="3"/>
        <v>0</v>
      </c>
      <c r="E37" s="18"/>
      <c r="F37" s="74"/>
      <c r="I37" s="47">
        <f t="shared" si="1"/>
        <v>0</v>
      </c>
      <c r="J37" s="47">
        <f t="shared" si="2"/>
        <v>0</v>
      </c>
    </row>
    <row r="38" spans="1:10" ht="14.1" customHeight="1">
      <c r="A38" s="25"/>
      <c r="B38" s="80"/>
      <c r="C38" s="25"/>
      <c r="D38" s="73">
        <f t="shared" si="3"/>
        <v>0</v>
      </c>
      <c r="E38" s="18"/>
      <c r="F38" s="74"/>
      <c r="I38" s="47">
        <f t="shared" si="1"/>
        <v>0</v>
      </c>
      <c r="J38" s="47">
        <f t="shared" si="2"/>
        <v>0</v>
      </c>
    </row>
    <row r="39" spans="1:10" ht="14.1" customHeight="1">
      <c r="A39" s="16">
        <v>2.2000000000000002</v>
      </c>
      <c r="B39" s="17" t="s">
        <v>300</v>
      </c>
      <c r="C39" s="25"/>
      <c r="D39" s="73">
        <f t="shared" si="3"/>
        <v>0</v>
      </c>
      <c r="E39" s="18"/>
      <c r="F39" s="74"/>
      <c r="I39" s="47">
        <f t="shared" si="1"/>
        <v>0</v>
      </c>
      <c r="J39" s="47">
        <f t="shared" si="2"/>
        <v>0</v>
      </c>
    </row>
    <row r="40" spans="1:10" ht="8.4499999999999993" customHeight="1">
      <c r="A40" s="16"/>
      <c r="B40" s="17"/>
      <c r="C40" s="25"/>
      <c r="D40" s="73">
        <f t="shared" si="3"/>
        <v>0</v>
      </c>
      <c r="E40" s="18"/>
      <c r="F40" s="74"/>
      <c r="I40" s="47">
        <f t="shared" si="1"/>
        <v>0</v>
      </c>
      <c r="J40" s="47">
        <f t="shared" si="2"/>
        <v>0</v>
      </c>
    </row>
    <row r="41" spans="1:10" ht="14.1" customHeight="1">
      <c r="A41" s="16" t="s">
        <v>301</v>
      </c>
      <c r="B41" s="17" t="s">
        <v>302</v>
      </c>
      <c r="C41" s="25" t="s">
        <v>60</v>
      </c>
      <c r="D41" s="73">
        <f t="shared" si="3"/>
        <v>0</v>
      </c>
      <c r="E41" s="18"/>
      <c r="F41" s="74"/>
      <c r="I41" s="47">
        <f t="shared" si="1"/>
        <v>0</v>
      </c>
      <c r="J41" s="47">
        <f t="shared" si="2"/>
        <v>0</v>
      </c>
    </row>
    <row r="42" spans="1:10" ht="14.1" customHeight="1">
      <c r="A42" s="16"/>
      <c r="B42" s="17" t="s">
        <v>519</v>
      </c>
      <c r="C42" s="25" t="s">
        <v>60</v>
      </c>
      <c r="D42" s="73">
        <f t="shared" si="3"/>
        <v>20731.05</v>
      </c>
      <c r="E42" s="18"/>
      <c r="F42" s="74"/>
      <c r="H42" s="47">
        <v>18027</v>
      </c>
      <c r="I42" s="47">
        <f t="shared" si="1"/>
        <v>2704.0499999999997</v>
      </c>
      <c r="J42" s="47">
        <f t="shared" si="2"/>
        <v>20731.05</v>
      </c>
    </row>
    <row r="43" spans="1:10" ht="14.1" customHeight="1">
      <c r="A43" s="16"/>
      <c r="B43" s="17" t="s">
        <v>291</v>
      </c>
      <c r="C43" s="25" t="s">
        <v>60</v>
      </c>
      <c r="D43" s="73">
        <f t="shared" si="3"/>
        <v>0</v>
      </c>
      <c r="E43" s="18"/>
      <c r="F43" s="74"/>
      <c r="I43" s="47">
        <f t="shared" si="1"/>
        <v>0</v>
      </c>
      <c r="J43" s="47">
        <f t="shared" si="2"/>
        <v>0</v>
      </c>
    </row>
    <row r="44" spans="1:10" ht="8.4499999999999993" customHeight="1">
      <c r="A44" s="16"/>
      <c r="B44" s="17"/>
      <c r="C44" s="25"/>
      <c r="D44" s="73">
        <f t="shared" si="3"/>
        <v>0</v>
      </c>
      <c r="E44" s="18"/>
      <c r="F44" s="74"/>
      <c r="I44" s="47">
        <f t="shared" si="1"/>
        <v>0</v>
      </c>
      <c r="J44" s="47">
        <f t="shared" si="2"/>
        <v>0</v>
      </c>
    </row>
    <row r="45" spans="1:10" ht="14.1" customHeight="1">
      <c r="A45" s="16" t="s">
        <v>303</v>
      </c>
      <c r="B45" s="17" t="s">
        <v>304</v>
      </c>
      <c r="C45" s="25" t="s">
        <v>60</v>
      </c>
      <c r="D45" s="73">
        <f t="shared" si="3"/>
        <v>1449</v>
      </c>
      <c r="E45" s="18"/>
      <c r="F45" s="74"/>
      <c r="H45" s="47">
        <f>90*2*7</f>
        <v>1260</v>
      </c>
      <c r="I45" s="47">
        <f t="shared" si="1"/>
        <v>189</v>
      </c>
      <c r="J45" s="47">
        <f t="shared" si="2"/>
        <v>1449</v>
      </c>
    </row>
    <row r="46" spans="1:10" ht="8.4499999999999993" customHeight="1">
      <c r="A46" s="16"/>
      <c r="B46" s="17"/>
      <c r="C46" s="25"/>
      <c r="D46" s="73">
        <f t="shared" si="3"/>
        <v>0</v>
      </c>
      <c r="E46" s="18"/>
      <c r="F46" s="74"/>
      <c r="I46" s="47">
        <f t="shared" si="1"/>
        <v>0</v>
      </c>
      <c r="J46" s="47">
        <f t="shared" si="2"/>
        <v>0</v>
      </c>
    </row>
    <row r="47" spans="1:10" ht="14.1" customHeight="1">
      <c r="A47" s="16" t="s">
        <v>305</v>
      </c>
      <c r="B47" s="17" t="s">
        <v>306</v>
      </c>
      <c r="C47" s="25" t="s">
        <v>60</v>
      </c>
      <c r="D47" s="73">
        <f t="shared" si="3"/>
        <v>0</v>
      </c>
      <c r="E47" s="18"/>
      <c r="F47" s="74"/>
      <c r="G47" s="47" t="s">
        <v>992</v>
      </c>
      <c r="I47" s="47">
        <f t="shared" si="1"/>
        <v>0</v>
      </c>
      <c r="J47" s="47">
        <f t="shared" si="2"/>
        <v>0</v>
      </c>
    </row>
    <row r="48" spans="1:10" ht="18" customHeight="1">
      <c r="A48" s="16"/>
      <c r="B48" s="17"/>
      <c r="C48" s="25"/>
      <c r="D48" s="73">
        <f t="shared" si="3"/>
        <v>0</v>
      </c>
      <c r="E48" s="18"/>
      <c r="F48" s="74"/>
      <c r="I48" s="47">
        <f t="shared" si="1"/>
        <v>0</v>
      </c>
      <c r="J48" s="47">
        <f t="shared" si="2"/>
        <v>0</v>
      </c>
    </row>
    <row r="49" spans="1:12" ht="14.1" customHeight="1">
      <c r="A49" s="16">
        <v>2.2999999999999998</v>
      </c>
      <c r="B49" s="17" t="s">
        <v>307</v>
      </c>
      <c r="C49" s="25"/>
      <c r="D49" s="73">
        <f t="shared" si="3"/>
        <v>0</v>
      </c>
      <c r="E49" s="18"/>
      <c r="F49" s="74"/>
      <c r="I49" s="47">
        <f t="shared" si="1"/>
        <v>0</v>
      </c>
      <c r="J49" s="47">
        <f t="shared" si="2"/>
        <v>0</v>
      </c>
    </row>
    <row r="50" spans="1:12" ht="8.4499999999999993" customHeight="1">
      <c r="A50" s="16"/>
      <c r="B50" s="17"/>
      <c r="C50" s="25"/>
      <c r="D50" s="73">
        <f t="shared" si="3"/>
        <v>0</v>
      </c>
      <c r="E50" s="18"/>
      <c r="F50" s="74"/>
      <c r="I50" s="47">
        <f t="shared" si="1"/>
        <v>0</v>
      </c>
      <c r="J50" s="47">
        <f t="shared" si="2"/>
        <v>0</v>
      </c>
    </row>
    <row r="51" spans="1:12" ht="14.1" customHeight="1">
      <c r="A51" s="25" t="s">
        <v>308</v>
      </c>
      <c r="B51" s="17" t="s">
        <v>309</v>
      </c>
      <c r="C51" s="25" t="s">
        <v>60</v>
      </c>
      <c r="D51" s="73">
        <f t="shared" si="3"/>
        <v>8625</v>
      </c>
      <c r="E51" s="18"/>
      <c r="F51" s="74"/>
      <c r="H51" s="47">
        <v>7500</v>
      </c>
      <c r="I51" s="47">
        <f t="shared" si="1"/>
        <v>1125</v>
      </c>
      <c r="J51" s="47">
        <f t="shared" si="2"/>
        <v>8625</v>
      </c>
    </row>
    <row r="52" spans="1:12" ht="14.1" customHeight="1">
      <c r="A52" s="25" t="s">
        <v>310</v>
      </c>
      <c r="B52" s="80" t="s">
        <v>311</v>
      </c>
      <c r="C52" s="25" t="s">
        <v>60</v>
      </c>
      <c r="D52" s="73">
        <f t="shared" si="3"/>
        <v>40292.550000000003</v>
      </c>
      <c r="E52" s="18"/>
      <c r="F52" s="74"/>
      <c r="H52" s="47">
        <v>35037</v>
      </c>
      <c r="I52" s="47">
        <f t="shared" si="1"/>
        <v>5255.55</v>
      </c>
      <c r="J52" s="47">
        <f t="shared" si="2"/>
        <v>40292.550000000003</v>
      </c>
    </row>
    <row r="53" spans="1:12" ht="14.1" customHeight="1">
      <c r="A53" s="25" t="s">
        <v>312</v>
      </c>
      <c r="B53" s="80" t="s">
        <v>291</v>
      </c>
      <c r="C53" s="25" t="s">
        <v>60</v>
      </c>
      <c r="D53" s="73">
        <f t="shared" si="3"/>
        <v>0</v>
      </c>
      <c r="E53" s="18"/>
      <c r="F53" s="74"/>
      <c r="I53" s="47">
        <f t="shared" si="1"/>
        <v>0</v>
      </c>
      <c r="J53" s="47">
        <f t="shared" si="2"/>
        <v>0</v>
      </c>
    </row>
    <row r="54" spans="1:12">
      <c r="A54" s="16" t="s">
        <v>313</v>
      </c>
      <c r="B54" s="17" t="s">
        <v>314</v>
      </c>
      <c r="C54" s="25" t="s">
        <v>60</v>
      </c>
      <c r="D54" s="73">
        <f t="shared" si="3"/>
        <v>0</v>
      </c>
      <c r="E54" s="18"/>
      <c r="F54" s="74"/>
      <c r="G54" s="47" t="s">
        <v>756</v>
      </c>
      <c r="I54" s="47">
        <f t="shared" si="1"/>
        <v>0</v>
      </c>
      <c r="J54" s="47">
        <f t="shared" si="2"/>
        <v>0</v>
      </c>
    </row>
    <row r="55" spans="1:12" ht="14.1" customHeight="1">
      <c r="A55" s="16" t="s">
        <v>315</v>
      </c>
      <c r="B55" s="17" t="s">
        <v>316</v>
      </c>
      <c r="C55" s="25" t="s">
        <v>60</v>
      </c>
      <c r="D55" s="73">
        <f t="shared" si="3"/>
        <v>0</v>
      </c>
      <c r="E55" s="18"/>
      <c r="F55" s="74"/>
      <c r="G55" s="47" t="s">
        <v>924</v>
      </c>
      <c r="I55" s="47">
        <f t="shared" si="1"/>
        <v>0</v>
      </c>
      <c r="J55" s="47">
        <f t="shared" si="2"/>
        <v>0</v>
      </c>
    </row>
    <row r="56" spans="1:12" ht="8.4499999999999993" customHeight="1">
      <c r="A56" s="16"/>
      <c r="B56" s="17"/>
      <c r="C56" s="25"/>
      <c r="D56" s="73">
        <f t="shared" si="3"/>
        <v>0</v>
      </c>
      <c r="E56" s="18"/>
      <c r="F56" s="74"/>
      <c r="I56" s="47">
        <f t="shared" si="1"/>
        <v>0</v>
      </c>
      <c r="J56" s="47">
        <f t="shared" si="2"/>
        <v>0</v>
      </c>
    </row>
    <row r="57" spans="1:12" ht="18" customHeight="1">
      <c r="A57" s="16"/>
      <c r="B57" s="17"/>
      <c r="C57" s="25"/>
      <c r="D57" s="73">
        <f t="shared" si="3"/>
        <v>0</v>
      </c>
      <c r="E57" s="18"/>
      <c r="F57" s="74"/>
      <c r="I57" s="47">
        <f t="shared" si="1"/>
        <v>0</v>
      </c>
      <c r="J57" s="47">
        <f t="shared" si="2"/>
        <v>0</v>
      </c>
    </row>
    <row r="58" spans="1:12" ht="14.1" customHeight="1">
      <c r="A58" s="16">
        <v>2.4</v>
      </c>
      <c r="B58" s="17" t="s">
        <v>319</v>
      </c>
      <c r="C58" s="25"/>
      <c r="D58" s="73">
        <f t="shared" si="3"/>
        <v>0</v>
      </c>
      <c r="E58" s="18"/>
      <c r="F58" s="74"/>
      <c r="I58" s="47">
        <f t="shared" si="1"/>
        <v>0</v>
      </c>
      <c r="J58" s="47">
        <f t="shared" si="2"/>
        <v>0</v>
      </c>
      <c r="L58" s="47" t="s">
        <v>898</v>
      </c>
    </row>
    <row r="59" spans="1:12" ht="8.4499999999999993" customHeight="1">
      <c r="A59" s="16"/>
      <c r="B59" s="17"/>
      <c r="C59" s="25"/>
      <c r="D59" s="73">
        <f t="shared" si="3"/>
        <v>0</v>
      </c>
      <c r="E59" s="18"/>
      <c r="F59" s="74"/>
      <c r="I59" s="47">
        <f t="shared" si="1"/>
        <v>0</v>
      </c>
      <c r="J59" s="47">
        <f t="shared" si="2"/>
        <v>0</v>
      </c>
    </row>
    <row r="60" spans="1:12" ht="14.1" customHeight="1">
      <c r="A60" s="25" t="s">
        <v>320</v>
      </c>
      <c r="B60" s="17" t="s">
        <v>321</v>
      </c>
      <c r="C60" s="25" t="s">
        <v>60</v>
      </c>
      <c r="D60" s="73">
        <f t="shared" si="3"/>
        <v>27730.203000000001</v>
      </c>
      <c r="E60" s="18"/>
      <c r="F60" s="74"/>
      <c r="H60" s="47">
        <f>7896+5060.1+11157.12</f>
        <v>24113.22</v>
      </c>
      <c r="I60" s="47">
        <f t="shared" si="1"/>
        <v>3616.9830000000002</v>
      </c>
      <c r="J60" s="47">
        <f t="shared" si="2"/>
        <v>27730.203000000001</v>
      </c>
    </row>
    <row r="61" spans="1:12" ht="14.1" customHeight="1">
      <c r="A61" s="25" t="s">
        <v>322</v>
      </c>
      <c r="B61" s="80" t="s">
        <v>323</v>
      </c>
      <c r="C61" s="25" t="s">
        <v>60</v>
      </c>
      <c r="D61" s="73">
        <f t="shared" si="3"/>
        <v>0</v>
      </c>
      <c r="E61" s="18"/>
      <c r="F61" s="74"/>
      <c r="I61" s="47">
        <f t="shared" si="1"/>
        <v>0</v>
      </c>
      <c r="J61" s="47">
        <f t="shared" si="2"/>
        <v>0</v>
      </c>
    </row>
    <row r="62" spans="1:12" ht="14.1" customHeight="1">
      <c r="A62" s="25" t="s">
        <v>324</v>
      </c>
      <c r="B62" s="80" t="s">
        <v>325</v>
      </c>
      <c r="C62" s="25" t="s">
        <v>60</v>
      </c>
      <c r="D62" s="73">
        <f t="shared" si="3"/>
        <v>5245.9549999999999</v>
      </c>
      <c r="E62" s="18"/>
      <c r="F62" s="74"/>
      <c r="H62" s="47">
        <f>4561.7</f>
        <v>4561.7</v>
      </c>
      <c r="I62" s="47">
        <f t="shared" si="1"/>
        <v>684.255</v>
      </c>
      <c r="J62" s="47">
        <f t="shared" si="2"/>
        <v>5245.9549999999999</v>
      </c>
    </row>
    <row r="63" spans="1:12" ht="14.1" customHeight="1">
      <c r="A63" s="25" t="s">
        <v>520</v>
      </c>
      <c r="B63" s="80" t="s">
        <v>521</v>
      </c>
      <c r="C63" s="25" t="s">
        <v>60</v>
      </c>
      <c r="D63" s="73">
        <f t="shared" si="3"/>
        <v>33377.714999999997</v>
      </c>
      <c r="E63" s="18"/>
      <c r="F63" s="74"/>
      <c r="H63" s="47">
        <v>29024.1</v>
      </c>
      <c r="I63" s="47">
        <f t="shared" si="1"/>
        <v>4353.6149999999998</v>
      </c>
      <c r="J63" s="47">
        <f t="shared" si="2"/>
        <v>33377.714999999997</v>
      </c>
    </row>
    <row r="64" spans="1:12" ht="14.1" customHeight="1">
      <c r="A64" s="25" t="s">
        <v>522</v>
      </c>
      <c r="B64" s="80" t="s">
        <v>523</v>
      </c>
      <c r="C64" s="25" t="s">
        <v>60</v>
      </c>
      <c r="D64" s="73">
        <f t="shared" si="3"/>
        <v>5750</v>
      </c>
      <c r="E64" s="18"/>
      <c r="F64" s="74"/>
      <c r="H64" s="47">
        <v>5000</v>
      </c>
      <c r="I64" s="47">
        <f t="shared" si="1"/>
        <v>750</v>
      </c>
      <c r="J64" s="47">
        <f t="shared" si="2"/>
        <v>5750</v>
      </c>
      <c r="L64" s="47" t="s">
        <v>899</v>
      </c>
    </row>
    <row r="65" spans="1:12" ht="14.1" customHeight="1">
      <c r="A65" s="25" t="s">
        <v>524</v>
      </c>
      <c r="B65" s="80" t="s">
        <v>525</v>
      </c>
      <c r="C65" s="25" t="s">
        <v>60</v>
      </c>
      <c r="D65" s="73">
        <f t="shared" si="3"/>
        <v>5750</v>
      </c>
      <c r="E65" s="18"/>
      <c r="F65" s="74"/>
      <c r="H65" s="47">
        <v>5000</v>
      </c>
      <c r="I65" s="47">
        <f t="shared" si="1"/>
        <v>750</v>
      </c>
      <c r="J65" s="47">
        <f t="shared" si="2"/>
        <v>5750</v>
      </c>
      <c r="L65" s="47" t="s">
        <v>899</v>
      </c>
    </row>
    <row r="66" spans="1:12" ht="8.4499999999999993" customHeight="1">
      <c r="A66" s="16"/>
      <c r="B66" s="17"/>
      <c r="C66" s="25"/>
      <c r="D66" s="73">
        <f t="shared" si="3"/>
        <v>0</v>
      </c>
      <c r="E66" s="18"/>
      <c r="F66" s="74"/>
      <c r="I66" s="47">
        <f t="shared" si="1"/>
        <v>0</v>
      </c>
      <c r="J66" s="47">
        <f t="shared" si="2"/>
        <v>0</v>
      </c>
    </row>
    <row r="67" spans="1:12">
      <c r="A67" s="16">
        <v>2.5</v>
      </c>
      <c r="B67" s="17" t="s">
        <v>326</v>
      </c>
      <c r="C67" s="25"/>
      <c r="D67" s="73">
        <f t="shared" si="3"/>
        <v>0</v>
      </c>
      <c r="E67" s="18"/>
      <c r="F67" s="74"/>
      <c r="I67" s="47">
        <f t="shared" si="1"/>
        <v>0</v>
      </c>
      <c r="J67" s="47">
        <f t="shared" si="2"/>
        <v>0</v>
      </c>
    </row>
    <row r="68" spans="1:12" ht="8.4499999999999993" customHeight="1">
      <c r="A68" s="16"/>
      <c r="B68" s="17"/>
      <c r="C68" s="25"/>
      <c r="D68" s="73">
        <f t="shared" si="3"/>
        <v>0</v>
      </c>
      <c r="E68" s="18"/>
      <c r="F68" s="74"/>
      <c r="I68" s="47">
        <f t="shared" si="1"/>
        <v>0</v>
      </c>
      <c r="J68" s="47">
        <f t="shared" si="2"/>
        <v>0</v>
      </c>
    </row>
    <row r="69" spans="1:12">
      <c r="A69" s="25" t="s">
        <v>327</v>
      </c>
      <c r="B69" s="17" t="s">
        <v>328</v>
      </c>
      <c r="C69" s="25" t="s">
        <v>60</v>
      </c>
      <c r="D69" s="73">
        <f t="shared" si="3"/>
        <v>141882.883</v>
      </c>
      <c r="E69" s="18"/>
      <c r="F69" s="74"/>
      <c r="H69" s="47">
        <f>1381.42+80543+31012+10440</f>
        <v>123376.42</v>
      </c>
      <c r="I69" s="47">
        <f t="shared" si="1"/>
        <v>18506.463</v>
      </c>
      <c r="J69" s="47">
        <f t="shared" si="2"/>
        <v>141882.883</v>
      </c>
      <c r="L69" s="47" t="s">
        <v>923</v>
      </c>
    </row>
    <row r="70" spans="1:12" ht="18" customHeight="1">
      <c r="A70" s="25" t="s">
        <v>329</v>
      </c>
      <c r="B70" s="17" t="s">
        <v>291</v>
      </c>
      <c r="C70" s="25" t="s">
        <v>60</v>
      </c>
      <c r="D70" s="73">
        <f t="shared" si="3"/>
        <v>0</v>
      </c>
      <c r="E70" s="18"/>
      <c r="F70" s="74"/>
      <c r="G70" s="47" t="s">
        <v>756</v>
      </c>
      <c r="I70" s="47">
        <f t="shared" si="1"/>
        <v>0</v>
      </c>
      <c r="J70" s="47">
        <f t="shared" si="2"/>
        <v>0</v>
      </c>
    </row>
    <row r="71" spans="1:12" ht="14.1" customHeight="1">
      <c r="A71" s="25" t="s">
        <v>330</v>
      </c>
      <c r="B71" s="17" t="s">
        <v>331</v>
      </c>
      <c r="C71" s="25" t="s">
        <v>60</v>
      </c>
      <c r="D71" s="73">
        <f t="shared" si="3"/>
        <v>0</v>
      </c>
      <c r="E71" s="18"/>
      <c r="F71" s="74"/>
      <c r="G71" s="47" t="s">
        <v>924</v>
      </c>
      <c r="I71" s="47">
        <f t="shared" si="1"/>
        <v>0</v>
      </c>
      <c r="J71" s="47">
        <f t="shared" si="2"/>
        <v>0</v>
      </c>
    </row>
    <row r="72" spans="1:12">
      <c r="A72" s="25" t="s">
        <v>332</v>
      </c>
      <c r="B72" s="17" t="s">
        <v>333</v>
      </c>
      <c r="C72" s="25" t="s">
        <v>60</v>
      </c>
      <c r="D72" s="73">
        <f t="shared" si="3"/>
        <v>0</v>
      </c>
      <c r="E72" s="18"/>
      <c r="F72" s="74"/>
      <c r="G72" s="47" t="s">
        <v>756</v>
      </c>
      <c r="I72" s="47">
        <f t="shared" si="1"/>
        <v>0</v>
      </c>
      <c r="J72" s="47">
        <f t="shared" si="2"/>
        <v>0</v>
      </c>
    </row>
    <row r="73" spans="1:12" ht="14.1" customHeight="1">
      <c r="A73" s="25" t="s">
        <v>334</v>
      </c>
      <c r="B73" s="80" t="s">
        <v>335</v>
      </c>
      <c r="C73" s="25" t="s">
        <v>60</v>
      </c>
      <c r="D73" s="73">
        <f t="shared" si="3"/>
        <v>8352.7949999999983</v>
      </c>
      <c r="E73" s="18"/>
      <c r="F73" s="74"/>
      <c r="H73" s="47">
        <f>5561.71+556.16+463.53+681.9</f>
        <v>7263.2999999999993</v>
      </c>
      <c r="I73" s="47">
        <f t="shared" si="1"/>
        <v>1089.4949999999999</v>
      </c>
      <c r="J73" s="47">
        <f t="shared" si="2"/>
        <v>8352.7949999999983</v>
      </c>
    </row>
    <row r="74" spans="1:12">
      <c r="A74" s="25" t="s">
        <v>336</v>
      </c>
      <c r="B74" s="17" t="s">
        <v>526</v>
      </c>
      <c r="C74" s="25" t="s">
        <v>60</v>
      </c>
      <c r="D74" s="73">
        <f t="shared" si="3"/>
        <v>0</v>
      </c>
      <c r="E74" s="18"/>
      <c r="F74" s="74"/>
      <c r="I74" s="47">
        <f t="shared" ref="I74:I138" si="4">H74*$I$3</f>
        <v>0</v>
      </c>
      <c r="J74" s="47">
        <f t="shared" ref="J74:J138" si="5">SUM(H74:I74)</f>
        <v>0</v>
      </c>
    </row>
    <row r="75" spans="1:12">
      <c r="A75" s="25" t="s">
        <v>338</v>
      </c>
      <c r="B75" s="81" t="s">
        <v>527</v>
      </c>
      <c r="C75" s="25" t="s">
        <v>60</v>
      </c>
      <c r="D75" s="73">
        <f t="shared" si="3"/>
        <v>0</v>
      </c>
      <c r="E75" s="18"/>
      <c r="F75" s="74"/>
      <c r="I75" s="47">
        <f t="shared" si="4"/>
        <v>0</v>
      </c>
      <c r="J75" s="47">
        <f t="shared" si="5"/>
        <v>0</v>
      </c>
    </row>
    <row r="76" spans="1:12" ht="8.4499999999999993" customHeight="1">
      <c r="A76" s="25"/>
      <c r="B76" s="17"/>
      <c r="C76" s="25"/>
      <c r="D76" s="73">
        <f t="shared" si="3"/>
        <v>0</v>
      </c>
      <c r="E76" s="18"/>
      <c r="F76" s="74"/>
      <c r="I76" s="47">
        <f t="shared" si="4"/>
        <v>0</v>
      </c>
      <c r="J76" s="47">
        <f t="shared" si="5"/>
        <v>0</v>
      </c>
    </row>
    <row r="77" spans="1:12">
      <c r="A77" s="25" t="s">
        <v>340</v>
      </c>
      <c r="B77" s="168" t="s">
        <v>528</v>
      </c>
      <c r="C77" s="169"/>
      <c r="D77" s="73">
        <f t="shared" si="3"/>
        <v>0</v>
      </c>
      <c r="E77" s="18"/>
      <c r="F77" s="74"/>
      <c r="I77" s="47">
        <f t="shared" si="4"/>
        <v>0</v>
      </c>
      <c r="J77" s="47">
        <f t="shared" si="5"/>
        <v>0</v>
      </c>
    </row>
    <row r="78" spans="1:12" ht="39" customHeight="1">
      <c r="A78" s="25" t="s">
        <v>342</v>
      </c>
      <c r="B78" s="26" t="s">
        <v>529</v>
      </c>
      <c r="C78" s="25" t="s">
        <v>60</v>
      </c>
      <c r="D78" s="73">
        <f t="shared" si="3"/>
        <v>1811.25</v>
      </c>
      <c r="E78" s="18"/>
      <c r="F78" s="74"/>
      <c r="G78" s="198" t="s">
        <v>957</v>
      </c>
      <c r="H78" s="47">
        <v>1575</v>
      </c>
      <c r="I78" s="47">
        <f t="shared" si="4"/>
        <v>236.25</v>
      </c>
      <c r="J78" s="47">
        <f t="shared" si="5"/>
        <v>1811.25</v>
      </c>
    </row>
    <row r="79" spans="1:12">
      <c r="A79" s="25" t="s">
        <v>344</v>
      </c>
      <c r="B79" s="81" t="s">
        <v>530</v>
      </c>
      <c r="C79" s="25" t="s">
        <v>60</v>
      </c>
      <c r="D79" s="73">
        <f t="shared" si="3"/>
        <v>6315.0525000000007</v>
      </c>
      <c r="E79" s="18"/>
      <c r="F79" s="74"/>
      <c r="H79" s="47">
        <f>1858.73+3632.62</f>
        <v>5491.35</v>
      </c>
      <c r="I79" s="47">
        <f>H79*$I$3</f>
        <v>823.70249999999999</v>
      </c>
      <c r="J79" s="47">
        <f t="shared" si="5"/>
        <v>6315.0525000000007</v>
      </c>
    </row>
    <row r="80" spans="1:12">
      <c r="A80" s="25" t="s">
        <v>346</v>
      </c>
      <c r="B80" s="17" t="s">
        <v>531</v>
      </c>
      <c r="C80" s="25" t="s">
        <v>60</v>
      </c>
      <c r="D80" s="73">
        <f t="shared" si="3"/>
        <v>23589.375</v>
      </c>
      <c r="E80" s="18"/>
      <c r="F80" s="74"/>
      <c r="H80" s="47">
        <v>20512.5</v>
      </c>
      <c r="I80" s="47">
        <f t="shared" si="4"/>
        <v>3076.875</v>
      </c>
      <c r="J80" s="47">
        <f t="shared" si="5"/>
        <v>23589.375</v>
      </c>
    </row>
    <row r="81" spans="1:12">
      <c r="A81" s="25" t="s">
        <v>348</v>
      </c>
      <c r="B81" s="81" t="s">
        <v>532</v>
      </c>
      <c r="C81" s="25" t="s">
        <v>60</v>
      </c>
      <c r="D81" s="73">
        <f t="shared" si="3"/>
        <v>4677.7629999999999</v>
      </c>
      <c r="E81" s="18"/>
      <c r="F81" s="74"/>
      <c r="H81" s="47">
        <f>1271.62+2796</f>
        <v>4067.62</v>
      </c>
      <c r="I81" s="47">
        <f t="shared" si="4"/>
        <v>610.14299999999992</v>
      </c>
      <c r="J81" s="47">
        <f t="shared" si="5"/>
        <v>4677.7629999999999</v>
      </c>
    </row>
    <row r="82" spans="1:12" ht="18" customHeight="1">
      <c r="A82" s="16"/>
      <c r="B82" s="17"/>
      <c r="C82" s="25"/>
      <c r="D82" s="73">
        <f t="shared" si="3"/>
        <v>0</v>
      </c>
      <c r="E82" s="18"/>
      <c r="F82" s="74"/>
      <c r="I82" s="47">
        <f t="shared" si="4"/>
        <v>0</v>
      </c>
      <c r="J82" s="47">
        <f t="shared" si="5"/>
        <v>0</v>
      </c>
    </row>
    <row r="83" spans="1:12">
      <c r="A83" s="16">
        <v>2.6</v>
      </c>
      <c r="B83" s="17" t="s">
        <v>350</v>
      </c>
      <c r="C83" s="25"/>
      <c r="D83" s="73">
        <f t="shared" si="3"/>
        <v>0</v>
      </c>
      <c r="E83" s="18"/>
      <c r="F83" s="74"/>
      <c r="G83" s="47" t="s">
        <v>743</v>
      </c>
      <c r="I83" s="47">
        <f t="shared" si="4"/>
        <v>0</v>
      </c>
      <c r="J83" s="47">
        <f t="shared" si="5"/>
        <v>0</v>
      </c>
    </row>
    <row r="84" spans="1:12">
      <c r="A84" s="16"/>
      <c r="B84" s="17"/>
      <c r="C84" s="25"/>
      <c r="D84" s="73">
        <f t="shared" si="3"/>
        <v>0</v>
      </c>
      <c r="E84" s="18"/>
      <c r="F84" s="74"/>
      <c r="I84" s="47">
        <f t="shared" si="4"/>
        <v>0</v>
      </c>
      <c r="J84" s="47">
        <f t="shared" si="5"/>
        <v>0</v>
      </c>
    </row>
    <row r="85" spans="1:12">
      <c r="A85" s="16" t="s">
        <v>351</v>
      </c>
      <c r="B85" s="17" t="s">
        <v>352</v>
      </c>
      <c r="C85" s="25"/>
      <c r="D85" s="73">
        <f t="shared" si="3"/>
        <v>0</v>
      </c>
      <c r="E85" s="18"/>
      <c r="F85" s="74"/>
      <c r="I85" s="47">
        <f t="shared" si="4"/>
        <v>0</v>
      </c>
      <c r="J85" s="47">
        <f t="shared" si="5"/>
        <v>0</v>
      </c>
    </row>
    <row r="86" spans="1:12">
      <c r="A86" s="25" t="s">
        <v>353</v>
      </c>
      <c r="B86" s="80" t="s">
        <v>354</v>
      </c>
      <c r="C86" s="25" t="s">
        <v>60</v>
      </c>
      <c r="D86" s="73">
        <f t="shared" si="3"/>
        <v>20690.673500000001</v>
      </c>
      <c r="E86" s="18"/>
      <c r="F86" s="74"/>
      <c r="H86" s="47">
        <f>400.25+252.38+1556.22+252.38+400.25+113.18+(3*436.91)+(5*718.64)+479.91+(2*802.3)+345.09+996.86+37.56+(2*1320.73)+(951.62)+(2*1102.72)+(2*171.17)+(2*39.66)+(63.91)+(2*38.66)+(5*31.4)+(24.27)+(3*21.32)+(2*21.32)</f>
        <v>17991.89</v>
      </c>
      <c r="I86" s="47">
        <f t="shared" si="4"/>
        <v>2698.7835</v>
      </c>
      <c r="J86" s="47">
        <f t="shared" si="5"/>
        <v>20690.673500000001</v>
      </c>
      <c r="L86" s="47" t="s">
        <v>900</v>
      </c>
    </row>
    <row r="87" spans="1:12">
      <c r="A87" s="25" t="s">
        <v>355</v>
      </c>
      <c r="B87" s="80" t="s">
        <v>356</v>
      </c>
      <c r="C87" s="25" t="s">
        <v>60</v>
      </c>
      <c r="D87" s="73">
        <f t="shared" si="3"/>
        <v>13800</v>
      </c>
      <c r="E87" s="18"/>
      <c r="F87" s="74"/>
      <c r="H87" s="47">
        <f>16*750</f>
        <v>12000</v>
      </c>
      <c r="I87" s="47">
        <f t="shared" si="4"/>
        <v>1800</v>
      </c>
      <c r="J87" s="47">
        <f t="shared" si="5"/>
        <v>13800</v>
      </c>
    </row>
    <row r="88" spans="1:12">
      <c r="A88" s="25"/>
      <c r="B88" s="80"/>
      <c r="C88" s="25"/>
      <c r="D88" s="73">
        <f t="shared" si="3"/>
        <v>0</v>
      </c>
      <c r="E88" s="18"/>
      <c r="F88" s="74"/>
      <c r="I88" s="47">
        <f t="shared" si="4"/>
        <v>0</v>
      </c>
      <c r="J88" s="47">
        <f t="shared" si="5"/>
        <v>0</v>
      </c>
    </row>
    <row r="89" spans="1:12">
      <c r="A89" s="25" t="s">
        <v>357</v>
      </c>
      <c r="B89" s="80" t="s">
        <v>358</v>
      </c>
      <c r="C89" s="25"/>
      <c r="D89" s="73">
        <f t="shared" si="3"/>
        <v>0</v>
      </c>
      <c r="E89" s="18"/>
      <c r="F89" s="74"/>
      <c r="I89" s="47">
        <f t="shared" si="4"/>
        <v>0</v>
      </c>
      <c r="J89" s="47">
        <f t="shared" si="5"/>
        <v>0</v>
      </c>
    </row>
    <row r="90" spans="1:12">
      <c r="A90" s="25" t="s">
        <v>359</v>
      </c>
      <c r="B90" s="80" t="s">
        <v>360</v>
      </c>
      <c r="C90" s="25" t="s">
        <v>60</v>
      </c>
      <c r="D90" s="73">
        <f t="shared" si="3"/>
        <v>0</v>
      </c>
      <c r="E90" s="18"/>
      <c r="F90" s="74"/>
      <c r="G90" s="47" t="s">
        <v>756</v>
      </c>
      <c r="I90" s="47">
        <f t="shared" si="4"/>
        <v>0</v>
      </c>
      <c r="J90" s="47">
        <f t="shared" si="5"/>
        <v>0</v>
      </c>
    </row>
    <row r="91" spans="1:12">
      <c r="A91" s="25" t="s">
        <v>361</v>
      </c>
      <c r="B91" s="80" t="s">
        <v>362</v>
      </c>
      <c r="C91" s="25" t="s">
        <v>60</v>
      </c>
      <c r="D91" s="73">
        <f t="shared" si="3"/>
        <v>2156.25</v>
      </c>
      <c r="E91" s="18"/>
      <c r="F91" s="74"/>
      <c r="H91" s="47">
        <f>1750+125</f>
        <v>1875</v>
      </c>
      <c r="I91" s="47">
        <f t="shared" si="4"/>
        <v>281.25</v>
      </c>
      <c r="J91" s="47">
        <f t="shared" si="5"/>
        <v>2156.25</v>
      </c>
    </row>
    <row r="92" spans="1:12">
      <c r="A92" s="25" t="s">
        <v>363</v>
      </c>
      <c r="B92" s="17" t="s">
        <v>364</v>
      </c>
      <c r="C92" s="25" t="s">
        <v>60</v>
      </c>
      <c r="D92" s="73">
        <f t="shared" si="3"/>
        <v>1150</v>
      </c>
      <c r="E92" s="18"/>
      <c r="F92" s="74"/>
      <c r="G92" s="47" t="s">
        <v>756</v>
      </c>
      <c r="H92" s="47">
        <v>1000</v>
      </c>
      <c r="I92" s="47">
        <f t="shared" si="4"/>
        <v>150</v>
      </c>
      <c r="J92" s="47">
        <f t="shared" si="5"/>
        <v>1150</v>
      </c>
    </row>
    <row r="93" spans="1:12">
      <c r="A93" s="25" t="s">
        <v>365</v>
      </c>
      <c r="B93" s="80" t="s">
        <v>366</v>
      </c>
      <c r="C93" s="25" t="s">
        <v>60</v>
      </c>
      <c r="D93" s="73">
        <f t="shared" si="3"/>
        <v>0</v>
      </c>
      <c r="E93" s="18"/>
      <c r="F93" s="74"/>
      <c r="G93" s="47" t="s">
        <v>756</v>
      </c>
      <c r="I93" s="47">
        <f t="shared" si="4"/>
        <v>0</v>
      </c>
      <c r="J93" s="47">
        <f t="shared" si="5"/>
        <v>0</v>
      </c>
    </row>
    <row r="94" spans="1:12">
      <c r="A94" s="25" t="s">
        <v>367</v>
      </c>
      <c r="B94" s="80" t="s">
        <v>368</v>
      </c>
      <c r="C94" s="25" t="s">
        <v>60</v>
      </c>
      <c r="D94" s="73">
        <f t="shared" si="3"/>
        <v>0</v>
      </c>
      <c r="E94" s="18"/>
      <c r="F94" s="74"/>
      <c r="G94" s="47" t="s">
        <v>756</v>
      </c>
      <c r="I94" s="47">
        <f t="shared" si="4"/>
        <v>0</v>
      </c>
      <c r="J94" s="47">
        <f t="shared" si="5"/>
        <v>0</v>
      </c>
    </row>
    <row r="95" spans="1:12">
      <c r="A95" s="25" t="s">
        <v>533</v>
      </c>
      <c r="B95" s="80" t="s">
        <v>534</v>
      </c>
      <c r="C95" s="157" t="s">
        <v>60</v>
      </c>
      <c r="D95" s="73">
        <f t="shared" si="3"/>
        <v>4025</v>
      </c>
      <c r="E95" s="18"/>
      <c r="F95" s="74"/>
      <c r="H95" s="47">
        <f>1500+(1000*2)</f>
        <v>3500</v>
      </c>
      <c r="I95" s="47">
        <f t="shared" si="4"/>
        <v>525</v>
      </c>
      <c r="J95" s="47">
        <f t="shared" si="5"/>
        <v>4025</v>
      </c>
    </row>
    <row r="96" spans="1:12">
      <c r="A96" s="25" t="s">
        <v>951</v>
      </c>
      <c r="B96" s="80" t="s">
        <v>950</v>
      </c>
      <c r="C96" s="25"/>
      <c r="D96" s="73">
        <f t="shared" si="3"/>
        <v>3289</v>
      </c>
      <c r="E96" s="18"/>
      <c r="F96" s="74"/>
      <c r="H96" s="47">
        <v>2860</v>
      </c>
      <c r="I96" s="47">
        <f t="shared" si="4"/>
        <v>429</v>
      </c>
      <c r="J96" s="47">
        <f t="shared" si="5"/>
        <v>3289</v>
      </c>
    </row>
    <row r="97" spans="1:10">
      <c r="A97" s="25"/>
      <c r="B97" s="80"/>
      <c r="C97" s="25"/>
      <c r="D97" s="73">
        <f t="shared" si="3"/>
        <v>0</v>
      </c>
      <c r="E97" s="18"/>
      <c r="F97" s="74"/>
    </row>
    <row r="98" spans="1:10">
      <c r="A98" s="25">
        <v>2.7</v>
      </c>
      <c r="B98" s="80" t="s">
        <v>369</v>
      </c>
      <c r="C98" s="25"/>
      <c r="D98" s="73">
        <f t="shared" si="3"/>
        <v>0</v>
      </c>
      <c r="E98" s="18"/>
      <c r="F98" s="74"/>
      <c r="I98" s="47">
        <f t="shared" si="4"/>
        <v>0</v>
      </c>
      <c r="J98" s="47">
        <f t="shared" si="5"/>
        <v>0</v>
      </c>
    </row>
    <row r="99" spans="1:10">
      <c r="A99" s="16"/>
      <c r="B99" s="17"/>
      <c r="C99" s="25"/>
      <c r="D99" s="73">
        <f t="shared" si="3"/>
        <v>0</v>
      </c>
      <c r="E99" s="18"/>
      <c r="F99" s="74"/>
      <c r="I99" s="47">
        <f t="shared" si="4"/>
        <v>0</v>
      </c>
      <c r="J99" s="47">
        <f t="shared" si="5"/>
        <v>0</v>
      </c>
    </row>
    <row r="100" spans="1:10">
      <c r="A100" s="16" t="s">
        <v>370</v>
      </c>
      <c r="B100" s="17" t="s">
        <v>371</v>
      </c>
      <c r="C100" s="25" t="s">
        <v>60</v>
      </c>
      <c r="D100" s="73">
        <f t="shared" ref="D100:D110" si="6">J100</f>
        <v>8839.4174999999996</v>
      </c>
      <c r="E100" s="18"/>
      <c r="F100" s="74"/>
      <c r="H100" s="47">
        <v>7686.45</v>
      </c>
      <c r="I100" s="47">
        <f t="shared" si="4"/>
        <v>1152.9675</v>
      </c>
      <c r="J100" s="47">
        <f t="shared" si="5"/>
        <v>8839.4174999999996</v>
      </c>
    </row>
    <row r="101" spans="1:10">
      <c r="A101" s="16" t="s">
        <v>372</v>
      </c>
      <c r="B101" s="17" t="s">
        <v>373</v>
      </c>
      <c r="C101" s="25" t="s">
        <v>60</v>
      </c>
      <c r="D101" s="73">
        <f t="shared" si="6"/>
        <v>12868.833500000001</v>
      </c>
      <c r="E101" s="18"/>
      <c r="F101" s="74"/>
      <c r="H101" s="47">
        <v>11190.29</v>
      </c>
      <c r="I101" s="47">
        <f t="shared" si="4"/>
        <v>1678.5435</v>
      </c>
      <c r="J101" s="47">
        <f t="shared" si="5"/>
        <v>12868.833500000001</v>
      </c>
    </row>
    <row r="102" spans="1:10">
      <c r="A102" s="16"/>
      <c r="B102" s="17"/>
      <c r="C102" s="25"/>
      <c r="D102" s="73">
        <f t="shared" si="6"/>
        <v>0</v>
      </c>
      <c r="E102" s="18"/>
      <c r="F102" s="74"/>
      <c r="I102" s="47">
        <f t="shared" si="4"/>
        <v>0</v>
      </c>
      <c r="J102" s="47">
        <f t="shared" si="5"/>
        <v>0</v>
      </c>
    </row>
    <row r="103" spans="1:10">
      <c r="A103" s="16">
        <v>2.8</v>
      </c>
      <c r="B103" s="17" t="s">
        <v>374</v>
      </c>
      <c r="C103" s="25"/>
      <c r="D103" s="73">
        <f t="shared" si="6"/>
        <v>0</v>
      </c>
      <c r="E103" s="18"/>
      <c r="F103" s="74"/>
      <c r="I103" s="47">
        <f t="shared" si="4"/>
        <v>0</v>
      </c>
      <c r="J103" s="47">
        <f t="shared" si="5"/>
        <v>0</v>
      </c>
    </row>
    <row r="104" spans="1:10">
      <c r="A104" s="25"/>
      <c r="B104" s="80"/>
      <c r="C104" s="25"/>
      <c r="D104" s="73">
        <f t="shared" si="6"/>
        <v>0</v>
      </c>
      <c r="E104" s="18"/>
      <c r="F104" s="74"/>
      <c r="I104" s="47">
        <f t="shared" si="4"/>
        <v>0</v>
      </c>
      <c r="J104" s="47">
        <f t="shared" si="5"/>
        <v>0</v>
      </c>
    </row>
    <row r="105" spans="1:10">
      <c r="A105" s="16" t="s">
        <v>375</v>
      </c>
      <c r="B105" s="17" t="s">
        <v>376</v>
      </c>
      <c r="C105" s="25" t="s">
        <v>60</v>
      </c>
      <c r="D105" s="73">
        <f t="shared" si="6"/>
        <v>2704.7194999999997</v>
      </c>
      <c r="E105" s="18"/>
      <c r="F105" s="74"/>
      <c r="H105" s="47">
        <v>2351.9299999999998</v>
      </c>
      <c r="I105" s="47">
        <f t="shared" si="4"/>
        <v>352.78949999999998</v>
      </c>
      <c r="J105" s="47">
        <f t="shared" si="5"/>
        <v>2704.7194999999997</v>
      </c>
    </row>
    <row r="106" spans="1:10">
      <c r="A106" s="25" t="s">
        <v>377</v>
      </c>
      <c r="B106" s="80" t="s">
        <v>378</v>
      </c>
      <c r="C106" s="25" t="s">
        <v>60</v>
      </c>
      <c r="D106" s="73">
        <f t="shared" si="6"/>
        <v>2809.3119999999999</v>
      </c>
      <c r="E106" s="18"/>
      <c r="F106" s="74"/>
      <c r="H106" s="47">
        <v>2442.88</v>
      </c>
      <c r="I106" s="47">
        <f t="shared" si="4"/>
        <v>366.43200000000002</v>
      </c>
      <c r="J106" s="47">
        <f t="shared" si="5"/>
        <v>2809.3119999999999</v>
      </c>
    </row>
    <row r="107" spans="1:10">
      <c r="A107" s="25" t="s">
        <v>379</v>
      </c>
      <c r="B107" s="17" t="s">
        <v>380</v>
      </c>
      <c r="C107" s="25" t="s">
        <v>60</v>
      </c>
      <c r="D107" s="73">
        <f t="shared" si="6"/>
        <v>0</v>
      </c>
      <c r="E107" s="18"/>
      <c r="F107" s="74"/>
      <c r="I107" s="47">
        <f t="shared" si="4"/>
        <v>0</v>
      </c>
      <c r="J107" s="47">
        <f t="shared" si="5"/>
        <v>0</v>
      </c>
    </row>
    <row r="108" spans="1:10">
      <c r="A108" s="25" t="s">
        <v>381</v>
      </c>
      <c r="B108" s="80" t="s">
        <v>382</v>
      </c>
      <c r="C108" s="25" t="s">
        <v>60</v>
      </c>
      <c r="D108" s="73">
        <f t="shared" si="6"/>
        <v>0</v>
      </c>
      <c r="E108" s="18"/>
      <c r="F108" s="74"/>
      <c r="I108" s="47">
        <f t="shared" si="4"/>
        <v>0</v>
      </c>
      <c r="J108" s="47">
        <f t="shared" si="5"/>
        <v>0</v>
      </c>
    </row>
    <row r="109" spans="1:10">
      <c r="A109" s="16"/>
      <c r="B109" s="17"/>
      <c r="C109" s="25"/>
      <c r="D109" s="73">
        <f t="shared" si="6"/>
        <v>0</v>
      </c>
      <c r="E109" s="18"/>
      <c r="F109" s="74"/>
      <c r="I109" s="47">
        <f t="shared" si="4"/>
        <v>0</v>
      </c>
      <c r="J109" s="47">
        <f t="shared" si="5"/>
        <v>0</v>
      </c>
    </row>
    <row r="110" spans="1:10">
      <c r="A110" s="16">
        <v>2.9</v>
      </c>
      <c r="B110" s="17" t="s">
        <v>383</v>
      </c>
      <c r="C110" s="25"/>
      <c r="D110" s="73">
        <f t="shared" si="6"/>
        <v>0</v>
      </c>
      <c r="E110" s="18"/>
      <c r="F110" s="74"/>
      <c r="I110" s="47">
        <f t="shared" si="4"/>
        <v>0</v>
      </c>
      <c r="J110" s="47">
        <f t="shared" si="5"/>
        <v>0</v>
      </c>
    </row>
    <row r="111" spans="1:10" ht="8.4499999999999993" customHeight="1">
      <c r="A111" s="16"/>
      <c r="B111" s="17"/>
      <c r="C111" s="25" t="s">
        <v>60</v>
      </c>
      <c r="D111" s="73">
        <f t="shared" ref="D111:D115" si="7">J111</f>
        <v>0</v>
      </c>
      <c r="E111" s="18"/>
      <c r="F111" s="74"/>
      <c r="H111" s="48"/>
      <c r="I111" s="47">
        <f t="shared" si="4"/>
        <v>0</v>
      </c>
      <c r="J111" s="47">
        <f t="shared" si="5"/>
        <v>0</v>
      </c>
    </row>
    <row r="112" spans="1:10" ht="14.1" customHeight="1">
      <c r="A112" s="25"/>
      <c r="B112" s="80" t="s">
        <v>953</v>
      </c>
      <c r="C112" s="25" t="s">
        <v>60</v>
      </c>
      <c r="D112" s="73">
        <f t="shared" si="7"/>
        <v>16999.3</v>
      </c>
      <c r="E112" s="18"/>
      <c r="F112" s="74"/>
      <c r="H112" s="48">
        <f>13377+1405</f>
        <v>14782</v>
      </c>
      <c r="I112" s="47">
        <f t="shared" si="4"/>
        <v>2217.2999999999997</v>
      </c>
      <c r="J112" s="47">
        <f t="shared" si="5"/>
        <v>16999.3</v>
      </c>
    </row>
    <row r="113" spans="1:15" ht="8.4499999999999993" customHeight="1">
      <c r="A113" s="16"/>
      <c r="B113" s="17"/>
      <c r="C113" s="25" t="s">
        <v>60</v>
      </c>
      <c r="D113" s="73">
        <f t="shared" si="7"/>
        <v>0</v>
      </c>
      <c r="E113" s="18"/>
      <c r="F113" s="74"/>
      <c r="I113" s="47">
        <f t="shared" si="4"/>
        <v>0</v>
      </c>
      <c r="J113" s="47">
        <f t="shared" si="5"/>
        <v>0</v>
      </c>
    </row>
    <row r="114" spans="1:15" ht="14.1" customHeight="1">
      <c r="A114" s="25"/>
      <c r="B114" s="17" t="s">
        <v>956</v>
      </c>
      <c r="C114" s="25" t="s">
        <v>60</v>
      </c>
      <c r="D114" s="73">
        <f t="shared" si="7"/>
        <v>3057.85</v>
      </c>
      <c r="E114" s="18"/>
      <c r="F114" s="74"/>
      <c r="H114" s="47">
        <f>239+2420</f>
        <v>2659</v>
      </c>
      <c r="I114" s="47">
        <f t="shared" si="4"/>
        <v>398.84999999999997</v>
      </c>
      <c r="J114" s="47">
        <f t="shared" si="5"/>
        <v>3057.85</v>
      </c>
    </row>
    <row r="115" spans="1:15">
      <c r="A115" s="16"/>
      <c r="B115" s="17" t="s">
        <v>960</v>
      </c>
      <c r="C115" s="25" t="s">
        <v>60</v>
      </c>
      <c r="D115" s="73">
        <f t="shared" si="7"/>
        <v>763.96800000000007</v>
      </c>
      <c r="E115" s="18"/>
      <c r="F115" s="74"/>
      <c r="H115" s="47">
        <v>664.32</v>
      </c>
      <c r="I115" s="47">
        <f t="shared" si="4"/>
        <v>99.64800000000001</v>
      </c>
      <c r="J115" s="47">
        <f t="shared" si="5"/>
        <v>763.96800000000007</v>
      </c>
    </row>
    <row r="116" spans="1:15" ht="14.1" customHeight="1">
      <c r="A116" s="16"/>
      <c r="B116" s="17"/>
      <c r="C116" s="25"/>
      <c r="D116" s="39"/>
      <c r="E116" s="71"/>
      <c r="F116" s="39"/>
      <c r="I116" s="47">
        <f t="shared" si="4"/>
        <v>0</v>
      </c>
      <c r="J116" s="47">
        <f t="shared" si="5"/>
        <v>0</v>
      </c>
    </row>
    <row r="117" spans="1:15" ht="14.1" customHeight="1">
      <c r="A117" s="75"/>
      <c r="B117" s="76"/>
      <c r="C117" s="77"/>
      <c r="D117" s="78" t="s">
        <v>384</v>
      </c>
      <c r="E117" s="79" t="s">
        <v>60</v>
      </c>
      <c r="F117" s="78">
        <f>SUM(D32:D116)</f>
        <v>477728.41149999981</v>
      </c>
      <c r="I117" s="47">
        <f t="shared" si="4"/>
        <v>0</v>
      </c>
      <c r="J117" s="47">
        <f t="shared" si="5"/>
        <v>0</v>
      </c>
    </row>
    <row r="118" spans="1:15" ht="14.1" customHeight="1">
      <c r="A118" s="16"/>
      <c r="B118" s="17"/>
      <c r="C118" s="25"/>
      <c r="D118" s="39"/>
      <c r="E118" s="71"/>
      <c r="F118" s="70"/>
      <c r="I118" s="47">
        <f t="shared" si="4"/>
        <v>0</v>
      </c>
      <c r="J118" s="47">
        <f t="shared" si="5"/>
        <v>0</v>
      </c>
    </row>
    <row r="119" spans="1:15" ht="14.1" customHeight="1">
      <c r="A119" s="19">
        <v>3</v>
      </c>
      <c r="B119" s="72" t="s">
        <v>385</v>
      </c>
      <c r="C119" s="25"/>
      <c r="D119" s="39"/>
      <c r="E119" s="18"/>
      <c r="F119" s="74"/>
      <c r="G119" s="48"/>
      <c r="I119" s="47">
        <f t="shared" si="4"/>
        <v>0</v>
      </c>
      <c r="J119" s="47">
        <f t="shared" si="5"/>
        <v>0</v>
      </c>
      <c r="K119" s="48"/>
      <c r="L119" s="48"/>
      <c r="N119" s="48"/>
      <c r="O119" s="48"/>
    </row>
    <row r="120" spans="1:15" ht="14.1" customHeight="1">
      <c r="B120" s="72"/>
      <c r="C120" s="25"/>
      <c r="D120" s="39"/>
      <c r="E120" s="18"/>
      <c r="F120" s="74"/>
      <c r="G120" s="48"/>
      <c r="I120" s="47">
        <f t="shared" si="4"/>
        <v>0</v>
      </c>
      <c r="J120" s="47">
        <f t="shared" si="5"/>
        <v>0</v>
      </c>
      <c r="K120" s="48"/>
      <c r="L120" s="48"/>
      <c r="N120" s="48"/>
      <c r="O120" s="48"/>
    </row>
    <row r="121" spans="1:15">
      <c r="A121" s="16">
        <v>3.1</v>
      </c>
      <c r="B121" s="17" t="s">
        <v>386</v>
      </c>
      <c r="C121" s="25"/>
      <c r="D121" s="39"/>
      <c r="E121" s="18"/>
      <c r="F121" s="74"/>
      <c r="I121" s="47">
        <f t="shared" si="4"/>
        <v>0</v>
      </c>
      <c r="J121" s="47">
        <f t="shared" si="5"/>
        <v>0</v>
      </c>
    </row>
    <row r="122" spans="1:15">
      <c r="A122" s="25" t="s">
        <v>387</v>
      </c>
      <c r="B122" s="80" t="s">
        <v>388</v>
      </c>
      <c r="C122" s="25" t="s">
        <v>60</v>
      </c>
      <c r="D122" s="73">
        <f t="shared" ref="D122:D143" si="8">J122</f>
        <v>7015</v>
      </c>
      <c r="E122" s="18"/>
      <c r="F122" s="74"/>
      <c r="H122" s="47">
        <f>3900+2200</f>
        <v>6100</v>
      </c>
      <c r="I122" s="47">
        <f t="shared" si="4"/>
        <v>915</v>
      </c>
      <c r="J122" s="47">
        <f t="shared" si="5"/>
        <v>7015</v>
      </c>
    </row>
    <row r="123" spans="1:15">
      <c r="A123" s="25" t="s">
        <v>389</v>
      </c>
      <c r="B123" s="80" t="s">
        <v>390</v>
      </c>
      <c r="C123" s="25" t="s">
        <v>60</v>
      </c>
      <c r="D123" s="73">
        <f t="shared" si="8"/>
        <v>6823.5365000000002</v>
      </c>
      <c r="E123" s="18"/>
      <c r="F123" s="74"/>
      <c r="H123" s="47">
        <f>1601.51+1278.28+1739.43+1314.29</f>
        <v>5933.51</v>
      </c>
      <c r="I123" s="47">
        <f t="shared" si="4"/>
        <v>890.02650000000006</v>
      </c>
      <c r="J123" s="47">
        <f t="shared" si="5"/>
        <v>6823.5365000000002</v>
      </c>
    </row>
    <row r="124" spans="1:15">
      <c r="A124" s="25"/>
      <c r="B124" s="80"/>
      <c r="C124" s="25"/>
      <c r="D124" s="73">
        <f t="shared" si="8"/>
        <v>0</v>
      </c>
      <c r="E124" s="18"/>
      <c r="F124" s="74"/>
      <c r="I124" s="47">
        <f t="shared" si="4"/>
        <v>0</v>
      </c>
      <c r="J124" s="47">
        <f t="shared" si="5"/>
        <v>0</v>
      </c>
    </row>
    <row r="125" spans="1:15">
      <c r="A125" s="16">
        <v>3.2</v>
      </c>
      <c r="B125" s="80" t="s">
        <v>391</v>
      </c>
      <c r="C125" s="25"/>
      <c r="D125" s="73">
        <f t="shared" si="8"/>
        <v>0</v>
      </c>
      <c r="E125" s="18"/>
      <c r="F125" s="74"/>
      <c r="I125" s="47">
        <f t="shared" si="4"/>
        <v>0</v>
      </c>
      <c r="J125" s="47">
        <f t="shared" si="5"/>
        <v>0</v>
      </c>
      <c r="L125" s="47" t="s">
        <v>901</v>
      </c>
    </row>
    <row r="126" spans="1:15">
      <c r="A126" s="25" t="s">
        <v>392</v>
      </c>
      <c r="B126" s="80" t="s">
        <v>393</v>
      </c>
      <c r="C126" s="25" t="s">
        <v>60</v>
      </c>
      <c r="D126" s="73">
        <f t="shared" si="8"/>
        <v>14794.450999999999</v>
      </c>
      <c r="E126" s="18"/>
      <c r="F126" s="74"/>
      <c r="H126" s="47">
        <v>12864.74</v>
      </c>
      <c r="I126" s="47">
        <f t="shared" si="4"/>
        <v>1929.7109999999998</v>
      </c>
      <c r="J126" s="47">
        <f t="shared" si="5"/>
        <v>14794.450999999999</v>
      </c>
    </row>
    <row r="127" spans="1:15">
      <c r="A127" s="25" t="s">
        <v>394</v>
      </c>
      <c r="B127" s="80" t="s">
        <v>395</v>
      </c>
      <c r="C127" s="25" t="s">
        <v>60</v>
      </c>
      <c r="D127" s="73">
        <f t="shared" si="8"/>
        <v>2254</v>
      </c>
      <c r="E127" s="18"/>
      <c r="F127" s="74"/>
      <c r="G127" s="47" t="s">
        <v>995</v>
      </c>
      <c r="H127" s="47">
        <v>1960</v>
      </c>
      <c r="I127" s="47">
        <f t="shared" si="4"/>
        <v>294</v>
      </c>
      <c r="J127" s="47">
        <f t="shared" si="5"/>
        <v>2254</v>
      </c>
    </row>
    <row r="128" spans="1:15">
      <c r="A128" s="25" t="s">
        <v>396</v>
      </c>
      <c r="B128" s="80" t="s">
        <v>397</v>
      </c>
      <c r="C128" s="25" t="s">
        <v>60</v>
      </c>
      <c r="D128" s="73">
        <f t="shared" si="8"/>
        <v>0</v>
      </c>
      <c r="E128" s="18"/>
      <c r="F128" s="74"/>
      <c r="I128" s="47">
        <f t="shared" si="4"/>
        <v>0</v>
      </c>
      <c r="J128" s="47">
        <f t="shared" si="5"/>
        <v>0</v>
      </c>
    </row>
    <row r="129" spans="1:10">
      <c r="A129" s="25" t="s">
        <v>398</v>
      </c>
      <c r="B129" s="80" t="s">
        <v>399</v>
      </c>
      <c r="C129" s="25" t="s">
        <v>60</v>
      </c>
      <c r="D129" s="73">
        <f t="shared" si="8"/>
        <v>13369.072</v>
      </c>
      <c r="E129" s="18"/>
      <c r="F129" s="74"/>
      <c r="H129" s="47">
        <f>9408+750+(1022.93*3)-H132</f>
        <v>11625.28</v>
      </c>
      <c r="I129" s="47">
        <f t="shared" si="4"/>
        <v>1743.7920000000001</v>
      </c>
      <c r="J129" s="47">
        <f t="shared" si="5"/>
        <v>13369.072</v>
      </c>
    </row>
    <row r="130" spans="1:10">
      <c r="A130" s="25" t="s">
        <v>400</v>
      </c>
      <c r="B130" s="17" t="s">
        <v>401</v>
      </c>
      <c r="C130" s="25" t="s">
        <v>60</v>
      </c>
      <c r="D130" s="73">
        <f t="shared" si="8"/>
        <v>920</v>
      </c>
      <c r="E130" s="18"/>
      <c r="F130" s="74"/>
      <c r="H130" s="47">
        <v>800</v>
      </c>
      <c r="I130" s="47">
        <f t="shared" si="4"/>
        <v>120</v>
      </c>
      <c r="J130" s="47">
        <f t="shared" si="5"/>
        <v>920</v>
      </c>
    </row>
    <row r="131" spans="1:10">
      <c r="A131" s="25" t="s">
        <v>402</v>
      </c>
      <c r="B131" s="80" t="s">
        <v>403</v>
      </c>
      <c r="C131" s="25" t="s">
        <v>60</v>
      </c>
      <c r="D131" s="73">
        <f t="shared" si="8"/>
        <v>235.75</v>
      </c>
      <c r="E131" s="18"/>
      <c r="F131" s="74"/>
      <c r="H131" s="47">
        <v>205</v>
      </c>
      <c r="I131" s="47">
        <f t="shared" si="4"/>
        <v>30.75</v>
      </c>
      <c r="J131" s="47">
        <f t="shared" si="5"/>
        <v>235.75</v>
      </c>
    </row>
    <row r="132" spans="1:10">
      <c r="A132" s="25" t="s">
        <v>404</v>
      </c>
      <c r="B132" s="80" t="s">
        <v>405</v>
      </c>
      <c r="C132" s="25" t="s">
        <v>60</v>
      </c>
      <c r="D132" s="73">
        <f t="shared" si="8"/>
        <v>1841.7365</v>
      </c>
      <c r="E132" s="18"/>
      <c r="F132" s="74"/>
      <c r="H132" s="47">
        <v>1601.51</v>
      </c>
      <c r="I132" s="47">
        <f t="shared" si="4"/>
        <v>240.22649999999999</v>
      </c>
      <c r="J132" s="47">
        <f t="shared" si="5"/>
        <v>1841.7365</v>
      </c>
    </row>
    <row r="133" spans="1:10">
      <c r="A133" s="25"/>
      <c r="B133" s="80"/>
      <c r="C133" s="25"/>
      <c r="D133" s="73">
        <f t="shared" si="8"/>
        <v>0</v>
      </c>
      <c r="E133" s="18"/>
      <c r="F133" s="74"/>
      <c r="I133" s="47">
        <f t="shared" si="4"/>
        <v>0</v>
      </c>
      <c r="J133" s="47">
        <f t="shared" si="5"/>
        <v>0</v>
      </c>
    </row>
    <row r="134" spans="1:10">
      <c r="A134" s="16">
        <v>3.3</v>
      </c>
      <c r="B134" s="80" t="s">
        <v>406</v>
      </c>
      <c r="C134" s="25"/>
      <c r="D134" s="73">
        <f t="shared" si="8"/>
        <v>0</v>
      </c>
      <c r="E134" s="18"/>
      <c r="F134" s="74"/>
      <c r="I134" s="47">
        <f t="shared" si="4"/>
        <v>0</v>
      </c>
      <c r="J134" s="47">
        <f t="shared" si="5"/>
        <v>0</v>
      </c>
    </row>
    <row r="135" spans="1:10">
      <c r="A135" s="25" t="s">
        <v>407</v>
      </c>
      <c r="B135" s="80" t="s">
        <v>408</v>
      </c>
      <c r="C135" s="25" t="s">
        <v>60</v>
      </c>
      <c r="D135" s="73">
        <f t="shared" si="8"/>
        <v>11102.801500000001</v>
      </c>
      <c r="E135" s="18"/>
      <c r="F135" s="74"/>
      <c r="H135" s="47">
        <f>7007.92+2646.69</f>
        <v>9654.61</v>
      </c>
      <c r="I135" s="47">
        <f t="shared" si="4"/>
        <v>1448.1915000000001</v>
      </c>
      <c r="J135" s="47">
        <f t="shared" si="5"/>
        <v>11102.801500000001</v>
      </c>
    </row>
    <row r="136" spans="1:10">
      <c r="A136" s="25" t="s">
        <v>409</v>
      </c>
      <c r="B136" s="80" t="s">
        <v>410</v>
      </c>
      <c r="C136" s="25" t="s">
        <v>60</v>
      </c>
      <c r="D136" s="73">
        <f t="shared" si="8"/>
        <v>3450</v>
      </c>
      <c r="E136" s="18"/>
      <c r="F136" s="74"/>
      <c r="H136" s="47">
        <f>1000*3</f>
        <v>3000</v>
      </c>
      <c r="I136" s="47">
        <f t="shared" si="4"/>
        <v>450</v>
      </c>
      <c r="J136" s="47">
        <f t="shared" si="5"/>
        <v>3450</v>
      </c>
    </row>
    <row r="137" spans="1:10">
      <c r="A137" s="25"/>
      <c r="B137" s="80"/>
      <c r="C137" s="25"/>
      <c r="D137" s="73">
        <f t="shared" si="8"/>
        <v>0</v>
      </c>
      <c r="E137" s="18"/>
      <c r="F137" s="74"/>
      <c r="I137" s="47">
        <f t="shared" si="4"/>
        <v>0</v>
      </c>
      <c r="J137" s="47">
        <f t="shared" si="5"/>
        <v>0</v>
      </c>
    </row>
    <row r="138" spans="1:10">
      <c r="A138" s="16">
        <v>3.4</v>
      </c>
      <c r="B138" s="17" t="s">
        <v>411</v>
      </c>
      <c r="C138" s="25"/>
      <c r="D138" s="73">
        <f t="shared" si="8"/>
        <v>0</v>
      </c>
      <c r="E138" s="18"/>
      <c r="F138" s="74"/>
      <c r="I138" s="47">
        <f t="shared" si="4"/>
        <v>0</v>
      </c>
      <c r="J138" s="47">
        <f t="shared" si="5"/>
        <v>0</v>
      </c>
    </row>
    <row r="139" spans="1:10" ht="14.1" customHeight="1">
      <c r="A139" s="16"/>
      <c r="B139" s="17"/>
      <c r="C139" s="25" t="s">
        <v>60</v>
      </c>
      <c r="D139" s="73">
        <f t="shared" si="8"/>
        <v>0</v>
      </c>
      <c r="E139" s="18"/>
      <c r="F139" s="74"/>
      <c r="I139" s="47">
        <f t="shared" ref="I139:I202" si="9">H139*$I$3</f>
        <v>0</v>
      </c>
      <c r="J139" s="47">
        <f t="shared" ref="J139:J202" si="10">SUM(H139:I139)</f>
        <v>0</v>
      </c>
    </row>
    <row r="140" spans="1:10" ht="14.1" customHeight="1">
      <c r="A140" s="25"/>
      <c r="B140" s="80" t="s">
        <v>1019</v>
      </c>
      <c r="C140" s="25" t="s">
        <v>60</v>
      </c>
      <c r="D140" s="73">
        <f t="shared" si="8"/>
        <v>16847.5</v>
      </c>
      <c r="E140" s="18"/>
      <c r="F140" s="74"/>
      <c r="H140" s="47">
        <v>14650</v>
      </c>
      <c r="I140" s="47">
        <f t="shared" si="9"/>
        <v>2197.5</v>
      </c>
      <c r="J140" s="47">
        <f t="shared" si="10"/>
        <v>16847.5</v>
      </c>
    </row>
    <row r="141" spans="1:10" ht="14.1" customHeight="1">
      <c r="A141" s="25"/>
      <c r="B141" s="80"/>
      <c r="C141" s="25" t="s">
        <v>60</v>
      </c>
      <c r="D141" s="73">
        <f t="shared" si="8"/>
        <v>0</v>
      </c>
      <c r="E141" s="18"/>
      <c r="F141" s="74"/>
      <c r="I141" s="47">
        <f t="shared" si="9"/>
        <v>0</v>
      </c>
      <c r="J141" s="47">
        <f t="shared" si="10"/>
        <v>0</v>
      </c>
    </row>
    <row r="142" spans="1:10" ht="14.1" customHeight="1">
      <c r="A142" s="25"/>
      <c r="B142" s="80"/>
      <c r="C142" s="25" t="s">
        <v>60</v>
      </c>
      <c r="D142" s="73">
        <f t="shared" si="8"/>
        <v>0</v>
      </c>
      <c r="E142" s="18"/>
      <c r="F142" s="74"/>
      <c r="I142" s="47">
        <f t="shared" si="9"/>
        <v>0</v>
      </c>
      <c r="J142" s="47">
        <f t="shared" si="10"/>
        <v>0</v>
      </c>
    </row>
    <row r="143" spans="1:10" ht="14.1" customHeight="1">
      <c r="A143" s="25"/>
      <c r="B143" s="80"/>
      <c r="C143" s="25" t="s">
        <v>60</v>
      </c>
      <c r="D143" s="73">
        <f t="shared" si="8"/>
        <v>0</v>
      </c>
      <c r="E143" s="18"/>
      <c r="F143" s="74"/>
      <c r="I143" s="47">
        <f t="shared" si="9"/>
        <v>0</v>
      </c>
      <c r="J143" s="47">
        <f t="shared" si="10"/>
        <v>0</v>
      </c>
    </row>
    <row r="144" spans="1:10" ht="14.1" customHeight="1">
      <c r="A144" s="16"/>
      <c r="B144" s="17"/>
      <c r="C144" s="25"/>
      <c r="D144" s="39"/>
      <c r="E144" s="71"/>
      <c r="F144" s="39"/>
      <c r="I144" s="47">
        <f t="shared" si="9"/>
        <v>0</v>
      </c>
      <c r="J144" s="47">
        <f t="shared" si="10"/>
        <v>0</v>
      </c>
    </row>
    <row r="145" spans="1:12" ht="14.1" customHeight="1">
      <c r="A145" s="75"/>
      <c r="B145" s="76"/>
      <c r="C145" s="77"/>
      <c r="D145" s="78" t="s">
        <v>412</v>
      </c>
      <c r="E145" s="79" t="s">
        <v>60</v>
      </c>
      <c r="F145" s="78">
        <f>SUM(D119:D144)</f>
        <v>78653.847500000003</v>
      </c>
      <c r="I145" s="47">
        <f t="shared" si="9"/>
        <v>0</v>
      </c>
      <c r="J145" s="47">
        <f t="shared" si="10"/>
        <v>0</v>
      </c>
    </row>
    <row r="146" spans="1:12" ht="14.1" customHeight="1">
      <c r="A146" s="16"/>
      <c r="B146" s="17"/>
      <c r="C146" s="25"/>
      <c r="D146" s="39"/>
      <c r="E146" s="71"/>
      <c r="F146" s="70"/>
      <c r="I146" s="47">
        <f t="shared" si="9"/>
        <v>0</v>
      </c>
      <c r="J146" s="47">
        <f t="shared" si="10"/>
        <v>0</v>
      </c>
    </row>
    <row r="147" spans="1:12" ht="14.25" customHeight="1">
      <c r="A147" s="19">
        <v>4</v>
      </c>
      <c r="B147" s="82" t="s">
        <v>413</v>
      </c>
      <c r="C147" s="25"/>
      <c r="D147" s="39"/>
      <c r="E147" s="18"/>
      <c r="F147" s="74"/>
      <c r="I147" s="47">
        <f t="shared" si="9"/>
        <v>0</v>
      </c>
      <c r="J147" s="47">
        <f t="shared" si="10"/>
        <v>0</v>
      </c>
    </row>
    <row r="148" spans="1:12" ht="14.25" customHeight="1">
      <c r="B148" s="82"/>
      <c r="C148" s="25"/>
      <c r="D148" s="39"/>
      <c r="E148" s="18"/>
      <c r="F148" s="74"/>
      <c r="I148" s="47">
        <f t="shared" si="9"/>
        <v>0</v>
      </c>
      <c r="J148" s="47">
        <f t="shared" si="10"/>
        <v>0</v>
      </c>
    </row>
    <row r="149" spans="1:12">
      <c r="A149" s="16">
        <v>4.0999999999999996</v>
      </c>
      <c r="B149" s="26" t="s">
        <v>414</v>
      </c>
      <c r="C149" s="25" t="s">
        <v>60</v>
      </c>
      <c r="D149" s="73">
        <f>J149</f>
        <v>0</v>
      </c>
      <c r="E149" s="18"/>
      <c r="F149" s="74"/>
      <c r="I149" s="47">
        <f t="shared" si="9"/>
        <v>0</v>
      </c>
      <c r="J149" s="47">
        <f t="shared" si="10"/>
        <v>0</v>
      </c>
    </row>
    <row r="150" spans="1:12">
      <c r="A150" s="16"/>
      <c r="B150" s="17"/>
      <c r="C150" s="25"/>
      <c r="D150" s="73">
        <f t="shared" ref="D150:D168" si="11">J150</f>
        <v>0</v>
      </c>
      <c r="E150" s="18"/>
      <c r="F150" s="74"/>
      <c r="I150" s="47">
        <f t="shared" si="9"/>
        <v>0</v>
      </c>
      <c r="J150" s="47">
        <f t="shared" si="10"/>
        <v>0</v>
      </c>
    </row>
    <row r="151" spans="1:12">
      <c r="A151" s="25" t="s">
        <v>415</v>
      </c>
      <c r="B151" s="26" t="s">
        <v>416</v>
      </c>
      <c r="C151" s="25"/>
      <c r="D151" s="73">
        <f t="shared" si="11"/>
        <v>0</v>
      </c>
      <c r="E151" s="18"/>
      <c r="F151" s="74"/>
      <c r="I151" s="47">
        <f t="shared" si="9"/>
        <v>0</v>
      </c>
      <c r="J151" s="47">
        <f t="shared" si="10"/>
        <v>0</v>
      </c>
    </row>
    <row r="152" spans="1:12" ht="27.75">
      <c r="A152" s="25" t="s">
        <v>417</v>
      </c>
      <c r="B152" s="81" t="s">
        <v>418</v>
      </c>
      <c r="C152" s="25" t="s">
        <v>60</v>
      </c>
      <c r="D152" s="73">
        <f t="shared" si="11"/>
        <v>862.5</v>
      </c>
      <c r="E152" s="18"/>
      <c r="F152" s="74"/>
      <c r="H152" s="47">
        <v>750</v>
      </c>
      <c r="I152" s="47">
        <f t="shared" si="9"/>
        <v>112.5</v>
      </c>
      <c r="J152" s="47">
        <f t="shared" si="10"/>
        <v>862.5</v>
      </c>
    </row>
    <row r="153" spans="1:12">
      <c r="A153" s="25"/>
      <c r="B153" s="81"/>
      <c r="C153" s="25"/>
      <c r="D153" s="73">
        <f t="shared" si="11"/>
        <v>0</v>
      </c>
      <c r="E153" s="18"/>
      <c r="F153" s="74"/>
      <c r="I153" s="47">
        <f t="shared" si="9"/>
        <v>0</v>
      </c>
      <c r="J153" s="47">
        <f t="shared" si="10"/>
        <v>0</v>
      </c>
    </row>
    <row r="154" spans="1:12">
      <c r="A154" s="25" t="s">
        <v>419</v>
      </c>
      <c r="B154" s="81" t="s">
        <v>420</v>
      </c>
      <c r="C154" s="25" t="s">
        <v>60</v>
      </c>
      <c r="D154" s="73">
        <f t="shared" si="11"/>
        <v>15525</v>
      </c>
      <c r="E154" s="18"/>
      <c r="F154" s="74"/>
      <c r="H154" s="47">
        <f>4500*3</f>
        <v>13500</v>
      </c>
      <c r="I154" s="47">
        <f t="shared" si="9"/>
        <v>2025</v>
      </c>
      <c r="J154" s="47">
        <f t="shared" si="10"/>
        <v>15525</v>
      </c>
      <c r="L154" s="47" t="s">
        <v>1000</v>
      </c>
    </row>
    <row r="155" spans="1:12">
      <c r="A155" s="25"/>
      <c r="B155" s="81"/>
      <c r="C155" s="25"/>
      <c r="D155" s="73">
        <f t="shared" si="11"/>
        <v>0</v>
      </c>
      <c r="E155" s="18"/>
      <c r="F155" s="74"/>
      <c r="I155" s="47">
        <f t="shared" si="9"/>
        <v>0</v>
      </c>
      <c r="J155" s="47">
        <f t="shared" si="10"/>
        <v>0</v>
      </c>
    </row>
    <row r="156" spans="1:12">
      <c r="A156" s="25" t="s">
        <v>421</v>
      </c>
      <c r="B156" s="17" t="s">
        <v>422</v>
      </c>
      <c r="C156" s="25" t="s">
        <v>60</v>
      </c>
      <c r="D156" s="73">
        <f t="shared" si="11"/>
        <v>0</v>
      </c>
      <c r="E156" s="18"/>
      <c r="F156" s="74"/>
      <c r="I156" s="47">
        <f t="shared" si="9"/>
        <v>0</v>
      </c>
      <c r="J156" s="47">
        <f t="shared" si="10"/>
        <v>0</v>
      </c>
    </row>
    <row r="157" spans="1:12">
      <c r="A157" s="25"/>
      <c r="B157" s="81"/>
      <c r="C157" s="25"/>
      <c r="D157" s="73">
        <f t="shared" si="11"/>
        <v>0</v>
      </c>
      <c r="E157" s="18"/>
      <c r="F157" s="74"/>
      <c r="I157" s="47">
        <f t="shared" si="9"/>
        <v>0</v>
      </c>
      <c r="J157" s="47">
        <f t="shared" si="10"/>
        <v>0</v>
      </c>
    </row>
    <row r="158" spans="1:12">
      <c r="A158" s="25" t="s">
        <v>421</v>
      </c>
      <c r="B158" s="17" t="s">
        <v>423</v>
      </c>
      <c r="C158" s="25" t="s">
        <v>60</v>
      </c>
      <c r="D158" s="73">
        <f t="shared" si="11"/>
        <v>0</v>
      </c>
      <c r="E158" s="18"/>
      <c r="F158" s="74"/>
      <c r="I158" s="47">
        <f t="shared" si="9"/>
        <v>0</v>
      </c>
      <c r="J158" s="47">
        <f t="shared" si="10"/>
        <v>0</v>
      </c>
    </row>
    <row r="159" spans="1:12">
      <c r="A159" s="16"/>
      <c r="B159" s="81"/>
      <c r="C159" s="25"/>
      <c r="D159" s="73">
        <f t="shared" si="11"/>
        <v>0</v>
      </c>
      <c r="E159" s="18"/>
      <c r="F159" s="74"/>
      <c r="I159" s="47">
        <f t="shared" si="9"/>
        <v>0</v>
      </c>
      <c r="J159" s="47">
        <f t="shared" si="10"/>
        <v>0</v>
      </c>
    </row>
    <row r="160" spans="1:12">
      <c r="A160" s="16">
        <v>4.2</v>
      </c>
      <c r="B160" s="17" t="s">
        <v>424</v>
      </c>
      <c r="C160" s="25"/>
      <c r="D160" s="73">
        <f t="shared" si="11"/>
        <v>0</v>
      </c>
      <c r="E160" s="18"/>
      <c r="F160" s="74"/>
      <c r="I160" s="47">
        <f t="shared" si="9"/>
        <v>0</v>
      </c>
      <c r="J160" s="47">
        <f t="shared" si="10"/>
        <v>0</v>
      </c>
    </row>
    <row r="161" spans="1:10" ht="15.75" customHeight="1">
      <c r="A161" s="16"/>
      <c r="B161" s="81" t="s">
        <v>425</v>
      </c>
      <c r="C161" s="25" t="s">
        <v>60</v>
      </c>
      <c r="D161" s="73">
        <f t="shared" si="11"/>
        <v>0</v>
      </c>
      <c r="E161" s="18"/>
      <c r="F161" s="74"/>
      <c r="I161" s="47">
        <f t="shared" si="9"/>
        <v>0</v>
      </c>
      <c r="J161" s="47">
        <f t="shared" si="10"/>
        <v>0</v>
      </c>
    </row>
    <row r="162" spans="1:10">
      <c r="A162" s="16"/>
      <c r="B162" s="17" t="s">
        <v>426</v>
      </c>
      <c r="C162" s="25" t="s">
        <v>60</v>
      </c>
      <c r="D162" s="73">
        <f t="shared" si="11"/>
        <v>8625</v>
      </c>
      <c r="E162" s="18"/>
      <c r="F162" s="74"/>
      <c r="G162" s="47" t="s">
        <v>756</v>
      </c>
      <c r="H162" s="47">
        <v>7500</v>
      </c>
      <c r="I162" s="47">
        <f t="shared" si="9"/>
        <v>1125</v>
      </c>
      <c r="J162" s="47">
        <f t="shared" si="10"/>
        <v>8625</v>
      </c>
    </row>
    <row r="163" spans="1:10">
      <c r="A163" s="16"/>
      <c r="B163" s="17" t="s">
        <v>427</v>
      </c>
      <c r="C163" s="25" t="s">
        <v>60</v>
      </c>
      <c r="D163" s="73">
        <f t="shared" si="11"/>
        <v>1437.5</v>
      </c>
      <c r="E163" s="71"/>
      <c r="F163" s="39"/>
      <c r="H163" s="47">
        <v>1250</v>
      </c>
      <c r="I163" s="47">
        <f t="shared" si="9"/>
        <v>187.5</v>
      </c>
      <c r="J163" s="47">
        <f t="shared" si="10"/>
        <v>1437.5</v>
      </c>
    </row>
    <row r="164" spans="1:10">
      <c r="A164" s="16"/>
      <c r="B164" s="17" t="s">
        <v>428</v>
      </c>
      <c r="C164" s="25" t="s">
        <v>60</v>
      </c>
      <c r="D164" s="73">
        <f t="shared" si="11"/>
        <v>0</v>
      </c>
      <c r="E164" s="71"/>
      <c r="F164" s="39"/>
      <c r="I164" s="47">
        <f t="shared" si="9"/>
        <v>0</v>
      </c>
      <c r="J164" s="47">
        <f t="shared" si="10"/>
        <v>0</v>
      </c>
    </row>
    <row r="165" spans="1:10" ht="14.25" customHeight="1">
      <c r="A165" s="16"/>
      <c r="B165" s="17"/>
      <c r="C165" s="25" t="s">
        <v>60</v>
      </c>
      <c r="D165" s="73">
        <f t="shared" si="11"/>
        <v>0</v>
      </c>
      <c r="E165" s="71"/>
      <c r="F165" s="39"/>
      <c r="I165" s="47">
        <f t="shared" si="9"/>
        <v>0</v>
      </c>
      <c r="J165" s="47">
        <f t="shared" si="10"/>
        <v>0</v>
      </c>
    </row>
    <row r="166" spans="1:10" ht="14.25" customHeight="1">
      <c r="A166" s="16"/>
      <c r="B166" s="17"/>
      <c r="C166" s="25" t="s">
        <v>60</v>
      </c>
      <c r="D166" s="73">
        <f t="shared" si="11"/>
        <v>0</v>
      </c>
      <c r="E166" s="71"/>
      <c r="F166" s="39"/>
      <c r="I166" s="47">
        <f t="shared" si="9"/>
        <v>0</v>
      </c>
      <c r="J166" s="47">
        <f t="shared" si="10"/>
        <v>0</v>
      </c>
    </row>
    <row r="167" spans="1:10" ht="14.25" customHeight="1">
      <c r="A167" s="16"/>
      <c r="B167" s="17"/>
      <c r="C167" s="25" t="s">
        <v>60</v>
      </c>
      <c r="D167" s="73">
        <f t="shared" si="11"/>
        <v>0</v>
      </c>
      <c r="E167" s="71"/>
      <c r="F167" s="39"/>
      <c r="I167" s="47">
        <f t="shared" si="9"/>
        <v>0</v>
      </c>
      <c r="J167" s="47">
        <f t="shared" si="10"/>
        <v>0</v>
      </c>
    </row>
    <row r="168" spans="1:10" ht="14.25" customHeight="1">
      <c r="A168" s="16"/>
      <c r="B168" s="17"/>
      <c r="C168" s="25" t="s">
        <v>60</v>
      </c>
      <c r="D168" s="73">
        <f t="shared" si="11"/>
        <v>0</v>
      </c>
      <c r="E168" s="71"/>
      <c r="F168" s="39"/>
      <c r="I168" s="47">
        <f t="shared" si="9"/>
        <v>0</v>
      </c>
      <c r="J168" s="47">
        <f t="shared" si="10"/>
        <v>0</v>
      </c>
    </row>
    <row r="169" spans="1:10" ht="14.25" customHeight="1">
      <c r="A169" s="16"/>
      <c r="B169" s="17"/>
      <c r="C169" s="25"/>
      <c r="D169" s="39"/>
      <c r="E169" s="71"/>
      <c r="F169" s="39"/>
      <c r="I169" s="47">
        <f t="shared" si="9"/>
        <v>0</v>
      </c>
      <c r="J169" s="47">
        <f t="shared" si="10"/>
        <v>0</v>
      </c>
    </row>
    <row r="170" spans="1:10" ht="14.1" customHeight="1">
      <c r="A170" s="75"/>
      <c r="B170" s="76"/>
      <c r="C170" s="77"/>
      <c r="D170" s="78" t="s">
        <v>429</v>
      </c>
      <c r="E170" s="79" t="s">
        <v>60</v>
      </c>
      <c r="F170" s="78">
        <f>SUM(D147:D169)</f>
        <v>26450</v>
      </c>
      <c r="I170" s="47">
        <f t="shared" si="9"/>
        <v>0</v>
      </c>
      <c r="J170" s="47">
        <f t="shared" si="10"/>
        <v>0</v>
      </c>
    </row>
    <row r="171" spans="1:10" ht="14.1" customHeight="1">
      <c r="A171" s="16"/>
      <c r="B171" s="17"/>
      <c r="C171" s="25"/>
      <c r="D171" s="39"/>
      <c r="E171" s="71"/>
      <c r="F171" s="70"/>
      <c r="I171" s="47">
        <f t="shared" si="9"/>
        <v>0</v>
      </c>
      <c r="J171" s="47">
        <f t="shared" si="10"/>
        <v>0</v>
      </c>
    </row>
    <row r="172" spans="1:10" ht="14.25" customHeight="1">
      <c r="A172" s="19">
        <v>5</v>
      </c>
      <c r="B172" s="72" t="s">
        <v>430</v>
      </c>
      <c r="C172" s="25"/>
      <c r="D172" s="39"/>
      <c r="E172" s="18"/>
      <c r="F172" s="74"/>
      <c r="I172" s="47">
        <f t="shared" si="9"/>
        <v>0</v>
      </c>
      <c r="J172" s="47">
        <f t="shared" si="10"/>
        <v>0</v>
      </c>
    </row>
    <row r="173" spans="1:10" ht="8.4499999999999993" customHeight="1">
      <c r="A173" s="16"/>
      <c r="B173" s="17"/>
      <c r="C173" s="25"/>
      <c r="D173" s="39"/>
      <c r="E173" s="18"/>
      <c r="F173" s="74"/>
      <c r="I173" s="47">
        <f t="shared" si="9"/>
        <v>0</v>
      </c>
      <c r="J173" s="47">
        <f t="shared" si="10"/>
        <v>0</v>
      </c>
    </row>
    <row r="174" spans="1:10" ht="14.25" customHeight="1">
      <c r="A174" s="16">
        <v>5.0999999999999996</v>
      </c>
      <c r="B174" s="17" t="s">
        <v>431</v>
      </c>
      <c r="C174" s="25"/>
      <c r="D174" s="73"/>
      <c r="E174" s="18"/>
      <c r="F174" s="74"/>
      <c r="I174" s="47">
        <f t="shared" si="9"/>
        <v>0</v>
      </c>
      <c r="J174" s="47">
        <f t="shared" si="10"/>
        <v>0</v>
      </c>
    </row>
    <row r="175" spans="1:10" ht="14.25" customHeight="1">
      <c r="A175" s="25" t="s">
        <v>432</v>
      </c>
      <c r="B175" s="80" t="s">
        <v>433</v>
      </c>
      <c r="C175" s="25" t="s">
        <v>60</v>
      </c>
      <c r="D175" s="73">
        <f>J175</f>
        <v>7762.5</v>
      </c>
      <c r="E175" s="18"/>
      <c r="F175" s="74"/>
      <c r="H175" s="47">
        <v>6750</v>
      </c>
      <c r="I175" s="47">
        <f t="shared" si="9"/>
        <v>1012.5</v>
      </c>
      <c r="J175" s="47">
        <f t="shared" si="10"/>
        <v>7762.5</v>
      </c>
    </row>
    <row r="176" spans="1:10" ht="14.25" customHeight="1">
      <c r="A176" s="25" t="s">
        <v>434</v>
      </c>
      <c r="B176" s="80" t="s">
        <v>435</v>
      </c>
      <c r="C176" s="25" t="s">
        <v>60</v>
      </c>
      <c r="D176" s="73">
        <f t="shared" ref="D176:D239" si="12">J176</f>
        <v>0</v>
      </c>
      <c r="E176" s="18"/>
      <c r="F176" s="74"/>
      <c r="I176" s="47">
        <f t="shared" si="9"/>
        <v>0</v>
      </c>
      <c r="J176" s="47">
        <f t="shared" si="10"/>
        <v>0</v>
      </c>
    </row>
    <row r="177" spans="1:10" ht="8.4499999999999993" customHeight="1">
      <c r="A177" s="16"/>
      <c r="B177" s="17"/>
      <c r="C177" s="25"/>
      <c r="D177" s="73">
        <f t="shared" si="12"/>
        <v>0</v>
      </c>
      <c r="E177" s="18"/>
      <c r="F177" s="74"/>
      <c r="I177" s="47">
        <f t="shared" si="9"/>
        <v>0</v>
      </c>
      <c r="J177" s="47">
        <f t="shared" si="10"/>
        <v>0</v>
      </c>
    </row>
    <row r="178" spans="1:10" ht="14.25" customHeight="1">
      <c r="A178" s="16">
        <v>5.2</v>
      </c>
      <c r="B178" s="17" t="s">
        <v>436</v>
      </c>
      <c r="C178" s="25" t="s">
        <v>60</v>
      </c>
      <c r="D178" s="73">
        <f t="shared" si="12"/>
        <v>0</v>
      </c>
      <c r="E178" s="18"/>
      <c r="F178" s="74"/>
      <c r="I178" s="47">
        <f t="shared" si="9"/>
        <v>0</v>
      </c>
      <c r="J178" s="47">
        <f t="shared" si="10"/>
        <v>0</v>
      </c>
    </row>
    <row r="179" spans="1:10" ht="8.4499999999999993" customHeight="1">
      <c r="A179" s="16"/>
      <c r="B179" s="17"/>
      <c r="C179" s="25"/>
      <c r="D179" s="73">
        <f t="shared" si="12"/>
        <v>0</v>
      </c>
      <c r="E179" s="18"/>
      <c r="F179" s="74"/>
      <c r="I179" s="47">
        <f t="shared" si="9"/>
        <v>0</v>
      </c>
      <c r="J179" s="47">
        <f t="shared" si="10"/>
        <v>0</v>
      </c>
    </row>
    <row r="180" spans="1:10" ht="14.25" customHeight="1">
      <c r="A180" s="16">
        <v>5.3</v>
      </c>
      <c r="B180" s="17" t="s">
        <v>437</v>
      </c>
      <c r="C180" s="25"/>
      <c r="D180" s="73">
        <f t="shared" si="12"/>
        <v>0</v>
      </c>
      <c r="E180" s="18"/>
      <c r="F180" s="74"/>
      <c r="I180" s="47">
        <f t="shared" si="9"/>
        <v>0</v>
      </c>
      <c r="J180" s="47">
        <f t="shared" si="10"/>
        <v>0</v>
      </c>
    </row>
    <row r="181" spans="1:10" ht="14.25" customHeight="1">
      <c r="A181" s="25" t="s">
        <v>438</v>
      </c>
      <c r="B181" s="80" t="s">
        <v>439</v>
      </c>
      <c r="C181" s="25" t="s">
        <v>60</v>
      </c>
      <c r="D181" s="73">
        <f t="shared" si="12"/>
        <v>9200</v>
      </c>
      <c r="E181" s="18"/>
      <c r="F181" s="74"/>
      <c r="H181" s="47">
        <v>8000</v>
      </c>
      <c r="I181" s="47">
        <f t="shared" si="9"/>
        <v>1200</v>
      </c>
      <c r="J181" s="47">
        <f t="shared" si="10"/>
        <v>9200</v>
      </c>
    </row>
    <row r="182" spans="1:10" ht="14.25" customHeight="1">
      <c r="A182" s="25" t="s">
        <v>440</v>
      </c>
      <c r="B182" s="80" t="s">
        <v>441</v>
      </c>
      <c r="C182" s="25" t="s">
        <v>60</v>
      </c>
      <c r="D182" s="73">
        <f t="shared" si="12"/>
        <v>0</v>
      </c>
      <c r="E182" s="18"/>
      <c r="F182" s="74"/>
      <c r="I182" s="47">
        <f t="shared" si="9"/>
        <v>0</v>
      </c>
      <c r="J182" s="47">
        <f t="shared" si="10"/>
        <v>0</v>
      </c>
    </row>
    <row r="183" spans="1:10" ht="8.4499999999999993" customHeight="1">
      <c r="A183" s="16"/>
      <c r="B183" s="17"/>
      <c r="C183" s="25"/>
      <c r="D183" s="73">
        <f t="shared" si="12"/>
        <v>0</v>
      </c>
      <c r="E183" s="18"/>
      <c r="F183" s="74"/>
      <c r="I183" s="47">
        <f t="shared" si="9"/>
        <v>0</v>
      </c>
      <c r="J183" s="47">
        <f t="shared" si="10"/>
        <v>0</v>
      </c>
    </row>
    <row r="184" spans="1:10" ht="14.25" customHeight="1">
      <c r="A184" s="16">
        <v>5.4</v>
      </c>
      <c r="B184" s="17" t="s">
        <v>442</v>
      </c>
      <c r="C184" s="25"/>
      <c r="D184" s="73">
        <f t="shared" si="12"/>
        <v>0</v>
      </c>
      <c r="E184" s="18"/>
      <c r="F184" s="74"/>
      <c r="I184" s="47">
        <f t="shared" si="9"/>
        <v>0</v>
      </c>
      <c r="J184" s="47">
        <f t="shared" si="10"/>
        <v>0</v>
      </c>
    </row>
    <row r="185" spans="1:10" ht="14.25" customHeight="1">
      <c r="A185" s="25" t="s">
        <v>443</v>
      </c>
      <c r="B185" s="80" t="s">
        <v>444</v>
      </c>
      <c r="C185" s="25" t="s">
        <v>60</v>
      </c>
      <c r="D185" s="73">
        <f t="shared" si="12"/>
        <v>5606.25</v>
      </c>
      <c r="E185" s="18"/>
      <c r="F185" s="74"/>
      <c r="H185" s="47">
        <v>4875</v>
      </c>
      <c r="I185" s="47">
        <f t="shared" si="9"/>
        <v>731.25</v>
      </c>
      <c r="J185" s="47">
        <f t="shared" si="10"/>
        <v>5606.25</v>
      </c>
    </row>
    <row r="186" spans="1:10" ht="14.25" customHeight="1">
      <c r="A186" s="25" t="s">
        <v>445</v>
      </c>
      <c r="B186" s="80" t="s">
        <v>446</v>
      </c>
      <c r="C186" s="25" t="s">
        <v>60</v>
      </c>
      <c r="D186" s="73">
        <f t="shared" si="12"/>
        <v>0</v>
      </c>
      <c r="E186" s="18"/>
      <c r="F186" s="74"/>
      <c r="I186" s="47">
        <f t="shared" si="9"/>
        <v>0</v>
      </c>
      <c r="J186" s="47">
        <f t="shared" si="10"/>
        <v>0</v>
      </c>
    </row>
    <row r="187" spans="1:10" ht="8.4499999999999993" customHeight="1">
      <c r="A187" s="16"/>
      <c r="B187" s="17"/>
      <c r="C187" s="25"/>
      <c r="D187" s="73">
        <f t="shared" si="12"/>
        <v>0</v>
      </c>
      <c r="E187" s="18"/>
      <c r="F187" s="74"/>
      <c r="I187" s="47">
        <f t="shared" si="9"/>
        <v>0</v>
      </c>
      <c r="J187" s="47">
        <f t="shared" si="10"/>
        <v>0</v>
      </c>
    </row>
    <row r="188" spans="1:10" ht="14.25" customHeight="1">
      <c r="A188" s="16">
        <v>5.5</v>
      </c>
      <c r="B188" s="17" t="s">
        <v>447</v>
      </c>
      <c r="C188" s="25"/>
      <c r="D188" s="73">
        <f t="shared" si="12"/>
        <v>0</v>
      </c>
      <c r="E188" s="18"/>
      <c r="F188" s="74"/>
      <c r="I188" s="47">
        <f t="shared" si="9"/>
        <v>0</v>
      </c>
      <c r="J188" s="47">
        <f t="shared" si="10"/>
        <v>0</v>
      </c>
    </row>
    <row r="189" spans="1:10">
      <c r="A189" s="25" t="s">
        <v>448</v>
      </c>
      <c r="B189" s="81" t="s">
        <v>449</v>
      </c>
      <c r="C189" s="25" t="s">
        <v>60</v>
      </c>
      <c r="D189" s="73">
        <f t="shared" si="12"/>
        <v>0</v>
      </c>
      <c r="E189" s="18"/>
      <c r="F189" s="74"/>
      <c r="I189" s="47">
        <f t="shared" si="9"/>
        <v>0</v>
      </c>
      <c r="J189" s="47">
        <f t="shared" si="10"/>
        <v>0</v>
      </c>
    </row>
    <row r="190" spans="1:10">
      <c r="A190" s="25" t="s">
        <v>535</v>
      </c>
      <c r="B190" s="81" t="s">
        <v>450</v>
      </c>
      <c r="C190" s="25" t="s">
        <v>60</v>
      </c>
      <c r="D190" s="73">
        <f t="shared" si="12"/>
        <v>0</v>
      </c>
      <c r="E190" s="18"/>
      <c r="F190" s="74"/>
      <c r="I190" s="47">
        <f t="shared" si="9"/>
        <v>0</v>
      </c>
      <c r="J190" s="47">
        <f t="shared" si="10"/>
        <v>0</v>
      </c>
    </row>
    <row r="191" spans="1:10">
      <c r="A191" s="25" t="s">
        <v>536</v>
      </c>
      <c r="B191" s="17" t="s">
        <v>451</v>
      </c>
      <c r="C191" s="25"/>
      <c r="D191" s="73">
        <f t="shared" si="12"/>
        <v>36656.25</v>
      </c>
      <c r="E191" s="18"/>
      <c r="F191" s="74"/>
      <c r="H191" s="47">
        <v>31875</v>
      </c>
      <c r="I191" s="47">
        <f t="shared" si="9"/>
        <v>4781.25</v>
      </c>
      <c r="J191" s="47">
        <f t="shared" si="10"/>
        <v>36656.25</v>
      </c>
    </row>
    <row r="192" spans="1:10">
      <c r="A192" s="16"/>
      <c r="B192" s="17"/>
      <c r="C192" s="25"/>
      <c r="D192" s="73">
        <f t="shared" si="12"/>
        <v>0</v>
      </c>
      <c r="E192" s="18"/>
      <c r="F192" s="74"/>
      <c r="I192" s="47">
        <f t="shared" si="9"/>
        <v>0</v>
      </c>
      <c r="J192" s="47">
        <f t="shared" si="10"/>
        <v>0</v>
      </c>
    </row>
    <row r="193" spans="1:10">
      <c r="A193" s="16">
        <v>5.6</v>
      </c>
      <c r="B193" s="81" t="s">
        <v>452</v>
      </c>
      <c r="C193" s="25"/>
      <c r="D193" s="73">
        <f t="shared" si="12"/>
        <v>0</v>
      </c>
      <c r="E193" s="18"/>
      <c r="F193" s="74"/>
      <c r="I193" s="47">
        <f t="shared" si="9"/>
        <v>0</v>
      </c>
      <c r="J193" s="47">
        <f t="shared" si="10"/>
        <v>0</v>
      </c>
    </row>
    <row r="194" spans="1:10">
      <c r="A194" s="25" t="s">
        <v>453</v>
      </c>
      <c r="B194" s="81" t="s">
        <v>454</v>
      </c>
      <c r="C194" s="25" t="s">
        <v>60</v>
      </c>
      <c r="D194" s="73">
        <f t="shared" si="12"/>
        <v>0</v>
      </c>
      <c r="E194" s="18"/>
      <c r="F194" s="74"/>
      <c r="I194" s="47">
        <f t="shared" si="9"/>
        <v>0</v>
      </c>
      <c r="J194" s="47">
        <f t="shared" si="10"/>
        <v>0</v>
      </c>
    </row>
    <row r="195" spans="1:10">
      <c r="A195" s="25" t="s">
        <v>455</v>
      </c>
      <c r="B195" s="17" t="s">
        <v>456</v>
      </c>
      <c r="C195" s="25" t="s">
        <v>60</v>
      </c>
      <c r="D195" s="73">
        <f t="shared" si="12"/>
        <v>0</v>
      </c>
      <c r="E195" s="18"/>
      <c r="F195" s="74"/>
      <c r="I195" s="47">
        <f t="shared" si="9"/>
        <v>0</v>
      </c>
      <c r="J195" s="47">
        <f t="shared" si="10"/>
        <v>0</v>
      </c>
    </row>
    <row r="196" spans="1:10">
      <c r="A196" s="16"/>
      <c r="B196" s="17"/>
      <c r="C196" s="25"/>
      <c r="D196" s="73">
        <f t="shared" si="12"/>
        <v>0</v>
      </c>
      <c r="E196" s="18"/>
      <c r="F196" s="74"/>
      <c r="I196" s="47">
        <f t="shared" si="9"/>
        <v>0</v>
      </c>
      <c r="J196" s="47">
        <f t="shared" si="10"/>
        <v>0</v>
      </c>
    </row>
    <row r="197" spans="1:10">
      <c r="A197" s="16">
        <v>5.7</v>
      </c>
      <c r="B197" s="81" t="s">
        <v>457</v>
      </c>
      <c r="C197" s="25"/>
      <c r="D197" s="73">
        <f t="shared" si="12"/>
        <v>0</v>
      </c>
      <c r="E197" s="18"/>
      <c r="F197" s="74"/>
      <c r="I197" s="47">
        <f t="shared" si="9"/>
        <v>0</v>
      </c>
      <c r="J197" s="47">
        <f t="shared" si="10"/>
        <v>0</v>
      </c>
    </row>
    <row r="198" spans="1:10">
      <c r="A198" s="25" t="s">
        <v>458</v>
      </c>
      <c r="B198" s="17" t="s">
        <v>459</v>
      </c>
      <c r="C198" s="25" t="s">
        <v>60</v>
      </c>
      <c r="D198" s="73">
        <f t="shared" si="12"/>
        <v>0</v>
      </c>
      <c r="E198" s="18"/>
      <c r="F198" s="74"/>
      <c r="I198" s="47">
        <f t="shared" si="9"/>
        <v>0</v>
      </c>
      <c r="J198" s="47">
        <f t="shared" si="10"/>
        <v>0</v>
      </c>
    </row>
    <row r="199" spans="1:10">
      <c r="A199" s="25" t="s">
        <v>460</v>
      </c>
      <c r="B199" s="17" t="s">
        <v>461</v>
      </c>
      <c r="C199" s="25"/>
      <c r="D199" s="73">
        <f t="shared" si="12"/>
        <v>25875</v>
      </c>
      <c r="E199" s="18"/>
      <c r="F199" s="74"/>
      <c r="H199" s="47">
        <v>22500</v>
      </c>
      <c r="I199" s="47">
        <f t="shared" si="9"/>
        <v>3375</v>
      </c>
      <c r="J199" s="47">
        <f t="shared" si="10"/>
        <v>25875</v>
      </c>
    </row>
    <row r="200" spans="1:10">
      <c r="A200" s="25"/>
      <c r="B200" s="81"/>
      <c r="C200" s="25"/>
      <c r="D200" s="73">
        <f t="shared" si="12"/>
        <v>0</v>
      </c>
      <c r="E200" s="18"/>
      <c r="F200" s="74"/>
      <c r="I200" s="47">
        <f t="shared" si="9"/>
        <v>0</v>
      </c>
      <c r="J200" s="47">
        <f t="shared" si="10"/>
        <v>0</v>
      </c>
    </row>
    <row r="201" spans="1:10">
      <c r="A201" s="16">
        <v>5.8</v>
      </c>
      <c r="B201" s="81" t="s">
        <v>462</v>
      </c>
      <c r="C201" s="25"/>
      <c r="D201" s="73">
        <f t="shared" si="12"/>
        <v>0</v>
      </c>
      <c r="E201" s="18"/>
      <c r="F201" s="74"/>
      <c r="I201" s="47">
        <f t="shared" si="9"/>
        <v>0</v>
      </c>
      <c r="J201" s="47">
        <f t="shared" si="10"/>
        <v>0</v>
      </c>
    </row>
    <row r="202" spans="1:10">
      <c r="A202" s="25" t="s">
        <v>463</v>
      </c>
      <c r="B202" s="80" t="s">
        <v>464</v>
      </c>
      <c r="C202" s="25" t="s">
        <v>60</v>
      </c>
      <c r="D202" s="73">
        <f t="shared" si="12"/>
        <v>27522.95</v>
      </c>
      <c r="E202" s="18"/>
      <c r="F202" s="74"/>
      <c r="H202" s="47">
        <f>4782+7623+11528</f>
        <v>23933</v>
      </c>
      <c r="I202" s="47">
        <f t="shared" si="9"/>
        <v>3589.95</v>
      </c>
      <c r="J202" s="47">
        <f t="shared" si="10"/>
        <v>27522.95</v>
      </c>
    </row>
    <row r="203" spans="1:10">
      <c r="A203" s="25"/>
      <c r="B203" s="80" t="s">
        <v>465</v>
      </c>
      <c r="C203" s="25" t="s">
        <v>60</v>
      </c>
      <c r="D203" s="73">
        <f t="shared" si="12"/>
        <v>0</v>
      </c>
      <c r="E203" s="18"/>
      <c r="F203" s="74"/>
      <c r="I203" s="47">
        <f t="shared" ref="I203:I241" si="13">H203*$I$3</f>
        <v>0</v>
      </c>
      <c r="J203" s="47">
        <f t="shared" ref="J203:J241" si="14">SUM(H203:I203)</f>
        <v>0</v>
      </c>
    </row>
    <row r="204" spans="1:10">
      <c r="A204" s="25"/>
      <c r="B204" s="81" t="s">
        <v>466</v>
      </c>
      <c r="C204" s="25" t="s">
        <v>60</v>
      </c>
      <c r="D204" s="73">
        <f t="shared" si="12"/>
        <v>0</v>
      </c>
      <c r="E204" s="18"/>
      <c r="F204" s="74"/>
      <c r="I204" s="47">
        <f t="shared" si="13"/>
        <v>0</v>
      </c>
      <c r="J204" s="47">
        <f t="shared" si="14"/>
        <v>0</v>
      </c>
    </row>
    <row r="205" spans="1:10">
      <c r="A205" s="25" t="s">
        <v>467</v>
      </c>
      <c r="B205" s="80" t="s">
        <v>468</v>
      </c>
      <c r="C205" s="25" t="s">
        <v>60</v>
      </c>
      <c r="D205" s="73">
        <f t="shared" si="12"/>
        <v>0</v>
      </c>
      <c r="E205" s="18"/>
      <c r="F205" s="74"/>
      <c r="I205" s="47">
        <f t="shared" si="13"/>
        <v>0</v>
      </c>
      <c r="J205" s="47">
        <f t="shared" si="14"/>
        <v>0</v>
      </c>
    </row>
    <row r="206" spans="1:10">
      <c r="A206" s="16"/>
      <c r="B206" s="17" t="s">
        <v>465</v>
      </c>
      <c r="C206" s="25" t="s">
        <v>60</v>
      </c>
      <c r="D206" s="73">
        <f t="shared" si="12"/>
        <v>0</v>
      </c>
      <c r="E206" s="18"/>
      <c r="F206" s="74"/>
      <c r="I206" s="47">
        <f t="shared" si="13"/>
        <v>0</v>
      </c>
      <c r="J206" s="47">
        <f t="shared" si="14"/>
        <v>0</v>
      </c>
    </row>
    <row r="207" spans="1:10">
      <c r="A207" s="16"/>
      <c r="B207" s="17" t="s">
        <v>466</v>
      </c>
      <c r="C207" s="25" t="s">
        <v>60</v>
      </c>
      <c r="D207" s="73">
        <f t="shared" si="12"/>
        <v>0</v>
      </c>
      <c r="E207" s="18"/>
      <c r="F207" s="74"/>
      <c r="I207" s="47">
        <f t="shared" si="13"/>
        <v>0</v>
      </c>
      <c r="J207" s="47">
        <f t="shared" si="14"/>
        <v>0</v>
      </c>
    </row>
    <row r="208" spans="1:10">
      <c r="A208" s="25" t="s">
        <v>469</v>
      </c>
      <c r="B208" s="80" t="s">
        <v>470</v>
      </c>
      <c r="C208" s="25" t="s">
        <v>60</v>
      </c>
      <c r="D208" s="73">
        <f t="shared" si="12"/>
        <v>0</v>
      </c>
      <c r="E208" s="18"/>
      <c r="F208" s="74"/>
      <c r="I208" s="47">
        <f t="shared" si="13"/>
        <v>0</v>
      </c>
      <c r="J208" s="47">
        <f t="shared" si="14"/>
        <v>0</v>
      </c>
    </row>
    <row r="209" spans="1:10">
      <c r="A209" s="16"/>
      <c r="B209" s="17" t="s">
        <v>465</v>
      </c>
      <c r="C209" s="25" t="s">
        <v>60</v>
      </c>
      <c r="D209" s="73">
        <f t="shared" si="12"/>
        <v>0</v>
      </c>
      <c r="E209" s="18"/>
      <c r="F209" s="74"/>
      <c r="I209" s="47">
        <f t="shared" si="13"/>
        <v>0</v>
      </c>
      <c r="J209" s="47">
        <f t="shared" si="14"/>
        <v>0</v>
      </c>
    </row>
    <row r="210" spans="1:10">
      <c r="A210" s="31"/>
      <c r="B210" s="17" t="s">
        <v>466</v>
      </c>
      <c r="C210" s="25" t="s">
        <v>60</v>
      </c>
      <c r="D210" s="73">
        <f t="shared" si="12"/>
        <v>0</v>
      </c>
      <c r="E210" s="18"/>
      <c r="F210" s="74"/>
      <c r="I210" s="47">
        <f t="shared" si="13"/>
        <v>0</v>
      </c>
      <c r="J210" s="47">
        <f t="shared" si="14"/>
        <v>0</v>
      </c>
    </row>
    <row r="211" spans="1:10">
      <c r="A211" s="25" t="s">
        <v>471</v>
      </c>
      <c r="B211" s="17" t="s">
        <v>472</v>
      </c>
      <c r="C211" s="25" t="s">
        <v>60</v>
      </c>
      <c r="D211" s="73">
        <f t="shared" si="12"/>
        <v>0</v>
      </c>
      <c r="E211" s="18"/>
      <c r="F211" s="74"/>
      <c r="I211" s="47">
        <f t="shared" si="13"/>
        <v>0</v>
      </c>
      <c r="J211" s="47">
        <f t="shared" si="14"/>
        <v>0</v>
      </c>
    </row>
    <row r="212" spans="1:10">
      <c r="A212" s="25" t="s">
        <v>473</v>
      </c>
      <c r="B212" s="17" t="s">
        <v>474</v>
      </c>
      <c r="C212" s="25" t="s">
        <v>60</v>
      </c>
      <c r="D212" s="73">
        <f t="shared" si="12"/>
        <v>0</v>
      </c>
      <c r="E212" s="18"/>
      <c r="F212" s="74"/>
      <c r="I212" s="47">
        <f t="shared" si="13"/>
        <v>0</v>
      </c>
      <c r="J212" s="47">
        <f t="shared" si="14"/>
        <v>0</v>
      </c>
    </row>
    <row r="213" spans="1:10">
      <c r="A213" s="25" t="s">
        <v>475</v>
      </c>
      <c r="B213" s="80" t="s">
        <v>476</v>
      </c>
      <c r="C213" s="25" t="s">
        <v>60</v>
      </c>
      <c r="D213" s="73">
        <f t="shared" si="12"/>
        <v>0</v>
      </c>
      <c r="E213" s="18"/>
      <c r="F213" s="74"/>
      <c r="I213" s="47">
        <f t="shared" si="13"/>
        <v>0</v>
      </c>
      <c r="J213" s="47">
        <f t="shared" si="14"/>
        <v>0</v>
      </c>
    </row>
    <row r="214" spans="1:10">
      <c r="A214" s="25"/>
      <c r="B214" s="80"/>
      <c r="C214" s="25"/>
      <c r="D214" s="73">
        <f t="shared" si="12"/>
        <v>0</v>
      </c>
      <c r="E214" s="18"/>
      <c r="F214" s="74"/>
      <c r="I214" s="47">
        <f t="shared" si="13"/>
        <v>0</v>
      </c>
      <c r="J214" s="47">
        <f t="shared" si="14"/>
        <v>0</v>
      </c>
    </row>
    <row r="215" spans="1:10">
      <c r="A215" s="170">
        <v>5.9</v>
      </c>
      <c r="B215" s="80" t="s">
        <v>477</v>
      </c>
      <c r="C215" s="25" t="s">
        <v>60</v>
      </c>
      <c r="D215" s="73">
        <f t="shared" si="12"/>
        <v>0</v>
      </c>
      <c r="E215" s="18"/>
      <c r="F215" s="74"/>
      <c r="I215" s="47">
        <f t="shared" si="13"/>
        <v>0</v>
      </c>
      <c r="J215" s="47">
        <f t="shared" si="14"/>
        <v>0</v>
      </c>
    </row>
    <row r="216" spans="1:10">
      <c r="A216" s="25" t="s">
        <v>478</v>
      </c>
      <c r="B216" s="80" t="s">
        <v>479</v>
      </c>
      <c r="C216" s="25" t="s">
        <v>60</v>
      </c>
      <c r="D216" s="73">
        <f t="shared" si="12"/>
        <v>0</v>
      </c>
      <c r="E216" s="18"/>
      <c r="F216" s="74"/>
      <c r="G216" s="47" t="s">
        <v>742</v>
      </c>
      <c r="I216" s="47">
        <f t="shared" si="13"/>
        <v>0</v>
      </c>
      <c r="J216" s="47">
        <f t="shared" si="14"/>
        <v>0</v>
      </c>
    </row>
    <row r="217" spans="1:10">
      <c r="A217" s="25"/>
      <c r="B217" s="80"/>
      <c r="C217" s="25"/>
      <c r="D217" s="73">
        <f t="shared" si="12"/>
        <v>0</v>
      </c>
      <c r="E217" s="18"/>
      <c r="F217" s="74"/>
      <c r="I217" s="47">
        <f t="shared" si="13"/>
        <v>0</v>
      </c>
      <c r="J217" s="47">
        <f t="shared" si="14"/>
        <v>0</v>
      </c>
    </row>
    <row r="218" spans="1:10">
      <c r="A218" s="31">
        <v>5.0999999999999996</v>
      </c>
      <c r="B218" s="17" t="s">
        <v>480</v>
      </c>
      <c r="C218" s="25" t="s">
        <v>60</v>
      </c>
      <c r="D218" s="73">
        <f t="shared" si="12"/>
        <v>0</v>
      </c>
      <c r="E218" s="18"/>
      <c r="F218" s="74"/>
      <c r="G218" s="47" t="s">
        <v>742</v>
      </c>
      <c r="I218" s="47">
        <f t="shared" si="13"/>
        <v>0</v>
      </c>
      <c r="J218" s="47">
        <f t="shared" si="14"/>
        <v>0</v>
      </c>
    </row>
    <row r="219" spans="1:10">
      <c r="A219" s="16"/>
      <c r="B219" s="17"/>
      <c r="C219" s="25"/>
      <c r="D219" s="73">
        <f t="shared" si="12"/>
        <v>0</v>
      </c>
      <c r="E219" s="18"/>
      <c r="F219" s="74"/>
      <c r="I219" s="47">
        <f t="shared" si="13"/>
        <v>0</v>
      </c>
      <c r="J219" s="47">
        <f t="shared" si="14"/>
        <v>0</v>
      </c>
    </row>
    <row r="220" spans="1:10">
      <c r="A220" s="31">
        <v>5.1100000000000003</v>
      </c>
      <c r="B220" s="80" t="s">
        <v>481</v>
      </c>
      <c r="C220" s="25"/>
      <c r="D220" s="73">
        <f t="shared" si="12"/>
        <v>0</v>
      </c>
      <c r="E220" s="18"/>
      <c r="F220" s="74"/>
      <c r="I220" s="47">
        <f t="shared" si="13"/>
        <v>0</v>
      </c>
      <c r="J220" s="47">
        <f t="shared" si="14"/>
        <v>0</v>
      </c>
    </row>
    <row r="221" spans="1:10">
      <c r="A221" s="25" t="s">
        <v>482</v>
      </c>
      <c r="B221" s="80" t="s">
        <v>483</v>
      </c>
      <c r="C221" s="25" t="s">
        <v>60</v>
      </c>
      <c r="D221" s="73">
        <f t="shared" si="12"/>
        <v>0</v>
      </c>
      <c r="E221" s="18"/>
      <c r="F221" s="74"/>
      <c r="G221" s="47" t="s">
        <v>742</v>
      </c>
      <c r="I221" s="47">
        <f t="shared" si="13"/>
        <v>0</v>
      </c>
      <c r="J221" s="47">
        <f t="shared" si="14"/>
        <v>0</v>
      </c>
    </row>
    <row r="222" spans="1:10">
      <c r="A222" s="25" t="s">
        <v>484</v>
      </c>
      <c r="B222" s="80" t="s">
        <v>485</v>
      </c>
      <c r="C222" s="25" t="s">
        <v>60</v>
      </c>
      <c r="D222" s="73">
        <f t="shared" si="12"/>
        <v>0</v>
      </c>
      <c r="E222" s="18"/>
      <c r="F222" s="74"/>
      <c r="I222" s="47">
        <f t="shared" si="13"/>
        <v>0</v>
      </c>
      <c r="J222" s="47">
        <f t="shared" si="14"/>
        <v>0</v>
      </c>
    </row>
    <row r="223" spans="1:10">
      <c r="A223" s="25" t="s">
        <v>486</v>
      </c>
      <c r="B223" s="80" t="s">
        <v>487</v>
      </c>
      <c r="C223" s="25" t="s">
        <v>60</v>
      </c>
      <c r="D223" s="73">
        <f t="shared" si="12"/>
        <v>0</v>
      </c>
      <c r="E223" s="18"/>
      <c r="F223" s="74"/>
      <c r="G223" s="47" t="s">
        <v>742</v>
      </c>
      <c r="I223" s="47">
        <f t="shared" si="13"/>
        <v>0</v>
      </c>
      <c r="J223" s="47">
        <f t="shared" si="14"/>
        <v>0</v>
      </c>
    </row>
    <row r="224" spans="1:10">
      <c r="A224" s="25" t="s">
        <v>488</v>
      </c>
      <c r="B224" s="80" t="s">
        <v>489</v>
      </c>
      <c r="C224" s="25" t="s">
        <v>60</v>
      </c>
      <c r="D224" s="73">
        <f t="shared" si="12"/>
        <v>0</v>
      </c>
      <c r="E224" s="18"/>
      <c r="F224" s="74"/>
      <c r="G224" s="47" t="s">
        <v>742</v>
      </c>
      <c r="I224" s="47">
        <f t="shared" si="13"/>
        <v>0</v>
      </c>
      <c r="J224" s="47">
        <f t="shared" si="14"/>
        <v>0</v>
      </c>
    </row>
    <row r="225" spans="1:11">
      <c r="A225" s="25" t="s">
        <v>490</v>
      </c>
      <c r="B225" s="17" t="s">
        <v>491</v>
      </c>
      <c r="C225" s="25" t="s">
        <v>60</v>
      </c>
      <c r="D225" s="73">
        <f t="shared" si="12"/>
        <v>0</v>
      </c>
      <c r="E225" s="18"/>
      <c r="F225" s="74"/>
      <c r="I225" s="47">
        <f t="shared" si="13"/>
        <v>0</v>
      </c>
      <c r="J225" s="47">
        <f t="shared" si="14"/>
        <v>0</v>
      </c>
    </row>
    <row r="226" spans="1:11">
      <c r="A226" s="16"/>
      <c r="B226" s="17"/>
      <c r="C226" s="25"/>
      <c r="D226" s="73">
        <f t="shared" si="12"/>
        <v>0</v>
      </c>
      <c r="E226" s="18"/>
      <c r="F226" s="74"/>
      <c r="I226" s="47">
        <f t="shared" si="13"/>
        <v>0</v>
      </c>
      <c r="J226" s="47">
        <f t="shared" si="14"/>
        <v>0</v>
      </c>
    </row>
    <row r="227" spans="1:11">
      <c r="A227" s="16">
        <v>5.12</v>
      </c>
      <c r="B227" s="17" t="s">
        <v>492</v>
      </c>
      <c r="C227" s="25"/>
      <c r="D227" s="73">
        <f t="shared" si="12"/>
        <v>0</v>
      </c>
      <c r="E227" s="18"/>
      <c r="F227" s="74"/>
      <c r="I227" s="47">
        <f t="shared" si="13"/>
        <v>0</v>
      </c>
      <c r="J227" s="47">
        <f t="shared" si="14"/>
        <v>0</v>
      </c>
    </row>
    <row r="228" spans="1:11">
      <c r="A228" s="25" t="s">
        <v>493</v>
      </c>
      <c r="B228" s="17" t="s">
        <v>494</v>
      </c>
      <c r="C228" s="25" t="s">
        <v>60</v>
      </c>
      <c r="D228" s="73">
        <f t="shared" si="12"/>
        <v>4025</v>
      </c>
      <c r="E228" s="18"/>
      <c r="F228" s="74"/>
      <c r="H228" s="47">
        <v>3500</v>
      </c>
      <c r="I228" s="47">
        <f t="shared" si="13"/>
        <v>525</v>
      </c>
      <c r="J228" s="47">
        <f t="shared" si="14"/>
        <v>4025</v>
      </c>
      <c r="K228" s="47" t="s">
        <v>967</v>
      </c>
    </row>
    <row r="229" spans="1:11">
      <c r="A229" s="25" t="s">
        <v>495</v>
      </c>
      <c r="B229" s="17" t="s">
        <v>496</v>
      </c>
      <c r="C229" s="25" t="s">
        <v>60</v>
      </c>
      <c r="D229" s="73">
        <f t="shared" si="12"/>
        <v>1656</v>
      </c>
      <c r="E229" s="18"/>
      <c r="F229" s="74"/>
      <c r="H229" s="47">
        <v>1440</v>
      </c>
      <c r="I229" s="47">
        <f t="shared" si="13"/>
        <v>216</v>
      </c>
      <c r="J229" s="47">
        <f t="shared" si="14"/>
        <v>1656</v>
      </c>
    </row>
    <row r="230" spans="1:11">
      <c r="A230" s="25" t="s">
        <v>497</v>
      </c>
      <c r="B230" s="17" t="s">
        <v>498</v>
      </c>
      <c r="C230" s="25" t="s">
        <v>60</v>
      </c>
      <c r="D230" s="73">
        <f t="shared" si="12"/>
        <v>1207.5</v>
      </c>
      <c r="E230" s="18"/>
      <c r="F230" s="74"/>
      <c r="H230" s="47">
        <f>350*3</f>
        <v>1050</v>
      </c>
      <c r="I230" s="47">
        <f t="shared" si="13"/>
        <v>157.5</v>
      </c>
      <c r="J230" s="47">
        <f t="shared" si="14"/>
        <v>1207.5</v>
      </c>
    </row>
    <row r="231" spans="1:11">
      <c r="A231" s="25" t="s">
        <v>499</v>
      </c>
      <c r="B231" s="17" t="s">
        <v>500</v>
      </c>
      <c r="C231" s="25" t="s">
        <v>60</v>
      </c>
      <c r="D231" s="73">
        <f t="shared" si="12"/>
        <v>0</v>
      </c>
      <c r="E231" s="18"/>
      <c r="F231" s="74"/>
      <c r="I231" s="47">
        <f t="shared" si="13"/>
        <v>0</v>
      </c>
      <c r="J231" s="47">
        <f t="shared" si="14"/>
        <v>0</v>
      </c>
    </row>
    <row r="232" spans="1:11">
      <c r="A232" s="25" t="s">
        <v>501</v>
      </c>
      <c r="B232" s="17" t="s">
        <v>502</v>
      </c>
      <c r="C232" s="25" t="s">
        <v>60</v>
      </c>
      <c r="D232" s="73">
        <f t="shared" si="12"/>
        <v>1104</v>
      </c>
      <c r="E232" s="18"/>
      <c r="F232" s="74"/>
      <c r="H232" s="47">
        <v>960</v>
      </c>
      <c r="I232" s="47">
        <f t="shared" si="13"/>
        <v>144</v>
      </c>
      <c r="J232" s="47">
        <f t="shared" si="14"/>
        <v>1104</v>
      </c>
    </row>
    <row r="233" spans="1:11">
      <c r="A233" s="16"/>
      <c r="B233" s="17"/>
      <c r="C233" s="25"/>
      <c r="D233" s="73">
        <f t="shared" si="12"/>
        <v>0</v>
      </c>
      <c r="E233" s="18"/>
      <c r="F233" s="74"/>
      <c r="I233" s="47">
        <f t="shared" si="13"/>
        <v>0</v>
      </c>
      <c r="J233" s="47">
        <f t="shared" si="14"/>
        <v>0</v>
      </c>
    </row>
    <row r="234" spans="1:11">
      <c r="A234" s="16">
        <v>5.13</v>
      </c>
      <c r="B234" s="17" t="s">
        <v>503</v>
      </c>
      <c r="C234" s="25"/>
      <c r="D234" s="73">
        <f t="shared" si="12"/>
        <v>0</v>
      </c>
      <c r="E234" s="18"/>
      <c r="F234" s="74"/>
      <c r="I234" s="47">
        <f t="shared" si="13"/>
        <v>0</v>
      </c>
      <c r="J234" s="47">
        <f t="shared" si="14"/>
        <v>0</v>
      </c>
    </row>
    <row r="235" spans="1:11">
      <c r="A235" s="25" t="s">
        <v>537</v>
      </c>
      <c r="B235" s="17" t="s">
        <v>504</v>
      </c>
      <c r="C235" s="25" t="s">
        <v>60</v>
      </c>
      <c r="D235" s="73">
        <f t="shared" si="12"/>
        <v>12426.9</v>
      </c>
      <c r="E235" s="18"/>
      <c r="F235" s="74"/>
      <c r="H235" s="47">
        <f>3602*3</f>
        <v>10806</v>
      </c>
      <c r="I235" s="47">
        <f t="shared" si="13"/>
        <v>1620.8999999999999</v>
      </c>
      <c r="J235" s="47">
        <f t="shared" si="14"/>
        <v>12426.9</v>
      </c>
      <c r="K235" s="47" t="s">
        <v>914</v>
      </c>
    </row>
    <row r="236" spans="1:11">
      <c r="A236" s="16"/>
      <c r="B236" s="17"/>
      <c r="C236" s="25"/>
      <c r="D236" s="73">
        <f t="shared" si="12"/>
        <v>0</v>
      </c>
      <c r="E236" s="18"/>
      <c r="F236" s="74"/>
      <c r="I236" s="47">
        <f t="shared" si="13"/>
        <v>0</v>
      </c>
      <c r="J236" s="47">
        <f t="shared" si="14"/>
        <v>0</v>
      </c>
    </row>
    <row r="237" spans="1:11">
      <c r="A237" s="16">
        <v>5.14</v>
      </c>
      <c r="B237" s="17" t="s">
        <v>505</v>
      </c>
      <c r="C237" s="25"/>
      <c r="D237" s="73">
        <f t="shared" si="12"/>
        <v>0</v>
      </c>
      <c r="E237" s="18"/>
      <c r="F237" s="74"/>
      <c r="I237" s="47">
        <f t="shared" si="13"/>
        <v>0</v>
      </c>
      <c r="J237" s="47">
        <f t="shared" si="14"/>
        <v>0</v>
      </c>
    </row>
    <row r="238" spans="1:11">
      <c r="A238" s="25" t="s">
        <v>506</v>
      </c>
      <c r="B238" s="17" t="s">
        <v>507</v>
      </c>
      <c r="C238" s="25" t="s">
        <v>60</v>
      </c>
      <c r="D238" s="73">
        <f t="shared" si="12"/>
        <v>6652.1175000000012</v>
      </c>
      <c r="E238" s="18"/>
      <c r="F238" s="74"/>
      <c r="H238" s="47">
        <f>SUM(H174:H237)*5%</f>
        <v>5784.4500000000007</v>
      </c>
      <c r="I238" s="47">
        <f t="shared" si="13"/>
        <v>867.66750000000013</v>
      </c>
      <c r="J238" s="47">
        <f t="shared" si="14"/>
        <v>6652.1175000000012</v>
      </c>
    </row>
    <row r="239" spans="1:11">
      <c r="A239" s="25" t="s">
        <v>508</v>
      </c>
      <c r="B239" s="17" t="s">
        <v>509</v>
      </c>
      <c r="C239" s="25" t="s">
        <v>60</v>
      </c>
      <c r="D239" s="73">
        <f t="shared" si="12"/>
        <v>1437.5</v>
      </c>
      <c r="E239" s="18"/>
      <c r="F239" s="74"/>
      <c r="H239" s="47">
        <v>1250</v>
      </c>
      <c r="I239" s="47">
        <f t="shared" si="13"/>
        <v>187.5</v>
      </c>
      <c r="J239" s="47">
        <f t="shared" si="14"/>
        <v>1437.5</v>
      </c>
    </row>
    <row r="240" spans="1:11" ht="14.25" customHeight="1">
      <c r="A240" s="16"/>
      <c r="B240" s="17"/>
      <c r="C240" s="25"/>
      <c r="D240" s="73"/>
      <c r="E240" s="18"/>
      <c r="F240" s="74"/>
      <c r="I240" s="47">
        <f t="shared" si="13"/>
        <v>0</v>
      </c>
      <c r="J240" s="47">
        <f t="shared" si="14"/>
        <v>0</v>
      </c>
    </row>
    <row r="241" spans="1:10" ht="14.25" customHeight="1">
      <c r="A241" s="16"/>
      <c r="B241" s="26"/>
      <c r="C241" s="25"/>
      <c r="D241" s="73"/>
      <c r="E241" s="18"/>
      <c r="F241" s="74"/>
      <c r="I241" s="47">
        <f t="shared" si="13"/>
        <v>0</v>
      </c>
      <c r="J241" s="47">
        <f t="shared" si="14"/>
        <v>0</v>
      </c>
    </row>
    <row r="242" spans="1:10" ht="14.1" customHeight="1">
      <c r="A242" s="75"/>
      <c r="B242" s="218" t="s">
        <v>511</v>
      </c>
      <c r="C242" s="218"/>
      <c r="D242" s="218"/>
      <c r="E242" s="83" t="s">
        <v>60</v>
      </c>
      <c r="F242" s="84">
        <f>SUM(D174:D241)</f>
        <v>141131.9675</v>
      </c>
    </row>
    <row r="243" spans="1:10">
      <c r="A243" s="16"/>
      <c r="D243" s="39"/>
      <c r="E243" s="85"/>
      <c r="F243" s="86"/>
    </row>
    <row r="244" spans="1:10">
      <c r="A244" s="75"/>
      <c r="B244" s="87"/>
      <c r="C244" s="87"/>
      <c r="D244" s="78" t="s">
        <v>223</v>
      </c>
      <c r="E244" s="83" t="s">
        <v>60</v>
      </c>
      <c r="F244" s="84">
        <f>F28+F117+F145+F170+F242</f>
        <v>792157.30599999987</v>
      </c>
    </row>
    <row r="245" spans="1:10" ht="6" customHeight="1">
      <c r="C245" s="55"/>
      <c r="D245" s="59"/>
      <c r="E245" s="88"/>
      <c r="F245" s="89"/>
    </row>
    <row r="246" spans="1:10" ht="9.75" customHeight="1">
      <c r="A246" s="67"/>
      <c r="B246" s="68"/>
      <c r="C246" s="69"/>
      <c r="D246" s="216"/>
      <c r="E246" s="217"/>
      <c r="F246" s="217"/>
    </row>
  </sheetData>
  <sheetProtection formatCells="0" formatColumns="0" formatRows="0" insertRows="0"/>
  <mergeCells count="3">
    <mergeCell ref="A1:C1"/>
    <mergeCell ref="B242:D242"/>
    <mergeCell ref="D246:F246"/>
  </mergeCells>
  <phoneticPr fontId="20" type="noConversion"/>
  <pageMargins left="0.39370078740157483" right="0.39370078740157483" top="1.4173228346456692" bottom="0.59055118110236215" header="0.3543307086614173" footer="0.27559055118110237"/>
  <pageSetup paperSize="9" scale="49" fitToHeight="2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3EE7-21A1-4458-BFB7-2AB717589CE0}">
  <sheetPr>
    <tabColor rgb="FFFFC000"/>
  </sheetPr>
  <dimension ref="A1:M26"/>
  <sheetViews>
    <sheetView topLeftCell="B1" zoomScaleNormal="100" zoomScaleSheetLayoutView="90" zoomScalePageLayoutView="110" workbookViewId="0">
      <selection activeCell="N37" sqref="N37"/>
    </sheetView>
  </sheetViews>
  <sheetFormatPr defaultColWidth="7.125" defaultRowHeight="13.9"/>
  <cols>
    <col min="1" max="1" width="9" style="19" customWidth="1"/>
    <col min="2" max="2" width="55.75" style="48" customWidth="1"/>
    <col min="3" max="3" width="3.25" style="48" customWidth="1"/>
    <col min="4" max="4" width="18.75" style="62" customWidth="1"/>
    <col min="5" max="5" width="0.875" style="63" customWidth="1"/>
    <col min="6" max="6" width="18.75" style="47" customWidth="1"/>
    <col min="7" max="7" width="7.125" style="47"/>
    <col min="8" max="8" width="8.875" style="47" bestFit="1" customWidth="1"/>
    <col min="9" max="9" width="7.875" style="47" bestFit="1" customWidth="1"/>
    <col min="10" max="10" width="15" style="47" bestFit="1" customWidth="1"/>
    <col min="11" max="12" width="7.125" style="47"/>
    <col min="13" max="16384" width="7.125" style="48"/>
  </cols>
  <sheetData>
    <row r="1" spans="1:13">
      <c r="A1" s="213" t="s">
        <v>512</v>
      </c>
      <c r="B1" s="213"/>
      <c r="C1" s="213"/>
      <c r="F1" s="70"/>
    </row>
    <row r="2" spans="1:13" ht="14.25" customHeight="1">
      <c r="A2" s="16"/>
      <c r="B2" s="16"/>
      <c r="C2" s="16"/>
    </row>
    <row r="3" spans="1:13" s="54" customFormat="1">
      <c r="A3" s="50" t="s">
        <v>7</v>
      </c>
      <c r="B3" s="51" t="s">
        <v>58</v>
      </c>
      <c r="C3" s="50"/>
      <c r="D3" s="64" t="s">
        <v>282</v>
      </c>
      <c r="E3" s="65"/>
      <c r="F3" s="66" t="s">
        <v>283</v>
      </c>
      <c r="G3" s="53"/>
      <c r="H3" s="53" t="s">
        <v>744</v>
      </c>
      <c r="I3" s="205">
        <v>0.15</v>
      </c>
      <c r="J3" s="53" t="s">
        <v>745</v>
      </c>
      <c r="K3" s="53"/>
      <c r="L3" s="53"/>
    </row>
    <row r="4" spans="1:13" ht="14.1" customHeight="1">
      <c r="A4" s="16"/>
      <c r="B4" s="17"/>
      <c r="C4" s="25"/>
      <c r="D4" s="39"/>
      <c r="E4" s="71"/>
      <c r="F4" s="70"/>
    </row>
    <row r="5" spans="1:13" ht="16.5" customHeight="1">
      <c r="A5" s="19">
        <v>7</v>
      </c>
      <c r="B5" s="72" t="s">
        <v>538</v>
      </c>
      <c r="C5" s="25"/>
      <c r="D5" s="73"/>
      <c r="E5" s="18"/>
      <c r="F5" s="74"/>
    </row>
    <row r="6" spans="1:13" ht="16.5" customHeight="1">
      <c r="B6" s="22" t="s">
        <v>539</v>
      </c>
      <c r="C6" s="25"/>
      <c r="D6" s="73"/>
      <c r="E6" s="18"/>
      <c r="F6" s="74"/>
    </row>
    <row r="7" spans="1:13" ht="16.5" customHeight="1">
      <c r="B7" s="22"/>
      <c r="C7" s="25"/>
      <c r="D7" s="73"/>
      <c r="E7" s="18"/>
      <c r="F7" s="74"/>
    </row>
    <row r="8" spans="1:13">
      <c r="A8" s="16">
        <v>1.1000000000000001</v>
      </c>
      <c r="B8" s="173" t="s">
        <v>540</v>
      </c>
      <c r="C8" s="25" t="s">
        <v>60</v>
      </c>
      <c r="D8" s="73">
        <f>J8</f>
        <v>1725</v>
      </c>
      <c r="E8" s="71"/>
      <c r="F8" s="39"/>
      <c r="H8" s="47">
        <v>1500</v>
      </c>
      <c r="I8" s="47">
        <f>H8*$I$3</f>
        <v>225</v>
      </c>
      <c r="J8" s="47">
        <f>SUM(H8:I8)</f>
        <v>1725</v>
      </c>
    </row>
    <row r="9" spans="1:13" ht="8.4499999999999993" customHeight="1">
      <c r="A9" s="16"/>
      <c r="B9" s="174"/>
      <c r="C9" s="25"/>
      <c r="D9" s="39"/>
      <c r="E9" s="18"/>
      <c r="F9" s="74"/>
    </row>
    <row r="10" spans="1:13" ht="40.5">
      <c r="A10" s="16">
        <v>1.2</v>
      </c>
      <c r="B10" s="173" t="s">
        <v>541</v>
      </c>
      <c r="C10" s="25" t="s">
        <v>60</v>
      </c>
      <c r="D10" s="73">
        <f>J10</f>
        <v>20700</v>
      </c>
      <c r="E10" s="71"/>
      <c r="F10" s="39"/>
      <c r="H10" s="47">
        <f>900*20</f>
        <v>18000</v>
      </c>
      <c r="I10" s="47">
        <f t="shared" ref="I10" si="0">H10*$I$3</f>
        <v>2700</v>
      </c>
      <c r="J10" s="47">
        <f t="shared" ref="J10" si="1">SUM(H10:I10)</f>
        <v>20700</v>
      </c>
    </row>
    <row r="11" spans="1:13" ht="8.4499999999999993" customHeight="1">
      <c r="A11" s="16"/>
      <c r="B11" s="105"/>
      <c r="C11" s="25"/>
      <c r="D11" s="39"/>
      <c r="E11" s="18"/>
      <c r="F11" s="74"/>
    </row>
    <row r="12" spans="1:13">
      <c r="A12" s="16">
        <v>1.3</v>
      </c>
      <c r="B12" s="173" t="s">
        <v>542</v>
      </c>
      <c r="C12" s="25" t="s">
        <v>60</v>
      </c>
      <c r="D12" s="73">
        <f>J12</f>
        <v>2587.5</v>
      </c>
      <c r="E12" s="71"/>
      <c r="F12" s="39"/>
      <c r="H12" s="47">
        <f>450*5</f>
        <v>2250</v>
      </c>
      <c r="I12" s="47">
        <f>H12*$I$3</f>
        <v>337.5</v>
      </c>
      <c r="J12" s="47">
        <f>SUM(H12:I12)</f>
        <v>2587.5</v>
      </c>
      <c r="M12" s="48" t="s">
        <v>948</v>
      </c>
    </row>
    <row r="13" spans="1:13" ht="8.4499999999999993" customHeight="1">
      <c r="A13" s="16"/>
      <c r="B13" s="17"/>
      <c r="C13" s="25"/>
      <c r="D13" s="39"/>
      <c r="E13" s="18"/>
      <c r="F13" s="74"/>
    </row>
    <row r="14" spans="1:13">
      <c r="A14" s="16">
        <v>1.4</v>
      </c>
      <c r="B14" s="17" t="s">
        <v>543</v>
      </c>
      <c r="C14" s="25" t="s">
        <v>60</v>
      </c>
      <c r="D14" s="73">
        <f>J14</f>
        <v>2012.5</v>
      </c>
      <c r="E14" s="71"/>
      <c r="F14" s="39"/>
      <c r="H14" s="47">
        <v>1750</v>
      </c>
      <c r="I14" s="47">
        <f>H14*$I$3</f>
        <v>262.5</v>
      </c>
      <c r="J14" s="47">
        <f>SUM(H14:I14)</f>
        <v>2012.5</v>
      </c>
      <c r="M14" s="48" t="s">
        <v>949</v>
      </c>
    </row>
    <row r="15" spans="1:13" ht="8.4499999999999993" customHeight="1">
      <c r="A15" s="16"/>
      <c r="B15" s="17"/>
      <c r="C15" s="25"/>
      <c r="D15" s="39"/>
      <c r="E15" s="18"/>
      <c r="F15" s="74"/>
    </row>
    <row r="16" spans="1:13">
      <c r="A16" s="16">
        <v>1.5</v>
      </c>
      <c r="B16" s="17" t="s">
        <v>544</v>
      </c>
      <c r="C16" s="25" t="s">
        <v>60</v>
      </c>
      <c r="D16" s="73">
        <f>J16</f>
        <v>4140</v>
      </c>
      <c r="E16" s="71"/>
      <c r="F16" s="39"/>
      <c r="H16" s="47">
        <v>3600</v>
      </c>
      <c r="I16" s="47">
        <f>H16*$I$3</f>
        <v>540</v>
      </c>
      <c r="J16" s="47">
        <f>SUM(H16:I16)</f>
        <v>4140</v>
      </c>
    </row>
    <row r="17" spans="1:6" ht="8.4499999999999993" customHeight="1">
      <c r="A17" s="16"/>
      <c r="B17" s="17"/>
      <c r="C17" s="25"/>
      <c r="D17" s="39"/>
      <c r="E17" s="18"/>
      <c r="F17" s="74"/>
    </row>
    <row r="18" spans="1:6" ht="14.1" customHeight="1">
      <c r="A18" s="16"/>
      <c r="B18" s="17"/>
      <c r="C18" s="25"/>
      <c r="D18" s="39"/>
      <c r="E18" s="71"/>
      <c r="F18" s="39"/>
    </row>
    <row r="19" spans="1:6" ht="14.1" customHeight="1">
      <c r="A19" s="16"/>
      <c r="B19" s="17"/>
      <c r="C19" s="25"/>
      <c r="D19" s="39"/>
      <c r="E19" s="71"/>
      <c r="F19" s="39"/>
    </row>
    <row r="20" spans="1:6" ht="14.1" customHeight="1">
      <c r="A20" s="16"/>
      <c r="B20" s="17"/>
      <c r="C20" s="25"/>
      <c r="D20" s="39"/>
      <c r="E20" s="71"/>
      <c r="F20" s="39"/>
    </row>
    <row r="21" spans="1:6" ht="14.1" customHeight="1">
      <c r="A21" s="75"/>
      <c r="B21" s="76"/>
      <c r="C21" s="77"/>
      <c r="D21" s="78" t="s">
        <v>294</v>
      </c>
      <c r="E21" s="79" t="s">
        <v>60</v>
      </c>
      <c r="F21" s="78">
        <f>SUM(D5:D19)</f>
        <v>31165</v>
      </c>
    </row>
    <row r="22" spans="1:6" ht="14.1" customHeight="1">
      <c r="A22" s="16"/>
      <c r="B22" s="17"/>
      <c r="C22" s="25"/>
      <c r="D22" s="39"/>
      <c r="E22" s="71"/>
      <c r="F22" s="70"/>
    </row>
    <row r="23" spans="1:6" s="47" customFormat="1">
      <c r="A23" s="16"/>
      <c r="B23" s="48"/>
      <c r="C23" s="48"/>
      <c r="D23" s="39"/>
      <c r="E23" s="85"/>
      <c r="F23" s="86"/>
    </row>
    <row r="24" spans="1:6" s="47" customFormat="1">
      <c r="A24" s="75"/>
      <c r="B24" s="87"/>
      <c r="C24" s="87"/>
      <c r="D24" s="78" t="s">
        <v>223</v>
      </c>
      <c r="E24" s="83" t="s">
        <v>60</v>
      </c>
      <c r="F24" s="84">
        <f>F21</f>
        <v>31165</v>
      </c>
    </row>
    <row r="25" spans="1:6" s="47" customFormat="1" ht="6" customHeight="1">
      <c r="A25" s="19"/>
      <c r="B25" s="48"/>
      <c r="C25" s="55"/>
      <c r="D25" s="59"/>
      <c r="E25" s="88"/>
      <c r="F25" s="89"/>
    </row>
    <row r="26" spans="1:6" s="47" customFormat="1" ht="9.75" customHeight="1">
      <c r="A26" s="67"/>
      <c r="B26" s="68"/>
      <c r="C26" s="69"/>
      <c r="D26" s="216"/>
      <c r="E26" s="217"/>
      <c r="F26" s="217"/>
    </row>
  </sheetData>
  <sheetProtection formatCells="0" formatColumns="0" formatRows="0" insertRows="0"/>
  <mergeCells count="2">
    <mergeCell ref="A1:C1"/>
    <mergeCell ref="D26:F26"/>
  </mergeCells>
  <pageMargins left="0.39370078740157483" right="0.39370078740157483" top="1.4173228346456692" bottom="0.59055118110236215" header="0.3543307086614173" footer="0.27559055118110237"/>
  <pageSetup paperSize="9" scale="81" fitToHeight="2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M178"/>
  <sheetViews>
    <sheetView topLeftCell="A138" zoomScaleNormal="100" zoomScaleSheetLayoutView="90" zoomScalePageLayoutView="110" workbookViewId="0">
      <selection activeCell="D176" sqref="D176"/>
    </sheetView>
  </sheetViews>
  <sheetFormatPr defaultColWidth="9" defaultRowHeight="13.9"/>
  <cols>
    <col min="1" max="1" width="9.25" style="19" customWidth="1"/>
    <col min="2" max="2" width="71.75" style="48" customWidth="1"/>
    <col min="3" max="3" width="2.25" style="48" customWidth="1"/>
    <col min="4" max="4" width="20.25" style="49" customWidth="1"/>
    <col min="5" max="5" width="16.625" style="47" bestFit="1" customWidth="1"/>
    <col min="6" max="8" width="9" style="47"/>
    <col min="9" max="9" width="9" style="206"/>
    <col min="10" max="10" width="10.25" style="47" customWidth="1"/>
    <col min="11" max="16384" width="9" style="48"/>
  </cols>
  <sheetData>
    <row r="1" spans="1:10">
      <c r="A1" s="213" t="s">
        <v>545</v>
      </c>
      <c r="B1" s="213"/>
      <c r="C1" s="213"/>
      <c r="D1" s="46"/>
    </row>
    <row r="2" spans="1:10" ht="14.25" customHeight="1">
      <c r="A2" s="16"/>
      <c r="B2" s="16"/>
      <c r="C2" s="16"/>
    </row>
    <row r="3" spans="1:10" ht="14.25" customHeight="1">
      <c r="A3" s="16" t="s">
        <v>10</v>
      </c>
      <c r="B3" s="98" t="s">
        <v>546</v>
      </c>
      <c r="C3" s="16"/>
    </row>
    <row r="4" spans="1:10" ht="14.25" customHeight="1">
      <c r="A4" s="16"/>
      <c r="B4" s="60" t="s">
        <v>547</v>
      </c>
      <c r="C4" s="16"/>
    </row>
    <row r="5" spans="1:10" ht="13.5">
      <c r="A5" s="16"/>
      <c r="B5" s="99"/>
      <c r="C5" s="16"/>
    </row>
    <row r="6" spans="1:10" ht="14.25" customHeight="1">
      <c r="A6" s="16"/>
      <c r="B6" s="16"/>
      <c r="C6" s="16"/>
    </row>
    <row r="7" spans="1:10" s="54" customFormat="1" ht="24" customHeight="1">
      <c r="A7" s="50" t="s">
        <v>7</v>
      </c>
      <c r="B7" s="58" t="s">
        <v>58</v>
      </c>
      <c r="C7" s="58"/>
      <c r="D7" s="52" t="s">
        <v>9</v>
      </c>
      <c r="E7" s="53"/>
      <c r="F7" s="53"/>
      <c r="G7" s="53"/>
      <c r="H7" s="53" t="s">
        <v>744</v>
      </c>
      <c r="I7" s="205">
        <v>0.15</v>
      </c>
      <c r="J7" s="53" t="s">
        <v>745</v>
      </c>
    </row>
    <row r="8" spans="1:10" ht="12.75" customHeight="1">
      <c r="A8" s="16"/>
      <c r="B8" s="90"/>
      <c r="C8" s="18"/>
      <c r="D8" s="36"/>
    </row>
    <row r="9" spans="1:10" ht="13.5">
      <c r="A9" s="16">
        <v>8.1</v>
      </c>
      <c r="B9" s="91" t="s">
        <v>548</v>
      </c>
      <c r="C9" s="18"/>
      <c r="D9" s="36"/>
    </row>
    <row r="10" spans="1:10">
      <c r="A10" s="25" t="s">
        <v>549</v>
      </c>
      <c r="B10" s="92" t="s">
        <v>550</v>
      </c>
      <c r="C10" s="18" t="s">
        <v>60</v>
      </c>
      <c r="D10" s="36">
        <f t="shared" ref="D10:D73" si="0">J10</f>
        <v>0</v>
      </c>
      <c r="E10" s="47" t="s">
        <v>947</v>
      </c>
      <c r="I10" s="206">
        <f>H10*$I$7</f>
        <v>0</v>
      </c>
      <c r="J10" s="47">
        <f>SUM(H10:I10)</f>
        <v>0</v>
      </c>
    </row>
    <row r="11" spans="1:10">
      <c r="A11" s="25" t="s">
        <v>551</v>
      </c>
      <c r="B11" s="92" t="s">
        <v>277</v>
      </c>
      <c r="C11" s="18" t="s">
        <v>60</v>
      </c>
      <c r="D11" s="36">
        <f t="shared" si="0"/>
        <v>0</v>
      </c>
      <c r="I11" s="206">
        <f t="shared" ref="I11:I88" si="1">H11*$I$7</f>
        <v>0</v>
      </c>
      <c r="J11" s="47">
        <f t="shared" ref="J11:J88" si="2">SUM(H11:I11)</f>
        <v>0</v>
      </c>
    </row>
    <row r="12" spans="1:10">
      <c r="A12" s="25" t="s">
        <v>552</v>
      </c>
      <c r="B12" s="92" t="s">
        <v>553</v>
      </c>
      <c r="C12" s="18" t="s">
        <v>60</v>
      </c>
      <c r="D12" s="36">
        <f t="shared" si="0"/>
        <v>0</v>
      </c>
      <c r="I12" s="206">
        <f t="shared" si="1"/>
        <v>0</v>
      </c>
      <c r="J12" s="47">
        <f t="shared" si="2"/>
        <v>0</v>
      </c>
    </row>
    <row r="13" spans="1:10" ht="15" customHeight="1">
      <c r="A13" s="25" t="s">
        <v>554</v>
      </c>
      <c r="B13" s="92" t="s">
        <v>555</v>
      </c>
      <c r="C13" s="18" t="s">
        <v>60</v>
      </c>
      <c r="D13" s="36">
        <f t="shared" si="0"/>
        <v>0</v>
      </c>
      <c r="I13" s="206">
        <f t="shared" si="1"/>
        <v>0</v>
      </c>
      <c r="J13" s="47">
        <f t="shared" si="2"/>
        <v>0</v>
      </c>
    </row>
    <row r="14" spans="1:10" ht="15" customHeight="1">
      <c r="A14" s="25" t="s">
        <v>556</v>
      </c>
      <c r="B14" s="92" t="s">
        <v>557</v>
      </c>
      <c r="C14" s="18" t="s">
        <v>60</v>
      </c>
      <c r="D14" s="36">
        <f t="shared" si="0"/>
        <v>0</v>
      </c>
      <c r="I14" s="206">
        <f t="shared" si="1"/>
        <v>0</v>
      </c>
      <c r="J14" s="47">
        <f t="shared" si="2"/>
        <v>0</v>
      </c>
    </row>
    <row r="15" spans="1:10" ht="15" customHeight="1">
      <c r="A15" s="25"/>
      <c r="B15" s="92" t="s">
        <v>558</v>
      </c>
      <c r="C15" s="18" t="s">
        <v>60</v>
      </c>
      <c r="D15" s="36">
        <f t="shared" si="0"/>
        <v>0</v>
      </c>
      <c r="E15" s="47" t="s">
        <v>947</v>
      </c>
      <c r="I15" s="206">
        <f t="shared" si="1"/>
        <v>0</v>
      </c>
      <c r="J15" s="47">
        <f t="shared" si="2"/>
        <v>0</v>
      </c>
    </row>
    <row r="16" spans="1:10" ht="15" customHeight="1">
      <c r="A16" s="25"/>
      <c r="B16" s="92" t="s">
        <v>559</v>
      </c>
      <c r="C16" s="18" t="s">
        <v>60</v>
      </c>
      <c r="D16" s="36">
        <f t="shared" si="0"/>
        <v>0</v>
      </c>
      <c r="E16" s="47" t="s">
        <v>947</v>
      </c>
      <c r="I16" s="206">
        <f t="shared" si="1"/>
        <v>0</v>
      </c>
      <c r="J16" s="47">
        <f t="shared" si="2"/>
        <v>0</v>
      </c>
    </row>
    <row r="17" spans="1:12" ht="15" customHeight="1">
      <c r="A17" s="25"/>
      <c r="B17" s="92" t="s">
        <v>560</v>
      </c>
      <c r="C17" s="18" t="s">
        <v>60</v>
      </c>
      <c r="D17" s="36">
        <f t="shared" si="0"/>
        <v>0</v>
      </c>
      <c r="E17" s="47" t="s">
        <v>947</v>
      </c>
      <c r="I17" s="206">
        <f t="shared" si="1"/>
        <v>0</v>
      </c>
      <c r="J17" s="47">
        <f t="shared" si="2"/>
        <v>0</v>
      </c>
    </row>
    <row r="18" spans="1:12" ht="15" customHeight="1">
      <c r="A18" s="25"/>
      <c r="B18" s="92"/>
      <c r="C18" s="18"/>
      <c r="D18" s="36">
        <f t="shared" si="0"/>
        <v>0</v>
      </c>
      <c r="I18" s="206">
        <f t="shared" si="1"/>
        <v>0</v>
      </c>
      <c r="J18" s="47">
        <f t="shared" si="2"/>
        <v>0</v>
      </c>
    </row>
    <row r="19" spans="1:12" ht="8.4499999999999993" customHeight="1">
      <c r="A19" s="16"/>
      <c r="B19" s="17"/>
      <c r="C19" s="25"/>
      <c r="D19" s="36">
        <f t="shared" si="0"/>
        <v>0</v>
      </c>
      <c r="E19" s="25"/>
      <c r="F19" s="74"/>
      <c r="I19" s="206">
        <f t="shared" si="1"/>
        <v>0</v>
      </c>
      <c r="J19" s="47">
        <f t="shared" si="2"/>
        <v>0</v>
      </c>
      <c r="K19" s="47"/>
      <c r="L19" s="47"/>
    </row>
    <row r="20" spans="1:12" ht="17.25" customHeight="1">
      <c r="A20" s="16">
        <v>8.1999999999999993</v>
      </c>
      <c r="B20" s="91" t="s">
        <v>561</v>
      </c>
      <c r="C20" s="18"/>
      <c r="D20" s="36">
        <f t="shared" si="0"/>
        <v>0</v>
      </c>
      <c r="I20" s="206">
        <f t="shared" si="1"/>
        <v>0</v>
      </c>
      <c r="J20" s="47">
        <f t="shared" si="2"/>
        <v>0</v>
      </c>
    </row>
    <row r="21" spans="1:12">
      <c r="A21" s="25" t="s">
        <v>562</v>
      </c>
      <c r="B21" s="93" t="s">
        <v>851</v>
      </c>
      <c r="C21" s="18" t="s">
        <v>60</v>
      </c>
      <c r="D21" s="36">
        <f t="shared" si="0"/>
        <v>13816.1345</v>
      </c>
      <c r="H21" s="47">
        <f>11969.78+44.25</f>
        <v>12014.03</v>
      </c>
      <c r="I21" s="206">
        <f t="shared" si="1"/>
        <v>1802.1045000000001</v>
      </c>
      <c r="J21" s="47">
        <f t="shared" si="2"/>
        <v>13816.1345</v>
      </c>
      <c r="K21" s="48" t="s">
        <v>897</v>
      </c>
    </row>
    <row r="22" spans="1:12">
      <c r="A22" s="25" t="s">
        <v>563</v>
      </c>
      <c r="B22" s="93" t="s">
        <v>853</v>
      </c>
      <c r="C22" s="18" t="s">
        <v>60</v>
      </c>
      <c r="D22" s="36">
        <f t="shared" si="0"/>
        <v>23564.535000000003</v>
      </c>
      <c r="H22" s="47">
        <v>20490.900000000001</v>
      </c>
      <c r="I22" s="206">
        <f t="shared" si="1"/>
        <v>3073.6350000000002</v>
      </c>
      <c r="J22" s="47">
        <f t="shared" si="2"/>
        <v>23564.535000000003</v>
      </c>
      <c r="K22" s="48" t="s">
        <v>897</v>
      </c>
    </row>
    <row r="23" spans="1:12">
      <c r="A23" s="25" t="s">
        <v>564</v>
      </c>
      <c r="B23" s="93" t="s">
        <v>852</v>
      </c>
      <c r="C23" s="18" t="s">
        <v>60</v>
      </c>
      <c r="D23" s="36">
        <f t="shared" si="0"/>
        <v>17638.631000000001</v>
      </c>
      <c r="H23" s="47">
        <v>15337.94</v>
      </c>
      <c r="I23" s="206">
        <f t="shared" si="1"/>
        <v>2300.6909999999998</v>
      </c>
      <c r="J23" s="47">
        <f t="shared" si="2"/>
        <v>17638.631000000001</v>
      </c>
      <c r="K23" s="48" t="s">
        <v>897</v>
      </c>
    </row>
    <row r="24" spans="1:12">
      <c r="A24" s="25" t="s">
        <v>566</v>
      </c>
      <c r="B24" s="93" t="s">
        <v>565</v>
      </c>
      <c r="C24" s="18" t="s">
        <v>60</v>
      </c>
      <c r="D24" s="36">
        <f t="shared" si="0"/>
        <v>7607.8594999999996</v>
      </c>
      <c r="H24" s="47">
        <v>6615.53</v>
      </c>
      <c r="I24" s="206">
        <f t="shared" si="1"/>
        <v>992.32949999999994</v>
      </c>
      <c r="J24" s="47">
        <f t="shared" si="2"/>
        <v>7607.8594999999996</v>
      </c>
      <c r="K24" s="48" t="s">
        <v>897</v>
      </c>
    </row>
    <row r="25" spans="1:12">
      <c r="A25" s="25" t="s">
        <v>568</v>
      </c>
      <c r="B25" s="93" t="s">
        <v>567</v>
      </c>
      <c r="C25" s="18" t="s">
        <v>60</v>
      </c>
      <c r="D25" s="36">
        <f t="shared" si="0"/>
        <v>36773.550000000003</v>
      </c>
      <c r="H25" s="47">
        <v>31977</v>
      </c>
      <c r="I25" s="206">
        <f t="shared" si="1"/>
        <v>4796.55</v>
      </c>
      <c r="J25" s="47">
        <f t="shared" si="2"/>
        <v>36773.550000000003</v>
      </c>
    </row>
    <row r="26" spans="1:12">
      <c r="A26" s="25" t="s">
        <v>570</v>
      </c>
      <c r="B26" s="93" t="s">
        <v>569</v>
      </c>
      <c r="C26" s="18" t="s">
        <v>60</v>
      </c>
      <c r="D26" s="36">
        <f t="shared" si="0"/>
        <v>60570.476999999999</v>
      </c>
      <c r="H26" s="47">
        <f>13992.78+38677.2</f>
        <v>52669.979999999996</v>
      </c>
      <c r="I26" s="206">
        <f t="shared" si="1"/>
        <v>7900.4969999999994</v>
      </c>
      <c r="J26" s="47">
        <f t="shared" si="2"/>
        <v>60570.476999999999</v>
      </c>
    </row>
    <row r="27" spans="1:12">
      <c r="A27" s="25" t="s">
        <v>572</v>
      </c>
      <c r="B27" s="93" t="s">
        <v>571</v>
      </c>
      <c r="C27" s="18" t="s">
        <v>60</v>
      </c>
      <c r="D27" s="36">
        <f t="shared" si="0"/>
        <v>0</v>
      </c>
      <c r="I27" s="206">
        <f t="shared" si="1"/>
        <v>0</v>
      </c>
      <c r="J27" s="47">
        <f t="shared" si="2"/>
        <v>0</v>
      </c>
    </row>
    <row r="28" spans="1:12">
      <c r="A28" s="25" t="s">
        <v>574</v>
      </c>
      <c r="B28" s="93" t="s">
        <v>573</v>
      </c>
      <c r="C28" s="18" t="s">
        <v>60</v>
      </c>
      <c r="D28" s="36">
        <f t="shared" si="0"/>
        <v>52957.5</v>
      </c>
      <c r="E28" s="47" t="s">
        <v>958</v>
      </c>
      <c r="H28" s="47">
        <f>150*307</f>
        <v>46050</v>
      </c>
      <c r="I28" s="206">
        <f t="shared" si="1"/>
        <v>6907.5</v>
      </c>
      <c r="J28" s="47">
        <f t="shared" si="2"/>
        <v>52957.5</v>
      </c>
    </row>
    <row r="29" spans="1:12">
      <c r="A29" s="25" t="s">
        <v>576</v>
      </c>
      <c r="B29" s="93" t="s">
        <v>575</v>
      </c>
      <c r="C29" s="18" t="s">
        <v>60</v>
      </c>
      <c r="D29" s="36">
        <f t="shared" si="0"/>
        <v>0</v>
      </c>
      <c r="I29" s="206">
        <f t="shared" si="1"/>
        <v>0</v>
      </c>
      <c r="J29" s="47">
        <f t="shared" si="2"/>
        <v>0</v>
      </c>
    </row>
    <row r="30" spans="1:12">
      <c r="A30" s="25" t="s">
        <v>577</v>
      </c>
      <c r="B30" s="93" t="s">
        <v>849</v>
      </c>
      <c r="C30" s="18" t="s">
        <v>60</v>
      </c>
      <c r="D30" s="36">
        <f t="shared" si="0"/>
        <v>3176.4380000000001</v>
      </c>
      <c r="H30" s="47">
        <v>2762.12</v>
      </c>
      <c r="I30" s="206">
        <f t="shared" si="1"/>
        <v>414.31799999999998</v>
      </c>
      <c r="J30" s="47">
        <f t="shared" si="2"/>
        <v>3176.4380000000001</v>
      </c>
      <c r="K30" s="48" t="s">
        <v>897</v>
      </c>
    </row>
    <row r="31" spans="1:12">
      <c r="A31" s="25" t="s">
        <v>579</v>
      </c>
      <c r="B31" s="93" t="s">
        <v>850</v>
      </c>
      <c r="C31" s="18" t="s">
        <v>60</v>
      </c>
      <c r="D31" s="36">
        <f t="shared" si="0"/>
        <v>4557.4960000000001</v>
      </c>
      <c r="H31" s="47">
        <v>3963.04</v>
      </c>
      <c r="I31" s="206">
        <f t="shared" si="1"/>
        <v>594.45600000000002</v>
      </c>
      <c r="J31" s="47">
        <f t="shared" si="2"/>
        <v>4557.4960000000001</v>
      </c>
      <c r="K31" s="48" t="s">
        <v>897</v>
      </c>
    </row>
    <row r="32" spans="1:12">
      <c r="A32" s="25" t="s">
        <v>581</v>
      </c>
      <c r="B32" s="93" t="s">
        <v>578</v>
      </c>
      <c r="C32" s="18" t="s">
        <v>60</v>
      </c>
      <c r="D32" s="36">
        <f t="shared" si="0"/>
        <v>1725</v>
      </c>
      <c r="H32" s="47">
        <v>1500</v>
      </c>
      <c r="I32" s="206">
        <f t="shared" si="1"/>
        <v>225</v>
      </c>
      <c r="J32" s="47">
        <f t="shared" si="2"/>
        <v>1725</v>
      </c>
      <c r="K32" s="48" t="s">
        <v>896</v>
      </c>
    </row>
    <row r="33" spans="1:12">
      <c r="A33" s="25" t="s">
        <v>814</v>
      </c>
      <c r="B33" s="93" t="s">
        <v>580</v>
      </c>
      <c r="C33" s="18" t="s">
        <v>60</v>
      </c>
      <c r="D33" s="36">
        <f t="shared" si="0"/>
        <v>3677.7</v>
      </c>
      <c r="H33" s="47">
        <v>3198</v>
      </c>
      <c r="I33" s="206">
        <f t="shared" si="1"/>
        <v>479.7</v>
      </c>
      <c r="J33" s="47">
        <f t="shared" si="2"/>
        <v>3677.7</v>
      </c>
    </row>
    <row r="34" spans="1:12">
      <c r="A34" s="25" t="s">
        <v>815</v>
      </c>
      <c r="B34" s="93" t="s">
        <v>582</v>
      </c>
      <c r="C34" s="18" t="s">
        <v>60</v>
      </c>
      <c r="D34" s="36">
        <f t="shared" si="0"/>
        <v>23872.7925</v>
      </c>
      <c r="H34" s="47">
        <v>20758.95</v>
      </c>
      <c r="I34" s="206">
        <f t="shared" si="1"/>
        <v>3113.8425000000002</v>
      </c>
      <c r="J34" s="47">
        <f t="shared" si="2"/>
        <v>23872.7925</v>
      </c>
    </row>
    <row r="35" spans="1:12">
      <c r="A35" s="25" t="s">
        <v>862</v>
      </c>
      <c r="B35" s="93" t="s">
        <v>869</v>
      </c>
      <c r="C35" s="18" t="s">
        <v>60</v>
      </c>
      <c r="D35" s="36">
        <f t="shared" si="0"/>
        <v>2408.9509999999996</v>
      </c>
      <c r="H35" s="47">
        <v>2094.7399999999998</v>
      </c>
      <c r="I35" s="206">
        <f t="shared" si="1"/>
        <v>314.21099999999996</v>
      </c>
      <c r="J35" s="47">
        <f t="shared" si="2"/>
        <v>2408.9509999999996</v>
      </c>
      <c r="K35" s="48" t="s">
        <v>897</v>
      </c>
    </row>
    <row r="36" spans="1:12">
      <c r="A36" s="25" t="s">
        <v>863</v>
      </c>
      <c r="B36" s="93" t="s">
        <v>870</v>
      </c>
      <c r="C36" s="18" t="s">
        <v>60</v>
      </c>
      <c r="D36" s="36">
        <f t="shared" si="0"/>
        <v>2949.75</v>
      </c>
      <c r="H36" s="47">
        <f>2565</f>
        <v>2565</v>
      </c>
      <c r="I36" s="206">
        <f t="shared" si="1"/>
        <v>384.75</v>
      </c>
      <c r="J36" s="47">
        <f t="shared" si="2"/>
        <v>2949.75</v>
      </c>
      <c r="K36" s="48" t="s">
        <v>897</v>
      </c>
    </row>
    <row r="37" spans="1:12">
      <c r="A37" s="25" t="s">
        <v>873</v>
      </c>
      <c r="B37" s="93" t="s">
        <v>871</v>
      </c>
      <c r="C37" s="18" t="s">
        <v>60</v>
      </c>
      <c r="D37" s="36">
        <f t="shared" si="0"/>
        <v>5047.3500000000004</v>
      </c>
      <c r="H37" s="47">
        <v>4389</v>
      </c>
      <c r="I37" s="206">
        <f t="shared" ref="I37:I38" si="3">H37*$I$7</f>
        <v>658.35</v>
      </c>
      <c r="J37" s="47">
        <f t="shared" ref="J37:J38" si="4">SUM(H37:I37)</f>
        <v>5047.3500000000004</v>
      </c>
      <c r="K37" s="48" t="s">
        <v>897</v>
      </c>
    </row>
    <row r="38" spans="1:12">
      <c r="A38" s="25" t="s">
        <v>874</v>
      </c>
      <c r="B38" s="93" t="s">
        <v>872</v>
      </c>
      <c r="C38" s="18" t="s">
        <v>60</v>
      </c>
      <c r="D38" s="36">
        <f t="shared" si="0"/>
        <v>2979.2474999999999</v>
      </c>
      <c r="H38" s="47">
        <v>2590.65</v>
      </c>
      <c r="I38" s="206">
        <f t="shared" si="3"/>
        <v>388.59750000000003</v>
      </c>
      <c r="J38" s="47">
        <f t="shared" si="4"/>
        <v>2979.2474999999999</v>
      </c>
      <c r="K38" s="48" t="s">
        <v>897</v>
      </c>
    </row>
    <row r="39" spans="1:12">
      <c r="A39" s="25"/>
      <c r="B39" s="93"/>
      <c r="C39" s="18"/>
      <c r="D39" s="36">
        <f t="shared" si="0"/>
        <v>0</v>
      </c>
      <c r="I39" s="206">
        <f t="shared" si="1"/>
        <v>0</v>
      </c>
      <c r="J39" s="47">
        <f t="shared" si="2"/>
        <v>0</v>
      </c>
    </row>
    <row r="40" spans="1:12" ht="8.4499999999999993" customHeight="1">
      <c r="A40" s="25"/>
      <c r="B40" s="17"/>
      <c r="C40" s="25"/>
      <c r="D40" s="36">
        <f t="shared" si="0"/>
        <v>0</v>
      </c>
      <c r="E40" s="25"/>
      <c r="F40" s="74"/>
      <c r="I40" s="206">
        <f t="shared" si="1"/>
        <v>0</v>
      </c>
      <c r="J40" s="47">
        <f t="shared" si="2"/>
        <v>0</v>
      </c>
      <c r="K40" s="47"/>
      <c r="L40" s="47"/>
    </row>
    <row r="41" spans="1:12" ht="14.25" customHeight="1">
      <c r="A41" s="16">
        <v>8.3000000000000007</v>
      </c>
      <c r="B41" s="94" t="s">
        <v>583</v>
      </c>
      <c r="C41" s="18"/>
      <c r="D41" s="36">
        <f t="shared" si="0"/>
        <v>0</v>
      </c>
      <c r="I41" s="206">
        <f t="shared" si="1"/>
        <v>0</v>
      </c>
      <c r="J41" s="47">
        <f t="shared" si="2"/>
        <v>0</v>
      </c>
    </row>
    <row r="42" spans="1:12" ht="14.25" customHeight="1">
      <c r="A42" s="25" t="s">
        <v>584</v>
      </c>
      <c r="B42" s="92" t="s">
        <v>585</v>
      </c>
      <c r="C42" s="18" t="s">
        <v>60</v>
      </c>
      <c r="D42" s="36">
        <f t="shared" si="0"/>
        <v>12309.013500000001</v>
      </c>
      <c r="H42" s="47">
        <f>338.91+1007.49+274.13+379.99+960.63+864.07+2140.65+939.33+864.07+957.08+948.56+301.78+377.62+349.18</f>
        <v>10703.490000000002</v>
      </c>
      <c r="I42" s="206">
        <f t="shared" si="1"/>
        <v>1605.5235000000002</v>
      </c>
      <c r="J42" s="47">
        <f t="shared" si="2"/>
        <v>12309.013500000001</v>
      </c>
    </row>
    <row r="43" spans="1:12" ht="14.25" customHeight="1">
      <c r="A43" s="25" t="s">
        <v>586</v>
      </c>
      <c r="B43" s="92" t="s">
        <v>587</v>
      </c>
      <c r="C43" s="18" t="s">
        <v>60</v>
      </c>
      <c r="D43" s="36">
        <f t="shared" si="0"/>
        <v>16210.031999999999</v>
      </c>
      <c r="H43" s="47">
        <f>638.4+1324.8+819.2+904+771.2+747.2+2080.8+2659.68+1958.4+780.8+632+779.2</f>
        <v>14095.679999999998</v>
      </c>
      <c r="I43" s="206">
        <f t="shared" si="1"/>
        <v>2114.3519999999999</v>
      </c>
      <c r="J43" s="47">
        <f t="shared" si="2"/>
        <v>16210.031999999999</v>
      </c>
    </row>
    <row r="44" spans="1:12" ht="14.25" customHeight="1">
      <c r="A44" s="25" t="s">
        <v>588</v>
      </c>
      <c r="B44" s="92" t="s">
        <v>589</v>
      </c>
      <c r="C44" s="18" t="s">
        <v>60</v>
      </c>
      <c r="D44" s="36">
        <f t="shared" si="0"/>
        <v>15953.742999999999</v>
      </c>
      <c r="H44" s="47">
        <f>444.05+541.08+435.49+314.28+318.86+459.03+463.32+333.72+459.03+426.6+459.03+542.49+459.03+677.31+476.15+7063.35</f>
        <v>13872.82</v>
      </c>
      <c r="I44" s="206">
        <f t="shared" si="1"/>
        <v>2080.9229999999998</v>
      </c>
      <c r="J44" s="47">
        <f t="shared" si="2"/>
        <v>15953.742999999999</v>
      </c>
    </row>
    <row r="45" spans="1:12" ht="14.25" customHeight="1">
      <c r="A45" s="25" t="s">
        <v>590</v>
      </c>
      <c r="B45" s="92" t="s">
        <v>591</v>
      </c>
      <c r="C45" s="18" t="s">
        <v>60</v>
      </c>
      <c r="D45" s="36">
        <f t="shared" si="0"/>
        <v>4449.2924999999996</v>
      </c>
      <c r="H45" s="47">
        <f>435.2+278.69+18.56+2767.5+369</f>
        <v>3868.95</v>
      </c>
      <c r="I45" s="206">
        <f t="shared" si="1"/>
        <v>580.34249999999997</v>
      </c>
      <c r="J45" s="47">
        <f t="shared" si="2"/>
        <v>4449.2924999999996</v>
      </c>
    </row>
    <row r="46" spans="1:12" ht="14.25" customHeight="1">
      <c r="A46" s="25" t="s">
        <v>592</v>
      </c>
      <c r="B46" s="92" t="s">
        <v>593</v>
      </c>
      <c r="C46" s="18" t="s">
        <v>60</v>
      </c>
      <c r="D46" s="36">
        <f t="shared" si="0"/>
        <v>2021.355</v>
      </c>
      <c r="H46" s="47">
        <f>248.85+248.85+248.85+157.95+203.13+127.62+522.45</f>
        <v>1757.7</v>
      </c>
      <c r="I46" s="206">
        <f t="shared" si="1"/>
        <v>263.65499999999997</v>
      </c>
      <c r="J46" s="47">
        <f t="shared" si="2"/>
        <v>2021.355</v>
      </c>
    </row>
    <row r="47" spans="1:12" ht="14.25" customHeight="1">
      <c r="A47" s="25" t="s">
        <v>594</v>
      </c>
      <c r="B47" s="92" t="s">
        <v>595</v>
      </c>
      <c r="C47" s="18" t="s">
        <v>60</v>
      </c>
      <c r="D47" s="36">
        <f t="shared" si="0"/>
        <v>0</v>
      </c>
      <c r="I47" s="206">
        <f t="shared" si="1"/>
        <v>0</v>
      </c>
      <c r="J47" s="47">
        <f t="shared" si="2"/>
        <v>0</v>
      </c>
    </row>
    <row r="48" spans="1:12" ht="14.25" customHeight="1">
      <c r="A48" s="25" t="s">
        <v>596</v>
      </c>
      <c r="B48" s="92" t="s">
        <v>597</v>
      </c>
      <c r="C48" s="18" t="s">
        <v>60</v>
      </c>
      <c r="D48" s="36">
        <f t="shared" si="0"/>
        <v>5175</v>
      </c>
      <c r="H48" s="47">
        <f>500*9</f>
        <v>4500</v>
      </c>
      <c r="I48" s="206">
        <f t="shared" si="1"/>
        <v>675</v>
      </c>
      <c r="J48" s="47">
        <f t="shared" si="2"/>
        <v>5175</v>
      </c>
      <c r="K48" s="48" t="s">
        <v>896</v>
      </c>
    </row>
    <row r="49" spans="1:12" ht="14.25" customHeight="1">
      <c r="A49" s="25" t="s">
        <v>598</v>
      </c>
      <c r="B49" s="92" t="s">
        <v>599</v>
      </c>
      <c r="C49" s="18" t="s">
        <v>60</v>
      </c>
      <c r="D49" s="36">
        <f t="shared" si="0"/>
        <v>3677.8609999999999</v>
      </c>
      <c r="H49" s="47">
        <f>515.86+939.72+1094.56+((720+576)/2)</f>
        <v>3198.14</v>
      </c>
      <c r="I49" s="206">
        <f t="shared" si="1"/>
        <v>479.72099999999995</v>
      </c>
      <c r="J49" s="47">
        <f t="shared" si="2"/>
        <v>3677.8609999999999</v>
      </c>
    </row>
    <row r="50" spans="1:12" ht="14.25" customHeight="1">
      <c r="A50" s="25" t="s">
        <v>600</v>
      </c>
      <c r="B50" s="92" t="s">
        <v>601</v>
      </c>
      <c r="C50" s="18" t="s">
        <v>60</v>
      </c>
      <c r="D50" s="36">
        <f t="shared" si="0"/>
        <v>2685.3420000000001</v>
      </c>
      <c r="H50" s="47">
        <f>496.4+283.8+906.88+((720+576)/2)</f>
        <v>2335.08</v>
      </c>
      <c r="I50" s="206">
        <f t="shared" si="1"/>
        <v>350.262</v>
      </c>
      <c r="J50" s="47">
        <f t="shared" si="2"/>
        <v>2685.3420000000001</v>
      </c>
    </row>
    <row r="51" spans="1:12" ht="14.25" customHeight="1">
      <c r="A51" s="25" t="s">
        <v>805</v>
      </c>
      <c r="B51" s="92" t="s">
        <v>854</v>
      </c>
      <c r="C51" s="18" t="s">
        <v>60</v>
      </c>
      <c r="D51" s="36">
        <f t="shared" si="0"/>
        <v>3853.3854999999999</v>
      </c>
      <c r="H51" s="47">
        <v>3350.77</v>
      </c>
      <c r="I51" s="206">
        <f t="shared" si="1"/>
        <v>502.6155</v>
      </c>
      <c r="J51" s="47">
        <f t="shared" si="2"/>
        <v>3853.3854999999999</v>
      </c>
      <c r="K51" s="48" t="s">
        <v>897</v>
      </c>
    </row>
    <row r="52" spans="1:12" ht="14.25" customHeight="1">
      <c r="A52" s="25" t="s">
        <v>806</v>
      </c>
      <c r="B52" s="92" t="s">
        <v>855</v>
      </c>
      <c r="C52" s="18" t="s">
        <v>60</v>
      </c>
      <c r="D52" s="36">
        <f t="shared" si="0"/>
        <v>7706.7709999999997</v>
      </c>
      <c r="H52" s="47">
        <v>6701.54</v>
      </c>
      <c r="I52" s="206">
        <f t="shared" si="1"/>
        <v>1005.231</v>
      </c>
      <c r="J52" s="47">
        <f t="shared" si="2"/>
        <v>7706.7709999999997</v>
      </c>
      <c r="K52" s="48" t="s">
        <v>897</v>
      </c>
    </row>
    <row r="53" spans="1:12" ht="14.25" customHeight="1">
      <c r="A53" s="25" t="s">
        <v>807</v>
      </c>
      <c r="B53" s="92" t="s">
        <v>856</v>
      </c>
      <c r="C53" s="18" t="s">
        <v>60</v>
      </c>
      <c r="D53" s="36">
        <f t="shared" si="0"/>
        <v>417.27750000000003</v>
      </c>
      <c r="H53" s="47">
        <v>362.85</v>
      </c>
      <c r="I53" s="206">
        <f t="shared" si="1"/>
        <v>54.427500000000002</v>
      </c>
      <c r="J53" s="47">
        <f t="shared" si="2"/>
        <v>417.27750000000003</v>
      </c>
      <c r="K53" s="48" t="s">
        <v>897</v>
      </c>
    </row>
    <row r="54" spans="1:12" ht="14.25" customHeight="1">
      <c r="A54" s="25" t="s">
        <v>808</v>
      </c>
      <c r="B54" s="92" t="s">
        <v>857</v>
      </c>
      <c r="C54" s="18" t="s">
        <v>60</v>
      </c>
      <c r="D54" s="36">
        <f t="shared" si="0"/>
        <v>530.28800000000001</v>
      </c>
      <c r="H54" s="47">
        <v>461.12</v>
      </c>
      <c r="I54" s="206">
        <f t="shared" si="1"/>
        <v>69.167999999999992</v>
      </c>
      <c r="J54" s="47">
        <f t="shared" si="2"/>
        <v>530.28800000000001</v>
      </c>
      <c r="K54" s="48" t="s">
        <v>897</v>
      </c>
    </row>
    <row r="55" spans="1:12" ht="14.25" customHeight="1">
      <c r="A55" s="25" t="s">
        <v>860</v>
      </c>
      <c r="B55" s="92" t="s">
        <v>858</v>
      </c>
      <c r="C55" s="18" t="s">
        <v>60</v>
      </c>
      <c r="D55" s="36">
        <f t="shared" si="0"/>
        <v>3004.9384999999997</v>
      </c>
      <c r="H55" s="47">
        <v>2612.9899999999998</v>
      </c>
      <c r="I55" s="206">
        <f t="shared" si="1"/>
        <v>391.94849999999997</v>
      </c>
      <c r="J55" s="47">
        <f t="shared" si="2"/>
        <v>3004.9384999999997</v>
      </c>
      <c r="K55" s="48" t="s">
        <v>897</v>
      </c>
    </row>
    <row r="56" spans="1:12" ht="14.25" customHeight="1">
      <c r="A56" s="25" t="s">
        <v>861</v>
      </c>
      <c r="B56" s="92" t="s">
        <v>859</v>
      </c>
      <c r="C56" s="18" t="s">
        <v>60</v>
      </c>
      <c r="D56" s="36">
        <f t="shared" si="0"/>
        <v>1343.384</v>
      </c>
      <c r="H56" s="47">
        <v>1168.1600000000001</v>
      </c>
      <c r="I56" s="206">
        <f t="shared" si="1"/>
        <v>175.22400000000002</v>
      </c>
      <c r="J56" s="47">
        <f t="shared" si="2"/>
        <v>1343.384</v>
      </c>
      <c r="K56" s="48" t="s">
        <v>897</v>
      </c>
    </row>
    <row r="57" spans="1:12" ht="14.25" customHeight="1">
      <c r="A57" s="25"/>
      <c r="B57" s="92"/>
      <c r="C57" s="18"/>
      <c r="D57" s="36">
        <f t="shared" si="0"/>
        <v>0</v>
      </c>
    </row>
    <row r="58" spans="1:12" ht="14.25" customHeight="1">
      <c r="A58" s="25"/>
      <c r="B58" s="92"/>
      <c r="C58" s="18"/>
      <c r="D58" s="36">
        <f t="shared" si="0"/>
        <v>0</v>
      </c>
    </row>
    <row r="59" spans="1:12" ht="14.25" customHeight="1">
      <c r="A59" s="25"/>
      <c r="B59" s="92"/>
      <c r="C59" s="18"/>
      <c r="D59" s="36">
        <f t="shared" si="0"/>
        <v>0</v>
      </c>
    </row>
    <row r="60" spans="1:12" ht="14.25" customHeight="1">
      <c r="A60" s="25"/>
      <c r="B60" s="92"/>
      <c r="C60" s="18"/>
      <c r="D60" s="36">
        <f t="shared" si="0"/>
        <v>0</v>
      </c>
      <c r="I60" s="206">
        <f t="shared" si="1"/>
        <v>0</v>
      </c>
      <c r="J60" s="47">
        <f t="shared" si="2"/>
        <v>0</v>
      </c>
    </row>
    <row r="61" spans="1:12" ht="8.4499999999999993" customHeight="1">
      <c r="A61" s="16"/>
      <c r="B61" s="17"/>
      <c r="C61" s="25"/>
      <c r="D61" s="36">
        <f t="shared" si="0"/>
        <v>0</v>
      </c>
      <c r="E61" s="25"/>
      <c r="F61" s="74"/>
      <c r="I61" s="206">
        <f t="shared" si="1"/>
        <v>0</v>
      </c>
      <c r="J61" s="47">
        <f t="shared" si="2"/>
        <v>0</v>
      </c>
      <c r="K61" s="47"/>
      <c r="L61" s="47"/>
    </row>
    <row r="62" spans="1:12" ht="14.25" customHeight="1">
      <c r="A62" s="16">
        <v>8.4</v>
      </c>
      <c r="B62" s="91" t="s">
        <v>602</v>
      </c>
      <c r="C62" s="18" t="s">
        <v>60</v>
      </c>
      <c r="D62" s="36">
        <f t="shared" si="0"/>
        <v>0</v>
      </c>
      <c r="I62" s="206">
        <f t="shared" si="1"/>
        <v>0</v>
      </c>
      <c r="J62" s="47">
        <f t="shared" si="2"/>
        <v>0</v>
      </c>
    </row>
    <row r="63" spans="1:12" ht="14.25" customHeight="1">
      <c r="A63" s="25" t="s">
        <v>603</v>
      </c>
      <c r="B63" s="92" t="s">
        <v>604</v>
      </c>
      <c r="C63" s="18" t="s">
        <v>60</v>
      </c>
      <c r="D63" s="36">
        <f t="shared" si="0"/>
        <v>0</v>
      </c>
      <c r="I63" s="206">
        <f t="shared" si="1"/>
        <v>0</v>
      </c>
      <c r="J63" s="47">
        <f t="shared" si="2"/>
        <v>0</v>
      </c>
    </row>
    <row r="64" spans="1:12" ht="14.25" customHeight="1">
      <c r="A64" s="25" t="s">
        <v>605</v>
      </c>
      <c r="B64" s="92" t="s">
        <v>606</v>
      </c>
      <c r="C64" s="18" t="s">
        <v>60</v>
      </c>
      <c r="D64" s="36">
        <f t="shared" si="0"/>
        <v>0</v>
      </c>
      <c r="I64" s="206">
        <f t="shared" si="1"/>
        <v>0</v>
      </c>
      <c r="J64" s="47">
        <f t="shared" si="2"/>
        <v>0</v>
      </c>
    </row>
    <row r="65" spans="1:12" ht="14.25" customHeight="1">
      <c r="A65" s="25" t="s">
        <v>607</v>
      </c>
      <c r="B65" s="92" t="s">
        <v>608</v>
      </c>
      <c r="C65" s="18" t="s">
        <v>60</v>
      </c>
      <c r="D65" s="36">
        <f t="shared" si="0"/>
        <v>4443.0249999999996</v>
      </c>
      <c r="H65" s="47">
        <f>3313.5+550</f>
        <v>3863.5</v>
      </c>
      <c r="I65" s="206">
        <f t="shared" si="1"/>
        <v>579.52499999999998</v>
      </c>
      <c r="J65" s="47">
        <f t="shared" si="2"/>
        <v>4443.0249999999996</v>
      </c>
      <c r="K65" s="48" t="s">
        <v>915</v>
      </c>
    </row>
    <row r="66" spans="1:12" ht="14.25" customHeight="1">
      <c r="A66" s="25" t="s">
        <v>609</v>
      </c>
      <c r="B66" s="92" t="s">
        <v>610</v>
      </c>
      <c r="C66" s="18" t="s">
        <v>60</v>
      </c>
      <c r="D66" s="36">
        <f t="shared" si="0"/>
        <v>16171.4035</v>
      </c>
      <c r="H66" s="47">
        <v>14062.09</v>
      </c>
      <c r="I66" s="206">
        <f t="shared" si="1"/>
        <v>2109.3134999999997</v>
      </c>
      <c r="J66" s="47">
        <f t="shared" si="2"/>
        <v>16171.4035</v>
      </c>
    </row>
    <row r="67" spans="1:12" ht="14.25" customHeight="1">
      <c r="A67" s="25" t="s">
        <v>611</v>
      </c>
      <c r="B67" s="92" t="s">
        <v>612</v>
      </c>
      <c r="C67" s="18" t="s">
        <v>60</v>
      </c>
      <c r="D67" s="36">
        <f t="shared" si="0"/>
        <v>0</v>
      </c>
      <c r="I67" s="206">
        <f t="shared" si="1"/>
        <v>0</v>
      </c>
      <c r="J67" s="47">
        <f t="shared" si="2"/>
        <v>0</v>
      </c>
    </row>
    <row r="68" spans="1:12" ht="14.25" customHeight="1">
      <c r="A68" s="25" t="s">
        <v>613</v>
      </c>
      <c r="B68" s="92" t="s">
        <v>614</v>
      </c>
      <c r="C68" s="18" t="s">
        <v>60</v>
      </c>
      <c r="D68" s="36">
        <f t="shared" si="0"/>
        <v>15180</v>
      </c>
      <c r="H68" s="47">
        <f>44*300</f>
        <v>13200</v>
      </c>
      <c r="I68" s="206">
        <f t="shared" si="1"/>
        <v>1980</v>
      </c>
      <c r="J68" s="47">
        <f t="shared" si="2"/>
        <v>15180</v>
      </c>
    </row>
    <row r="69" spans="1:12" ht="14.25" customHeight="1">
      <c r="A69" s="25" t="s">
        <v>615</v>
      </c>
      <c r="B69" s="92" t="s">
        <v>616</v>
      </c>
      <c r="C69" s="18" t="s">
        <v>60</v>
      </c>
      <c r="D69" s="36">
        <f t="shared" si="0"/>
        <v>6210</v>
      </c>
      <c r="H69" s="47">
        <f>18*300</f>
        <v>5400</v>
      </c>
      <c r="I69" s="206">
        <f t="shared" si="1"/>
        <v>810</v>
      </c>
      <c r="J69" s="47">
        <f t="shared" si="2"/>
        <v>6210</v>
      </c>
    </row>
    <row r="70" spans="1:12" ht="14.25" customHeight="1">
      <c r="A70" s="25" t="s">
        <v>617</v>
      </c>
      <c r="B70" s="92" t="s">
        <v>618</v>
      </c>
      <c r="C70" s="18" t="s">
        <v>60</v>
      </c>
      <c r="D70" s="36">
        <f t="shared" si="0"/>
        <v>0</v>
      </c>
      <c r="I70" s="206">
        <f t="shared" si="1"/>
        <v>0</v>
      </c>
      <c r="J70" s="47">
        <f t="shared" si="2"/>
        <v>0</v>
      </c>
    </row>
    <row r="71" spans="1:12" ht="14.25" customHeight="1">
      <c r="A71" s="25" t="s">
        <v>619</v>
      </c>
      <c r="B71" s="92" t="s">
        <v>620</v>
      </c>
      <c r="C71" s="18" t="s">
        <v>60</v>
      </c>
      <c r="D71" s="36">
        <f t="shared" si="0"/>
        <v>0</v>
      </c>
      <c r="I71" s="206">
        <f t="shared" si="1"/>
        <v>0</v>
      </c>
      <c r="J71" s="47">
        <f t="shared" si="2"/>
        <v>0</v>
      </c>
    </row>
    <row r="72" spans="1:12" ht="14.25" customHeight="1">
      <c r="A72" s="25" t="s">
        <v>621</v>
      </c>
      <c r="B72" s="92" t="s">
        <v>622</v>
      </c>
      <c r="C72" s="18" t="s">
        <v>60</v>
      </c>
      <c r="D72" s="36">
        <f t="shared" si="0"/>
        <v>0</v>
      </c>
      <c r="I72" s="206">
        <f t="shared" si="1"/>
        <v>0</v>
      </c>
      <c r="J72" s="47">
        <f t="shared" si="2"/>
        <v>0</v>
      </c>
    </row>
    <row r="73" spans="1:12" ht="14.25" customHeight="1">
      <c r="A73" s="25" t="s">
        <v>623</v>
      </c>
      <c r="B73" s="92" t="s">
        <v>624</v>
      </c>
      <c r="C73" s="18" t="s">
        <v>60</v>
      </c>
      <c r="D73" s="36">
        <f t="shared" si="0"/>
        <v>0</v>
      </c>
      <c r="I73" s="206">
        <f t="shared" si="1"/>
        <v>0</v>
      </c>
      <c r="J73" s="47">
        <f t="shared" si="2"/>
        <v>0</v>
      </c>
    </row>
    <row r="74" spans="1:12" ht="14.25" customHeight="1">
      <c r="A74" s="25" t="s">
        <v>625</v>
      </c>
      <c r="B74" s="92" t="s">
        <v>626</v>
      </c>
      <c r="C74" s="18" t="s">
        <v>60</v>
      </c>
      <c r="D74" s="36">
        <f t="shared" ref="D74:D139" si="5">J74</f>
        <v>0</v>
      </c>
      <c r="I74" s="206">
        <f t="shared" si="1"/>
        <v>0</v>
      </c>
      <c r="J74" s="47">
        <f t="shared" si="2"/>
        <v>0</v>
      </c>
      <c r="K74" s="48" t="s">
        <v>915</v>
      </c>
    </row>
    <row r="75" spans="1:12" ht="14.25" customHeight="1">
      <c r="A75" s="25" t="s">
        <v>811</v>
      </c>
      <c r="B75" s="92" t="s">
        <v>867</v>
      </c>
      <c r="C75" s="18" t="s">
        <v>60</v>
      </c>
      <c r="D75" s="36">
        <f t="shared" si="5"/>
        <v>4493.7515000000003</v>
      </c>
      <c r="H75" s="47">
        <v>3907.61</v>
      </c>
      <c r="I75" s="206">
        <f t="shared" ref="I75:I76" si="6">H75*$I$7</f>
        <v>586.14149999999995</v>
      </c>
      <c r="J75" s="47">
        <f t="shared" ref="J75:J76" si="7">SUM(H75:I75)</f>
        <v>4493.7515000000003</v>
      </c>
      <c r="K75" s="48" t="s">
        <v>897</v>
      </c>
    </row>
    <row r="76" spans="1:12" ht="14.25" customHeight="1">
      <c r="A76" s="25" t="s">
        <v>868</v>
      </c>
      <c r="B76" s="92" t="s">
        <v>866</v>
      </c>
      <c r="C76" s="18" t="s">
        <v>60</v>
      </c>
      <c r="D76" s="36">
        <f t="shared" si="5"/>
        <v>1979.4259999999999</v>
      </c>
      <c r="H76" s="47">
        <v>1721.24</v>
      </c>
      <c r="I76" s="206">
        <f t="shared" si="6"/>
        <v>258.18599999999998</v>
      </c>
      <c r="J76" s="47">
        <f t="shared" si="7"/>
        <v>1979.4259999999999</v>
      </c>
      <c r="K76" s="48" t="s">
        <v>897</v>
      </c>
    </row>
    <row r="77" spans="1:12" ht="8.4499999999999993" customHeight="1">
      <c r="A77" s="25"/>
      <c r="B77" s="17"/>
      <c r="C77" s="25"/>
      <c r="D77" s="36">
        <f t="shared" si="5"/>
        <v>0</v>
      </c>
      <c r="E77" s="25"/>
      <c r="F77" s="74"/>
      <c r="K77" s="47"/>
      <c r="L77" s="47"/>
    </row>
    <row r="78" spans="1:12" ht="14.25" customHeight="1">
      <c r="A78" s="16">
        <v>8.5</v>
      </c>
      <c r="B78" s="91" t="s">
        <v>627</v>
      </c>
      <c r="C78" s="18"/>
      <c r="D78" s="36">
        <f t="shared" si="5"/>
        <v>0</v>
      </c>
      <c r="I78" s="206">
        <f t="shared" si="1"/>
        <v>0</v>
      </c>
      <c r="J78" s="47">
        <f t="shared" si="2"/>
        <v>0</v>
      </c>
    </row>
    <row r="79" spans="1:12" ht="14.25" customHeight="1">
      <c r="A79" s="25" t="s">
        <v>628</v>
      </c>
      <c r="B79" s="92" t="s">
        <v>629</v>
      </c>
      <c r="C79" s="18" t="s">
        <v>60</v>
      </c>
      <c r="D79" s="36">
        <f t="shared" si="5"/>
        <v>312.8</v>
      </c>
      <c r="H79" s="47">
        <v>272</v>
      </c>
      <c r="I79" s="206">
        <f t="shared" si="1"/>
        <v>40.799999999999997</v>
      </c>
      <c r="J79" s="47">
        <f t="shared" si="2"/>
        <v>312.8</v>
      </c>
    </row>
    <row r="80" spans="1:12" ht="14.25" customHeight="1">
      <c r="A80" s="25" t="s">
        <v>630</v>
      </c>
      <c r="B80" s="171" t="s">
        <v>631</v>
      </c>
      <c r="C80" s="18"/>
      <c r="D80" s="36"/>
      <c r="I80" s="206">
        <f t="shared" si="1"/>
        <v>0</v>
      </c>
      <c r="J80" s="47">
        <f t="shared" si="2"/>
        <v>0</v>
      </c>
    </row>
    <row r="81" spans="1:10" ht="14.25" customHeight="1">
      <c r="A81" s="25" t="s">
        <v>632</v>
      </c>
      <c r="B81" s="93" t="s">
        <v>633</v>
      </c>
      <c r="C81" s="18" t="s">
        <v>60</v>
      </c>
      <c r="D81" s="36">
        <f t="shared" si="5"/>
        <v>3506.3097500000003</v>
      </c>
      <c r="H81" s="47">
        <f>1250.32+(3597.29/2)</f>
        <v>3048.9650000000001</v>
      </c>
      <c r="I81" s="206">
        <f t="shared" si="1"/>
        <v>457.34475000000003</v>
      </c>
      <c r="J81" s="47">
        <f t="shared" si="2"/>
        <v>3506.3097500000003</v>
      </c>
    </row>
    <row r="82" spans="1:10" ht="14.25" customHeight="1">
      <c r="A82" s="25" t="s">
        <v>634</v>
      </c>
      <c r="B82" s="93" t="s">
        <v>635</v>
      </c>
      <c r="C82" s="18" t="s">
        <v>60</v>
      </c>
      <c r="D82" s="36">
        <f t="shared" si="5"/>
        <v>3506.3097500000003</v>
      </c>
      <c r="H82" s="47">
        <f>1250.32+(3597.29/2)</f>
        <v>3048.9650000000001</v>
      </c>
      <c r="I82" s="206">
        <f t="shared" si="1"/>
        <v>457.34475000000003</v>
      </c>
      <c r="J82" s="47">
        <f t="shared" si="2"/>
        <v>3506.3097500000003</v>
      </c>
    </row>
    <row r="83" spans="1:10" ht="14.25" customHeight="1">
      <c r="A83" s="25" t="s">
        <v>636</v>
      </c>
      <c r="B83" s="93" t="s">
        <v>637</v>
      </c>
      <c r="C83" s="18" t="s">
        <v>60</v>
      </c>
      <c r="D83" s="36">
        <f t="shared" si="5"/>
        <v>4285.6819999999998</v>
      </c>
      <c r="H83" s="47">
        <v>3726.68</v>
      </c>
      <c r="I83" s="206">
        <f t="shared" si="1"/>
        <v>559.00199999999995</v>
      </c>
      <c r="J83" s="47">
        <f t="shared" si="2"/>
        <v>4285.6819999999998</v>
      </c>
    </row>
    <row r="84" spans="1:10" ht="14.25" customHeight="1">
      <c r="A84" s="25" t="s">
        <v>638</v>
      </c>
      <c r="B84" s="93" t="s">
        <v>639</v>
      </c>
      <c r="C84" s="18" t="s">
        <v>60</v>
      </c>
      <c r="D84" s="36">
        <f t="shared" si="5"/>
        <v>5728.655999999999</v>
      </c>
      <c r="H84" s="47">
        <v>4981.4399999999996</v>
      </c>
      <c r="I84" s="206">
        <f t="shared" si="1"/>
        <v>747.21599999999989</v>
      </c>
      <c r="J84" s="47">
        <f t="shared" si="2"/>
        <v>5728.655999999999</v>
      </c>
    </row>
    <row r="85" spans="1:10" ht="14.25" customHeight="1">
      <c r="A85" s="25" t="s">
        <v>640</v>
      </c>
      <c r="B85" s="93" t="s">
        <v>641</v>
      </c>
      <c r="C85" s="18" t="s">
        <v>60</v>
      </c>
      <c r="D85" s="36">
        <f t="shared" si="5"/>
        <v>17310.719999999998</v>
      </c>
      <c r="H85" s="47">
        <v>15052.8</v>
      </c>
      <c r="I85" s="206">
        <f t="shared" si="1"/>
        <v>2257.9199999999996</v>
      </c>
      <c r="J85" s="47">
        <f t="shared" si="2"/>
        <v>17310.719999999998</v>
      </c>
    </row>
    <row r="86" spans="1:10">
      <c r="A86" s="25" t="s">
        <v>642</v>
      </c>
      <c r="B86" s="93" t="s">
        <v>643</v>
      </c>
      <c r="C86" s="18" t="s">
        <v>60</v>
      </c>
      <c r="D86" s="36">
        <f t="shared" si="5"/>
        <v>1632.54</v>
      </c>
      <c r="H86" s="47">
        <v>1419.6</v>
      </c>
      <c r="I86" s="206">
        <f t="shared" si="1"/>
        <v>212.93999999999997</v>
      </c>
      <c r="J86" s="47">
        <f t="shared" si="2"/>
        <v>1632.54</v>
      </c>
    </row>
    <row r="87" spans="1:10">
      <c r="A87" s="25" t="s">
        <v>644</v>
      </c>
      <c r="B87" s="93" t="s">
        <v>645</v>
      </c>
      <c r="C87" s="18" t="s">
        <v>60</v>
      </c>
      <c r="D87" s="36">
        <f t="shared" si="5"/>
        <v>3284.4575000000004</v>
      </c>
      <c r="H87" s="47">
        <v>2856.05</v>
      </c>
      <c r="I87" s="206">
        <f t="shared" si="1"/>
        <v>428.40750000000003</v>
      </c>
      <c r="J87" s="47">
        <f t="shared" si="2"/>
        <v>3284.4575000000004</v>
      </c>
    </row>
    <row r="88" spans="1:10">
      <c r="A88" s="25" t="s">
        <v>646</v>
      </c>
      <c r="B88" s="93" t="s">
        <v>647</v>
      </c>
      <c r="C88" s="18" t="s">
        <v>60</v>
      </c>
      <c r="D88" s="36">
        <f t="shared" si="5"/>
        <v>5179.0940000000001</v>
      </c>
      <c r="H88" s="47">
        <v>4503.5600000000004</v>
      </c>
      <c r="I88" s="206">
        <f t="shared" si="1"/>
        <v>675.53399999999999</v>
      </c>
      <c r="J88" s="47">
        <f t="shared" si="2"/>
        <v>5179.0940000000001</v>
      </c>
    </row>
    <row r="89" spans="1:10">
      <c r="A89" s="25" t="s">
        <v>648</v>
      </c>
      <c r="B89" s="93" t="s">
        <v>649</v>
      </c>
      <c r="C89" s="18" t="s">
        <v>60</v>
      </c>
      <c r="D89" s="36">
        <f t="shared" si="5"/>
        <v>4806.6320000000005</v>
      </c>
      <c r="H89" s="47">
        <v>4179.68</v>
      </c>
      <c r="I89" s="206">
        <f t="shared" ref="I89:I174" si="8">H89*$I$7</f>
        <v>626.952</v>
      </c>
      <c r="J89" s="47">
        <f t="shared" ref="J89:J174" si="9">SUM(H89:I89)</f>
        <v>4806.6320000000005</v>
      </c>
    </row>
    <row r="90" spans="1:10">
      <c r="A90" s="25" t="s">
        <v>650</v>
      </c>
      <c r="B90" s="93" t="s">
        <v>651</v>
      </c>
      <c r="C90" s="18" t="s">
        <v>60</v>
      </c>
      <c r="D90" s="36">
        <f t="shared" si="5"/>
        <v>0</v>
      </c>
      <c r="I90" s="206">
        <f t="shared" si="8"/>
        <v>0</v>
      </c>
      <c r="J90" s="47">
        <f t="shared" si="9"/>
        <v>0</v>
      </c>
    </row>
    <row r="91" spans="1:10">
      <c r="A91" s="25" t="s">
        <v>652</v>
      </c>
      <c r="B91" s="93" t="s">
        <v>653</v>
      </c>
      <c r="C91" s="18" t="s">
        <v>60</v>
      </c>
      <c r="D91" s="36">
        <f t="shared" si="5"/>
        <v>684.02</v>
      </c>
      <c r="H91" s="47">
        <v>594.79999999999995</v>
      </c>
      <c r="I91" s="206">
        <f t="shared" si="8"/>
        <v>89.219999999999985</v>
      </c>
      <c r="J91" s="47">
        <f t="shared" si="9"/>
        <v>684.02</v>
      </c>
    </row>
    <row r="92" spans="1:10">
      <c r="A92" s="25" t="s">
        <v>654</v>
      </c>
      <c r="B92" s="93" t="s">
        <v>655</v>
      </c>
      <c r="C92" s="18" t="s">
        <v>60</v>
      </c>
      <c r="D92" s="36">
        <f t="shared" si="5"/>
        <v>111.82599999999999</v>
      </c>
      <c r="H92" s="47">
        <v>97.24</v>
      </c>
      <c r="I92" s="206">
        <f t="shared" si="8"/>
        <v>14.585999999999999</v>
      </c>
      <c r="J92" s="47">
        <f t="shared" si="9"/>
        <v>111.82599999999999</v>
      </c>
    </row>
    <row r="93" spans="1:10">
      <c r="A93" s="25" t="s">
        <v>656</v>
      </c>
      <c r="B93" s="93" t="s">
        <v>657</v>
      </c>
      <c r="C93" s="18" t="s">
        <v>60</v>
      </c>
      <c r="D93" s="36">
        <f t="shared" si="5"/>
        <v>487.46199999999999</v>
      </c>
      <c r="H93" s="47">
        <v>423.88</v>
      </c>
      <c r="I93" s="206">
        <f t="shared" si="8"/>
        <v>63.581999999999994</v>
      </c>
      <c r="J93" s="47">
        <f t="shared" si="9"/>
        <v>487.46199999999999</v>
      </c>
    </row>
    <row r="94" spans="1:10">
      <c r="A94" s="25" t="s">
        <v>658</v>
      </c>
      <c r="B94" s="93" t="s">
        <v>659</v>
      </c>
      <c r="C94" s="18" t="s">
        <v>60</v>
      </c>
      <c r="D94" s="36">
        <f t="shared" si="5"/>
        <v>0</v>
      </c>
      <c r="I94" s="206">
        <f t="shared" si="8"/>
        <v>0</v>
      </c>
      <c r="J94" s="47">
        <f t="shared" si="9"/>
        <v>0</v>
      </c>
    </row>
    <row r="95" spans="1:10">
      <c r="A95" s="25"/>
      <c r="B95" s="93" t="s">
        <v>916</v>
      </c>
      <c r="C95" s="18" t="s">
        <v>60</v>
      </c>
      <c r="D95" s="36">
        <f t="shared" si="5"/>
        <v>1039.5999999999999</v>
      </c>
      <c r="H95" s="47">
        <f>584+320</f>
        <v>904</v>
      </c>
      <c r="I95" s="206">
        <f t="shared" si="8"/>
        <v>135.6</v>
      </c>
      <c r="J95" s="47">
        <f t="shared" si="9"/>
        <v>1039.5999999999999</v>
      </c>
    </row>
    <row r="96" spans="1:10">
      <c r="A96" s="25"/>
      <c r="B96" s="93"/>
      <c r="C96" s="18"/>
      <c r="D96" s="36"/>
      <c r="I96" s="206">
        <f t="shared" si="8"/>
        <v>0</v>
      </c>
      <c r="J96" s="47">
        <f t="shared" si="9"/>
        <v>0</v>
      </c>
    </row>
    <row r="97" spans="1:12">
      <c r="A97" s="25"/>
      <c r="B97" s="93"/>
      <c r="C97" s="18"/>
      <c r="D97" s="36"/>
      <c r="I97" s="206">
        <f t="shared" si="8"/>
        <v>0</v>
      </c>
      <c r="J97" s="47">
        <f t="shared" si="9"/>
        <v>0</v>
      </c>
    </row>
    <row r="98" spans="1:12">
      <c r="A98" s="25"/>
      <c r="B98" s="93"/>
      <c r="C98" s="18"/>
      <c r="D98" s="36"/>
      <c r="I98" s="206">
        <f t="shared" si="8"/>
        <v>0</v>
      </c>
      <c r="J98" s="47">
        <f t="shared" si="9"/>
        <v>0</v>
      </c>
    </row>
    <row r="99" spans="1:12" ht="7.5" customHeight="1">
      <c r="A99" s="16"/>
      <c r="B99" s="17"/>
      <c r="C99" s="25"/>
      <c r="D99" s="36"/>
      <c r="E99" s="25"/>
      <c r="F99" s="74"/>
      <c r="K99" s="47"/>
      <c r="L99" s="47"/>
    </row>
    <row r="100" spans="1:12" ht="13.5">
      <c r="A100" s="96">
        <v>8.6</v>
      </c>
      <c r="B100" s="97" t="s">
        <v>660</v>
      </c>
      <c r="C100" s="100"/>
      <c r="D100" s="36"/>
      <c r="I100" s="206">
        <f t="shared" si="8"/>
        <v>0</v>
      </c>
      <c r="J100" s="47">
        <f t="shared" si="9"/>
        <v>0</v>
      </c>
    </row>
    <row r="101" spans="1:12" ht="13.5">
      <c r="A101" s="25" t="s">
        <v>661</v>
      </c>
      <c r="B101" s="94" t="s">
        <v>876</v>
      </c>
      <c r="C101" s="18"/>
      <c r="D101" s="36"/>
      <c r="I101" s="206">
        <f t="shared" si="8"/>
        <v>0</v>
      </c>
      <c r="J101" s="47">
        <f t="shared" si="9"/>
        <v>0</v>
      </c>
    </row>
    <row r="102" spans="1:12">
      <c r="A102" s="25" t="s">
        <v>827</v>
      </c>
      <c r="B102" s="93" t="s">
        <v>818</v>
      </c>
      <c r="C102" s="18" t="s">
        <v>60</v>
      </c>
      <c r="D102" s="36">
        <f t="shared" si="5"/>
        <v>3370.4085</v>
      </c>
      <c r="H102" s="47">
        <v>2930.79</v>
      </c>
      <c r="I102" s="206">
        <f t="shared" si="8"/>
        <v>439.61849999999998</v>
      </c>
      <c r="J102" s="47">
        <f t="shared" si="9"/>
        <v>3370.4085</v>
      </c>
      <c r="K102" s="48" t="s">
        <v>897</v>
      </c>
    </row>
    <row r="103" spans="1:12">
      <c r="A103" s="25" t="s">
        <v>663</v>
      </c>
      <c r="B103" s="93" t="s">
        <v>819</v>
      </c>
      <c r="C103" s="18" t="s">
        <v>60</v>
      </c>
      <c r="D103" s="36">
        <f t="shared" si="5"/>
        <v>2264.741</v>
      </c>
      <c r="H103" s="47">
        <v>1969.34</v>
      </c>
      <c r="I103" s="206">
        <f t="shared" si="8"/>
        <v>295.40099999999995</v>
      </c>
      <c r="J103" s="47">
        <f t="shared" si="9"/>
        <v>2264.741</v>
      </c>
      <c r="K103" s="48" t="s">
        <v>897</v>
      </c>
    </row>
    <row r="104" spans="1:12">
      <c r="A104" s="25" t="s">
        <v>665</v>
      </c>
      <c r="B104" s="93" t="s">
        <v>820</v>
      </c>
      <c r="C104" s="18" t="s">
        <v>60</v>
      </c>
      <c r="D104" s="36">
        <f t="shared" si="5"/>
        <v>4505.5045</v>
      </c>
      <c r="H104" s="47">
        <v>3917.83</v>
      </c>
      <c r="I104" s="206">
        <f t="shared" si="8"/>
        <v>587.67449999999997</v>
      </c>
      <c r="J104" s="47">
        <f t="shared" si="9"/>
        <v>4505.5045</v>
      </c>
      <c r="K104" s="48" t="s">
        <v>897</v>
      </c>
    </row>
    <row r="105" spans="1:12">
      <c r="A105" s="25" t="s">
        <v>667</v>
      </c>
      <c r="B105" s="93" t="s">
        <v>821</v>
      </c>
      <c r="C105" s="18" t="s">
        <v>60</v>
      </c>
      <c r="D105" s="36">
        <f t="shared" si="5"/>
        <v>1554.8</v>
      </c>
      <c r="H105" s="47">
        <v>1352</v>
      </c>
      <c r="I105" s="206">
        <f t="shared" si="8"/>
        <v>202.79999999999998</v>
      </c>
      <c r="J105" s="47">
        <f t="shared" si="9"/>
        <v>1554.8</v>
      </c>
      <c r="K105" s="48" t="s">
        <v>897</v>
      </c>
    </row>
    <row r="106" spans="1:12">
      <c r="A106" s="25" t="s">
        <v>669</v>
      </c>
      <c r="B106" s="93" t="s">
        <v>152</v>
      </c>
      <c r="C106" s="18" t="s">
        <v>60</v>
      </c>
      <c r="D106" s="36">
        <f t="shared" si="5"/>
        <v>575</v>
      </c>
      <c r="H106" s="47">
        <v>500</v>
      </c>
      <c r="I106" s="206">
        <f t="shared" si="8"/>
        <v>75</v>
      </c>
      <c r="J106" s="47">
        <f t="shared" si="9"/>
        <v>575</v>
      </c>
      <c r="K106" s="48" t="s">
        <v>897</v>
      </c>
    </row>
    <row r="107" spans="1:12">
      <c r="A107" s="25" t="s">
        <v>671</v>
      </c>
      <c r="B107" s="93" t="s">
        <v>822</v>
      </c>
      <c r="C107" s="18" t="s">
        <v>60</v>
      </c>
      <c r="D107" s="36">
        <f t="shared" si="5"/>
        <v>414</v>
      </c>
      <c r="H107" s="47">
        <v>360</v>
      </c>
      <c r="I107" s="206">
        <f t="shared" si="8"/>
        <v>54</v>
      </c>
      <c r="J107" s="47">
        <f t="shared" si="9"/>
        <v>414</v>
      </c>
      <c r="K107" s="48" t="s">
        <v>897</v>
      </c>
    </row>
    <row r="108" spans="1:12">
      <c r="A108" s="25" t="s">
        <v>673</v>
      </c>
      <c r="B108" s="93" t="s">
        <v>823</v>
      </c>
      <c r="C108" s="18" t="s">
        <v>60</v>
      </c>
      <c r="D108" s="36">
        <f t="shared" si="5"/>
        <v>5715.5</v>
      </c>
      <c r="H108" s="47">
        <v>4970</v>
      </c>
      <c r="I108" s="206">
        <f t="shared" si="8"/>
        <v>745.5</v>
      </c>
      <c r="J108" s="47">
        <f t="shared" si="9"/>
        <v>5715.5</v>
      </c>
      <c r="K108" s="48" t="s">
        <v>897</v>
      </c>
    </row>
    <row r="109" spans="1:12">
      <c r="A109" s="25" t="s">
        <v>675</v>
      </c>
      <c r="B109" s="93" t="s">
        <v>824</v>
      </c>
      <c r="C109" s="18" t="s">
        <v>60</v>
      </c>
      <c r="D109" s="36">
        <f t="shared" si="5"/>
        <v>2869.25</v>
      </c>
      <c r="H109" s="47">
        <v>2495</v>
      </c>
      <c r="I109" s="206">
        <f t="shared" si="8"/>
        <v>374.25</v>
      </c>
      <c r="J109" s="47">
        <f t="shared" si="9"/>
        <v>2869.25</v>
      </c>
      <c r="K109" s="48" t="s">
        <v>897</v>
      </c>
    </row>
    <row r="110" spans="1:12">
      <c r="A110" s="25" t="s">
        <v>828</v>
      </c>
      <c r="B110" s="93" t="s">
        <v>825</v>
      </c>
      <c r="C110" s="18" t="s">
        <v>60</v>
      </c>
      <c r="D110" s="36">
        <f t="shared" si="5"/>
        <v>8837.75</v>
      </c>
      <c r="H110" s="47">
        <v>7685</v>
      </c>
      <c r="I110" s="206">
        <f t="shared" si="8"/>
        <v>1152.75</v>
      </c>
      <c r="J110" s="47">
        <f t="shared" si="9"/>
        <v>8837.75</v>
      </c>
      <c r="K110" s="48" t="s">
        <v>897</v>
      </c>
    </row>
    <row r="111" spans="1:12">
      <c r="A111" s="25" t="s">
        <v>829</v>
      </c>
      <c r="B111" s="93" t="s">
        <v>826</v>
      </c>
      <c r="C111" s="18" t="s">
        <v>60</v>
      </c>
      <c r="D111" s="36">
        <f t="shared" si="5"/>
        <v>1581.25</v>
      </c>
      <c r="H111" s="47">
        <v>1375</v>
      </c>
      <c r="I111" s="206">
        <f t="shared" si="8"/>
        <v>206.25</v>
      </c>
      <c r="J111" s="47">
        <f t="shared" si="9"/>
        <v>1581.25</v>
      </c>
      <c r="K111" s="48" t="s">
        <v>897</v>
      </c>
    </row>
    <row r="112" spans="1:12">
      <c r="A112" s="25"/>
      <c r="B112" s="93"/>
      <c r="C112" s="18"/>
      <c r="D112" s="36"/>
    </row>
    <row r="113" spans="1:11" ht="13.5">
      <c r="A113" s="25" t="s">
        <v>830</v>
      </c>
      <c r="B113" s="94" t="s">
        <v>877</v>
      </c>
      <c r="C113" s="18"/>
      <c r="D113" s="36"/>
      <c r="I113" s="206">
        <f t="shared" si="8"/>
        <v>0</v>
      </c>
    </row>
    <row r="114" spans="1:11">
      <c r="A114" s="25" t="s">
        <v>831</v>
      </c>
      <c r="B114" s="93" t="s">
        <v>818</v>
      </c>
      <c r="C114" s="18" t="s">
        <v>60</v>
      </c>
      <c r="D114" s="36">
        <f t="shared" si="5"/>
        <v>1115.6610000000001</v>
      </c>
      <c r="H114" s="47">
        <v>970.14</v>
      </c>
      <c r="I114" s="206">
        <f t="shared" si="8"/>
        <v>145.52099999999999</v>
      </c>
      <c r="J114" s="47">
        <f t="shared" si="9"/>
        <v>1115.6610000000001</v>
      </c>
      <c r="K114" s="48" t="s">
        <v>897</v>
      </c>
    </row>
    <row r="115" spans="1:11">
      <c r="A115" s="25" t="s">
        <v>832</v>
      </c>
      <c r="B115" s="93" t="s">
        <v>819</v>
      </c>
      <c r="C115" s="18" t="s">
        <v>60</v>
      </c>
      <c r="D115" s="36">
        <f t="shared" si="5"/>
        <v>1498.5535</v>
      </c>
      <c r="H115" s="47">
        <v>1303.0899999999999</v>
      </c>
      <c r="I115" s="206">
        <f t="shared" si="8"/>
        <v>195.46349999999998</v>
      </c>
      <c r="J115" s="47">
        <f t="shared" si="9"/>
        <v>1498.5535</v>
      </c>
      <c r="K115" s="48" t="s">
        <v>897</v>
      </c>
    </row>
    <row r="116" spans="1:11">
      <c r="A116" s="25" t="s">
        <v>833</v>
      </c>
      <c r="B116" s="93" t="s">
        <v>820</v>
      </c>
      <c r="C116" s="18" t="s">
        <v>60</v>
      </c>
      <c r="D116" s="36">
        <f t="shared" si="5"/>
        <v>2441.3924999999999</v>
      </c>
      <c r="H116" s="47">
        <v>2122.9499999999998</v>
      </c>
      <c r="I116" s="206">
        <f t="shared" si="8"/>
        <v>318.44249999999994</v>
      </c>
      <c r="J116" s="47">
        <f t="shared" si="9"/>
        <v>2441.3924999999999</v>
      </c>
      <c r="K116" s="48" t="s">
        <v>897</v>
      </c>
    </row>
    <row r="117" spans="1:11">
      <c r="A117" s="25" t="s">
        <v>834</v>
      </c>
      <c r="B117" s="93" t="s">
        <v>821</v>
      </c>
      <c r="C117" s="18" t="s">
        <v>60</v>
      </c>
      <c r="D117" s="36">
        <f t="shared" si="5"/>
        <v>1166.0999999999999</v>
      </c>
      <c r="H117" s="47">
        <v>1014</v>
      </c>
      <c r="I117" s="206">
        <f t="shared" si="8"/>
        <v>152.1</v>
      </c>
      <c r="J117" s="47">
        <f t="shared" si="9"/>
        <v>1166.0999999999999</v>
      </c>
      <c r="K117" s="48" t="s">
        <v>897</v>
      </c>
    </row>
    <row r="118" spans="1:11">
      <c r="A118" s="25" t="s">
        <v>835</v>
      </c>
      <c r="B118" s="93" t="s">
        <v>152</v>
      </c>
      <c r="C118" s="18" t="s">
        <v>60</v>
      </c>
      <c r="D118" s="36">
        <f t="shared" si="5"/>
        <v>460</v>
      </c>
      <c r="H118" s="47">
        <v>400</v>
      </c>
      <c r="I118" s="206">
        <f t="shared" si="8"/>
        <v>60</v>
      </c>
      <c r="J118" s="47">
        <f t="shared" si="9"/>
        <v>460</v>
      </c>
      <c r="K118" s="48" t="s">
        <v>897</v>
      </c>
    </row>
    <row r="119" spans="1:11">
      <c r="A119" s="25" t="s">
        <v>836</v>
      </c>
      <c r="B119" s="93" t="s">
        <v>823</v>
      </c>
      <c r="C119" s="18" t="s">
        <v>60</v>
      </c>
      <c r="D119" s="36">
        <f t="shared" si="5"/>
        <v>1656</v>
      </c>
      <c r="H119" s="47">
        <v>1440</v>
      </c>
      <c r="I119" s="206">
        <f t="shared" si="8"/>
        <v>216</v>
      </c>
      <c r="J119" s="47">
        <f t="shared" si="9"/>
        <v>1656</v>
      </c>
      <c r="K119" s="48" t="s">
        <v>897</v>
      </c>
    </row>
    <row r="120" spans="1:11">
      <c r="A120" s="25" t="s">
        <v>837</v>
      </c>
      <c r="B120" s="93" t="s">
        <v>826</v>
      </c>
      <c r="C120" s="18" t="s">
        <v>60</v>
      </c>
      <c r="D120" s="36">
        <f t="shared" si="5"/>
        <v>1581.25</v>
      </c>
      <c r="H120" s="47">
        <v>1375</v>
      </c>
      <c r="I120" s="206">
        <f t="shared" si="8"/>
        <v>206.25</v>
      </c>
      <c r="J120" s="47">
        <f t="shared" si="9"/>
        <v>1581.25</v>
      </c>
      <c r="K120" s="48" t="s">
        <v>897</v>
      </c>
    </row>
    <row r="121" spans="1:11">
      <c r="A121" s="25" t="s">
        <v>838</v>
      </c>
      <c r="B121" s="93" t="s">
        <v>662</v>
      </c>
      <c r="C121" s="18" t="s">
        <v>60</v>
      </c>
      <c r="D121" s="36">
        <f t="shared" si="5"/>
        <v>0</v>
      </c>
      <c r="E121" s="47" t="s">
        <v>756</v>
      </c>
      <c r="H121" s="47">
        <v>0</v>
      </c>
      <c r="I121" s="206">
        <f t="shared" si="8"/>
        <v>0</v>
      </c>
      <c r="J121" s="47">
        <f t="shared" si="9"/>
        <v>0</v>
      </c>
    </row>
    <row r="122" spans="1:11">
      <c r="A122" s="25" t="s">
        <v>839</v>
      </c>
      <c r="B122" s="93" t="s">
        <v>664</v>
      </c>
      <c r="C122" s="18" t="s">
        <v>60</v>
      </c>
      <c r="D122" s="36">
        <f t="shared" si="5"/>
        <v>0</v>
      </c>
      <c r="E122" s="47" t="s">
        <v>756</v>
      </c>
      <c r="H122" s="47">
        <v>0</v>
      </c>
      <c r="I122" s="206">
        <f t="shared" si="8"/>
        <v>0</v>
      </c>
      <c r="J122" s="47">
        <f t="shared" si="9"/>
        <v>0</v>
      </c>
    </row>
    <row r="123" spans="1:11">
      <c r="A123" s="25" t="s">
        <v>840</v>
      </c>
      <c r="B123" s="93" t="s">
        <v>666</v>
      </c>
      <c r="C123" s="18" t="s">
        <v>60</v>
      </c>
      <c r="D123" s="36">
        <f t="shared" si="5"/>
        <v>0</v>
      </c>
      <c r="E123" s="47" t="s">
        <v>756</v>
      </c>
      <c r="H123" s="47">
        <v>0</v>
      </c>
      <c r="I123" s="206">
        <f t="shared" si="8"/>
        <v>0</v>
      </c>
      <c r="J123" s="47">
        <f t="shared" si="9"/>
        <v>0</v>
      </c>
    </row>
    <row r="124" spans="1:11">
      <c r="A124" s="25" t="s">
        <v>841</v>
      </c>
      <c r="B124" s="93" t="s">
        <v>668</v>
      </c>
      <c r="C124" s="18" t="s">
        <v>60</v>
      </c>
      <c r="D124" s="36">
        <f t="shared" si="5"/>
        <v>0</v>
      </c>
      <c r="E124" s="47" t="s">
        <v>756</v>
      </c>
      <c r="H124" s="47">
        <v>0</v>
      </c>
      <c r="I124" s="206">
        <f t="shared" si="8"/>
        <v>0</v>
      </c>
      <c r="J124" s="47">
        <f t="shared" si="9"/>
        <v>0</v>
      </c>
    </row>
    <row r="125" spans="1:11">
      <c r="A125" s="25" t="s">
        <v>842</v>
      </c>
      <c r="B125" s="93" t="s">
        <v>670</v>
      </c>
      <c r="C125" s="18" t="s">
        <v>60</v>
      </c>
      <c r="D125" s="36">
        <f t="shared" si="5"/>
        <v>0</v>
      </c>
      <c r="E125" s="47" t="s">
        <v>756</v>
      </c>
      <c r="H125" s="47">
        <v>0</v>
      </c>
      <c r="I125" s="206">
        <f t="shared" si="8"/>
        <v>0</v>
      </c>
      <c r="J125" s="47">
        <f t="shared" si="9"/>
        <v>0</v>
      </c>
    </row>
    <row r="126" spans="1:11">
      <c r="A126" s="25" t="s">
        <v>843</v>
      </c>
      <c r="B126" s="93" t="s">
        <v>672</v>
      </c>
      <c r="C126" s="18" t="s">
        <v>60</v>
      </c>
      <c r="D126" s="36">
        <f t="shared" si="5"/>
        <v>0</v>
      </c>
      <c r="E126" s="47" t="s">
        <v>756</v>
      </c>
      <c r="H126" s="47">
        <v>0</v>
      </c>
      <c r="I126" s="206">
        <f t="shared" si="8"/>
        <v>0</v>
      </c>
      <c r="J126" s="47">
        <f t="shared" si="9"/>
        <v>0</v>
      </c>
    </row>
    <row r="127" spans="1:11">
      <c r="A127" s="25" t="s">
        <v>844</v>
      </c>
      <c r="B127" s="93" t="s">
        <v>674</v>
      </c>
      <c r="C127" s="18" t="s">
        <v>60</v>
      </c>
      <c r="D127" s="36">
        <f t="shared" si="5"/>
        <v>0</v>
      </c>
      <c r="E127" s="47" t="s">
        <v>756</v>
      </c>
      <c r="H127" s="47">
        <v>0</v>
      </c>
      <c r="I127" s="206">
        <f t="shared" si="8"/>
        <v>0</v>
      </c>
      <c r="J127" s="47">
        <f t="shared" si="9"/>
        <v>0</v>
      </c>
    </row>
    <row r="128" spans="1:11">
      <c r="A128" s="25" t="s">
        <v>845</v>
      </c>
      <c r="B128" s="93" t="s">
        <v>676</v>
      </c>
      <c r="C128" s="18" t="s">
        <v>60</v>
      </c>
      <c r="D128" s="36">
        <f t="shared" si="5"/>
        <v>0</v>
      </c>
      <c r="E128" s="47" t="s">
        <v>756</v>
      </c>
      <c r="H128" s="47">
        <v>0</v>
      </c>
      <c r="I128" s="206">
        <f t="shared" si="8"/>
        <v>0</v>
      </c>
      <c r="J128" s="47">
        <f t="shared" si="9"/>
        <v>0</v>
      </c>
    </row>
    <row r="129" spans="1:11">
      <c r="A129" s="25"/>
      <c r="B129" s="93"/>
      <c r="C129" s="18"/>
      <c r="D129" s="36"/>
      <c r="I129" s="206">
        <f t="shared" si="8"/>
        <v>0</v>
      </c>
    </row>
    <row r="130" spans="1:11" ht="13.5">
      <c r="A130" s="25" t="s">
        <v>880</v>
      </c>
      <c r="B130" s="94" t="s">
        <v>875</v>
      </c>
      <c r="C130" s="18"/>
      <c r="D130" s="36"/>
      <c r="I130" s="206">
        <f t="shared" si="8"/>
        <v>0</v>
      </c>
    </row>
    <row r="131" spans="1:11">
      <c r="A131" s="25" t="s">
        <v>881</v>
      </c>
      <c r="B131" s="93" t="s">
        <v>818</v>
      </c>
      <c r="C131" s="18"/>
      <c r="D131" s="36">
        <f t="shared" si="5"/>
        <v>2399.0495000000001</v>
      </c>
      <c r="H131" s="47">
        <v>2086.13</v>
      </c>
      <c r="I131" s="206">
        <f t="shared" si="8"/>
        <v>312.91950000000003</v>
      </c>
      <c r="J131" s="47">
        <f t="shared" si="9"/>
        <v>2399.0495000000001</v>
      </c>
      <c r="K131" s="48" t="s">
        <v>897</v>
      </c>
    </row>
    <row r="132" spans="1:11">
      <c r="A132" s="25" t="s">
        <v>882</v>
      </c>
      <c r="B132" s="93" t="s">
        <v>819</v>
      </c>
      <c r="C132" s="18"/>
      <c r="D132" s="36">
        <f t="shared" si="5"/>
        <v>2728.0875000000001</v>
      </c>
      <c r="H132" s="47">
        <v>2372.25</v>
      </c>
      <c r="I132" s="206">
        <f t="shared" si="8"/>
        <v>355.83749999999998</v>
      </c>
      <c r="J132" s="47">
        <f t="shared" si="9"/>
        <v>2728.0875000000001</v>
      </c>
      <c r="K132" s="48" t="s">
        <v>897</v>
      </c>
    </row>
    <row r="133" spans="1:11">
      <c r="A133" s="25" t="s">
        <v>883</v>
      </c>
      <c r="B133" s="93" t="s">
        <v>820</v>
      </c>
      <c r="C133" s="18"/>
      <c r="D133" s="36">
        <f t="shared" si="5"/>
        <v>4628.1289999999999</v>
      </c>
      <c r="H133" s="47">
        <v>4024.46</v>
      </c>
      <c r="I133" s="206">
        <f t="shared" si="8"/>
        <v>603.66899999999998</v>
      </c>
      <c r="J133" s="47">
        <f t="shared" si="9"/>
        <v>4628.1289999999999</v>
      </c>
      <c r="K133" s="48" t="s">
        <v>897</v>
      </c>
    </row>
    <row r="134" spans="1:11">
      <c r="A134" s="25" t="s">
        <v>884</v>
      </c>
      <c r="B134" s="93" t="s">
        <v>823</v>
      </c>
      <c r="C134" s="18"/>
      <c r="D134" s="36">
        <f t="shared" si="5"/>
        <v>4571.25</v>
      </c>
      <c r="H134" s="47">
        <v>3975</v>
      </c>
      <c r="I134" s="206">
        <f t="shared" si="8"/>
        <v>596.25</v>
      </c>
      <c r="J134" s="47">
        <f t="shared" si="9"/>
        <v>4571.25</v>
      </c>
      <c r="K134" s="48" t="s">
        <v>897</v>
      </c>
    </row>
    <row r="135" spans="1:11">
      <c r="A135" s="25" t="s">
        <v>885</v>
      </c>
      <c r="B135" s="93" t="s">
        <v>878</v>
      </c>
      <c r="C135" s="18"/>
      <c r="D135" s="36">
        <f t="shared" si="5"/>
        <v>2052.2439999999997</v>
      </c>
      <c r="H135" s="47">
        <v>1784.56</v>
      </c>
      <c r="I135" s="206">
        <f t="shared" si="8"/>
        <v>267.68399999999997</v>
      </c>
      <c r="J135" s="47">
        <f t="shared" si="9"/>
        <v>2052.2439999999997</v>
      </c>
      <c r="K135" s="48" t="s">
        <v>897</v>
      </c>
    </row>
    <row r="136" spans="1:11">
      <c r="A136" s="25" t="s">
        <v>886</v>
      </c>
      <c r="B136" s="93" t="s">
        <v>826</v>
      </c>
      <c r="C136" s="18"/>
      <c r="D136" s="36">
        <f t="shared" si="5"/>
        <v>1293.75</v>
      </c>
      <c r="H136" s="47">
        <v>1125</v>
      </c>
      <c r="I136" s="206">
        <f t="shared" si="8"/>
        <v>168.75</v>
      </c>
      <c r="J136" s="47">
        <f t="shared" si="9"/>
        <v>1293.75</v>
      </c>
      <c r="K136" s="48" t="s">
        <v>897</v>
      </c>
    </row>
    <row r="137" spans="1:11">
      <c r="A137" s="25"/>
      <c r="B137" s="93"/>
      <c r="C137" s="18"/>
      <c r="D137" s="36"/>
    </row>
    <row r="138" spans="1:11" ht="13.5">
      <c r="A138" s="25" t="s">
        <v>887</v>
      </c>
      <c r="B138" s="94" t="s">
        <v>879</v>
      </c>
      <c r="C138" s="18"/>
      <c r="D138" s="36"/>
    </row>
    <row r="139" spans="1:11">
      <c r="A139" s="25" t="s">
        <v>888</v>
      </c>
      <c r="B139" s="93" t="s">
        <v>818</v>
      </c>
      <c r="C139" s="18"/>
      <c r="D139" s="36">
        <f t="shared" si="5"/>
        <v>1458.453</v>
      </c>
      <c r="H139" s="47">
        <v>1268.22</v>
      </c>
      <c r="I139" s="206">
        <f t="shared" si="8"/>
        <v>190.233</v>
      </c>
      <c r="J139" s="47">
        <f t="shared" si="9"/>
        <v>1458.453</v>
      </c>
      <c r="K139" s="48" t="s">
        <v>897</v>
      </c>
    </row>
    <row r="140" spans="1:11">
      <c r="A140" s="25" t="s">
        <v>889</v>
      </c>
      <c r="B140" s="93" t="s">
        <v>819</v>
      </c>
      <c r="C140" s="18"/>
      <c r="D140" s="36">
        <f t="shared" ref="D140:D143" si="10">J140</f>
        <v>1714.0060000000001</v>
      </c>
      <c r="H140" s="47">
        <v>1490.44</v>
      </c>
      <c r="I140" s="206">
        <f t="shared" si="8"/>
        <v>223.566</v>
      </c>
      <c r="J140" s="47">
        <f t="shared" si="9"/>
        <v>1714.0060000000001</v>
      </c>
      <c r="K140" s="48" t="s">
        <v>897</v>
      </c>
    </row>
    <row r="141" spans="1:11">
      <c r="A141" s="25" t="s">
        <v>890</v>
      </c>
      <c r="B141" s="93" t="s">
        <v>820</v>
      </c>
      <c r="C141" s="18"/>
      <c r="D141" s="36">
        <f t="shared" si="10"/>
        <v>3075.3874999999998</v>
      </c>
      <c r="H141" s="47">
        <v>2674.25</v>
      </c>
      <c r="I141" s="206">
        <f t="shared" si="8"/>
        <v>401.13749999999999</v>
      </c>
      <c r="J141" s="47">
        <f t="shared" si="9"/>
        <v>3075.3874999999998</v>
      </c>
      <c r="K141" s="48" t="s">
        <v>897</v>
      </c>
    </row>
    <row r="142" spans="1:11">
      <c r="A142" s="25" t="s">
        <v>891</v>
      </c>
      <c r="B142" s="93" t="s">
        <v>823</v>
      </c>
      <c r="C142" s="18"/>
      <c r="D142" s="36">
        <f t="shared" si="10"/>
        <v>5249.75</v>
      </c>
      <c r="H142" s="47">
        <v>4565</v>
      </c>
      <c r="I142" s="206">
        <f t="shared" si="8"/>
        <v>684.75</v>
      </c>
      <c r="J142" s="47">
        <f t="shared" si="9"/>
        <v>5249.75</v>
      </c>
      <c r="K142" s="48" t="s">
        <v>897</v>
      </c>
    </row>
    <row r="143" spans="1:11">
      <c r="A143" s="25" t="s">
        <v>892</v>
      </c>
      <c r="B143" s="93" t="s">
        <v>878</v>
      </c>
      <c r="C143" s="18"/>
      <c r="D143" s="36">
        <f t="shared" si="10"/>
        <v>2257.91</v>
      </c>
      <c r="H143" s="47">
        <v>1963.4</v>
      </c>
      <c r="I143" s="206">
        <f t="shared" si="8"/>
        <v>294.51</v>
      </c>
      <c r="J143" s="47">
        <f t="shared" si="9"/>
        <v>2257.91</v>
      </c>
      <c r="K143" s="48" t="s">
        <v>897</v>
      </c>
    </row>
    <row r="144" spans="1:11">
      <c r="A144" s="25" t="s">
        <v>893</v>
      </c>
      <c r="B144" s="93" t="s">
        <v>826</v>
      </c>
      <c r="C144" s="18"/>
      <c r="D144" s="36">
        <f>J144</f>
        <v>1293.75</v>
      </c>
      <c r="H144" s="47">
        <v>1125</v>
      </c>
      <c r="I144" s="206">
        <f t="shared" si="8"/>
        <v>168.75</v>
      </c>
      <c r="J144" s="47">
        <f t="shared" si="9"/>
        <v>1293.75</v>
      </c>
      <c r="K144" s="48" t="s">
        <v>897</v>
      </c>
    </row>
    <row r="145" spans="1:12">
      <c r="A145" s="25"/>
      <c r="B145" s="93"/>
      <c r="C145" s="18"/>
      <c r="D145" s="36"/>
      <c r="I145" s="206">
        <f t="shared" si="8"/>
        <v>0</v>
      </c>
      <c r="J145" s="47">
        <f t="shared" si="9"/>
        <v>0</v>
      </c>
    </row>
    <row r="146" spans="1:12" ht="8.4499999999999993" customHeight="1">
      <c r="A146" s="16"/>
      <c r="B146" s="193"/>
      <c r="C146" s="25"/>
      <c r="D146" s="36"/>
      <c r="E146" s="25"/>
      <c r="F146" s="74"/>
      <c r="I146" s="206">
        <f t="shared" si="8"/>
        <v>0</v>
      </c>
      <c r="J146" s="47">
        <f t="shared" si="9"/>
        <v>0</v>
      </c>
      <c r="K146" s="47"/>
      <c r="L146" s="47"/>
    </row>
    <row r="147" spans="1:12" ht="13.5">
      <c r="A147" s="16">
        <v>8.6999999999999993</v>
      </c>
      <c r="B147" s="194" t="s">
        <v>677</v>
      </c>
      <c r="C147" s="18"/>
      <c r="D147" s="36">
        <f t="shared" ref="D147:D162" si="11">J147</f>
        <v>75495.533500000005</v>
      </c>
      <c r="H147" s="47">
        <f>20854.15+44794.14</f>
        <v>65648.290000000008</v>
      </c>
      <c r="I147" s="206">
        <f t="shared" si="8"/>
        <v>9847.2435000000005</v>
      </c>
      <c r="J147" s="47">
        <f t="shared" si="9"/>
        <v>75495.533500000005</v>
      </c>
    </row>
    <row r="148" spans="1:12" ht="13.5">
      <c r="A148" s="25" t="s">
        <v>678</v>
      </c>
      <c r="B148" s="195" t="s">
        <v>679</v>
      </c>
      <c r="C148" s="18" t="s">
        <v>60</v>
      </c>
      <c r="D148" s="36">
        <f>J148</f>
        <v>0</v>
      </c>
      <c r="E148" s="47" t="s">
        <v>756</v>
      </c>
      <c r="I148" s="206">
        <f t="shared" si="8"/>
        <v>0</v>
      </c>
      <c r="J148" s="47">
        <f t="shared" si="9"/>
        <v>0</v>
      </c>
    </row>
    <row r="149" spans="1:12" ht="13.5">
      <c r="A149" s="25" t="s">
        <v>680</v>
      </c>
      <c r="B149" s="195" t="s">
        <v>681</v>
      </c>
      <c r="C149" s="18" t="s">
        <v>60</v>
      </c>
      <c r="D149" s="36">
        <f t="shared" ref="D149:D159" si="12">J149</f>
        <v>0</v>
      </c>
      <c r="E149" s="47" t="s">
        <v>756</v>
      </c>
      <c r="I149" s="206">
        <f t="shared" si="8"/>
        <v>0</v>
      </c>
      <c r="J149" s="47">
        <f t="shared" si="9"/>
        <v>0</v>
      </c>
    </row>
    <row r="150" spans="1:12" ht="13.5">
      <c r="A150" s="25" t="s">
        <v>682</v>
      </c>
      <c r="B150" s="195" t="s">
        <v>683</v>
      </c>
      <c r="C150" s="18" t="s">
        <v>60</v>
      </c>
      <c r="D150" s="36">
        <f t="shared" si="12"/>
        <v>0</v>
      </c>
      <c r="E150" s="47" t="s">
        <v>756</v>
      </c>
      <c r="I150" s="206">
        <f t="shared" si="8"/>
        <v>0</v>
      </c>
      <c r="J150" s="47">
        <f t="shared" si="9"/>
        <v>0</v>
      </c>
    </row>
    <row r="151" spans="1:12" ht="13.5">
      <c r="A151" s="25" t="s">
        <v>684</v>
      </c>
      <c r="B151" s="195" t="s">
        <v>685</v>
      </c>
      <c r="C151" s="18" t="s">
        <v>60</v>
      </c>
      <c r="D151" s="36">
        <f t="shared" si="12"/>
        <v>0</v>
      </c>
      <c r="E151" s="47" t="s">
        <v>756</v>
      </c>
      <c r="I151" s="206">
        <f t="shared" si="8"/>
        <v>0</v>
      </c>
      <c r="J151" s="47">
        <f t="shared" si="9"/>
        <v>0</v>
      </c>
    </row>
    <row r="152" spans="1:12">
      <c r="A152" s="25" t="s">
        <v>686</v>
      </c>
      <c r="B152" s="93" t="s">
        <v>687</v>
      </c>
      <c r="C152" s="100" t="s">
        <v>60</v>
      </c>
      <c r="D152" s="36">
        <f t="shared" si="12"/>
        <v>0</v>
      </c>
      <c r="I152" s="206">
        <f t="shared" si="8"/>
        <v>0</v>
      </c>
      <c r="J152" s="47">
        <f t="shared" si="9"/>
        <v>0</v>
      </c>
    </row>
    <row r="153" spans="1:12">
      <c r="A153" s="25" t="s">
        <v>688</v>
      </c>
      <c r="B153" s="93" t="s">
        <v>689</v>
      </c>
      <c r="C153" s="100" t="s">
        <v>60</v>
      </c>
      <c r="D153" s="36">
        <f t="shared" si="12"/>
        <v>0</v>
      </c>
      <c r="I153" s="206">
        <f t="shared" si="8"/>
        <v>0</v>
      </c>
      <c r="J153" s="47">
        <f t="shared" si="9"/>
        <v>0</v>
      </c>
    </row>
    <row r="154" spans="1:12">
      <c r="A154" s="25" t="s">
        <v>690</v>
      </c>
      <c r="B154" s="93" t="s">
        <v>691</v>
      </c>
      <c r="C154" s="100" t="s">
        <v>60</v>
      </c>
      <c r="D154" s="36">
        <f t="shared" si="12"/>
        <v>3312</v>
      </c>
      <c r="H154" s="47">
        <v>2880</v>
      </c>
      <c r="I154" s="206">
        <f t="shared" si="8"/>
        <v>432</v>
      </c>
      <c r="J154" s="47">
        <f t="shared" si="9"/>
        <v>3312</v>
      </c>
    </row>
    <row r="155" spans="1:12">
      <c r="A155" s="25" t="s">
        <v>692</v>
      </c>
      <c r="B155" s="93" t="s">
        <v>693</v>
      </c>
      <c r="C155" s="100" t="s">
        <v>60</v>
      </c>
      <c r="D155" s="36">
        <f t="shared" si="12"/>
        <v>0</v>
      </c>
      <c r="E155" s="47" t="s">
        <v>756</v>
      </c>
      <c r="I155" s="206">
        <f t="shared" si="8"/>
        <v>0</v>
      </c>
      <c r="J155" s="47">
        <f t="shared" si="9"/>
        <v>0</v>
      </c>
    </row>
    <row r="156" spans="1:12">
      <c r="A156" s="25" t="s">
        <v>694</v>
      </c>
      <c r="B156" s="93" t="s">
        <v>695</v>
      </c>
      <c r="C156" s="100" t="s">
        <v>60</v>
      </c>
      <c r="D156" s="36">
        <f t="shared" si="12"/>
        <v>0</v>
      </c>
      <c r="I156" s="206">
        <f t="shared" si="8"/>
        <v>0</v>
      </c>
      <c r="J156" s="47">
        <f t="shared" si="9"/>
        <v>0</v>
      </c>
    </row>
    <row r="157" spans="1:12">
      <c r="A157" s="25" t="s">
        <v>696</v>
      </c>
      <c r="B157" s="93" t="s">
        <v>697</v>
      </c>
      <c r="C157" s="100" t="s">
        <v>60</v>
      </c>
      <c r="D157" s="36" t="s">
        <v>1009</v>
      </c>
      <c r="I157" s="206">
        <f t="shared" si="8"/>
        <v>0</v>
      </c>
      <c r="J157" s="47">
        <f t="shared" si="9"/>
        <v>0</v>
      </c>
    </row>
    <row r="158" spans="1:12">
      <c r="A158" s="25" t="s">
        <v>698</v>
      </c>
      <c r="B158" s="93" t="s">
        <v>699</v>
      </c>
      <c r="C158" s="100" t="s">
        <v>60</v>
      </c>
      <c r="D158" s="36" t="s">
        <v>1009</v>
      </c>
      <c r="I158" s="206">
        <f t="shared" si="8"/>
        <v>0</v>
      </c>
      <c r="J158" s="47">
        <f t="shared" si="9"/>
        <v>0</v>
      </c>
    </row>
    <row r="159" spans="1:12">
      <c r="A159" s="25" t="s">
        <v>812</v>
      </c>
      <c r="B159" s="93" t="s">
        <v>813</v>
      </c>
      <c r="C159" s="100"/>
      <c r="D159" s="36">
        <f t="shared" si="12"/>
        <v>1035</v>
      </c>
      <c r="H159" s="47">
        <v>900</v>
      </c>
      <c r="I159" s="206">
        <f t="shared" ref="I159" si="13">H159*$I$7</f>
        <v>135</v>
      </c>
      <c r="J159" s="47">
        <f t="shared" ref="J159" si="14">SUM(H159:I159)</f>
        <v>1035</v>
      </c>
      <c r="K159" s="48" t="s">
        <v>897</v>
      </c>
    </row>
    <row r="160" spans="1:12">
      <c r="A160" s="25"/>
      <c r="B160" s="93"/>
      <c r="C160" s="100"/>
      <c r="D160" s="36"/>
    </row>
    <row r="161" spans="1:13" ht="8.4499999999999993" customHeight="1">
      <c r="A161" s="16"/>
      <c r="B161" s="90"/>
      <c r="C161" s="100"/>
      <c r="D161" s="36"/>
      <c r="E161" s="25"/>
      <c r="F161" s="74"/>
      <c r="K161" s="47"/>
      <c r="L161" s="47"/>
    </row>
    <row r="162" spans="1:13" ht="13.5">
      <c r="A162" s="16">
        <v>8.8000000000000007</v>
      </c>
      <c r="B162" s="94" t="s">
        <v>700</v>
      </c>
      <c r="C162" s="100"/>
      <c r="D162" s="36">
        <f t="shared" si="11"/>
        <v>0</v>
      </c>
      <c r="I162" s="206">
        <f t="shared" si="8"/>
        <v>0</v>
      </c>
      <c r="J162" s="47">
        <f t="shared" si="9"/>
        <v>0</v>
      </c>
    </row>
    <row r="163" spans="1:13">
      <c r="A163" s="25" t="s">
        <v>701</v>
      </c>
      <c r="B163" s="93" t="s">
        <v>864</v>
      </c>
      <c r="C163" s="100" t="s">
        <v>60</v>
      </c>
      <c r="D163" s="36">
        <f>J163</f>
        <v>3767.6759999999995</v>
      </c>
      <c r="H163" s="47">
        <v>3276.24</v>
      </c>
      <c r="I163" s="206">
        <f t="shared" si="8"/>
        <v>491.43599999999992</v>
      </c>
      <c r="J163" s="47">
        <f t="shared" si="9"/>
        <v>3767.6759999999995</v>
      </c>
      <c r="K163" s="48" t="s">
        <v>897</v>
      </c>
    </row>
    <row r="164" spans="1:13">
      <c r="A164" s="25"/>
      <c r="B164" s="93" t="s">
        <v>865</v>
      </c>
      <c r="C164" s="100" t="s">
        <v>60</v>
      </c>
      <c r="D164" s="36">
        <f t="shared" ref="D164:D172" si="15">J164</f>
        <v>2283.44</v>
      </c>
      <c r="H164" s="47">
        <v>1985.6</v>
      </c>
      <c r="I164" s="206">
        <f t="shared" si="8"/>
        <v>297.83999999999997</v>
      </c>
      <c r="J164" s="47">
        <f t="shared" si="9"/>
        <v>2283.44</v>
      </c>
      <c r="K164" s="48" t="s">
        <v>897</v>
      </c>
    </row>
    <row r="165" spans="1:13">
      <c r="A165" s="25" t="s">
        <v>702</v>
      </c>
      <c r="B165" s="93" t="s">
        <v>703</v>
      </c>
      <c r="C165" s="100" t="s">
        <v>60</v>
      </c>
      <c r="D165" s="36">
        <f t="shared" si="15"/>
        <v>0</v>
      </c>
      <c r="E165" s="47" t="s">
        <v>947</v>
      </c>
      <c r="I165" s="206">
        <f t="shared" si="8"/>
        <v>0</v>
      </c>
      <c r="J165" s="47">
        <f t="shared" si="9"/>
        <v>0</v>
      </c>
      <c r="M165" s="48">
        <v>43</v>
      </c>
    </row>
    <row r="166" spans="1:13">
      <c r="A166" s="25" t="s">
        <v>704</v>
      </c>
      <c r="B166" s="93" t="s">
        <v>705</v>
      </c>
      <c r="C166" s="100" t="s">
        <v>60</v>
      </c>
      <c r="D166" s="36">
        <f t="shared" si="15"/>
        <v>107812.5</v>
      </c>
      <c r="H166" s="47">
        <f>25*3750</f>
        <v>93750</v>
      </c>
      <c r="I166" s="206">
        <f t="shared" si="8"/>
        <v>14062.5</v>
      </c>
      <c r="J166" s="47">
        <f t="shared" si="9"/>
        <v>107812.5</v>
      </c>
    </row>
    <row r="167" spans="1:13">
      <c r="A167" s="25" t="s">
        <v>706</v>
      </c>
      <c r="B167" s="93" t="s">
        <v>707</v>
      </c>
      <c r="C167" s="100" t="s">
        <v>60</v>
      </c>
      <c r="D167" s="36">
        <f t="shared" si="15"/>
        <v>0</v>
      </c>
      <c r="I167" s="206">
        <f t="shared" si="8"/>
        <v>0</v>
      </c>
      <c r="J167" s="47">
        <f t="shared" si="9"/>
        <v>0</v>
      </c>
    </row>
    <row r="168" spans="1:13">
      <c r="A168" s="25" t="s">
        <v>708</v>
      </c>
      <c r="B168" s="93" t="s">
        <v>709</v>
      </c>
      <c r="C168" s="100" t="s">
        <v>60</v>
      </c>
      <c r="D168" s="36">
        <f t="shared" si="15"/>
        <v>1035</v>
      </c>
      <c r="E168" s="47" t="s">
        <v>1018</v>
      </c>
      <c r="H168" s="47">
        <f>20*45</f>
        <v>900</v>
      </c>
      <c r="I168" s="206">
        <f t="shared" si="8"/>
        <v>135</v>
      </c>
      <c r="J168" s="47">
        <f t="shared" si="9"/>
        <v>1035</v>
      </c>
      <c r="L168" s="48" t="s">
        <v>971</v>
      </c>
    </row>
    <row r="169" spans="1:13" ht="8.4499999999999993" customHeight="1">
      <c r="A169" s="16"/>
      <c r="B169" s="90"/>
      <c r="C169" s="100"/>
      <c r="D169" s="36">
        <f t="shared" si="15"/>
        <v>0</v>
      </c>
      <c r="E169" s="25"/>
      <c r="F169" s="74"/>
      <c r="I169" s="206">
        <f t="shared" si="8"/>
        <v>0</v>
      </c>
      <c r="J169" s="47">
        <f t="shared" si="9"/>
        <v>0</v>
      </c>
      <c r="K169" s="47"/>
      <c r="L169" s="47"/>
    </row>
    <row r="170" spans="1:13" ht="14.25" customHeight="1">
      <c r="A170" s="16">
        <v>8.9</v>
      </c>
      <c r="B170" s="90" t="s">
        <v>710</v>
      </c>
      <c r="C170" s="100"/>
      <c r="D170" s="36">
        <f t="shared" si="15"/>
        <v>0</v>
      </c>
      <c r="I170" s="206">
        <f t="shared" si="8"/>
        <v>0</v>
      </c>
      <c r="J170" s="47">
        <f t="shared" si="9"/>
        <v>0</v>
      </c>
    </row>
    <row r="171" spans="1:13" ht="14.25" customHeight="1">
      <c r="A171" s="25" t="s">
        <v>810</v>
      </c>
      <c r="B171" s="192" t="s">
        <v>809</v>
      </c>
      <c r="C171" s="100" t="s">
        <v>60</v>
      </c>
      <c r="D171" s="36">
        <f t="shared" si="15"/>
        <v>621</v>
      </c>
      <c r="H171" s="47">
        <v>540</v>
      </c>
      <c r="I171" s="206">
        <f t="shared" si="8"/>
        <v>81</v>
      </c>
      <c r="J171" s="47">
        <f t="shared" si="9"/>
        <v>621</v>
      </c>
      <c r="K171" s="48" t="s">
        <v>897</v>
      </c>
    </row>
    <row r="172" spans="1:13" ht="14.25" customHeight="1">
      <c r="A172" s="25" t="s">
        <v>817</v>
      </c>
      <c r="B172" s="192" t="s">
        <v>816</v>
      </c>
      <c r="C172" s="18" t="s">
        <v>60</v>
      </c>
      <c r="D172" s="36">
        <f t="shared" si="15"/>
        <v>245.29500000000002</v>
      </c>
      <c r="H172" s="47">
        <v>213.3</v>
      </c>
      <c r="I172" s="206">
        <f t="shared" si="8"/>
        <v>31.995000000000001</v>
      </c>
      <c r="J172" s="47">
        <f t="shared" si="9"/>
        <v>245.29500000000002</v>
      </c>
      <c r="K172" s="48" t="s">
        <v>897</v>
      </c>
    </row>
    <row r="173" spans="1:13" ht="14.25" customHeight="1">
      <c r="A173" s="25"/>
      <c r="B173" s="95"/>
      <c r="C173" s="18"/>
      <c r="D173" s="36"/>
      <c r="I173" s="206">
        <f t="shared" si="8"/>
        <v>0</v>
      </c>
      <c r="J173" s="47">
        <f t="shared" si="9"/>
        <v>0</v>
      </c>
    </row>
    <row r="174" spans="1:13" ht="14.25" customHeight="1">
      <c r="A174" s="25"/>
      <c r="B174" s="95"/>
      <c r="C174" s="18"/>
      <c r="D174" s="36"/>
      <c r="I174" s="206">
        <f t="shared" si="8"/>
        <v>0</v>
      </c>
      <c r="J174" s="47">
        <f t="shared" si="9"/>
        <v>0</v>
      </c>
    </row>
    <row r="175" spans="1:13" ht="31.5" customHeight="1">
      <c r="A175" s="42"/>
      <c r="B175" s="43" t="s">
        <v>223</v>
      </c>
      <c r="C175" s="44" t="s">
        <v>60</v>
      </c>
      <c r="D175" s="45">
        <f>SUM(D10:D174)</f>
        <v>712951.1825</v>
      </c>
      <c r="J175" s="48"/>
    </row>
    <row r="176" spans="1:13" ht="12.75" customHeight="1">
      <c r="B176" s="55"/>
      <c r="C176" s="55"/>
      <c r="D176" s="56"/>
      <c r="J176" s="48"/>
    </row>
    <row r="177" spans="2:4">
      <c r="B177" s="16"/>
      <c r="C177" s="16"/>
      <c r="D177" s="56"/>
    </row>
    <row r="178" spans="2:4">
      <c r="B178" s="16"/>
      <c r="C178" s="16"/>
      <c r="D178" s="56"/>
    </row>
  </sheetData>
  <sheetProtection formatCells="0" formatColumns="0" formatRows="0" insertRows="0"/>
  <mergeCells count="1">
    <mergeCell ref="A1:C1"/>
  </mergeCells>
  <phoneticPr fontId="20" type="noConversion"/>
  <pageMargins left="0.39370078740157483" right="0.39370078740157483" top="1.4173228346456692" bottom="0.59055118110236215" header="0.3543307086614173" footer="0.27559055118110237"/>
  <pageSetup paperSize="9" scale="48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rowBreaks count="1" manualBreakCount="1">
    <brk id="96" max="4" man="1"/>
  </row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0"/>
  <sheetViews>
    <sheetView zoomScaleNormal="100" zoomScaleSheetLayoutView="100" zoomScalePageLayoutView="90" workbookViewId="0">
      <selection activeCell="N37" sqref="N37"/>
    </sheetView>
  </sheetViews>
  <sheetFormatPr defaultColWidth="9" defaultRowHeight="13.9"/>
  <cols>
    <col min="1" max="1" width="8.25" style="123" customWidth="1"/>
    <col min="2" max="2" width="72.75" style="117" customWidth="1"/>
    <col min="3" max="3" width="3.25" style="117" customWidth="1"/>
    <col min="4" max="4" width="23.875" style="118" customWidth="1"/>
    <col min="5" max="10" width="9" style="116"/>
    <col min="11" max="16384" width="9" style="117"/>
  </cols>
  <sheetData>
    <row r="1" spans="1:10">
      <c r="A1" s="113" t="s">
        <v>711</v>
      </c>
      <c r="B1" s="114"/>
      <c r="C1" s="114"/>
      <c r="D1" s="115"/>
    </row>
    <row r="2" spans="1:10" ht="14.25" customHeight="1">
      <c r="A2" s="16"/>
      <c r="B2" s="16"/>
      <c r="C2" s="16"/>
    </row>
    <row r="3" spans="1:10" s="54" customFormat="1">
      <c r="A3" s="50" t="s">
        <v>7</v>
      </c>
      <c r="B3" s="51" t="s">
        <v>58</v>
      </c>
      <c r="C3" s="58"/>
      <c r="D3" s="52" t="s">
        <v>9</v>
      </c>
      <c r="E3" s="53"/>
      <c r="F3" s="53"/>
      <c r="G3" s="53"/>
      <c r="H3" s="53"/>
      <c r="I3" s="53"/>
      <c r="J3" s="53"/>
    </row>
    <row r="4" spans="1:10" s="48" customFormat="1" ht="12.75" customHeight="1">
      <c r="A4" s="108"/>
      <c r="B4" s="136"/>
      <c r="C4" s="119"/>
      <c r="D4" s="56"/>
      <c r="E4" s="47"/>
      <c r="F4" s="47"/>
      <c r="G4" s="47"/>
      <c r="H4" s="47"/>
      <c r="I4" s="47"/>
      <c r="J4" s="47"/>
    </row>
    <row r="5" spans="1:10">
      <c r="A5" s="137" t="s">
        <v>28</v>
      </c>
      <c r="B5" s="138" t="s">
        <v>712</v>
      </c>
      <c r="C5" s="121"/>
      <c r="D5" s="122"/>
    </row>
    <row r="6" spans="1:10" ht="12.75" customHeight="1">
      <c r="A6" s="139"/>
      <c r="B6" s="140"/>
      <c r="C6" s="124"/>
      <c r="D6" s="122"/>
    </row>
    <row r="7" spans="1:10" s="48" customFormat="1">
      <c r="A7" s="35"/>
      <c r="B7" s="129" t="s">
        <v>713</v>
      </c>
      <c r="C7" s="121"/>
      <c r="D7" s="86"/>
      <c r="E7" s="47"/>
      <c r="F7" s="47"/>
      <c r="G7" s="47"/>
      <c r="H7" s="47"/>
      <c r="I7" s="47"/>
    </row>
    <row r="8" spans="1:10" s="48" customFormat="1" ht="12.75" customHeight="1">
      <c r="A8" s="141"/>
      <c r="B8" s="142"/>
      <c r="C8" s="121"/>
      <c r="D8" s="86"/>
      <c r="E8" s="47"/>
      <c r="F8" s="47"/>
      <c r="G8" s="47"/>
      <c r="H8" s="47"/>
      <c r="I8" s="47"/>
    </row>
    <row r="9" spans="1:10" s="48" customFormat="1" ht="12.75" customHeight="1">
      <c r="A9" s="141">
        <v>1</v>
      </c>
      <c r="B9" s="219" t="s">
        <v>714</v>
      </c>
      <c r="C9" s="121"/>
      <c r="D9" s="86"/>
      <c r="E9" s="47"/>
      <c r="F9" s="47"/>
      <c r="G9" s="47"/>
      <c r="H9" s="47"/>
      <c r="I9" s="47"/>
    </row>
    <row r="10" spans="1:10" s="48" customFormat="1" ht="12.75" customHeight="1">
      <c r="A10" s="141"/>
      <c r="B10" s="219"/>
      <c r="C10" s="121"/>
      <c r="D10" s="86"/>
      <c r="E10" s="47"/>
      <c r="F10" s="47"/>
      <c r="G10" s="47"/>
      <c r="H10" s="47"/>
      <c r="I10" s="47"/>
    </row>
    <row r="11" spans="1:10" s="48" customFormat="1" ht="6" customHeight="1">
      <c r="A11" s="139"/>
      <c r="B11" s="219"/>
      <c r="C11" s="121"/>
      <c r="D11" s="86"/>
      <c r="E11" s="47"/>
      <c r="F11" s="47"/>
      <c r="G11" s="47"/>
      <c r="H11" s="47"/>
      <c r="I11" s="47"/>
    </row>
    <row r="12" spans="1:10" s="48" customFormat="1" ht="2.25" hidden="1" customHeight="1">
      <c r="A12" s="141"/>
      <c r="B12" s="219"/>
      <c r="C12" s="121"/>
      <c r="D12" s="143"/>
      <c r="E12" s="47"/>
      <c r="F12" s="47"/>
      <c r="G12" s="47"/>
      <c r="H12" s="47"/>
      <c r="I12" s="47"/>
    </row>
    <row r="13" spans="1:10" s="48" customFormat="1" ht="12.75" customHeight="1">
      <c r="A13" s="141">
        <v>2</v>
      </c>
      <c r="B13" s="219" t="s">
        <v>715</v>
      </c>
      <c r="C13" s="121"/>
      <c r="D13" s="143"/>
      <c r="E13" s="47"/>
      <c r="F13" s="47"/>
      <c r="G13" s="47"/>
      <c r="H13" s="47"/>
      <c r="I13" s="47"/>
    </row>
    <row r="14" spans="1:10" s="48" customFormat="1" ht="12.75" customHeight="1">
      <c r="A14" s="141"/>
      <c r="B14" s="219"/>
      <c r="C14" s="121"/>
      <c r="D14" s="143"/>
      <c r="E14" s="47"/>
      <c r="F14" s="47"/>
      <c r="G14" s="47"/>
      <c r="H14" s="47"/>
      <c r="I14" s="47"/>
    </row>
    <row r="15" spans="1:10" s="48" customFormat="1" ht="12.75" customHeight="1">
      <c r="A15" s="141"/>
      <c r="B15" s="219"/>
      <c r="C15" s="121"/>
      <c r="D15" s="143"/>
      <c r="E15" s="47"/>
      <c r="F15" s="47"/>
      <c r="G15" s="47"/>
      <c r="H15" s="47"/>
      <c r="I15" s="47"/>
    </row>
    <row r="16" spans="1:10" s="48" customFormat="1" ht="12.75" customHeight="1">
      <c r="A16" s="141"/>
      <c r="B16" s="26"/>
      <c r="C16" s="121"/>
      <c r="D16" s="143"/>
      <c r="E16" s="47"/>
      <c r="F16" s="47"/>
      <c r="G16" s="47"/>
      <c r="H16" s="47"/>
      <c r="I16" s="47"/>
    </row>
    <row r="17" spans="1:9" s="48" customFormat="1" ht="12.75" customHeight="1">
      <c r="A17" s="141"/>
      <c r="B17" s="129" t="s">
        <v>716</v>
      </c>
      <c r="C17" s="121"/>
      <c r="D17" s="143"/>
      <c r="E17" s="47"/>
      <c r="F17" s="47"/>
      <c r="G17" s="47"/>
      <c r="H17" s="47"/>
      <c r="I17" s="47"/>
    </row>
    <row r="18" spans="1:9" s="48" customFormat="1" ht="12.75" customHeight="1">
      <c r="A18" s="141"/>
      <c r="B18" s="129"/>
      <c r="C18" s="121"/>
      <c r="D18" s="143"/>
      <c r="E18" s="47"/>
      <c r="F18" s="47"/>
      <c r="G18" s="47"/>
      <c r="H18" s="47"/>
      <c r="I18" s="47"/>
    </row>
    <row r="19" spans="1:9" s="48" customFormat="1" ht="12.75" customHeight="1">
      <c r="A19" s="141"/>
      <c r="B19" s="41"/>
      <c r="C19" s="121"/>
      <c r="D19" s="143"/>
      <c r="E19" s="47"/>
      <c r="F19" s="47"/>
      <c r="G19" s="47"/>
      <c r="H19" s="47"/>
      <c r="I19" s="47"/>
    </row>
    <row r="20" spans="1:9" s="48" customFormat="1" ht="12.75" customHeight="1">
      <c r="A20" s="141"/>
      <c r="B20" s="156"/>
      <c r="C20" s="144" t="s">
        <v>60</v>
      </c>
      <c r="D20" s="143">
        <f>SUM(C20:C20)</f>
        <v>0</v>
      </c>
      <c r="E20" s="47"/>
      <c r="F20" s="47"/>
      <c r="G20" s="47"/>
      <c r="H20" s="47"/>
      <c r="I20" s="47"/>
    </row>
    <row r="21" spans="1:9" s="48" customFormat="1" ht="12.75" customHeight="1">
      <c r="A21" s="141"/>
      <c r="B21" s="156"/>
      <c r="C21" s="121"/>
      <c r="D21" s="143"/>
      <c r="E21" s="47"/>
      <c r="F21" s="47"/>
      <c r="G21" s="47"/>
      <c r="H21" s="47"/>
      <c r="I21" s="47"/>
    </row>
    <row r="22" spans="1:9" s="48" customFormat="1" ht="12.75" customHeight="1">
      <c r="A22" s="141"/>
      <c r="B22" s="156"/>
      <c r="C22" s="144" t="s">
        <v>60</v>
      </c>
      <c r="D22" s="143">
        <f>SUM(C22:C22)</f>
        <v>0</v>
      </c>
      <c r="E22" s="47"/>
      <c r="F22" s="47"/>
      <c r="G22" s="47"/>
      <c r="H22" s="47"/>
      <c r="I22" s="47"/>
    </row>
    <row r="23" spans="1:9" s="48" customFormat="1" ht="12.75" customHeight="1">
      <c r="A23" s="141"/>
      <c r="B23" s="41"/>
      <c r="C23" s="121"/>
      <c r="D23" s="143"/>
      <c r="E23" s="47"/>
      <c r="F23" s="47"/>
      <c r="G23" s="47"/>
      <c r="H23" s="47"/>
      <c r="I23" s="47"/>
    </row>
    <row r="24" spans="1:9" s="48" customFormat="1" ht="12.75" customHeight="1">
      <c r="A24" s="141"/>
      <c r="B24" s="41"/>
      <c r="C24" s="144" t="s">
        <v>60</v>
      </c>
      <c r="D24" s="143">
        <f>SUM(C24:C24)</f>
        <v>0</v>
      </c>
      <c r="E24" s="47"/>
      <c r="F24" s="47"/>
      <c r="G24" s="47"/>
      <c r="H24" s="47"/>
      <c r="I24" s="47"/>
    </row>
    <row r="25" spans="1:9" s="48" customFormat="1" ht="12.75" customHeight="1">
      <c r="A25" s="141"/>
      <c r="B25" s="41"/>
      <c r="C25" s="121"/>
      <c r="D25" s="143"/>
      <c r="E25" s="47"/>
      <c r="F25" s="47"/>
      <c r="G25" s="47"/>
      <c r="H25" s="47"/>
      <c r="I25" s="47"/>
    </row>
    <row r="26" spans="1:9" s="48" customFormat="1" ht="12.75" customHeight="1">
      <c r="A26" s="141"/>
      <c r="B26" s="41"/>
      <c r="C26" s="144" t="s">
        <v>60</v>
      </c>
      <c r="D26" s="143">
        <f>SUM(C26:C26)</f>
        <v>0</v>
      </c>
      <c r="E26" s="47"/>
      <c r="F26" s="47"/>
      <c r="G26" s="47"/>
      <c r="H26" s="47"/>
      <c r="I26" s="47"/>
    </row>
    <row r="27" spans="1:9" s="48" customFormat="1" ht="12.75" customHeight="1">
      <c r="A27" s="141"/>
      <c r="B27" s="41"/>
      <c r="C27" s="121"/>
      <c r="D27" s="143"/>
      <c r="E27" s="47"/>
      <c r="F27" s="47"/>
      <c r="G27" s="47"/>
      <c r="H27" s="47"/>
      <c r="I27" s="47"/>
    </row>
    <row r="28" spans="1:9" s="48" customFormat="1" ht="12.75" customHeight="1">
      <c r="A28" s="141"/>
      <c r="B28" s="41"/>
      <c r="C28" s="144" t="s">
        <v>60</v>
      </c>
      <c r="D28" s="143">
        <f>SUM(C28:C28)</f>
        <v>0</v>
      </c>
      <c r="E28" s="47"/>
      <c r="F28" s="47"/>
      <c r="G28" s="47"/>
      <c r="H28" s="47"/>
      <c r="I28" s="47"/>
    </row>
    <row r="29" spans="1:9" s="48" customFormat="1" ht="12.75" customHeight="1">
      <c r="A29" s="141"/>
      <c r="B29" s="41"/>
      <c r="C29" s="121"/>
      <c r="D29" s="143"/>
      <c r="E29" s="47"/>
      <c r="F29" s="47"/>
      <c r="G29" s="47"/>
      <c r="H29" s="47"/>
      <c r="I29" s="47"/>
    </row>
    <row r="30" spans="1:9" s="48" customFormat="1" ht="12.75" customHeight="1">
      <c r="A30" s="141"/>
      <c r="B30" s="41"/>
      <c r="C30" s="144" t="s">
        <v>60</v>
      </c>
      <c r="D30" s="143">
        <f>SUM(C30:C30)</f>
        <v>0</v>
      </c>
      <c r="E30" s="47"/>
      <c r="F30" s="47"/>
      <c r="G30" s="47"/>
      <c r="H30" s="47"/>
      <c r="I30" s="47"/>
    </row>
    <row r="31" spans="1:9" s="48" customFormat="1" ht="12.75" customHeight="1">
      <c r="A31" s="141"/>
      <c r="B31" s="41"/>
      <c r="C31" s="121"/>
      <c r="D31" s="143"/>
      <c r="E31" s="47"/>
      <c r="F31" s="47"/>
      <c r="G31" s="47"/>
      <c r="H31" s="47"/>
      <c r="I31" s="47"/>
    </row>
    <row r="32" spans="1:9" s="48" customFormat="1" ht="12.75" customHeight="1">
      <c r="A32" s="141"/>
      <c r="B32" s="41"/>
      <c r="C32" s="144" t="s">
        <v>60</v>
      </c>
      <c r="D32" s="143">
        <f>SUM(C32:C32)</f>
        <v>0</v>
      </c>
      <c r="E32" s="47"/>
      <c r="F32" s="47"/>
      <c r="G32" s="47"/>
      <c r="H32" s="47"/>
      <c r="I32" s="47"/>
    </row>
    <row r="33" spans="1:9" s="48" customFormat="1" ht="12.75" customHeight="1">
      <c r="A33" s="141"/>
      <c r="B33" s="41"/>
      <c r="C33" s="121"/>
      <c r="D33" s="143"/>
      <c r="E33" s="47"/>
      <c r="F33" s="47"/>
      <c r="G33" s="47"/>
      <c r="H33" s="47"/>
      <c r="I33" s="47"/>
    </row>
    <row r="34" spans="1:9" s="48" customFormat="1" ht="12.75" customHeight="1">
      <c r="A34" s="141"/>
      <c r="B34" s="41"/>
      <c r="C34" s="144" t="s">
        <v>60</v>
      </c>
      <c r="D34" s="143">
        <f>SUM(C34:C34)</f>
        <v>0</v>
      </c>
      <c r="E34" s="47"/>
      <c r="F34" s="47"/>
      <c r="G34" s="47"/>
      <c r="H34" s="47"/>
      <c r="I34" s="47"/>
    </row>
    <row r="35" spans="1:9" s="48" customFormat="1" ht="12.75" customHeight="1">
      <c r="A35" s="141"/>
      <c r="B35" s="41"/>
      <c r="C35" s="121"/>
      <c r="D35" s="143"/>
      <c r="E35" s="47"/>
      <c r="F35" s="47"/>
      <c r="G35" s="47"/>
      <c r="H35" s="47"/>
      <c r="I35" s="47"/>
    </row>
    <row r="36" spans="1:9" s="48" customFormat="1" ht="12.75" customHeight="1">
      <c r="A36" s="141"/>
      <c r="B36" s="41"/>
      <c r="C36" s="144" t="s">
        <v>60</v>
      </c>
      <c r="D36" s="143">
        <f>SUM(C36:C36)</f>
        <v>0</v>
      </c>
      <c r="E36" s="47"/>
      <c r="F36" s="47"/>
      <c r="G36" s="47"/>
      <c r="H36" s="47"/>
      <c r="I36" s="47"/>
    </row>
    <row r="37" spans="1:9" s="48" customFormat="1" ht="12.75" customHeight="1">
      <c r="A37" s="141"/>
      <c r="B37" s="41"/>
      <c r="C37" s="121"/>
      <c r="D37" s="143"/>
      <c r="E37" s="47"/>
      <c r="F37" s="47"/>
      <c r="G37" s="47"/>
      <c r="H37" s="47"/>
      <c r="I37" s="47"/>
    </row>
    <row r="38" spans="1:9" s="48" customFormat="1" ht="12.75" customHeight="1">
      <c r="A38" s="141"/>
      <c r="B38" s="41"/>
      <c r="C38" s="121"/>
      <c r="D38" s="143"/>
      <c r="E38" s="47"/>
      <c r="F38" s="47"/>
      <c r="G38" s="47"/>
      <c r="H38" s="47"/>
      <c r="I38" s="47"/>
    </row>
    <row r="39" spans="1:9" s="48" customFormat="1" ht="12.75" customHeight="1">
      <c r="A39" s="141"/>
      <c r="B39" s="41"/>
      <c r="C39" s="121"/>
      <c r="D39" s="143"/>
      <c r="E39" s="47"/>
      <c r="F39" s="47"/>
      <c r="G39" s="47"/>
      <c r="H39" s="47"/>
      <c r="I39" s="47"/>
    </row>
    <row r="40" spans="1:9" s="48" customFormat="1" ht="12.75" customHeight="1">
      <c r="A40" s="141"/>
      <c r="B40" s="41"/>
      <c r="C40" s="121"/>
      <c r="D40" s="143"/>
      <c r="E40" s="47"/>
      <c r="F40" s="47"/>
      <c r="G40" s="47"/>
      <c r="H40" s="47"/>
      <c r="I40" s="47"/>
    </row>
    <row r="41" spans="1:9" s="48" customFormat="1" ht="12.75" customHeight="1">
      <c r="A41" s="141"/>
      <c r="B41" s="41"/>
      <c r="C41" s="121"/>
      <c r="D41" s="143"/>
      <c r="E41" s="47"/>
      <c r="F41" s="47"/>
      <c r="G41" s="47"/>
      <c r="H41" s="47"/>
      <c r="I41" s="47"/>
    </row>
    <row r="42" spans="1:9" s="48" customFormat="1" ht="12.75" customHeight="1">
      <c r="A42" s="141"/>
      <c r="B42" s="41"/>
      <c r="C42" s="121"/>
      <c r="D42" s="143"/>
      <c r="E42" s="47"/>
      <c r="F42" s="47"/>
      <c r="G42" s="47"/>
      <c r="H42" s="47"/>
      <c r="I42" s="47"/>
    </row>
    <row r="43" spans="1:9" s="48" customFormat="1" ht="12.75" customHeight="1">
      <c r="A43" s="141"/>
      <c r="B43" s="41"/>
      <c r="C43" s="121"/>
      <c r="D43" s="143"/>
      <c r="E43" s="47"/>
      <c r="F43" s="47"/>
      <c r="G43" s="47"/>
      <c r="H43" s="47"/>
      <c r="I43" s="47"/>
    </row>
    <row r="44" spans="1:9" s="48" customFormat="1" ht="12.75" customHeight="1">
      <c r="A44" s="141"/>
      <c r="B44" s="41"/>
      <c r="C44" s="121"/>
      <c r="D44" s="143"/>
      <c r="E44" s="47"/>
      <c r="F44" s="47"/>
      <c r="G44" s="47"/>
      <c r="H44" s="47"/>
      <c r="I44" s="47"/>
    </row>
    <row r="45" spans="1:9" s="48" customFormat="1" ht="12.75" customHeight="1">
      <c r="A45" s="141"/>
      <c r="B45" s="41"/>
      <c r="C45" s="121"/>
      <c r="D45" s="143"/>
      <c r="E45" s="47"/>
      <c r="F45" s="47"/>
      <c r="G45" s="47"/>
      <c r="H45" s="47"/>
      <c r="I45" s="47"/>
    </row>
    <row r="46" spans="1:9" s="48" customFormat="1" ht="12.75" customHeight="1">
      <c r="A46" s="141"/>
      <c r="B46" s="41"/>
      <c r="C46" s="121"/>
      <c r="D46" s="143"/>
      <c r="E46" s="47"/>
      <c r="F46" s="47"/>
      <c r="G46" s="47"/>
      <c r="H46" s="47"/>
      <c r="I46" s="47"/>
    </row>
    <row r="47" spans="1:9" s="48" customFormat="1" ht="12.75" customHeight="1">
      <c r="A47" s="141"/>
      <c r="B47" s="41"/>
      <c r="C47" s="121"/>
      <c r="D47" s="143"/>
      <c r="E47" s="47"/>
      <c r="F47" s="47"/>
      <c r="G47" s="47"/>
      <c r="H47" s="47"/>
      <c r="I47" s="47"/>
    </row>
    <row r="48" spans="1:9" s="48" customFormat="1" ht="12.75" customHeight="1">
      <c r="A48" s="141"/>
      <c r="B48" s="41"/>
      <c r="C48" s="121"/>
      <c r="D48" s="143"/>
      <c r="E48" s="47"/>
      <c r="F48" s="47"/>
      <c r="G48" s="47"/>
      <c r="H48" s="47"/>
      <c r="I48" s="47"/>
    </row>
    <row r="49" spans="1:9" s="48" customFormat="1" ht="12.75" customHeight="1">
      <c r="A49" s="141"/>
      <c r="B49" s="41"/>
      <c r="C49" s="121"/>
      <c r="D49" s="143"/>
      <c r="E49" s="47"/>
      <c r="F49" s="47"/>
      <c r="G49" s="47"/>
      <c r="H49" s="47"/>
      <c r="I49" s="47"/>
    </row>
    <row r="50" spans="1:9" s="48" customFormat="1" ht="12.75" customHeight="1">
      <c r="A50" s="141"/>
      <c r="B50" s="41"/>
      <c r="C50" s="121"/>
      <c r="D50" s="143"/>
      <c r="E50" s="47"/>
      <c r="F50" s="47"/>
      <c r="G50" s="47"/>
      <c r="H50" s="47"/>
      <c r="I50" s="47"/>
    </row>
    <row r="51" spans="1:9" s="48" customFormat="1" ht="12.75" customHeight="1">
      <c r="A51" s="141"/>
      <c r="B51" s="41"/>
      <c r="C51" s="121"/>
      <c r="D51" s="143"/>
      <c r="E51" s="47"/>
      <c r="F51" s="47"/>
      <c r="G51" s="47"/>
      <c r="H51" s="47"/>
      <c r="I51" s="47"/>
    </row>
    <row r="52" spans="1:9" s="48" customFormat="1" ht="12.75" customHeight="1">
      <c r="A52" s="141"/>
      <c r="B52" s="41"/>
      <c r="C52" s="121"/>
      <c r="D52" s="143"/>
      <c r="E52" s="47"/>
      <c r="F52" s="47"/>
      <c r="G52" s="47"/>
      <c r="H52" s="47"/>
      <c r="I52" s="47"/>
    </row>
    <row r="53" spans="1:9" s="48" customFormat="1" ht="12.75" customHeight="1">
      <c r="A53" s="141"/>
      <c r="B53" s="41"/>
      <c r="C53" s="121"/>
      <c r="D53" s="143"/>
      <c r="E53" s="47"/>
      <c r="F53" s="47"/>
      <c r="G53" s="47"/>
      <c r="H53" s="47"/>
      <c r="I53" s="47"/>
    </row>
    <row r="54" spans="1:9" s="48" customFormat="1" ht="12.75" customHeight="1">
      <c r="A54" s="141"/>
      <c r="B54" s="41"/>
      <c r="C54" s="121"/>
      <c r="D54" s="143"/>
      <c r="E54" s="47"/>
      <c r="F54" s="47"/>
      <c r="G54" s="47"/>
      <c r="H54" s="47"/>
      <c r="I54" s="47"/>
    </row>
    <row r="55" spans="1:9" s="48" customFormat="1" ht="12.75" customHeight="1">
      <c r="A55" s="141"/>
      <c r="B55" s="41"/>
      <c r="C55" s="121"/>
      <c r="D55" s="143"/>
      <c r="E55" s="47"/>
      <c r="F55" s="47"/>
      <c r="G55" s="47"/>
      <c r="H55" s="47"/>
      <c r="I55" s="47"/>
    </row>
    <row r="56" spans="1:9" s="48" customFormat="1" ht="12.75" customHeight="1">
      <c r="A56" s="141"/>
      <c r="B56" s="41"/>
      <c r="C56" s="121"/>
      <c r="D56" s="143"/>
      <c r="E56" s="47"/>
      <c r="F56" s="47"/>
      <c r="G56" s="47"/>
      <c r="H56" s="47"/>
      <c r="I56" s="47"/>
    </row>
    <row r="57" spans="1:9" s="48" customFormat="1" ht="12.75" customHeight="1">
      <c r="A57" s="141"/>
      <c r="B57" s="41"/>
      <c r="C57" s="121"/>
      <c r="D57" s="143"/>
      <c r="E57" s="47"/>
      <c r="F57" s="47"/>
      <c r="G57" s="47"/>
      <c r="H57" s="47"/>
      <c r="I57" s="47"/>
    </row>
    <row r="58" spans="1:9" s="48" customFormat="1" ht="12.75" customHeight="1">
      <c r="A58" s="141"/>
      <c r="B58" s="41"/>
      <c r="C58" s="121"/>
      <c r="D58" s="143"/>
      <c r="E58" s="47"/>
      <c r="F58" s="47"/>
      <c r="G58" s="47"/>
      <c r="H58" s="47"/>
      <c r="I58" s="47"/>
    </row>
    <row r="59" spans="1:9" s="48" customFormat="1" ht="12.75" customHeight="1">
      <c r="A59" s="141"/>
      <c r="B59" s="41"/>
      <c r="C59" s="121"/>
      <c r="D59" s="143"/>
      <c r="E59" s="47"/>
      <c r="F59" s="47"/>
      <c r="G59" s="47"/>
      <c r="H59" s="47"/>
      <c r="I59" s="47"/>
    </row>
    <row r="60" spans="1:9" s="48" customFormat="1" ht="12.75" customHeight="1">
      <c r="A60" s="141"/>
      <c r="B60" s="41"/>
      <c r="C60" s="121"/>
      <c r="D60" s="143"/>
      <c r="E60" s="47"/>
      <c r="F60" s="47"/>
      <c r="G60" s="47"/>
      <c r="H60" s="47"/>
      <c r="I60" s="47"/>
    </row>
    <row r="61" spans="1:9" s="48" customFormat="1" ht="12.75" customHeight="1">
      <c r="A61" s="141"/>
      <c r="B61" s="41"/>
      <c r="C61" s="121"/>
      <c r="D61" s="143"/>
      <c r="E61" s="47"/>
      <c r="F61" s="47"/>
      <c r="G61" s="47"/>
      <c r="H61" s="47"/>
      <c r="I61" s="47"/>
    </row>
    <row r="62" spans="1:9" s="48" customFormat="1" ht="12.75" customHeight="1">
      <c r="A62" s="141"/>
      <c r="B62" s="41"/>
      <c r="C62" s="121"/>
      <c r="D62" s="143"/>
      <c r="E62" s="47"/>
      <c r="F62" s="47"/>
      <c r="G62" s="47"/>
      <c r="H62" s="47"/>
      <c r="I62" s="47"/>
    </row>
    <row r="63" spans="1:9" s="48" customFormat="1" ht="12.75" customHeight="1">
      <c r="A63" s="141"/>
      <c r="B63" s="41"/>
      <c r="C63" s="121"/>
      <c r="D63" s="143"/>
      <c r="E63" s="47"/>
      <c r="F63" s="47"/>
      <c r="G63" s="47"/>
      <c r="H63" s="47"/>
      <c r="I63" s="47"/>
    </row>
    <row r="64" spans="1:9" s="48" customFormat="1" ht="12.75" customHeight="1">
      <c r="A64" s="141"/>
      <c r="B64" s="26"/>
      <c r="C64" s="121"/>
      <c r="D64" s="143"/>
      <c r="E64" s="47"/>
      <c r="F64" s="47"/>
      <c r="G64" s="47"/>
      <c r="H64" s="47"/>
      <c r="I64" s="47"/>
    </row>
    <row r="65" spans="1:10" s="48" customFormat="1" ht="12.75" customHeight="1">
      <c r="A65" s="145"/>
      <c r="B65" s="146"/>
      <c r="C65" s="147"/>
      <c r="D65" s="148"/>
      <c r="E65" s="47"/>
      <c r="F65" s="47"/>
      <c r="G65" s="47"/>
      <c r="H65" s="47"/>
      <c r="I65" s="47"/>
    </row>
    <row r="66" spans="1:10" s="48" customFormat="1" ht="21" customHeight="1">
      <c r="A66" s="149"/>
      <c r="B66" s="150" t="s">
        <v>223</v>
      </c>
      <c r="C66" s="151" t="s">
        <v>60</v>
      </c>
      <c r="D66" s="152">
        <f>SUM(D4:D65)</f>
        <v>0</v>
      </c>
      <c r="E66" s="47"/>
      <c r="F66" s="47"/>
      <c r="G66" s="47"/>
      <c r="H66" s="47"/>
      <c r="I66" s="47"/>
    </row>
    <row r="67" spans="1:10" s="48" customFormat="1" ht="5.25" customHeight="1">
      <c r="A67" s="19"/>
      <c r="B67" s="55"/>
      <c r="C67" s="55"/>
      <c r="D67" s="122"/>
      <c r="E67" s="47"/>
      <c r="F67" s="47"/>
      <c r="G67" s="47"/>
      <c r="H67" s="47"/>
      <c r="I67" s="47"/>
    </row>
    <row r="68" spans="1:10" s="48" customFormat="1" ht="10.5" customHeight="1">
      <c r="A68" s="214"/>
      <c r="B68" s="215"/>
      <c r="C68" s="215"/>
      <c r="E68" s="47"/>
      <c r="F68" s="47"/>
      <c r="G68" s="47"/>
      <c r="H68" s="47"/>
      <c r="I68" s="47"/>
      <c r="J68" s="47"/>
    </row>
    <row r="69" spans="1:10" s="48" customFormat="1">
      <c r="A69" s="19"/>
      <c r="B69" s="16"/>
      <c r="C69" s="16"/>
      <c r="D69" s="56"/>
      <c r="E69" s="47"/>
      <c r="F69" s="47"/>
      <c r="G69" s="47"/>
      <c r="H69" s="47"/>
      <c r="I69" s="47"/>
      <c r="J69" s="47"/>
    </row>
    <row r="70" spans="1:10" s="48" customFormat="1">
      <c r="A70" s="19"/>
      <c r="B70" s="16"/>
      <c r="C70" s="16"/>
      <c r="D70" s="56"/>
      <c r="E70" s="47"/>
      <c r="F70" s="47"/>
      <c r="G70" s="47"/>
      <c r="H70" s="47"/>
      <c r="I70" s="47"/>
      <c r="J70" s="47"/>
    </row>
  </sheetData>
  <sheetProtection formatCells="0" formatColumns="0" formatRows="0" insertRows="0"/>
  <mergeCells count="3">
    <mergeCell ref="B9:B12"/>
    <mergeCell ref="B13:B15"/>
    <mergeCell ref="A68:C68"/>
  </mergeCells>
  <pageMargins left="0.39370078740157483" right="0.39370078740157483" top="1.4173228346456692" bottom="0.59055118110236215" header="0.3543307086614173" footer="0.27559055118110237"/>
  <pageSetup paperSize="9" scale="81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zoomScaleNormal="100" zoomScaleSheetLayoutView="100" zoomScalePageLayoutView="90" workbookViewId="0">
      <selection activeCell="N37" sqref="N37"/>
    </sheetView>
  </sheetViews>
  <sheetFormatPr defaultColWidth="9" defaultRowHeight="13.9"/>
  <cols>
    <col min="1" max="1" width="8.25" style="123" customWidth="1"/>
    <col min="2" max="2" width="72.25" style="117" customWidth="1"/>
    <col min="3" max="3" width="3.25" style="117" customWidth="1"/>
    <col min="4" max="4" width="22.25" style="118" customWidth="1"/>
    <col min="5" max="7" width="9" style="116"/>
    <col min="8" max="8" width="9.875" style="116" bestFit="1" customWidth="1"/>
    <col min="9" max="9" width="9" style="116"/>
    <col min="10" max="10" width="15" style="116" bestFit="1" customWidth="1"/>
    <col min="11" max="16384" width="9" style="117"/>
  </cols>
  <sheetData>
    <row r="1" spans="1:10">
      <c r="A1" s="113" t="s">
        <v>717</v>
      </c>
      <c r="B1" s="114"/>
      <c r="C1" s="114"/>
      <c r="D1" s="115"/>
    </row>
    <row r="2" spans="1:10" ht="14.25" customHeight="1">
      <c r="A2" s="16"/>
      <c r="B2" s="16"/>
      <c r="C2" s="16"/>
    </row>
    <row r="3" spans="1:10" s="54" customFormat="1" ht="27" customHeight="1">
      <c r="A3" s="50" t="s">
        <v>7</v>
      </c>
      <c r="B3" s="58" t="s">
        <v>58</v>
      </c>
      <c r="C3" s="58"/>
      <c r="D3" s="52" t="s">
        <v>9</v>
      </c>
      <c r="E3" s="53"/>
      <c r="F3" s="53"/>
      <c r="G3" s="53"/>
      <c r="H3" s="53" t="s">
        <v>744</v>
      </c>
      <c r="I3" s="205">
        <v>0.15</v>
      </c>
      <c r="J3" s="53" t="s">
        <v>745</v>
      </c>
    </row>
    <row r="4" spans="1:10" s="48" customFormat="1" ht="12.75" customHeight="1">
      <c r="A4" s="16"/>
      <c r="B4" s="119"/>
      <c r="C4" s="119"/>
      <c r="D4" s="56"/>
      <c r="E4" s="47"/>
      <c r="F4" s="47"/>
      <c r="G4" s="47"/>
      <c r="H4" s="47"/>
      <c r="I4" s="47"/>
      <c r="J4" s="47"/>
    </row>
    <row r="5" spans="1:10" ht="17.25" customHeight="1">
      <c r="A5" s="19" t="s">
        <v>28</v>
      </c>
      <c r="B5" s="133" t="s">
        <v>718</v>
      </c>
      <c r="C5" s="121"/>
      <c r="D5" s="134"/>
    </row>
    <row r="6" spans="1:10" ht="12.75" customHeight="1">
      <c r="B6" s="124"/>
      <c r="C6" s="124"/>
      <c r="D6" s="122"/>
    </row>
    <row r="7" spans="1:10">
      <c r="B7" s="129" t="s">
        <v>719</v>
      </c>
      <c r="C7" s="124"/>
      <c r="D7" s="122"/>
    </row>
    <row r="8" spans="1:10" ht="12.75" customHeight="1">
      <c r="B8" s="124"/>
      <c r="C8" s="124"/>
      <c r="D8" s="122"/>
    </row>
    <row r="9" spans="1:10" ht="17.25" customHeight="1">
      <c r="A9" s="125"/>
      <c r="B9" s="135" t="s">
        <v>713</v>
      </c>
      <c r="C9" s="124"/>
      <c r="D9" s="122"/>
    </row>
    <row r="10" spans="1:10" ht="13.5">
      <c r="A10" s="125"/>
      <c r="B10" s="131"/>
      <c r="C10" s="124"/>
      <c r="D10" s="122"/>
    </row>
    <row r="11" spans="1:10" ht="17.25" customHeight="1">
      <c r="A11" s="125"/>
      <c r="B11" s="126" t="s">
        <v>961</v>
      </c>
      <c r="C11" s="121" t="s">
        <v>60</v>
      </c>
      <c r="D11" s="122">
        <f>J11</f>
        <v>33109.880000000005</v>
      </c>
      <c r="H11" s="116">
        <v>28791.200000000001</v>
      </c>
      <c r="I11" s="116">
        <f>H11*$I$3</f>
        <v>4318.68</v>
      </c>
      <c r="J11" s="116">
        <f>SUM(H11:I11)</f>
        <v>33109.880000000005</v>
      </c>
    </row>
    <row r="12" spans="1:10" ht="17.25" customHeight="1">
      <c r="B12" s="135"/>
      <c r="C12" s="124"/>
      <c r="D12" s="122"/>
      <c r="I12" s="116">
        <f t="shared" ref="I12:I19" si="0">H12*$I$3</f>
        <v>0</v>
      </c>
      <c r="J12" s="116">
        <f t="shared" ref="J12:J19" si="1">SUM(H12:I12)</f>
        <v>0</v>
      </c>
    </row>
    <row r="13" spans="1:10" ht="17.25" customHeight="1">
      <c r="A13" s="125"/>
      <c r="B13" s="126" t="s">
        <v>962</v>
      </c>
      <c r="C13" s="121" t="s">
        <v>60</v>
      </c>
      <c r="D13" s="122">
        <f t="shared" ref="D13" si="2">J13</f>
        <v>166750</v>
      </c>
      <c r="H13" s="116">
        <v>145000</v>
      </c>
      <c r="I13" s="116">
        <f t="shared" si="0"/>
        <v>21750</v>
      </c>
      <c r="J13" s="116">
        <f t="shared" si="1"/>
        <v>166750</v>
      </c>
    </row>
    <row r="14" spans="1:10" ht="17.25" customHeight="1">
      <c r="B14" s="135"/>
      <c r="C14" s="124"/>
      <c r="D14" s="122"/>
      <c r="I14" s="116">
        <f t="shared" si="0"/>
        <v>0</v>
      </c>
      <c r="J14" s="116">
        <f t="shared" si="1"/>
        <v>0</v>
      </c>
    </row>
    <row r="15" spans="1:10" ht="17.25" customHeight="1">
      <c r="A15" s="125"/>
      <c r="B15" s="126" t="s">
        <v>963</v>
      </c>
      <c r="C15" s="121" t="s">
        <v>60</v>
      </c>
      <c r="D15" s="122">
        <f t="shared" ref="D15" si="3">J15</f>
        <v>2300</v>
      </c>
      <c r="H15" s="116">
        <v>2000</v>
      </c>
      <c r="I15" s="116">
        <f t="shared" si="0"/>
        <v>300</v>
      </c>
      <c r="J15" s="116">
        <f t="shared" si="1"/>
        <v>2300</v>
      </c>
    </row>
    <row r="16" spans="1:10" ht="17.25" customHeight="1">
      <c r="B16" s="135"/>
      <c r="C16" s="124"/>
      <c r="D16" s="122"/>
      <c r="I16" s="116">
        <f t="shared" si="0"/>
        <v>0</v>
      </c>
      <c r="J16" s="116">
        <f t="shared" si="1"/>
        <v>0</v>
      </c>
    </row>
    <row r="17" spans="1:10" ht="17.25" customHeight="1">
      <c r="A17" s="125"/>
      <c r="B17" s="126" t="s">
        <v>964</v>
      </c>
      <c r="C17" s="121" t="s">
        <v>60</v>
      </c>
      <c r="D17" s="122">
        <f t="shared" ref="D17" si="4">J17</f>
        <v>1552.5</v>
      </c>
      <c r="H17" s="116">
        <v>1350</v>
      </c>
      <c r="I17" s="116">
        <f t="shared" si="0"/>
        <v>202.5</v>
      </c>
      <c r="J17" s="116">
        <f t="shared" si="1"/>
        <v>1552.5</v>
      </c>
    </row>
    <row r="18" spans="1:10" ht="17.25" customHeight="1">
      <c r="B18" s="135"/>
      <c r="C18" s="124"/>
      <c r="D18" s="122"/>
      <c r="I18" s="116">
        <f t="shared" si="0"/>
        <v>0</v>
      </c>
      <c r="J18" s="116">
        <f t="shared" si="1"/>
        <v>0</v>
      </c>
    </row>
    <row r="19" spans="1:10" ht="17.25" customHeight="1">
      <c r="A19" s="125"/>
      <c r="B19" s="126" t="s">
        <v>965</v>
      </c>
      <c r="C19" s="121" t="s">
        <v>60</v>
      </c>
      <c r="D19" s="122">
        <f t="shared" ref="D19" si="5">J19</f>
        <v>2809.1279999999997</v>
      </c>
      <c r="H19" s="116">
        <v>2442.7199999999998</v>
      </c>
      <c r="I19" s="116">
        <f t="shared" si="0"/>
        <v>366.40799999999996</v>
      </c>
      <c r="J19" s="116">
        <f t="shared" si="1"/>
        <v>2809.1279999999997</v>
      </c>
    </row>
    <row r="20" spans="1:10" ht="17.25" customHeight="1">
      <c r="B20" s="135"/>
      <c r="C20" s="124"/>
      <c r="D20" s="122"/>
    </row>
    <row r="21" spans="1:10" ht="17.25" customHeight="1">
      <c r="A21" s="125"/>
      <c r="B21" s="126"/>
      <c r="C21" s="121"/>
      <c r="D21" s="122"/>
    </row>
    <row r="22" spans="1:10" ht="17.25" customHeight="1">
      <c r="B22" s="135"/>
      <c r="C22" s="124"/>
      <c r="D22" s="122"/>
    </row>
    <row r="23" spans="1:10" ht="17.25" customHeight="1">
      <c r="A23" s="125"/>
      <c r="B23" s="126"/>
      <c r="C23" s="121"/>
      <c r="D23" s="122"/>
    </row>
    <row r="24" spans="1:10" ht="17.25" customHeight="1">
      <c r="B24" s="135"/>
      <c r="C24" s="124"/>
      <c r="D24" s="122"/>
    </row>
    <row r="25" spans="1:10" ht="17.25" customHeight="1">
      <c r="A25" s="125"/>
      <c r="B25" s="126"/>
      <c r="C25" s="121"/>
      <c r="D25" s="122"/>
    </row>
    <row r="26" spans="1:10" ht="17.25" customHeight="1">
      <c r="B26" s="135"/>
      <c r="C26" s="124"/>
      <c r="D26" s="122"/>
    </row>
    <row r="27" spans="1:10" ht="17.25" customHeight="1">
      <c r="A27" s="125"/>
      <c r="B27" s="126"/>
      <c r="C27" s="121"/>
      <c r="D27" s="122"/>
    </row>
    <row r="28" spans="1:10" ht="17.25" customHeight="1">
      <c r="B28" s="135"/>
      <c r="C28" s="124"/>
      <c r="D28" s="122"/>
    </row>
    <row r="29" spans="1:10" ht="17.25" customHeight="1">
      <c r="A29" s="125"/>
      <c r="B29" s="126"/>
      <c r="C29" s="121"/>
      <c r="D29" s="122"/>
    </row>
    <row r="30" spans="1:10" ht="17.25" customHeight="1">
      <c r="B30" s="135"/>
      <c r="C30" s="124"/>
      <c r="D30" s="122"/>
    </row>
    <row r="31" spans="1:10" ht="17.25" customHeight="1">
      <c r="B31" s="124"/>
      <c r="C31" s="124"/>
      <c r="D31" s="122"/>
    </row>
    <row r="32" spans="1:10" ht="17.25" customHeight="1">
      <c r="B32" s="135"/>
      <c r="C32" s="124"/>
      <c r="D32" s="122"/>
    </row>
    <row r="33" spans="1:10" ht="17.25" customHeight="1">
      <c r="A33" s="125"/>
      <c r="B33" s="130"/>
      <c r="C33" s="121"/>
      <c r="D33" s="122"/>
    </row>
    <row r="34" spans="1:10" ht="17.25" customHeight="1">
      <c r="A34" s="125"/>
      <c r="B34" s="135"/>
      <c r="C34" s="121"/>
      <c r="D34" s="59"/>
      <c r="J34" s="117"/>
    </row>
    <row r="35" spans="1:10" s="48" customFormat="1" ht="17.25" customHeight="1">
      <c r="A35" s="16"/>
      <c r="B35" s="135"/>
      <c r="C35" s="121"/>
      <c r="D35" s="86"/>
      <c r="E35" s="47"/>
      <c r="F35" s="47"/>
      <c r="G35" s="47"/>
      <c r="H35" s="47"/>
      <c r="I35" s="47"/>
    </row>
    <row r="36" spans="1:10" s="48" customFormat="1" ht="17.25" customHeight="1">
      <c r="A36" s="125"/>
      <c r="B36" s="119"/>
      <c r="C36" s="121"/>
      <c r="D36" s="86"/>
      <c r="E36" s="47"/>
      <c r="F36" s="47"/>
      <c r="G36" s="47"/>
      <c r="H36" s="47"/>
      <c r="I36" s="47"/>
    </row>
    <row r="37" spans="1:10" s="48" customFormat="1" ht="17.25" customHeight="1">
      <c r="A37" s="16"/>
      <c r="B37" s="135"/>
      <c r="C37" s="121"/>
      <c r="D37" s="86"/>
      <c r="E37" s="47"/>
      <c r="F37" s="47"/>
      <c r="G37" s="47"/>
      <c r="H37" s="47"/>
      <c r="I37" s="47"/>
    </row>
    <row r="38" spans="1:10" s="48" customFormat="1" ht="17.25" customHeight="1">
      <c r="A38" s="125"/>
      <c r="B38" s="119"/>
      <c r="C38" s="121"/>
      <c r="D38" s="86"/>
      <c r="E38" s="47"/>
      <c r="F38" s="47"/>
      <c r="G38" s="47"/>
      <c r="H38" s="47"/>
      <c r="I38" s="47"/>
    </row>
    <row r="39" spans="1:10" s="48" customFormat="1" ht="17.25" customHeight="1">
      <c r="A39" s="125"/>
      <c r="B39" s="135"/>
      <c r="C39" s="121"/>
      <c r="D39" s="86"/>
      <c r="E39" s="47"/>
      <c r="F39" s="47"/>
      <c r="G39" s="47"/>
      <c r="H39" s="47"/>
      <c r="I39" s="47"/>
    </row>
    <row r="40" spans="1:10" s="48" customFormat="1" ht="12.75" customHeight="1">
      <c r="A40" s="125"/>
      <c r="B40" s="119"/>
      <c r="C40" s="121"/>
      <c r="D40" s="86"/>
      <c r="E40" s="47"/>
      <c r="F40" s="47"/>
      <c r="G40" s="47"/>
      <c r="H40" s="47"/>
      <c r="I40" s="47"/>
    </row>
    <row r="41" spans="1:10" s="48" customFormat="1" ht="12.75" customHeight="1">
      <c r="A41" s="123"/>
      <c r="B41" s="132"/>
      <c r="C41" s="121"/>
      <c r="D41" s="86"/>
      <c r="E41" s="47"/>
      <c r="F41" s="47"/>
      <c r="G41" s="47"/>
      <c r="H41" s="47"/>
      <c r="I41" s="47"/>
    </row>
    <row r="42" spans="1:10" s="48" customFormat="1" ht="12.75" customHeight="1">
      <c r="A42" s="125"/>
      <c r="B42" s="119"/>
      <c r="C42" s="121"/>
      <c r="D42" s="86"/>
      <c r="E42" s="47"/>
      <c r="F42" s="47"/>
      <c r="G42" s="47"/>
      <c r="H42" s="47"/>
      <c r="I42" s="47"/>
    </row>
    <row r="43" spans="1:10" s="48" customFormat="1" ht="12.75" customHeight="1">
      <c r="A43" s="123"/>
      <c r="B43" s="120"/>
      <c r="C43" s="121"/>
      <c r="D43" s="86"/>
      <c r="E43" s="47"/>
      <c r="F43" s="47"/>
      <c r="G43" s="47"/>
      <c r="H43" s="47"/>
      <c r="I43" s="47"/>
    </row>
    <row r="44" spans="1:10" s="48" customFormat="1" ht="12.75" customHeight="1">
      <c r="A44" s="125"/>
      <c r="B44" s="119"/>
      <c r="C44" s="121"/>
      <c r="D44" s="86"/>
      <c r="E44" s="47"/>
      <c r="F44" s="47"/>
      <c r="G44" s="47"/>
      <c r="H44" s="47"/>
      <c r="I44" s="47"/>
    </row>
    <row r="45" spans="1:10" s="48" customFormat="1" ht="12.75" customHeight="1">
      <c r="A45" s="125"/>
      <c r="B45" s="119"/>
      <c r="C45" s="119"/>
      <c r="D45" s="56"/>
      <c r="E45" s="47"/>
      <c r="F45" s="47"/>
      <c r="G45" s="47"/>
      <c r="H45" s="47"/>
      <c r="I45" s="47"/>
    </row>
    <row r="46" spans="1:10" s="48" customFormat="1" ht="12.75" customHeight="1">
      <c r="A46" s="127"/>
      <c r="B46" s="43" t="s">
        <v>223</v>
      </c>
      <c r="C46" s="44" t="s">
        <v>60</v>
      </c>
      <c r="D46" s="45">
        <f>SUM(D4:D45)</f>
        <v>206521.508</v>
      </c>
      <c r="E46" s="47"/>
      <c r="F46" s="47"/>
      <c r="G46" s="47"/>
      <c r="H46" s="47"/>
      <c r="I46" s="47"/>
    </row>
    <row r="47" spans="1:10" s="48" customFormat="1">
      <c r="A47" s="19"/>
      <c r="B47" s="55"/>
      <c r="C47" s="55"/>
      <c r="D47" s="122"/>
      <c r="E47" s="47"/>
      <c r="F47" s="47"/>
      <c r="G47" s="47"/>
      <c r="H47" s="47"/>
      <c r="I47" s="47"/>
    </row>
    <row r="48" spans="1:10" s="48" customFormat="1" ht="10.5" customHeight="1">
      <c r="A48" s="214"/>
      <c r="B48" s="215"/>
      <c r="C48" s="215"/>
      <c r="E48" s="47"/>
      <c r="F48" s="47"/>
      <c r="G48" s="47"/>
      <c r="H48" s="47"/>
      <c r="I48" s="47"/>
      <c r="J48" s="47"/>
    </row>
    <row r="49" spans="1:10" s="48" customFormat="1">
      <c r="A49" s="19"/>
      <c r="B49" s="16"/>
      <c r="C49" s="16"/>
      <c r="D49" s="56"/>
      <c r="E49" s="47"/>
      <c r="F49" s="47"/>
      <c r="G49" s="47"/>
      <c r="H49" s="47"/>
      <c r="I49" s="47"/>
      <c r="J49" s="47"/>
    </row>
    <row r="50" spans="1:10" s="48" customFormat="1">
      <c r="A50" s="19"/>
      <c r="B50" s="16"/>
      <c r="C50" s="16"/>
      <c r="D50" s="56"/>
      <c r="E50" s="47"/>
      <c r="F50" s="47"/>
      <c r="G50" s="47"/>
      <c r="H50" s="47"/>
      <c r="I50" s="47"/>
      <c r="J50" s="47"/>
    </row>
  </sheetData>
  <sheetProtection formatCells="0" formatColumns="0" formatRows="0" insertRows="0"/>
  <mergeCells count="1">
    <mergeCell ref="A48:C48"/>
  </mergeCells>
  <pageMargins left="0.39370078740157483" right="0.39370078740157483" top="1.4173228346456692" bottom="0.59055118110236215" header="0.3543307086614173" footer="0.27559055118110237"/>
  <pageSetup paperSize="9" scale="67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colBreaks count="1" manualBreakCount="1">
    <brk id="7" max="1048575" man="1"/>
  </col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6"/>
  <sheetViews>
    <sheetView zoomScaleNormal="100" zoomScaleSheetLayoutView="85" zoomScalePageLayoutView="90" workbookViewId="0">
      <selection activeCell="N37" sqref="N37"/>
    </sheetView>
  </sheetViews>
  <sheetFormatPr defaultColWidth="9" defaultRowHeight="13.9"/>
  <cols>
    <col min="1" max="1" width="8.25" style="123" customWidth="1"/>
    <col min="2" max="2" width="73.125" style="117" customWidth="1"/>
    <col min="3" max="3" width="3.25" style="117" customWidth="1"/>
    <col min="4" max="4" width="23.875" style="118" customWidth="1"/>
    <col min="5" max="10" width="9" style="116"/>
    <col min="11" max="16384" width="9" style="117"/>
  </cols>
  <sheetData>
    <row r="1" spans="1:10">
      <c r="A1" s="113" t="s">
        <v>720</v>
      </c>
      <c r="B1" s="114"/>
      <c r="C1" s="114"/>
      <c r="D1" s="115"/>
    </row>
    <row r="2" spans="1:10" ht="14.25" customHeight="1">
      <c r="A2" s="16"/>
      <c r="B2" s="16"/>
      <c r="C2" s="16"/>
    </row>
    <row r="3" spans="1:10" s="54" customFormat="1">
      <c r="A3" s="50" t="s">
        <v>7</v>
      </c>
      <c r="B3" s="58" t="s">
        <v>58</v>
      </c>
      <c r="C3" s="58"/>
      <c r="D3" s="52" t="s">
        <v>9</v>
      </c>
      <c r="E3" s="53"/>
      <c r="F3" s="53"/>
      <c r="G3" s="53"/>
      <c r="H3" s="53"/>
      <c r="I3" s="53"/>
      <c r="J3" s="53"/>
    </row>
    <row r="4" spans="1:10" s="48" customFormat="1" ht="12.75" customHeight="1">
      <c r="A4" s="16"/>
      <c r="B4" s="119"/>
      <c r="C4" s="119"/>
      <c r="D4" s="56"/>
      <c r="E4" s="47"/>
      <c r="F4" s="47"/>
      <c r="G4" s="47"/>
      <c r="H4" s="47"/>
      <c r="I4" s="47"/>
      <c r="J4" s="47"/>
    </row>
    <row r="5" spans="1:10" ht="30" customHeight="1">
      <c r="A5" s="19" t="s">
        <v>33</v>
      </c>
      <c r="B5" s="120" t="s">
        <v>721</v>
      </c>
      <c r="C5" s="121"/>
      <c r="D5" s="122"/>
    </row>
    <row r="6" spans="1:10" ht="12.75" customHeight="1">
      <c r="B6" s="124"/>
      <c r="C6" s="124"/>
      <c r="D6" s="122"/>
    </row>
    <row r="7" spans="1:10" ht="12.75" customHeight="1">
      <c r="A7" s="125">
        <v>1</v>
      </c>
      <c r="B7" s="126" t="s">
        <v>722</v>
      </c>
      <c r="C7" s="121" t="s">
        <v>60</v>
      </c>
      <c r="D7" s="122">
        <f>SUM(C7:C7)</f>
        <v>0</v>
      </c>
    </row>
    <row r="8" spans="1:10" ht="12.75" customHeight="1">
      <c r="A8" s="125"/>
      <c r="B8" s="126"/>
      <c r="C8" s="121"/>
      <c r="D8" s="122"/>
    </row>
    <row r="9" spans="1:10" ht="12.75" customHeight="1">
      <c r="A9" s="125">
        <v>2</v>
      </c>
      <c r="B9" s="126" t="s">
        <v>723</v>
      </c>
      <c r="C9" s="121" t="s">
        <v>60</v>
      </c>
      <c r="D9" s="122"/>
    </row>
    <row r="10" spans="1:10" ht="12.75" customHeight="1">
      <c r="A10" s="125"/>
      <c r="B10" s="126"/>
      <c r="C10" s="121"/>
      <c r="D10" s="122"/>
    </row>
    <row r="11" spans="1:10" ht="12.75" customHeight="1">
      <c r="A11" s="125">
        <v>3</v>
      </c>
      <c r="B11" s="126" t="s">
        <v>724</v>
      </c>
      <c r="C11" s="121" t="s">
        <v>60</v>
      </c>
      <c r="D11" s="122">
        <f>SUM(C11:C11)</f>
        <v>0</v>
      </c>
    </row>
    <row r="12" spans="1:10" ht="12.75" customHeight="1">
      <c r="A12" s="125"/>
      <c r="B12" s="126"/>
      <c r="C12" s="121"/>
      <c r="D12" s="122"/>
    </row>
    <row r="13" spans="1:10" ht="12.75" customHeight="1">
      <c r="A13" s="125">
        <v>4</v>
      </c>
      <c r="B13" s="126" t="s">
        <v>725</v>
      </c>
      <c r="C13" s="121" t="s">
        <v>60</v>
      </c>
      <c r="D13" s="122">
        <f>SUM(C13:C13)</f>
        <v>0</v>
      </c>
    </row>
    <row r="14" spans="1:10" ht="12.75" customHeight="1">
      <c r="A14" s="125"/>
      <c r="B14" s="126"/>
      <c r="C14" s="121"/>
      <c r="D14" s="122"/>
    </row>
    <row r="15" spans="1:10" ht="12.75" customHeight="1">
      <c r="A15" s="125">
        <v>5</v>
      </c>
      <c r="B15" s="126" t="s">
        <v>726</v>
      </c>
      <c r="C15" s="121" t="s">
        <v>60</v>
      </c>
      <c r="D15" s="122">
        <f>SUM(C15:C15)</f>
        <v>0</v>
      </c>
    </row>
    <row r="16" spans="1:10" ht="12.75" customHeight="1">
      <c r="A16" s="125"/>
      <c r="B16" s="126"/>
      <c r="C16" s="121"/>
      <c r="D16" s="122"/>
    </row>
    <row r="17" spans="1:4" ht="12.75" customHeight="1">
      <c r="A17" s="125">
        <v>6</v>
      </c>
      <c r="B17" s="126" t="s">
        <v>727</v>
      </c>
      <c r="C17" s="121" t="s">
        <v>60</v>
      </c>
      <c r="D17" s="122">
        <f>SUM(C17:C17)</f>
        <v>0</v>
      </c>
    </row>
    <row r="18" spans="1:4" ht="12.75" customHeight="1">
      <c r="A18" s="125"/>
      <c r="B18" s="126"/>
      <c r="C18" s="121"/>
      <c r="D18" s="122"/>
    </row>
    <row r="19" spans="1:4" ht="12.75" customHeight="1">
      <c r="A19" s="125">
        <v>7</v>
      </c>
      <c r="B19" s="126" t="s">
        <v>728</v>
      </c>
      <c r="C19" s="121" t="s">
        <v>60</v>
      </c>
      <c r="D19" s="122">
        <f>SUM(C19:C19)</f>
        <v>0</v>
      </c>
    </row>
    <row r="20" spans="1:4" ht="12.75" customHeight="1">
      <c r="A20" s="125"/>
      <c r="B20" s="126"/>
      <c r="C20" s="121"/>
      <c r="D20" s="122"/>
    </row>
    <row r="21" spans="1:4" ht="12.75" customHeight="1">
      <c r="A21" s="125">
        <v>8</v>
      </c>
      <c r="B21" s="126" t="s">
        <v>729</v>
      </c>
      <c r="C21" s="121" t="s">
        <v>60</v>
      </c>
      <c r="D21" s="122">
        <f>SUM(C21:C21)</f>
        <v>0</v>
      </c>
    </row>
    <row r="22" spans="1:4" ht="12.75" customHeight="1">
      <c r="A22" s="125"/>
      <c r="B22" s="126"/>
      <c r="C22" s="121"/>
      <c r="D22" s="122"/>
    </row>
    <row r="23" spans="1:4" ht="12.75" customHeight="1">
      <c r="A23" s="125">
        <v>9</v>
      </c>
      <c r="B23" s="126" t="s">
        <v>730</v>
      </c>
      <c r="C23" s="121" t="s">
        <v>60</v>
      </c>
      <c r="D23" s="122">
        <f>SUM(C23:C23)</f>
        <v>0</v>
      </c>
    </row>
    <row r="24" spans="1:4" ht="12.75" customHeight="1">
      <c r="A24" s="125"/>
      <c r="B24" s="126"/>
      <c r="C24" s="121"/>
      <c r="D24" s="122"/>
    </row>
    <row r="25" spans="1:4" ht="12.75" customHeight="1">
      <c r="A25" s="125">
        <v>10</v>
      </c>
      <c r="B25" s="126" t="s">
        <v>731</v>
      </c>
      <c r="C25" s="121" t="s">
        <v>60</v>
      </c>
      <c r="D25" s="122">
        <f>SUM(C25:C25)</f>
        <v>0</v>
      </c>
    </row>
    <row r="26" spans="1:4" ht="12.75" customHeight="1">
      <c r="A26" s="125"/>
      <c r="B26" s="126"/>
      <c r="C26" s="121"/>
      <c r="D26" s="122"/>
    </row>
    <row r="27" spans="1:4" s="116" customFormat="1" ht="12.75" customHeight="1">
      <c r="A27" s="125">
        <v>11</v>
      </c>
      <c r="B27" s="126" t="s">
        <v>732</v>
      </c>
      <c r="C27" s="121" t="s">
        <v>60</v>
      </c>
      <c r="D27" s="122">
        <f>SUM(C27:C27)</f>
        <v>0</v>
      </c>
    </row>
    <row r="28" spans="1:4" s="116" customFormat="1" ht="12.75" customHeight="1">
      <c r="A28" s="125"/>
      <c r="B28" s="126"/>
      <c r="C28" s="121"/>
      <c r="D28" s="122"/>
    </row>
    <row r="29" spans="1:4" s="116" customFormat="1" ht="12.75" customHeight="1">
      <c r="A29" s="125">
        <v>12</v>
      </c>
      <c r="B29" s="126" t="s">
        <v>733</v>
      </c>
      <c r="C29" s="121" t="s">
        <v>60</v>
      </c>
      <c r="D29" s="122">
        <f>SUM(C29:C29)</f>
        <v>0</v>
      </c>
    </row>
    <row r="30" spans="1:4" s="116" customFormat="1" ht="12.75" customHeight="1">
      <c r="A30" s="125"/>
      <c r="B30" s="124"/>
      <c r="C30" s="121"/>
      <c r="D30" s="122"/>
    </row>
    <row r="31" spans="1:4" s="116" customFormat="1" ht="12.75" customHeight="1">
      <c r="A31" s="125">
        <v>13</v>
      </c>
      <c r="B31" s="126" t="s">
        <v>734</v>
      </c>
      <c r="C31" s="121" t="s">
        <v>60</v>
      </c>
      <c r="D31" s="122">
        <f>SUM(C31:C31)</f>
        <v>0</v>
      </c>
    </row>
    <row r="32" spans="1:4" s="116" customFormat="1" ht="12.75" customHeight="1">
      <c r="A32" s="125"/>
      <c r="B32" s="124"/>
      <c r="C32" s="121"/>
      <c r="D32" s="122"/>
    </row>
    <row r="33" spans="1:4" s="116" customFormat="1" ht="12.75" customHeight="1">
      <c r="A33" s="125">
        <v>14</v>
      </c>
      <c r="B33" s="126" t="s">
        <v>735</v>
      </c>
      <c r="C33" s="121" t="s">
        <v>60</v>
      </c>
      <c r="D33" s="122">
        <f>SUM(C33:C33)</f>
        <v>0</v>
      </c>
    </row>
    <row r="34" spans="1:4" s="116" customFormat="1" ht="12.75" customHeight="1">
      <c r="A34" s="125"/>
      <c r="B34" s="124"/>
      <c r="C34" s="121"/>
      <c r="D34" s="122"/>
    </row>
    <row r="35" spans="1:4" s="116" customFormat="1" ht="12.75" customHeight="1">
      <c r="A35" s="125">
        <v>15</v>
      </c>
      <c r="B35" s="126" t="s">
        <v>736</v>
      </c>
      <c r="C35" s="121" t="s">
        <v>60</v>
      </c>
      <c r="D35" s="122">
        <f>SUM(C35:C35)</f>
        <v>0</v>
      </c>
    </row>
    <row r="36" spans="1:4" s="116" customFormat="1" ht="12.75" customHeight="1">
      <c r="A36" s="125"/>
      <c r="B36" s="124"/>
      <c r="C36" s="121"/>
      <c r="D36" s="122"/>
    </row>
    <row r="37" spans="1:4" s="116" customFormat="1" ht="12.75" customHeight="1">
      <c r="A37" s="125">
        <v>16</v>
      </c>
      <c r="B37" s="126" t="s">
        <v>737</v>
      </c>
      <c r="C37" s="121" t="s">
        <v>60</v>
      </c>
      <c r="D37" s="122">
        <f>SUM(C37:C37)</f>
        <v>0</v>
      </c>
    </row>
    <row r="38" spans="1:4" s="116" customFormat="1" ht="12.75" customHeight="1">
      <c r="A38" s="125"/>
      <c r="B38" s="124"/>
      <c r="C38" s="121"/>
      <c r="D38" s="122"/>
    </row>
    <row r="39" spans="1:4" s="116" customFormat="1" ht="12.75" customHeight="1">
      <c r="A39" s="16">
        <v>17</v>
      </c>
      <c r="B39" s="128" t="s">
        <v>738</v>
      </c>
      <c r="C39" s="121"/>
      <c r="D39" s="122"/>
    </row>
    <row r="40" spans="1:4" s="116" customFormat="1" ht="12.75" customHeight="1">
      <c r="A40" s="125"/>
      <c r="B40" s="124"/>
      <c r="C40" s="121"/>
      <c r="D40" s="122"/>
    </row>
    <row r="41" spans="1:4" s="116" customFormat="1" ht="12.75" customHeight="1">
      <c r="A41" s="125"/>
      <c r="B41" s="124"/>
      <c r="C41" s="121" t="s">
        <v>60</v>
      </c>
      <c r="D41" s="122">
        <f>SUM(C41:C41)</f>
        <v>0</v>
      </c>
    </row>
    <row r="42" spans="1:4" s="116" customFormat="1" ht="12.75" customHeight="1">
      <c r="A42" s="125"/>
      <c r="B42" s="124"/>
      <c r="C42" s="121"/>
      <c r="D42" s="122"/>
    </row>
    <row r="43" spans="1:4" s="116" customFormat="1" ht="12.75" customHeight="1">
      <c r="A43" s="125"/>
      <c r="B43" s="124"/>
      <c r="C43" s="121" t="s">
        <v>60</v>
      </c>
      <c r="D43" s="122">
        <f>SUM(C43:C43)</f>
        <v>0</v>
      </c>
    </row>
    <row r="44" spans="1:4" s="116" customFormat="1" ht="12.75" customHeight="1">
      <c r="A44" s="125"/>
      <c r="B44" s="124"/>
      <c r="C44" s="121"/>
      <c r="D44" s="122"/>
    </row>
    <row r="45" spans="1:4" s="116" customFormat="1" ht="12.75" customHeight="1">
      <c r="A45" s="125"/>
      <c r="B45" s="124"/>
      <c r="C45" s="121" t="s">
        <v>60</v>
      </c>
      <c r="D45" s="122">
        <f>SUM(C45:C45)</f>
        <v>0</v>
      </c>
    </row>
    <row r="46" spans="1:4" s="116" customFormat="1" ht="12.75" customHeight="1">
      <c r="A46" s="125"/>
      <c r="B46" s="124"/>
      <c r="C46" s="121"/>
      <c r="D46" s="122"/>
    </row>
    <row r="47" spans="1:4" s="116" customFormat="1" ht="12.75" customHeight="1">
      <c r="A47" s="125"/>
      <c r="B47" s="124"/>
      <c r="C47" s="121" t="s">
        <v>60</v>
      </c>
      <c r="D47" s="122">
        <f>SUM(C47:C47)</f>
        <v>0</v>
      </c>
    </row>
    <row r="48" spans="1:4" s="116" customFormat="1" ht="12.75" customHeight="1">
      <c r="A48" s="125"/>
      <c r="B48" s="124"/>
      <c r="C48" s="121"/>
      <c r="D48" s="122"/>
    </row>
    <row r="49" spans="1:10" s="116" customFormat="1" ht="12.75" customHeight="1">
      <c r="A49" s="125"/>
      <c r="B49" s="124"/>
      <c r="C49" s="121" t="s">
        <v>60</v>
      </c>
      <c r="D49" s="122">
        <f>SUM(C49:C49)</f>
        <v>0</v>
      </c>
    </row>
    <row r="50" spans="1:10" s="116" customFormat="1" ht="12.75" customHeight="1">
      <c r="A50" s="125"/>
      <c r="B50" s="124"/>
      <c r="C50" s="121"/>
      <c r="D50" s="122"/>
    </row>
    <row r="51" spans="1:10" s="116" customFormat="1" ht="12.75" customHeight="1">
      <c r="A51" s="125"/>
      <c r="B51" s="124"/>
      <c r="C51" s="121" t="s">
        <v>60</v>
      </c>
      <c r="D51" s="122">
        <f>SUM(C51:C51)</f>
        <v>0</v>
      </c>
    </row>
    <row r="52" spans="1:10" s="116" customFormat="1" ht="12.75" customHeight="1">
      <c r="A52" s="125"/>
      <c r="B52" s="124"/>
      <c r="C52" s="121"/>
      <c r="D52" s="122"/>
    </row>
    <row r="53" spans="1:10" s="116" customFormat="1" ht="12.75" customHeight="1">
      <c r="A53" s="125"/>
      <c r="B53" s="124"/>
      <c r="C53" s="121" t="s">
        <v>60</v>
      </c>
      <c r="D53" s="122">
        <f>SUM(C53:C53)</f>
        <v>0</v>
      </c>
    </row>
    <row r="54" spans="1:10" s="116" customFormat="1" ht="12.75" customHeight="1">
      <c r="A54" s="125"/>
      <c r="B54" s="124"/>
      <c r="C54" s="121"/>
      <c r="D54" s="122"/>
    </row>
    <row r="55" spans="1:10" s="116" customFormat="1" ht="12.75" customHeight="1">
      <c r="A55" s="125"/>
      <c r="B55" s="124"/>
      <c r="C55" s="121" t="s">
        <v>60</v>
      </c>
      <c r="D55" s="122">
        <f>SUM(C55:C55)</f>
        <v>0</v>
      </c>
    </row>
    <row r="56" spans="1:10" s="116" customFormat="1" ht="12.75" customHeight="1">
      <c r="A56" s="125"/>
      <c r="B56" s="124"/>
      <c r="C56" s="121"/>
      <c r="D56" s="122"/>
    </row>
    <row r="57" spans="1:10" s="116" customFormat="1" ht="12.75" customHeight="1">
      <c r="A57" s="125"/>
      <c r="B57" s="124"/>
      <c r="C57" s="121" t="s">
        <v>60</v>
      </c>
      <c r="D57" s="122">
        <f>SUM(C57:C57)</f>
        <v>0</v>
      </c>
    </row>
    <row r="58" spans="1:10" s="116" customFormat="1" ht="12.75" customHeight="1">
      <c r="A58" s="125"/>
      <c r="B58" s="124"/>
      <c r="C58" s="121"/>
      <c r="D58" s="122"/>
    </row>
    <row r="59" spans="1:10" s="116" customFormat="1" ht="12.75" customHeight="1">
      <c r="A59" s="125"/>
      <c r="B59" s="124"/>
      <c r="C59" s="121" t="s">
        <v>60</v>
      </c>
      <c r="D59" s="122">
        <f>SUM(C59:C59)</f>
        <v>0</v>
      </c>
    </row>
    <row r="60" spans="1:10" s="48" customFormat="1" ht="12.75" customHeight="1">
      <c r="A60" s="125"/>
      <c r="B60" s="119"/>
      <c r="C60" s="121"/>
      <c r="D60" s="86"/>
      <c r="E60" s="47"/>
      <c r="F60" s="47"/>
      <c r="G60" s="47"/>
      <c r="H60" s="47"/>
      <c r="I60" s="47"/>
    </row>
    <row r="61" spans="1:10" s="48" customFormat="1" ht="12.75" customHeight="1">
      <c r="A61" s="125"/>
      <c r="B61" s="119"/>
      <c r="C61" s="119"/>
      <c r="D61" s="56"/>
      <c r="E61" s="47"/>
      <c r="F61" s="47"/>
      <c r="G61" s="47"/>
      <c r="H61" s="47"/>
      <c r="I61" s="47"/>
    </row>
    <row r="62" spans="1:10" s="48" customFormat="1" ht="32.25" customHeight="1">
      <c r="A62" s="127"/>
      <c r="B62" s="43" t="s">
        <v>223</v>
      </c>
      <c r="C62" s="44" t="s">
        <v>60</v>
      </c>
      <c r="D62" s="45">
        <f>SUM(D5:D60)</f>
        <v>0</v>
      </c>
      <c r="E62" s="47"/>
      <c r="F62" s="47"/>
      <c r="G62" s="47"/>
      <c r="H62" s="47"/>
      <c r="I62" s="47"/>
    </row>
    <row r="63" spans="1:10" s="48" customFormat="1">
      <c r="A63" s="19"/>
      <c r="B63" s="55"/>
      <c r="C63" s="55"/>
      <c r="D63" s="122"/>
      <c r="E63" s="47"/>
      <c r="F63" s="47"/>
      <c r="G63" s="47"/>
      <c r="H63" s="47"/>
      <c r="I63" s="47"/>
    </row>
    <row r="64" spans="1:10" s="48" customFormat="1" ht="10.5" customHeight="1">
      <c r="A64" s="214"/>
      <c r="B64" s="215"/>
      <c r="C64" s="215"/>
      <c r="E64" s="47"/>
      <c r="F64" s="47"/>
      <c r="G64" s="47"/>
      <c r="H64" s="47"/>
      <c r="I64" s="47"/>
      <c r="J64" s="47"/>
    </row>
    <row r="65" spans="1:10" s="48" customFormat="1">
      <c r="A65" s="19"/>
      <c r="B65" s="16"/>
      <c r="C65" s="16"/>
      <c r="D65" s="56"/>
      <c r="E65" s="47"/>
      <c r="F65" s="47"/>
      <c r="G65" s="47"/>
      <c r="H65" s="47"/>
      <c r="I65" s="47"/>
      <c r="J65" s="47"/>
    </row>
    <row r="66" spans="1:10" s="48" customFormat="1">
      <c r="A66" s="19"/>
      <c r="B66" s="16"/>
      <c r="C66" s="16"/>
      <c r="D66" s="56"/>
      <c r="E66" s="47"/>
      <c r="F66" s="47"/>
      <c r="G66" s="47"/>
      <c r="H66" s="47"/>
      <c r="I66" s="47"/>
      <c r="J66" s="47"/>
    </row>
  </sheetData>
  <sheetProtection formatCells="0" formatColumns="0" formatRows="0" insertRows="0"/>
  <mergeCells count="1">
    <mergeCell ref="A64:C64"/>
  </mergeCells>
  <pageMargins left="0.39370078740157483" right="0.39370078740157483" top="1.4173228346456692" bottom="0.59055118110236215" header="0.3543307086614173" footer="0.27559055118110237"/>
  <pageSetup paperSize="9" scale="81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6"/>
  <sheetViews>
    <sheetView zoomScaleNormal="100" zoomScaleSheetLayoutView="100" zoomScalePageLayoutView="90" workbookViewId="0">
      <selection activeCell="I6" sqref="I6"/>
    </sheetView>
  </sheetViews>
  <sheetFormatPr defaultColWidth="9" defaultRowHeight="13.9"/>
  <cols>
    <col min="1" max="1" width="8.25" style="19" customWidth="1"/>
    <col min="2" max="2" width="74.25" style="48" customWidth="1"/>
    <col min="3" max="3" width="3.25" style="48" customWidth="1"/>
    <col min="4" max="4" width="22.25" style="49" customWidth="1"/>
    <col min="5" max="10" width="9" style="47"/>
    <col min="11" max="16384" width="9" style="48"/>
  </cols>
  <sheetData>
    <row r="1" spans="1:12">
      <c r="A1" s="213" t="s">
        <v>739</v>
      </c>
      <c r="B1" s="213"/>
      <c r="C1" s="213"/>
      <c r="D1" s="46"/>
    </row>
    <row r="2" spans="1:12" ht="14.25" customHeight="1">
      <c r="A2" s="16"/>
      <c r="B2" s="16"/>
      <c r="C2" s="16"/>
    </row>
    <row r="3" spans="1:12" s="54" customFormat="1" ht="33" customHeight="1">
      <c r="A3" s="57" t="s">
        <v>7</v>
      </c>
      <c r="B3" s="51" t="s">
        <v>58</v>
      </c>
      <c r="C3" s="58"/>
      <c r="D3" s="52" t="s">
        <v>9</v>
      </c>
      <c r="E3" s="53"/>
      <c r="F3" s="53"/>
      <c r="G3" s="53"/>
      <c r="H3" s="53"/>
      <c r="I3" s="53"/>
      <c r="J3" s="53"/>
    </row>
    <row r="4" spans="1:12" ht="15" customHeight="1">
      <c r="A4" s="108"/>
      <c r="B4" s="109"/>
      <c r="C4" s="18"/>
      <c r="D4" s="36"/>
      <c r="J4" s="47">
        <v>10.76</v>
      </c>
    </row>
    <row r="5" spans="1:12" ht="15" customHeight="1">
      <c r="A5" s="35"/>
      <c r="B5" s="22" t="s">
        <v>740</v>
      </c>
      <c r="C5" s="18"/>
      <c r="D5" s="36"/>
      <c r="I5" s="47">
        <f>491.97-82.23</f>
        <v>409.74</v>
      </c>
      <c r="J5" s="47">
        <f>I5*J4</f>
        <v>4408.8023999999996</v>
      </c>
      <c r="K5" s="48">
        <v>689787</v>
      </c>
      <c r="L5" s="48">
        <f>K5/J5</f>
        <v>156.4567738395352</v>
      </c>
    </row>
    <row r="6" spans="1:12" ht="15" customHeight="1">
      <c r="A6" s="35"/>
      <c r="B6" s="17"/>
      <c r="C6" s="18"/>
      <c r="D6" s="36"/>
      <c r="I6" s="47">
        <v>192.06</v>
      </c>
      <c r="J6" s="47">
        <f>I6*J4</f>
        <v>2066.5655999999999</v>
      </c>
      <c r="K6" s="48">
        <v>194104</v>
      </c>
      <c r="L6" s="48">
        <f>K6/J6</f>
        <v>93.925883601275473</v>
      </c>
    </row>
    <row r="7" spans="1:12" ht="15" customHeight="1">
      <c r="A7" s="35">
        <v>1</v>
      </c>
      <c r="B7" s="26" t="s">
        <v>741</v>
      </c>
      <c r="C7" s="18" t="s">
        <v>60</v>
      </c>
      <c r="D7" s="36">
        <f t="shared" ref="D7" si="0">SUM(C7:C7)</f>
        <v>0</v>
      </c>
      <c r="L7" s="48">
        <f>L5-L6</f>
        <v>62.53089023825973</v>
      </c>
    </row>
    <row r="8" spans="1:12" ht="15" customHeight="1">
      <c r="A8" s="35"/>
      <c r="B8" s="90"/>
      <c r="C8" s="18"/>
      <c r="D8" s="36"/>
    </row>
    <row r="9" spans="1:12" ht="15" customHeight="1">
      <c r="A9" s="35">
        <v>2</v>
      </c>
      <c r="B9" s="26"/>
      <c r="C9" s="18" t="s">
        <v>60</v>
      </c>
      <c r="D9" s="36">
        <f t="shared" ref="D9" si="1">SUM(C9:C9)</f>
        <v>0</v>
      </c>
    </row>
    <row r="10" spans="1:12" ht="15" customHeight="1">
      <c r="A10" s="35"/>
      <c r="B10" s="90"/>
      <c r="C10" s="18"/>
      <c r="D10" s="36"/>
    </row>
    <row r="11" spans="1:12" ht="13.5">
      <c r="A11" s="35">
        <v>3</v>
      </c>
      <c r="B11" s="26"/>
      <c r="C11" s="18" t="s">
        <v>60</v>
      </c>
      <c r="D11" s="36">
        <f t="shared" ref="D11" si="2">SUM(C11:C11)</f>
        <v>0</v>
      </c>
    </row>
    <row r="12" spans="1:12" ht="15" customHeight="1">
      <c r="A12" s="35"/>
      <c r="B12" s="90"/>
      <c r="C12" s="18"/>
      <c r="D12" s="36"/>
    </row>
    <row r="13" spans="1:12" ht="13.5">
      <c r="A13" s="35">
        <v>4</v>
      </c>
      <c r="B13" s="26"/>
      <c r="C13" s="18" t="s">
        <v>60</v>
      </c>
      <c r="D13" s="36">
        <f t="shared" ref="D13:D15" si="3">SUM(C13:C13)</f>
        <v>0</v>
      </c>
    </row>
    <row r="14" spans="1:12" ht="15" customHeight="1">
      <c r="A14" s="35"/>
      <c r="B14" s="90"/>
      <c r="C14" s="18"/>
      <c r="D14" s="36"/>
    </row>
    <row r="15" spans="1:12" ht="13.5">
      <c r="A15" s="35">
        <v>5</v>
      </c>
      <c r="B15" s="112"/>
      <c r="C15" s="18" t="s">
        <v>60</v>
      </c>
      <c r="D15" s="36">
        <f t="shared" si="3"/>
        <v>0</v>
      </c>
    </row>
    <row r="16" spans="1:12" ht="15" customHeight="1">
      <c r="A16" s="35"/>
      <c r="B16" s="90"/>
      <c r="C16" s="18"/>
      <c r="D16" s="36"/>
    </row>
    <row r="17" spans="1:10" ht="15" customHeight="1">
      <c r="A17" s="35">
        <v>6</v>
      </c>
      <c r="B17" s="90"/>
      <c r="C17" s="18" t="s">
        <v>60</v>
      </c>
      <c r="D17" s="36">
        <f t="shared" ref="D17" si="4">SUM(C17:C17)</f>
        <v>0</v>
      </c>
    </row>
    <row r="18" spans="1:10" ht="15" customHeight="1">
      <c r="A18" s="35"/>
      <c r="B18" s="90"/>
      <c r="C18" s="18"/>
      <c r="D18" s="36"/>
    </row>
    <row r="19" spans="1:10" ht="15" customHeight="1">
      <c r="A19" s="35">
        <v>7</v>
      </c>
      <c r="B19" s="90"/>
      <c r="C19" s="18" t="s">
        <v>60</v>
      </c>
      <c r="D19" s="36">
        <f t="shared" ref="D19" si="5">SUM(C19:C19)</f>
        <v>0</v>
      </c>
    </row>
    <row r="20" spans="1:10" ht="15" customHeight="1">
      <c r="A20" s="35"/>
      <c r="B20" s="110"/>
      <c r="C20" s="18"/>
      <c r="D20" s="36"/>
      <c r="E20" s="48"/>
      <c r="F20" s="48"/>
      <c r="G20" s="48"/>
      <c r="H20" s="48"/>
      <c r="I20" s="48"/>
      <c r="J20" s="48"/>
    </row>
    <row r="21" spans="1:10" ht="14.25" customHeight="1">
      <c r="A21" s="35"/>
      <c r="B21" s="111"/>
      <c r="C21" s="18"/>
      <c r="D21" s="36"/>
    </row>
    <row r="22" spans="1:10" ht="15" customHeight="1">
      <c r="A22" s="35"/>
      <c r="B22" s="110"/>
      <c r="C22" s="18"/>
      <c r="D22" s="36"/>
      <c r="J22" s="48"/>
    </row>
    <row r="23" spans="1:10" ht="15" customHeight="1">
      <c r="A23" s="96"/>
      <c r="B23" s="105"/>
      <c r="C23" s="18"/>
      <c r="D23" s="36"/>
      <c r="J23" s="48"/>
    </row>
    <row r="24" spans="1:10" ht="13.5">
      <c r="A24" s="35"/>
      <c r="B24" s="26"/>
      <c r="C24" s="18"/>
      <c r="D24" s="36"/>
      <c r="J24" s="48"/>
    </row>
    <row r="25" spans="1:10" ht="13.5">
      <c r="A25" s="35"/>
      <c r="B25" s="26"/>
      <c r="C25" s="18"/>
      <c r="D25" s="36"/>
      <c r="J25" s="48"/>
    </row>
    <row r="26" spans="1:10" ht="15" customHeight="1">
      <c r="A26" s="35"/>
      <c r="B26" s="26"/>
      <c r="C26" s="18"/>
      <c r="D26" s="36"/>
      <c r="J26" s="48"/>
    </row>
    <row r="27" spans="1:10" ht="15" customHeight="1">
      <c r="A27" s="35"/>
      <c r="B27" s="17"/>
      <c r="C27" s="18"/>
      <c r="D27" s="36"/>
      <c r="J27" s="48"/>
    </row>
    <row r="28" spans="1:10" ht="15" customHeight="1">
      <c r="A28" s="35"/>
      <c r="B28" s="26"/>
      <c r="C28" s="18"/>
      <c r="D28" s="36"/>
      <c r="J28" s="48"/>
    </row>
    <row r="29" spans="1:10" ht="15" customHeight="1">
      <c r="A29" s="35"/>
      <c r="B29" s="17"/>
      <c r="C29" s="18"/>
      <c r="D29" s="36"/>
      <c r="J29" s="48"/>
    </row>
    <row r="30" spans="1:10" ht="15" customHeight="1">
      <c r="A30" s="35"/>
      <c r="B30" s="17"/>
      <c r="C30" s="18"/>
      <c r="D30" s="36"/>
      <c r="J30" s="48"/>
    </row>
    <row r="31" spans="1:10" ht="15" customHeight="1">
      <c r="A31" s="35"/>
      <c r="B31" s="17"/>
      <c r="C31" s="18"/>
      <c r="D31" s="36"/>
      <c r="J31" s="48"/>
    </row>
    <row r="32" spans="1:10" ht="15" customHeight="1">
      <c r="A32" s="35"/>
      <c r="B32" s="17"/>
      <c r="C32" s="18"/>
      <c r="D32" s="36"/>
      <c r="J32" s="48"/>
    </row>
    <row r="33" spans="1:10" ht="15" customHeight="1">
      <c r="A33" s="35"/>
      <c r="B33" s="17"/>
      <c r="C33" s="18"/>
      <c r="D33" s="36"/>
      <c r="J33" s="48"/>
    </row>
    <row r="34" spans="1:10" ht="15" customHeight="1">
      <c r="A34" s="35"/>
      <c r="B34" s="17"/>
      <c r="C34" s="18"/>
      <c r="D34" s="36"/>
      <c r="J34" s="48"/>
    </row>
    <row r="35" spans="1:10" ht="15" customHeight="1">
      <c r="A35" s="35"/>
      <c r="B35" s="17"/>
      <c r="C35" s="18"/>
      <c r="D35" s="36"/>
      <c r="J35" s="48"/>
    </row>
    <row r="36" spans="1:10" ht="15" customHeight="1">
      <c r="A36" s="35"/>
      <c r="B36" s="17"/>
      <c r="C36" s="18"/>
      <c r="D36" s="36"/>
      <c r="J36" s="48"/>
    </row>
    <row r="37" spans="1:10" ht="15" customHeight="1">
      <c r="A37" s="35"/>
      <c r="B37" s="26"/>
      <c r="C37" s="18"/>
      <c r="D37" s="36"/>
      <c r="J37" s="48"/>
    </row>
    <row r="38" spans="1:10" ht="15" customHeight="1">
      <c r="A38" s="35"/>
      <c r="B38" s="17"/>
      <c r="C38" s="18"/>
      <c r="D38" s="36"/>
      <c r="J38" s="48"/>
    </row>
    <row r="39" spans="1:10" ht="15" customHeight="1">
      <c r="A39" s="35"/>
      <c r="B39" s="17"/>
      <c r="C39" s="18"/>
      <c r="D39" s="36"/>
      <c r="J39" s="48"/>
    </row>
    <row r="40" spans="1:10" ht="15" customHeight="1">
      <c r="A40" s="35"/>
      <c r="B40" s="17"/>
      <c r="C40" s="18"/>
      <c r="D40" s="36"/>
      <c r="J40" s="48"/>
    </row>
    <row r="41" spans="1:10" ht="15" customHeight="1">
      <c r="A41" s="35"/>
      <c r="B41" s="26"/>
      <c r="C41" s="18"/>
      <c r="D41" s="36"/>
      <c r="J41" s="48"/>
    </row>
    <row r="42" spans="1:10" ht="15" customHeight="1">
      <c r="A42" s="35"/>
      <c r="B42" s="26"/>
      <c r="C42" s="18"/>
      <c r="D42" s="36"/>
      <c r="J42" s="48"/>
    </row>
    <row r="43" spans="1:10" ht="15" customHeight="1">
      <c r="A43" s="35"/>
      <c r="B43" s="26"/>
      <c r="C43" s="18"/>
      <c r="D43" s="36"/>
      <c r="J43" s="48"/>
    </row>
    <row r="44" spans="1:10" ht="15" customHeight="1">
      <c r="A44" s="35"/>
      <c r="B44" s="26"/>
      <c r="C44" s="18"/>
      <c r="D44" s="36"/>
      <c r="J44" s="48"/>
    </row>
    <row r="45" spans="1:10" ht="15" customHeight="1">
      <c r="A45" s="35"/>
      <c r="B45" s="26"/>
      <c r="C45" s="18"/>
      <c r="D45" s="36"/>
      <c r="J45" s="48"/>
    </row>
    <row r="46" spans="1:10" ht="15" customHeight="1">
      <c r="A46" s="35"/>
      <c r="B46" s="26"/>
      <c r="C46" s="18"/>
      <c r="D46" s="36"/>
      <c r="J46" s="48"/>
    </row>
    <row r="47" spans="1:10" ht="15" customHeight="1">
      <c r="A47" s="35"/>
      <c r="B47" s="17"/>
      <c r="C47" s="18"/>
      <c r="D47" s="36"/>
      <c r="J47" s="48"/>
    </row>
    <row r="48" spans="1:10" ht="15" customHeight="1">
      <c r="A48" s="35"/>
      <c r="B48" s="17"/>
      <c r="C48" s="18"/>
      <c r="D48" s="36"/>
      <c r="J48" s="48"/>
    </row>
    <row r="49" spans="1:10" ht="12.95" customHeight="1">
      <c r="A49" s="42"/>
      <c r="B49" s="43" t="s">
        <v>223</v>
      </c>
      <c r="C49" s="44" t="s">
        <v>60</v>
      </c>
      <c r="D49" s="45">
        <f>SUM(D4:D48)</f>
        <v>0</v>
      </c>
      <c r="J49" s="48"/>
    </row>
    <row r="50" spans="1:10" ht="12.95" customHeight="1">
      <c r="B50" s="55"/>
      <c r="C50" s="55"/>
      <c r="D50" s="56"/>
      <c r="J50" s="48"/>
    </row>
    <row r="51" spans="1:10" ht="12.95" customHeight="1">
      <c r="A51" s="214"/>
      <c r="B51" s="215"/>
      <c r="C51" s="215"/>
      <c r="D51" s="48"/>
    </row>
    <row r="52" spans="1:10" ht="12.95" customHeight="1">
      <c r="B52" s="16"/>
      <c r="C52" s="16"/>
      <c r="D52" s="56"/>
    </row>
    <row r="53" spans="1:10" ht="12.75" customHeight="1">
      <c r="B53" s="16"/>
      <c r="C53" s="16"/>
      <c r="D53" s="56"/>
    </row>
    <row r="54" spans="1:10" ht="12.95" customHeight="1">
      <c r="B54" s="19"/>
      <c r="C54" s="19"/>
      <c r="D54" s="59"/>
    </row>
    <row r="55" spans="1:10">
      <c r="B55" s="16"/>
      <c r="C55" s="16"/>
      <c r="D55" s="56"/>
    </row>
    <row r="56" spans="1:10">
      <c r="B56" s="16"/>
      <c r="C56" s="16"/>
      <c r="D56" s="56"/>
    </row>
  </sheetData>
  <sheetProtection formatCells="0" formatColumns="0" formatRows="0" insertRows="0"/>
  <mergeCells count="2">
    <mergeCell ref="A1:C1"/>
    <mergeCell ref="A51:C51"/>
  </mergeCells>
  <pageMargins left="0.39370078740157483" right="0.39370078740157483" top="1.4173228346456692" bottom="0.59055118110236215" header="0.3543307086614173" footer="0.27559055118110237"/>
  <pageSetup paperSize="9" scale="81" orientation="portrait" r:id="rId1"/>
  <headerFooter scaleWithDoc="0">
    <oddHeader>&amp;L&amp;"Arial,Bold"&amp;21&amp;K4A4F54EASTWOOD ESTATE - NORTH
&amp;16CONTRACT SUM ANALYSIS&amp;R&amp;G</oddHeader>
    <oddFooter>&amp;L&amp;"Arial,Regular"&amp;8&amp;K4A4F54www.potterraper.co.uk&amp;R&amp;"Arial,Regular"&amp;8&amp;K4A4F54&amp;P/&amp;N</oddFooter>
    <firstHeader>&amp;R&amp;G</firstHeader>
    <firstFooter>&amp;L&amp;"Verdana,Regular"&amp;10&amp;K003777www.prp.gb.com&amp;C&amp;"Verdana,Regular"&amp;10 &amp;K0037771 of 14&amp;R&amp;"Verdana,Regular"&amp;10&amp;K003777Job Number
Date</first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2B0F6FE1B2CC40834D406DEC104EC4" ma:contentTypeVersion="15" ma:contentTypeDescription="Create a new document." ma:contentTypeScope="" ma:versionID="c34f0ea70ca2df24615f5866d6bf3ad7">
  <xsd:schema xmlns:xsd="http://www.w3.org/2001/XMLSchema" xmlns:xs="http://www.w3.org/2001/XMLSchema" xmlns:p="http://schemas.microsoft.com/office/2006/metadata/properties" xmlns:ns2="6fd8b351-492e-49fb-a364-e40151bcf76f" xmlns:ns3="ae7e2078-bac7-4dd7-ab35-587c58230297" targetNamespace="http://schemas.microsoft.com/office/2006/metadata/properties" ma:root="true" ma:fieldsID="ac159f14591263ad9ba4574fda1a96fa" ns2:_="" ns3:_="">
    <xsd:import namespace="6fd8b351-492e-49fb-a364-e40151bcf76f"/>
    <xsd:import namespace="ae7e2078-bac7-4dd7-ab35-587c58230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8b351-492e-49fb-a364-e40151bcf7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5dec825-4293-4512-b8c5-3d8a95f24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e2078-bac7-4dd7-ab35-587c5823029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d59def6-1a88-4c4a-8d7d-7da9ea19b4d2}" ma:internalName="TaxCatchAll" ma:showField="CatchAllData" ma:web="ae7e2078-bac7-4dd7-ab35-587c58230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7e2078-bac7-4dd7-ab35-587c58230297" xsi:nil="true"/>
    <lcf76f155ced4ddcb4097134ff3c332f xmlns="6fd8b351-492e-49fb-a364-e40151bcf7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14EDE-67FE-493F-B0F3-630CBFCBD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d8b351-492e-49fb-a364-e40151bcf76f"/>
    <ds:schemaRef ds:uri="ae7e2078-bac7-4dd7-ab35-587c582302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8997C2-F569-4928-9D3F-2560F41EB906}">
  <ds:schemaRefs>
    <ds:schemaRef ds:uri="http://schemas.microsoft.com/office/2006/metadata/properties"/>
    <ds:schemaRef ds:uri="http://schemas.microsoft.com/office/infopath/2007/PartnerControls"/>
    <ds:schemaRef ds:uri="ae7e2078-bac7-4dd7-ab35-587c58230297"/>
    <ds:schemaRef ds:uri="6fd8b351-492e-49fb-a364-e40151bcf76f"/>
  </ds:schemaRefs>
</ds:datastoreItem>
</file>

<file path=customXml/itemProps3.xml><?xml version="1.0" encoding="utf-8"?>
<ds:datastoreItem xmlns:ds="http://schemas.openxmlformats.org/officeDocument/2006/customXml" ds:itemID="{B603F992-640B-4DF6-916A-EFE1871521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Front Sheet</vt:lpstr>
      <vt:lpstr>Cost Summary</vt:lpstr>
      <vt:lpstr>Tender Instructions</vt:lpstr>
      <vt:lpstr>Tender Qualifications</vt:lpstr>
      <vt:lpstr>A- Preliminaries Summary</vt:lpstr>
      <vt:lpstr>A1-Preliminaries</vt:lpstr>
      <vt:lpstr>B-Design and Development Costs</vt:lpstr>
      <vt:lpstr>C-Demolition &amp; Site Clearance</vt:lpstr>
      <vt:lpstr>D1 Building Block N1</vt:lpstr>
      <vt:lpstr>D2 Building Block N7</vt:lpstr>
      <vt:lpstr>D3 Clubroom Refurb</vt:lpstr>
      <vt:lpstr>D4 External Works</vt:lpstr>
      <vt:lpstr>E-Contractor's Proposals</vt:lpstr>
      <vt:lpstr>F-Works outside the boundary</vt:lpstr>
      <vt:lpstr>G-Aftercare</vt:lpstr>
      <vt:lpstr>L-Alternative Costs</vt:lpstr>
      <vt:lpstr>'A1-Preliminaries'!Print_Area</vt:lpstr>
      <vt:lpstr>'B-Design and Development Costs'!Print_Area</vt:lpstr>
      <vt:lpstr>'C-Demolition &amp; Site Clearance'!Print_Area</vt:lpstr>
      <vt:lpstr>'D1 Building Block N1'!Print_Area</vt:lpstr>
      <vt:lpstr>'D2 Building Block N7'!Print_Area</vt:lpstr>
      <vt:lpstr>'D3 Clubroom Refurb'!Print_Area</vt:lpstr>
      <vt:lpstr>'D4 External Works'!Print_Area</vt:lpstr>
      <vt:lpstr>'Front Sheet'!Print_Area</vt:lpstr>
      <vt:lpstr>'F-Works outside the boundary'!Print_Area</vt:lpstr>
      <vt:lpstr>'Cost Summary'!Print_Titles</vt:lpstr>
      <vt:lpstr>'D1 Building Block N1'!Print_Titles</vt:lpstr>
      <vt:lpstr>'D2 Building Block N7'!Print_Titles</vt:lpstr>
      <vt:lpstr>'D3 Clubroom Refurb'!Print_Titles</vt:lpstr>
      <vt:lpstr>'D4 External Works'!Print_Titles</vt:lpstr>
    </vt:vector>
  </TitlesOfParts>
  <Manager/>
  <Company>Potter Raper Partnership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Graham Potter</dc:creator>
  <cp:keywords/>
  <dc:description/>
  <cp:lastModifiedBy>Michael Richardson</cp:lastModifiedBy>
  <cp:revision/>
  <dcterms:created xsi:type="dcterms:W3CDTF">2009-02-20T09:53:51Z</dcterms:created>
  <dcterms:modified xsi:type="dcterms:W3CDTF">2025-04-07T14:39:40Z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0x0101002F2B0F6FE1B2CC40834D406DEC104EC4</vt:lpwstr>
  </property>
  <property fmtid="{D5CDD505-2E9C-101B-9397-08002B2CF9AE}" pid="3" name="Order">
    <vt:r8>1283600</vt:r8>
  </property>
  <property fmtid="{D5CDD505-2E9C-101B-9397-08002B2CF9AE}" pid="4" name="MediaServiceImageTags">
    <vt:lpwstr/>
  </property>
</Properties>
</file>