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hidePivotFieldList="1"/>
  <mc:AlternateContent xmlns:mc="http://schemas.openxmlformats.org/markup-compatibility/2006">
    <mc:Choice Requires="x15">
      <x15ac:absPath xmlns:x15ac="http://schemas.microsoft.com/office/spreadsheetml/2010/11/ac" url="C:\Users\bkim\Dropbox\CLF\Research projects\2024-02 antibiotic footprints model\data\input\ghge\"/>
    </mc:Choice>
  </mc:AlternateContent>
  <xr:revisionPtr revIDLastSave="0" documentId="13_ncr:1_{A323170C-D03E-4EFE-866A-109417CDE2B8}" xr6:coauthVersionLast="47" xr6:coauthVersionMax="47" xr10:uidLastSave="{00000000-0000-0000-0000-000000000000}"/>
  <bookViews>
    <workbookView xWindow="-120" yWindow="-120" windowWidth="29040" windowHeight="17640" tabRatio="684" firstSheet="1" activeTab="3" xr2:uid="{00000000-000D-0000-FFFF-FFFF00000000}"/>
  </bookViews>
  <sheets>
    <sheet name="CB_DATA_" sheetId="19" state="veryHidden" r:id="rId1"/>
    <sheet name="ghge_crops_insects" sheetId="27" r:id="rId2"/>
    <sheet name="ghge_aqua" sheetId="30" r:id="rId3"/>
    <sheet name="ghge_combined" sheetId="32" r:id="rId4"/>
    <sheet name="ghge_studies_summary" sheetId="33" r:id="rId5"/>
    <sheet name="root_dir" sheetId="20" r:id="rId6"/>
  </sheets>
  <definedNames>
    <definedName name="CB_21060897fa8e4b2fb2e51795955874dd" localSheetId="0" hidden="1">#N/A</definedName>
    <definedName name="CB_2747eec6be8f4d79ab9b211628f36ff6" localSheetId="0" hidden="1">#N/A</definedName>
    <definedName name="CB_728264c9b1d743b5b424c279e57f68a1" localSheetId="0" hidden="1">#N/A</definedName>
    <definedName name="CB_Block_00000000000000000000000000000000" localSheetId="0" hidden="1">"'7.0.0.0"</definedName>
    <definedName name="CB_Block_00000000000000000000000000000001" localSheetId="0" hidden="1">"'636498958428414568"</definedName>
    <definedName name="CB_Block_00000000000000000000000000000003" localSheetId="0" hidden="1">"'11.1.4512.0"</definedName>
    <definedName name="CB_BlockExt_00000000000000000000000000000003" localSheetId="0" hidden="1">"'11.1.2.4.600"</definedName>
    <definedName name="CBWorkbookPriority" localSheetId="0" hidden="1">-880872432</definedName>
    <definedName name="CBx_0b80d9fc48904aec9112314a5b9256fa" localSheetId="0" hidden="1">"'water factors - seafood'!$A$1"</definedName>
    <definedName name="CBx_1e4c28efbd8f46a284c66d520dbf5b0a" localSheetId="0" hidden="1">"'diet impact'!$A$1"</definedName>
    <definedName name="CBx_3f25e8d3fc9c4dcb83ac049157a2e5ba" localSheetId="0" hidden="1">"'DietImpact'!$A$1"</definedName>
    <definedName name="CBx_8234238526af49548c54b2e8b8737837" localSheetId="0" hidden="1">"'WF- seafood  (old)'!$A$1"</definedName>
    <definedName name="CBx_b046b8251429495f9e9e1920176c742a" localSheetId="0" hidden="1">"'climate factors - seafood'!$A$1"</definedName>
    <definedName name="CBx_e433fc0868b9427b85a8853ff5d289b5" localSheetId="0" hidden="1">"'CB_DATA_'!$A$1"</definedName>
    <definedName name="CBx_ee0e7bcfd96b418f8ba44ac94284b3e2" localSheetId="0" hidden="1">"'water factors - seafood'!$A$1"</definedName>
    <definedName name="CBx_efc06d34c23140659baeb429cb57485e" localSheetId="0" hidden="1">"'climate factors - crops'!$A$1"</definedName>
    <definedName name="CBx_Sheet_Guid" localSheetId="0" hidden="1">"'e433fc08-68b9-427b-85a8-853ff5d289b5"</definedName>
    <definedName name="CBx_SheetRef" localSheetId="0" hidden="1">CB_DATA_!$A$14</definedName>
    <definedName name="CBx_StorageType" localSheetId="0" hidden="1">2</definedName>
    <definedName name="ExternalData_1" localSheetId="3" hidden="1">ghge_combined!$A$4:$Q$658</definedName>
    <definedName name="ExternalData_1" localSheetId="4" hidden="1">ghge_studies_summary!$A$4:$I$113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4" i="33" l="1"/>
  <c r="C5" i="33"/>
  <c r="C6" i="33"/>
  <c r="C9" i="33"/>
  <c r="C17" i="33"/>
  <c r="C18" i="33"/>
  <c r="C21" i="33"/>
  <c r="C16" i="33"/>
  <c r="C7" i="33"/>
  <c r="C8" i="33"/>
  <c r="C23" i="33"/>
  <c r="C25" i="33"/>
  <c r="C24" i="33"/>
  <c r="D24" i="33" s="1"/>
  <c r="C20" i="33"/>
  <c r="D20" i="33" s="1"/>
  <c r="C26" i="33"/>
  <c r="C27" i="33"/>
  <c r="C29" i="33"/>
  <c r="C31" i="33"/>
  <c r="C32" i="33"/>
  <c r="C33" i="33"/>
  <c r="C34" i="33"/>
  <c r="D34" i="33" s="1"/>
  <c r="C36" i="33"/>
  <c r="D36" i="33" s="1"/>
  <c r="C37" i="33"/>
  <c r="C38" i="33"/>
  <c r="C40" i="33"/>
  <c r="C41" i="33"/>
  <c r="C43" i="33"/>
  <c r="C44" i="33"/>
  <c r="C47" i="33"/>
  <c r="D47" i="33" s="1"/>
  <c r="C48" i="33"/>
  <c r="D48" i="33" s="1"/>
  <c r="C50" i="33"/>
  <c r="C51" i="33"/>
  <c r="C49" i="33"/>
  <c r="C52" i="33"/>
  <c r="C53" i="33"/>
  <c r="C54" i="33"/>
  <c r="C55" i="33"/>
  <c r="D55" i="33" s="1"/>
  <c r="C56" i="33"/>
  <c r="D56" i="33" s="1"/>
  <c r="C57" i="33"/>
  <c r="C59" i="33"/>
  <c r="C61" i="33"/>
  <c r="C60" i="33"/>
  <c r="C62" i="33"/>
  <c r="C63" i="33"/>
  <c r="C64" i="33"/>
  <c r="D64" i="33" s="1"/>
  <c r="C65" i="33"/>
  <c r="D65" i="33" s="1"/>
  <c r="C67" i="33"/>
  <c r="C68" i="33"/>
  <c r="C69" i="33"/>
  <c r="C70" i="33"/>
  <c r="C71" i="33"/>
  <c r="C73" i="33"/>
  <c r="C74" i="33"/>
  <c r="C75" i="33"/>
  <c r="D75" i="33" s="1"/>
  <c r="C76" i="33"/>
  <c r="C79" i="33"/>
  <c r="C80" i="33"/>
  <c r="C81" i="33"/>
  <c r="C82" i="33"/>
  <c r="C83" i="33"/>
  <c r="C84" i="33"/>
  <c r="D84" i="33" s="1"/>
  <c r="C85" i="33"/>
  <c r="D85" i="33" s="1"/>
  <c r="C86" i="33"/>
  <c r="C87" i="33"/>
  <c r="C88" i="33"/>
  <c r="C89" i="33"/>
  <c r="C91" i="33"/>
  <c r="C92" i="33"/>
  <c r="C93" i="33"/>
  <c r="D93" i="33" s="1"/>
  <c r="C94" i="33"/>
  <c r="D94" i="33" s="1"/>
  <c r="C95" i="33"/>
  <c r="C96" i="33"/>
  <c r="C97" i="33"/>
  <c r="C98" i="33"/>
  <c r="C99" i="33"/>
  <c r="C100" i="33"/>
  <c r="C101" i="33"/>
  <c r="D101" i="33" s="1"/>
  <c r="C103" i="33"/>
  <c r="D103" i="33" s="1"/>
  <c r="C104" i="33"/>
  <c r="C105" i="33"/>
  <c r="C106" i="33"/>
  <c r="C108" i="33"/>
  <c r="C110" i="33"/>
  <c r="C111" i="33"/>
  <c r="C15" i="33"/>
  <c r="D15" i="33" s="1"/>
  <c r="C72" i="33"/>
  <c r="D72" i="33" s="1"/>
  <c r="C11" i="33"/>
  <c r="C14" i="33"/>
  <c r="C19" i="33"/>
  <c r="C28" i="33"/>
  <c r="C58" i="33"/>
  <c r="C78" i="33"/>
  <c r="C113" i="33"/>
  <c r="D113" i="33" s="1"/>
  <c r="C12" i="33"/>
  <c r="D12" i="33" s="1"/>
  <c r="C77" i="33"/>
  <c r="C109" i="33"/>
  <c r="C46" i="33"/>
  <c r="C107" i="33"/>
  <c r="D107" i="33" s="1"/>
  <c r="C102" i="33"/>
  <c r="D102" i="33" s="1"/>
  <c r="C35" i="33"/>
  <c r="D35" i="33" s="1"/>
  <c r="C10" i="33"/>
  <c r="D10" i="33" s="1"/>
  <c r="C13" i="33"/>
  <c r="D13" i="33" s="1"/>
  <c r="C42" i="33"/>
  <c r="C90" i="33"/>
  <c r="D90" i="33" s="1"/>
  <c r="C30" i="33"/>
  <c r="D30" i="33" s="1"/>
  <c r="C22" i="33"/>
  <c r="D22" i="33" s="1"/>
  <c r="C112" i="33"/>
  <c r="D112" i="33" s="1"/>
  <c r="C39" i="33"/>
  <c r="D39" i="33" s="1"/>
  <c r="C45" i="33"/>
  <c r="D45" i="33" s="1"/>
  <c r="C66" i="33"/>
  <c r="D66" i="33" s="1"/>
  <c r="D5" i="33"/>
  <c r="D6" i="33"/>
  <c r="D9" i="33"/>
  <c r="D17" i="33"/>
  <c r="D18" i="33"/>
  <c r="D21" i="33"/>
  <c r="D16" i="33"/>
  <c r="D7" i="33"/>
  <c r="D8" i="33"/>
  <c r="D23" i="33"/>
  <c r="D25" i="33"/>
  <c r="D26" i="33"/>
  <c r="D27" i="33"/>
  <c r="D29" i="33"/>
  <c r="D31" i="33"/>
  <c r="D32" i="33"/>
  <c r="D33" i="33"/>
  <c r="D37" i="33"/>
  <c r="D38" i="33"/>
  <c r="D40" i="33"/>
  <c r="D41" i="33"/>
  <c r="D43" i="33"/>
  <c r="D44" i="33"/>
  <c r="D50" i="33"/>
  <c r="D51" i="33"/>
  <c r="D49" i="33"/>
  <c r="D52" i="33"/>
  <c r="D53" i="33"/>
  <c r="D54" i="33"/>
  <c r="D57" i="33"/>
  <c r="D59" i="33"/>
  <c r="D61" i="33"/>
  <c r="D60" i="33"/>
  <c r="D62" i="33"/>
  <c r="D63" i="33"/>
  <c r="D67" i="33"/>
  <c r="D68" i="33"/>
  <c r="D69" i="33"/>
  <c r="D70" i="33"/>
  <c r="D71" i="33"/>
  <c r="D73" i="33"/>
  <c r="D74" i="33"/>
  <c r="D76" i="33"/>
  <c r="D79" i="33"/>
  <c r="D80" i="33"/>
  <c r="D81" i="33"/>
  <c r="D82" i="33"/>
  <c r="D83" i="33"/>
  <c r="D86" i="33"/>
  <c r="D87" i="33"/>
  <c r="D88" i="33"/>
  <c r="D89" i="33"/>
  <c r="D91" i="33"/>
  <c r="D92" i="33"/>
  <c r="D95" i="33"/>
  <c r="D96" i="33"/>
  <c r="D97" i="33"/>
  <c r="D98" i="33"/>
  <c r="D99" i="33"/>
  <c r="D100" i="33"/>
  <c r="D104" i="33"/>
  <c r="D105" i="33"/>
  <c r="D106" i="33"/>
  <c r="D108" i="33"/>
  <c r="D110" i="33"/>
  <c r="D111" i="33"/>
  <c r="D11" i="33"/>
  <c r="D14" i="33"/>
  <c r="D19" i="33"/>
  <c r="D28" i="33"/>
  <c r="D58" i="33"/>
  <c r="D78" i="33"/>
  <c r="D77" i="33"/>
  <c r="D109" i="33"/>
  <c r="D46" i="33"/>
  <c r="D42" i="33"/>
  <c r="J5" i="33"/>
  <c r="J6" i="33"/>
  <c r="J9" i="33"/>
  <c r="J17" i="33"/>
  <c r="J18" i="33"/>
  <c r="J21" i="33"/>
  <c r="J16" i="33"/>
  <c r="J7" i="33"/>
  <c r="J8" i="33"/>
  <c r="J23" i="33"/>
  <c r="J25" i="33"/>
  <c r="J24" i="33"/>
  <c r="J20" i="33"/>
  <c r="J26" i="33"/>
  <c r="J27" i="33"/>
  <c r="J29" i="33"/>
  <c r="J31" i="33"/>
  <c r="J32" i="33"/>
  <c r="J33" i="33"/>
  <c r="J34" i="33"/>
  <c r="J36" i="33"/>
  <c r="J37" i="33"/>
  <c r="J38" i="33"/>
  <c r="J40" i="33"/>
  <c r="J41" i="33"/>
  <c r="J43" i="33"/>
  <c r="J44" i="33"/>
  <c r="J47" i="33"/>
  <c r="J48" i="33"/>
  <c r="J50" i="33"/>
  <c r="J51" i="33"/>
  <c r="J49" i="33"/>
  <c r="J52" i="33"/>
  <c r="J53" i="33"/>
  <c r="J54" i="33"/>
  <c r="J55" i="33"/>
  <c r="J56" i="33"/>
  <c r="J57" i="33"/>
  <c r="J59" i="33"/>
  <c r="J61" i="33"/>
  <c r="J60" i="33"/>
  <c r="J62" i="33"/>
  <c r="J63" i="33"/>
  <c r="J64" i="33"/>
  <c r="J65" i="33"/>
  <c r="J67" i="33"/>
  <c r="J68" i="33"/>
  <c r="J69" i="33"/>
  <c r="J70" i="33"/>
  <c r="J71" i="33"/>
  <c r="J73" i="33"/>
  <c r="J74" i="33"/>
  <c r="J75" i="33"/>
  <c r="J76" i="33"/>
  <c r="J79" i="33"/>
  <c r="J80" i="33"/>
  <c r="J81" i="33"/>
  <c r="J82" i="33"/>
  <c r="J83" i="33"/>
  <c r="J84" i="33"/>
  <c r="J85" i="33"/>
  <c r="J86" i="33"/>
  <c r="J87" i="33"/>
  <c r="J88" i="33"/>
  <c r="J89" i="33"/>
  <c r="J91" i="33"/>
  <c r="J92" i="33"/>
  <c r="J93" i="33"/>
  <c r="J94" i="33"/>
  <c r="J95" i="33"/>
  <c r="J96" i="33"/>
  <c r="J97" i="33"/>
  <c r="J98" i="33"/>
  <c r="J99" i="33"/>
  <c r="J100" i="33"/>
  <c r="J101" i="33"/>
  <c r="J103" i="33"/>
  <c r="J104" i="33"/>
  <c r="J105" i="33"/>
  <c r="J106" i="33"/>
  <c r="J108" i="33"/>
  <c r="J110" i="33"/>
  <c r="J111" i="33"/>
  <c r="J15" i="33"/>
  <c r="J72" i="33"/>
  <c r="J11" i="33"/>
  <c r="J14" i="33"/>
  <c r="J19" i="33"/>
  <c r="J28" i="33"/>
  <c r="J58" i="33"/>
  <c r="J78" i="33"/>
  <c r="J113" i="33"/>
  <c r="J12" i="33"/>
  <c r="J77" i="33"/>
  <c r="J109" i="33"/>
  <c r="J46" i="33"/>
  <c r="J107" i="33"/>
  <c r="J102" i="33"/>
  <c r="J35" i="33"/>
  <c r="J10" i="33"/>
  <c r="J13" i="33"/>
  <c r="J42" i="33"/>
  <c r="J90" i="33"/>
  <c r="J30" i="33"/>
  <c r="J22" i="33"/>
  <c r="J112" i="33"/>
  <c r="J39" i="33"/>
  <c r="J45" i="33"/>
  <c r="J66" i="33"/>
  <c r="A5" i="20"/>
  <c r="Y84" i="30"/>
  <c r="Y85" i="30"/>
  <c r="Y88" i="30"/>
  <c r="Y39" i="30"/>
  <c r="Y55" i="30"/>
  <c r="Y56" i="30"/>
  <c r="Y86" i="30"/>
  <c r="Y87" i="30"/>
  <c r="Y118" i="30"/>
  <c r="Y119" i="30"/>
  <c r="Y120" i="30"/>
  <c r="Y121" i="30"/>
  <c r="Y66" i="30"/>
  <c r="Y100" i="30"/>
  <c r="Y101" i="30"/>
  <c r="Y102" i="30"/>
  <c r="Y69" i="30"/>
  <c r="Y70" i="30"/>
  <c r="Y71" i="30"/>
  <c r="Y14" i="30"/>
  <c r="Y15" i="30"/>
  <c r="Y73" i="30"/>
  <c r="Y74" i="30"/>
  <c r="Y93" i="30"/>
  <c r="Y94" i="30"/>
  <c r="Y75" i="30"/>
  <c r="Y76" i="30"/>
  <c r="Y59" i="30"/>
  <c r="Y57" i="30"/>
  <c r="Y58" i="30"/>
  <c r="Y16" i="30"/>
  <c r="Y122" i="30"/>
  <c r="Y123" i="30"/>
  <c r="Y124" i="30"/>
  <c r="Y49" i="30"/>
  <c r="Y89" i="30"/>
  <c r="Y34" i="30"/>
  <c r="Y18" i="30"/>
  <c r="Y35" i="30"/>
  <c r="Y36" i="30"/>
  <c r="Y48" i="30"/>
  <c r="Y125" i="30"/>
  <c r="Y27" i="30"/>
  <c r="Y29" i="30"/>
  <c r="Y41" i="30"/>
  <c r="Y126" i="30"/>
  <c r="Y127" i="30"/>
  <c r="Y128" i="30"/>
  <c r="Y77" i="30"/>
  <c r="Y50" i="30"/>
  <c r="Y54" i="30"/>
  <c r="Y21" i="30"/>
  <c r="Y22" i="30"/>
  <c r="Y111" i="30"/>
  <c r="Y112" i="30"/>
  <c r="Y78" i="30"/>
  <c r="Y79" i="30"/>
  <c r="Y80" i="30"/>
  <c r="Y81" i="30"/>
  <c r="Y107" i="30"/>
  <c r="Y108" i="30"/>
  <c r="Y5" i="30"/>
  <c r="Y6" i="30"/>
  <c r="Y31" i="30"/>
  <c r="Y32" i="30"/>
  <c r="Y37" i="30"/>
  <c r="Y38" i="30"/>
  <c r="Y53" i="30"/>
  <c r="Y47" i="30"/>
  <c r="Y20" i="30"/>
  <c r="Y99" i="30"/>
  <c r="Y109" i="30"/>
  <c r="Y110" i="30"/>
  <c r="Y97" i="30"/>
  <c r="Y98" i="30"/>
  <c r="Y40" i="30"/>
  <c r="Y26" i="30"/>
  <c r="Y33" i="30"/>
  <c r="Y51" i="30"/>
  <c r="Y83" i="30"/>
  <c r="Y82" i="30"/>
  <c r="Y72" i="30"/>
  <c r="Y28" i="30"/>
  <c r="Y113" i="30"/>
  <c r="Y114" i="30"/>
  <c r="Y46" i="30"/>
  <c r="Y68" i="30"/>
  <c r="Y129" i="30"/>
  <c r="Y60" i="30"/>
  <c r="Y90" i="30"/>
  <c r="Y130" i="30"/>
  <c r="Y61" i="30"/>
  <c r="Y17" i="30"/>
  <c r="Y23" i="30"/>
  <c r="Y115" i="30"/>
  <c r="Y116" i="30"/>
  <c r="Y117" i="30"/>
  <c r="Y19" i="30"/>
  <c r="Y62" i="30"/>
  <c r="Y63" i="30"/>
  <c r="Y64" i="30"/>
  <c r="Y67" i="30"/>
  <c r="Y91" i="30"/>
  <c r="Y92" i="30"/>
  <c r="Y13" i="30"/>
  <c r="Y65" i="30"/>
  <c r="Y44" i="30"/>
  <c r="Y45" i="30"/>
  <c r="Y42" i="30"/>
  <c r="Y43" i="30"/>
  <c r="Y30" i="30"/>
  <c r="Y95" i="30"/>
  <c r="Y96" i="30"/>
  <c r="Y24" i="30"/>
  <c r="Y25" i="30"/>
  <c r="Y52" i="30"/>
  <c r="Y7" i="30"/>
  <c r="Y8" i="30"/>
  <c r="Y9" i="30"/>
  <c r="Y10" i="30"/>
  <c r="Y11" i="30"/>
  <c r="Y12" i="30"/>
  <c r="Y103" i="30"/>
  <c r="Y104" i="30"/>
  <c r="Y105" i="30"/>
  <c r="Y106" i="30"/>
  <c r="AD5" i="27"/>
  <c r="AD6" i="27"/>
  <c r="AD7" i="27"/>
  <c r="AD8" i="27"/>
  <c r="AD9" i="27"/>
  <c r="AD10" i="27"/>
  <c r="AD11" i="27"/>
  <c r="AD12" i="27"/>
  <c r="AD13" i="27"/>
  <c r="AD14" i="27"/>
  <c r="AD15" i="27"/>
  <c r="AD16" i="27"/>
  <c r="AD17" i="27"/>
  <c r="AD18" i="27"/>
  <c r="AD19" i="27"/>
  <c r="AD20" i="27"/>
  <c r="AD21" i="27"/>
  <c r="AD22" i="27"/>
  <c r="AD23" i="27"/>
  <c r="AD24" i="27"/>
  <c r="AD25" i="27"/>
  <c r="AD26" i="27"/>
  <c r="AD27" i="27"/>
  <c r="AD28" i="27"/>
  <c r="AD29" i="27"/>
  <c r="AD30" i="27"/>
  <c r="AD31" i="27"/>
  <c r="AD32" i="27"/>
  <c r="AD33" i="27"/>
  <c r="AD34" i="27"/>
  <c r="AD35" i="27"/>
  <c r="AD36" i="27"/>
  <c r="AD37" i="27"/>
  <c r="AD38" i="27"/>
  <c r="AD39" i="27"/>
  <c r="AD40" i="27"/>
  <c r="AD41" i="27"/>
  <c r="AD42" i="27"/>
  <c r="AD43" i="27"/>
  <c r="AD44" i="27"/>
  <c r="AD45" i="27"/>
  <c r="AD46" i="27"/>
  <c r="AD47" i="27"/>
  <c r="AD48" i="27"/>
  <c r="AD49" i="27"/>
  <c r="AD50" i="27"/>
  <c r="AD51" i="27"/>
  <c r="AD52" i="27"/>
  <c r="AD53" i="27"/>
  <c r="AD54" i="27"/>
  <c r="AD55" i="27"/>
  <c r="AD56" i="27"/>
  <c r="AD57" i="27"/>
  <c r="AD58" i="27"/>
  <c r="AD59" i="27"/>
  <c r="AD60" i="27"/>
  <c r="AD61" i="27"/>
  <c r="AD62" i="27"/>
  <c r="AD63" i="27"/>
  <c r="AD64" i="27"/>
  <c r="AD65" i="27"/>
  <c r="AD66" i="27"/>
  <c r="AD67" i="27"/>
  <c r="AD68" i="27"/>
  <c r="AD69" i="27"/>
  <c r="AD70" i="27"/>
  <c r="AD71" i="27"/>
  <c r="AD72" i="27"/>
  <c r="AD73" i="27"/>
  <c r="AD74" i="27"/>
  <c r="AD75" i="27"/>
  <c r="AD76" i="27"/>
  <c r="AD77" i="27"/>
  <c r="AD78" i="27"/>
  <c r="AD79" i="27"/>
  <c r="AD80" i="27"/>
  <c r="AD81" i="27"/>
  <c r="AD82" i="27"/>
  <c r="AD83" i="27"/>
  <c r="AD84" i="27"/>
  <c r="AD85" i="27"/>
  <c r="AD86" i="27"/>
  <c r="AD87" i="27"/>
  <c r="AD88" i="27"/>
  <c r="AD89" i="27"/>
  <c r="AD90" i="27"/>
  <c r="AD91" i="27"/>
  <c r="AD92" i="27"/>
  <c r="AD93" i="27"/>
  <c r="AD94" i="27"/>
  <c r="AD95" i="27"/>
  <c r="AD96" i="27"/>
  <c r="AD97" i="27"/>
  <c r="AD98" i="27"/>
  <c r="AD99" i="27"/>
  <c r="AD100" i="27"/>
  <c r="AD101" i="27"/>
  <c r="AD102" i="27"/>
  <c r="AD103" i="27"/>
  <c r="AD104" i="27"/>
  <c r="AD105" i="27"/>
  <c r="AD106" i="27"/>
  <c r="AD107" i="27"/>
  <c r="AD108" i="27"/>
  <c r="AD109" i="27"/>
  <c r="AD110" i="27"/>
  <c r="AD111" i="27"/>
  <c r="AD112" i="27"/>
  <c r="AD113" i="27"/>
  <c r="AD114" i="27"/>
  <c r="AD115" i="27"/>
  <c r="AD116" i="27"/>
  <c r="AD117" i="27"/>
  <c r="AD118" i="27"/>
  <c r="AD119" i="27"/>
  <c r="AD120" i="27"/>
  <c r="AD121" i="27"/>
  <c r="AD122" i="27"/>
  <c r="AD123" i="27"/>
  <c r="AD124" i="27"/>
  <c r="AD125" i="27"/>
  <c r="AD126" i="27"/>
  <c r="AD127" i="27"/>
  <c r="AD128" i="27"/>
  <c r="AD129" i="27"/>
  <c r="AD130" i="27"/>
  <c r="AD131" i="27"/>
  <c r="AD132" i="27"/>
  <c r="AD133" i="27"/>
  <c r="AD134" i="27"/>
  <c r="AD135" i="27"/>
  <c r="AD136" i="27"/>
  <c r="AD137" i="27"/>
  <c r="AD138" i="27"/>
  <c r="AD139" i="27"/>
  <c r="AD140" i="27"/>
  <c r="AD141" i="27"/>
  <c r="AD142" i="27"/>
  <c r="AD143" i="27"/>
  <c r="AD144" i="27"/>
  <c r="AD145" i="27"/>
  <c r="AD146" i="27"/>
  <c r="AD147" i="27"/>
  <c r="AD148" i="27"/>
  <c r="AD149" i="27"/>
  <c r="AD150" i="27"/>
  <c r="AD151" i="27"/>
  <c r="AD152" i="27"/>
  <c r="AD153" i="27"/>
  <c r="AD154" i="27"/>
  <c r="AD155" i="27"/>
  <c r="AD156" i="27"/>
  <c r="AD157" i="27"/>
  <c r="AD158" i="27"/>
  <c r="AD159" i="27"/>
  <c r="AD160" i="27"/>
  <c r="AD161" i="27"/>
  <c r="AD162" i="27"/>
  <c r="AD163" i="27"/>
  <c r="AD164" i="27"/>
  <c r="AD165" i="27"/>
  <c r="AD166" i="27"/>
  <c r="AD167" i="27"/>
  <c r="AD168" i="27"/>
  <c r="AD169" i="27"/>
  <c r="AD170" i="27"/>
  <c r="AD171" i="27"/>
  <c r="AD172" i="27"/>
  <c r="AD173" i="27"/>
  <c r="AD174" i="27"/>
  <c r="AD175" i="27"/>
  <c r="AD176" i="27"/>
  <c r="AD177" i="27"/>
  <c r="AD178" i="27"/>
  <c r="AD179" i="27"/>
  <c r="AD180" i="27"/>
  <c r="AD181" i="27"/>
  <c r="AD182" i="27"/>
  <c r="AD183" i="27"/>
  <c r="AD184" i="27"/>
  <c r="AD185" i="27"/>
  <c r="AD186" i="27"/>
  <c r="AD187" i="27"/>
  <c r="AD188" i="27"/>
  <c r="AD189" i="27"/>
  <c r="AD190" i="27"/>
  <c r="AD191" i="27"/>
  <c r="AD192" i="27"/>
  <c r="AD193" i="27"/>
  <c r="AD194" i="27"/>
  <c r="AD195" i="27"/>
  <c r="AD196" i="27"/>
  <c r="AD197" i="27"/>
  <c r="AD198" i="27"/>
  <c r="AD199" i="27"/>
  <c r="AD200" i="27"/>
  <c r="AD201" i="27"/>
  <c r="AD202" i="27"/>
  <c r="AD203" i="27"/>
  <c r="AD204" i="27"/>
  <c r="AD205" i="27"/>
  <c r="AD206" i="27"/>
  <c r="AD207" i="27"/>
  <c r="AD208" i="27"/>
  <c r="AD209" i="27"/>
  <c r="AD210" i="27"/>
  <c r="AD211" i="27"/>
  <c r="AD212" i="27"/>
  <c r="AD213" i="27"/>
  <c r="AD214" i="27"/>
  <c r="AD215" i="27"/>
  <c r="AD216" i="27"/>
  <c r="AD217" i="27"/>
  <c r="AD218" i="27"/>
  <c r="AD219" i="27"/>
  <c r="AD220" i="27"/>
  <c r="AD221" i="27"/>
  <c r="AD222" i="27"/>
  <c r="AD223" i="27"/>
  <c r="AD224" i="27"/>
  <c r="AD225" i="27"/>
  <c r="AD226" i="27"/>
  <c r="AD227" i="27"/>
  <c r="AD228" i="27"/>
  <c r="AD229" i="27"/>
  <c r="AD230" i="27"/>
  <c r="AD231" i="27"/>
  <c r="AD232" i="27"/>
  <c r="AD233" i="27"/>
  <c r="AD234" i="27"/>
  <c r="AD235" i="27"/>
  <c r="AD236" i="27"/>
  <c r="AD237" i="27"/>
  <c r="AD238" i="27"/>
  <c r="AD239" i="27"/>
  <c r="AD240" i="27"/>
  <c r="AD241" i="27"/>
  <c r="AD242" i="27"/>
  <c r="AD243" i="27"/>
  <c r="AD244" i="27"/>
  <c r="AD245" i="27"/>
  <c r="AD246" i="27"/>
  <c r="AD247" i="27"/>
  <c r="AD248" i="27"/>
  <c r="AD249" i="27"/>
  <c r="AD250" i="27"/>
  <c r="AD251" i="27"/>
  <c r="AD252" i="27"/>
  <c r="AD253" i="27"/>
  <c r="AD254" i="27"/>
  <c r="AD255" i="27"/>
  <c r="AD256" i="27"/>
  <c r="AD257" i="27"/>
  <c r="AD258" i="27"/>
  <c r="AD259" i="27"/>
  <c r="AD260" i="27"/>
  <c r="AD261" i="27"/>
  <c r="AD262" i="27"/>
  <c r="AD263" i="27"/>
  <c r="AD264" i="27"/>
  <c r="AD265" i="27"/>
  <c r="AD266" i="27"/>
  <c r="AD267" i="27"/>
  <c r="AD268" i="27"/>
  <c r="AD269" i="27"/>
  <c r="AD270" i="27"/>
  <c r="AD271" i="27"/>
  <c r="AD272" i="27"/>
  <c r="AD273" i="27"/>
  <c r="AD274" i="27"/>
  <c r="AD275" i="27"/>
  <c r="AD276" i="27"/>
  <c r="AD277" i="27"/>
  <c r="AD278" i="27"/>
  <c r="AD279" i="27"/>
  <c r="AD280" i="27"/>
  <c r="AD281" i="27"/>
  <c r="AD282" i="27"/>
  <c r="AD283" i="27"/>
  <c r="AD284" i="27"/>
  <c r="AD285" i="27"/>
  <c r="AD286" i="27"/>
  <c r="AD287" i="27"/>
  <c r="AD288" i="27"/>
  <c r="AD289" i="27"/>
  <c r="AD290" i="27"/>
  <c r="AD291" i="27"/>
  <c r="AD292" i="27"/>
  <c r="AD293" i="27"/>
  <c r="AD294" i="27"/>
  <c r="AD295" i="27"/>
  <c r="AD296" i="27"/>
  <c r="AD297" i="27"/>
  <c r="AD298" i="27"/>
  <c r="AD299" i="27"/>
  <c r="AD300" i="27"/>
  <c r="AD301" i="27"/>
  <c r="AD302" i="27"/>
  <c r="AD303" i="27"/>
  <c r="AD304" i="27"/>
  <c r="AD305" i="27"/>
  <c r="AD306" i="27"/>
  <c r="AD307" i="27"/>
  <c r="AD308" i="27"/>
  <c r="AD309" i="27"/>
  <c r="AD310" i="27"/>
  <c r="AD311" i="27"/>
  <c r="AD312" i="27"/>
  <c r="AD313" i="27"/>
  <c r="AD314" i="27"/>
  <c r="AD315" i="27"/>
  <c r="AD316" i="27"/>
  <c r="AD317" i="27"/>
  <c r="AD318" i="27"/>
  <c r="AD319" i="27"/>
  <c r="AD320" i="27"/>
  <c r="AD321" i="27"/>
  <c r="AD322" i="27"/>
  <c r="AD323" i="27"/>
  <c r="AD324" i="27"/>
  <c r="AD325" i="27"/>
  <c r="AD326" i="27"/>
  <c r="AD327" i="27"/>
  <c r="AD328" i="27"/>
  <c r="AD329" i="27"/>
  <c r="AD330" i="27"/>
  <c r="AD331" i="27"/>
  <c r="AD332" i="27"/>
  <c r="AD333" i="27"/>
  <c r="AD334" i="27"/>
  <c r="AD335" i="27"/>
  <c r="AD336" i="27"/>
  <c r="AD337" i="27"/>
  <c r="AD338" i="27"/>
  <c r="AD339" i="27"/>
  <c r="AD340" i="27"/>
  <c r="AD341" i="27"/>
  <c r="AD342" i="27"/>
  <c r="AD343" i="27"/>
  <c r="AD344" i="27"/>
  <c r="AD345" i="27"/>
  <c r="AD346" i="27"/>
  <c r="AD347" i="27"/>
  <c r="AD348" i="27"/>
  <c r="AD349" i="27"/>
  <c r="AD350" i="27"/>
  <c r="AD351" i="27"/>
  <c r="AD352" i="27"/>
  <c r="AD353" i="27"/>
  <c r="AD354" i="27"/>
  <c r="AD355" i="27"/>
  <c r="AD356" i="27"/>
  <c r="AD357" i="27"/>
  <c r="AD358" i="27"/>
  <c r="AD359" i="27"/>
  <c r="AD360" i="27"/>
  <c r="AD361" i="27"/>
  <c r="AD362" i="27"/>
  <c r="AD363" i="27"/>
  <c r="AD364" i="27"/>
  <c r="AD365" i="27"/>
  <c r="AD366" i="27"/>
  <c r="AD367" i="27"/>
  <c r="AD368" i="27"/>
  <c r="AD369" i="27"/>
  <c r="AD370" i="27"/>
  <c r="AD371" i="27"/>
  <c r="AD372" i="27"/>
  <c r="AD373" i="27"/>
  <c r="AD374" i="27"/>
  <c r="AD375" i="27"/>
  <c r="AD376" i="27"/>
  <c r="AD377" i="27"/>
  <c r="AD378" i="27"/>
  <c r="AD379" i="27"/>
  <c r="AD380" i="27"/>
  <c r="AD381" i="27"/>
  <c r="AD382" i="27"/>
  <c r="AD383" i="27"/>
  <c r="AD384" i="27"/>
  <c r="AD385" i="27"/>
  <c r="AD386" i="27"/>
  <c r="AD387" i="27"/>
  <c r="AD388" i="27"/>
  <c r="AD389" i="27"/>
  <c r="AD390" i="27"/>
  <c r="AD391" i="27"/>
  <c r="AD392" i="27"/>
  <c r="AD393" i="27"/>
  <c r="AD394" i="27"/>
  <c r="AD395" i="27"/>
  <c r="AD396" i="27"/>
  <c r="AD397" i="27"/>
  <c r="AD398" i="27"/>
  <c r="AD399" i="27"/>
  <c r="AD400" i="27"/>
  <c r="AD401" i="27"/>
  <c r="AD402" i="27"/>
  <c r="AD403" i="27"/>
  <c r="AD404" i="27"/>
  <c r="AD405" i="27"/>
  <c r="AD406" i="27"/>
  <c r="AD407" i="27"/>
  <c r="AD408" i="27"/>
  <c r="AD409" i="27"/>
  <c r="AD410" i="27"/>
  <c r="AD411" i="27"/>
  <c r="AD412" i="27"/>
  <c r="AD413" i="27"/>
  <c r="AD414" i="27"/>
  <c r="AD415" i="27"/>
  <c r="AD416" i="27"/>
  <c r="AD417" i="27"/>
  <c r="AD418" i="27"/>
  <c r="AD419" i="27"/>
  <c r="AD420" i="27"/>
  <c r="AD421" i="27"/>
  <c r="AD422" i="27"/>
  <c r="AD423" i="27"/>
  <c r="AD424" i="27"/>
  <c r="AD425" i="27"/>
  <c r="AD426" i="27"/>
  <c r="AD427" i="27"/>
  <c r="AD428" i="27"/>
  <c r="AD429" i="27"/>
  <c r="AD430" i="27"/>
  <c r="AD431" i="27"/>
  <c r="AD432" i="27"/>
  <c r="AD433" i="27"/>
  <c r="AD434" i="27"/>
  <c r="AD435" i="27"/>
  <c r="AD436" i="27"/>
  <c r="AD437" i="27"/>
  <c r="AD438" i="27"/>
  <c r="AD439" i="27"/>
  <c r="AD440" i="27"/>
  <c r="AD441" i="27"/>
  <c r="AD442" i="27"/>
  <c r="AD443" i="27"/>
  <c r="AD444" i="27"/>
  <c r="AD445" i="27"/>
  <c r="AD446" i="27"/>
  <c r="AD447" i="27"/>
  <c r="AD448" i="27"/>
  <c r="AD449" i="27"/>
  <c r="AD450" i="27"/>
  <c r="AD451" i="27"/>
  <c r="AD452" i="27"/>
  <c r="AD453" i="27"/>
  <c r="AD454" i="27"/>
  <c r="AD455" i="27"/>
  <c r="AD456" i="27"/>
  <c r="AD457" i="27"/>
  <c r="AD458" i="27"/>
  <c r="AD459" i="27"/>
  <c r="AD460" i="27"/>
  <c r="AD461" i="27"/>
  <c r="AD462" i="27"/>
  <c r="AD463" i="27"/>
  <c r="AD464" i="27"/>
  <c r="AD465" i="27"/>
  <c r="AD466" i="27"/>
  <c r="AD467" i="27"/>
  <c r="AD468" i="27"/>
  <c r="AD469" i="27"/>
  <c r="AD470" i="27"/>
  <c r="AD471" i="27"/>
  <c r="AD472" i="27"/>
  <c r="AD473" i="27"/>
  <c r="AD474" i="27"/>
  <c r="AD475" i="27"/>
  <c r="AD476" i="27"/>
  <c r="AD477" i="27"/>
  <c r="AD478" i="27"/>
  <c r="AD479" i="27"/>
  <c r="AD480" i="27"/>
  <c r="AD481" i="27"/>
  <c r="AD482" i="27"/>
  <c r="AD483" i="27"/>
  <c r="AD484" i="27"/>
  <c r="AD485" i="27"/>
  <c r="AD486" i="27"/>
  <c r="AD487" i="27"/>
  <c r="AD488" i="27"/>
  <c r="AD489" i="27"/>
  <c r="AD490" i="27"/>
  <c r="AD491" i="27"/>
  <c r="AD492" i="27"/>
  <c r="AD493" i="27"/>
  <c r="AD494" i="27"/>
  <c r="AD495" i="27"/>
  <c r="AD496" i="27"/>
  <c r="AD497" i="27"/>
  <c r="AD498" i="27"/>
  <c r="AD499" i="27"/>
  <c r="AD500" i="27"/>
  <c r="AD501" i="27"/>
  <c r="AD502" i="27"/>
  <c r="AD503" i="27"/>
  <c r="AD504" i="27"/>
  <c r="AD505" i="27"/>
  <c r="AD506" i="27"/>
  <c r="AD507" i="27"/>
  <c r="AD508" i="27"/>
  <c r="AD509" i="27"/>
  <c r="AD510" i="27"/>
  <c r="AD511" i="27"/>
  <c r="AD512" i="27"/>
  <c r="AD513" i="27"/>
  <c r="AD514" i="27"/>
  <c r="AD515" i="27"/>
  <c r="AD516" i="27"/>
  <c r="AD517" i="27"/>
  <c r="AD518" i="27"/>
  <c r="AD519" i="27"/>
  <c r="AD520" i="27"/>
  <c r="AD521" i="27"/>
  <c r="AD522" i="27"/>
  <c r="AD523" i="27"/>
  <c r="AD524" i="27"/>
  <c r="AD525" i="27"/>
  <c r="AD526" i="27"/>
  <c r="AD527" i="27"/>
  <c r="AD528" i="27"/>
  <c r="AD529" i="27"/>
  <c r="AD530" i="27"/>
  <c r="AD531" i="27"/>
  <c r="AD532" i="27"/>
  <c r="AD533" i="27"/>
  <c r="AD534" i="27"/>
  <c r="AD535" i="27"/>
  <c r="AD536" i="27"/>
  <c r="AD537" i="27"/>
  <c r="AD538" i="27"/>
  <c r="AD539" i="27"/>
  <c r="AD540" i="27"/>
  <c r="AD541" i="27"/>
  <c r="AD542" i="27"/>
  <c r="AD543" i="27"/>
  <c r="AD544" i="27"/>
  <c r="AD545" i="27"/>
  <c r="AD546" i="27"/>
  <c r="AD547" i="27"/>
  <c r="AD548" i="27"/>
  <c r="AD549" i="27"/>
  <c r="AD550" i="27"/>
  <c r="AD551" i="27"/>
  <c r="AD552" i="27"/>
  <c r="AD553" i="27"/>
  <c r="AD554" i="27"/>
  <c r="AD555" i="27"/>
  <c r="AD556" i="27"/>
  <c r="AD557" i="27"/>
  <c r="AD558" i="27"/>
  <c r="AD559" i="27"/>
  <c r="AD560" i="27"/>
  <c r="AD561" i="27"/>
  <c r="AD562" i="27"/>
  <c r="AD563" i="27"/>
  <c r="AD564" i="27"/>
  <c r="AD565" i="27"/>
  <c r="AD566" i="27"/>
  <c r="AD567" i="27"/>
  <c r="AD568" i="27"/>
  <c r="AD569" i="27"/>
  <c r="AD570" i="27"/>
  <c r="AD571" i="27"/>
  <c r="AD572" i="27"/>
  <c r="AD573" i="27"/>
  <c r="AD574" i="27"/>
  <c r="AD575" i="27"/>
  <c r="AD576" i="27"/>
  <c r="AD577" i="27"/>
  <c r="AD578" i="27"/>
  <c r="AD579" i="27"/>
  <c r="AD580" i="27"/>
  <c r="AD581" i="27"/>
  <c r="AD582" i="27"/>
  <c r="AD583" i="27"/>
  <c r="AD584" i="27"/>
  <c r="AD585" i="27"/>
  <c r="AD586" i="27"/>
  <c r="AD587" i="27"/>
  <c r="AD588" i="27"/>
  <c r="AD589" i="27"/>
  <c r="AD590" i="27"/>
  <c r="AD591" i="27"/>
  <c r="AD592" i="27"/>
  <c r="AD593" i="27"/>
  <c r="AD594" i="27"/>
  <c r="AD595" i="27"/>
  <c r="AD596" i="27"/>
  <c r="AD597" i="27"/>
  <c r="AD598" i="27"/>
  <c r="AD599" i="27"/>
  <c r="AD600" i="27"/>
  <c r="AD601" i="27"/>
  <c r="AD602" i="27"/>
  <c r="AD603" i="27"/>
  <c r="AD604" i="27"/>
  <c r="AD605" i="27"/>
  <c r="AD606" i="27"/>
  <c r="AD607" i="27"/>
  <c r="AD608" i="27"/>
  <c r="AD609" i="27"/>
  <c r="AD610" i="27"/>
  <c r="AD611" i="27"/>
  <c r="AD612" i="27"/>
  <c r="AD613" i="27"/>
  <c r="AD614" i="27"/>
  <c r="G84" i="30"/>
  <c r="G85" i="30"/>
  <c r="G88" i="30"/>
  <c r="G39" i="30"/>
  <c r="G55" i="30"/>
  <c r="G56" i="30"/>
  <c r="G86" i="30"/>
  <c r="G87" i="30"/>
  <c r="G118" i="30"/>
  <c r="G119" i="30"/>
  <c r="G120" i="30"/>
  <c r="G121" i="30"/>
  <c r="G66" i="30"/>
  <c r="G100" i="30"/>
  <c r="G101" i="30"/>
  <c r="G102" i="30"/>
  <c r="G69" i="30"/>
  <c r="G70" i="30"/>
  <c r="G71" i="30"/>
  <c r="G14" i="30"/>
  <c r="G15" i="30"/>
  <c r="G73" i="30"/>
  <c r="G74" i="30"/>
  <c r="G93" i="30"/>
  <c r="G94" i="30"/>
  <c r="G75" i="30"/>
  <c r="G76" i="30"/>
  <c r="G59" i="30"/>
  <c r="G57" i="30"/>
  <c r="G58" i="30"/>
  <c r="G16" i="30"/>
  <c r="G122" i="30"/>
  <c r="G123" i="30"/>
  <c r="G124" i="30"/>
  <c r="G49" i="30"/>
  <c r="G89" i="30"/>
  <c r="G34" i="30"/>
  <c r="G18" i="30"/>
  <c r="G35" i="30"/>
  <c r="G36" i="30"/>
  <c r="G48" i="30"/>
  <c r="G125" i="30"/>
  <c r="G27" i="30"/>
  <c r="G29" i="30"/>
  <c r="G41" i="30"/>
  <c r="G126" i="30"/>
  <c r="G127" i="30"/>
  <c r="G128" i="30"/>
  <c r="G77" i="30"/>
  <c r="G50" i="30"/>
  <c r="G54" i="30"/>
  <c r="G21" i="30"/>
  <c r="G22" i="30"/>
  <c r="G111" i="30"/>
  <c r="G112" i="30"/>
  <c r="G78" i="30"/>
  <c r="G79" i="30"/>
  <c r="G80" i="30"/>
  <c r="G81" i="30"/>
  <c r="G107" i="30"/>
  <c r="G108" i="30"/>
  <c r="G5" i="30"/>
  <c r="G6" i="30"/>
  <c r="G31" i="30"/>
  <c r="G32" i="30"/>
  <c r="G37" i="30"/>
  <c r="G38" i="30"/>
  <c r="G53" i="30"/>
  <c r="G47" i="30"/>
  <c r="G20" i="30"/>
  <c r="G99" i="30"/>
  <c r="G109" i="30"/>
  <c r="G110" i="30"/>
  <c r="G97" i="30"/>
  <c r="G98" i="30"/>
  <c r="G40" i="30"/>
  <c r="G26" i="30"/>
  <c r="G33" i="30"/>
  <c r="G51" i="30"/>
  <c r="G83" i="30"/>
  <c r="G82" i="30"/>
  <c r="G72" i="30"/>
  <c r="G28" i="30"/>
  <c r="G113" i="30"/>
  <c r="G114" i="30"/>
  <c r="G46" i="30"/>
  <c r="G68" i="30"/>
  <c r="G129" i="30"/>
  <c r="G60" i="30"/>
  <c r="G90" i="30"/>
  <c r="G130" i="30"/>
  <c r="G61" i="30"/>
  <c r="G17" i="30"/>
  <c r="G23" i="30"/>
  <c r="G115" i="30"/>
  <c r="G116" i="30"/>
  <c r="G117" i="30"/>
  <c r="G19" i="30"/>
  <c r="G62" i="30"/>
  <c r="G63" i="30"/>
  <c r="G64" i="30"/>
  <c r="G67" i="30"/>
  <c r="G91" i="30"/>
  <c r="G92" i="30"/>
  <c r="G13" i="30"/>
  <c r="G65" i="30"/>
  <c r="G44" i="30"/>
  <c r="G45" i="30"/>
  <c r="G42" i="30"/>
  <c r="G43" i="30"/>
  <c r="G30" i="30"/>
  <c r="G95" i="30"/>
  <c r="G96" i="30"/>
  <c r="G24" i="30"/>
  <c r="G25" i="30"/>
  <c r="G52" i="30"/>
  <c r="G7" i="30"/>
  <c r="G8" i="30"/>
  <c r="G9" i="30"/>
  <c r="G10" i="30"/>
  <c r="G11" i="30"/>
  <c r="G12" i="30"/>
  <c r="G103" i="30"/>
  <c r="G104" i="30"/>
  <c r="G105" i="30"/>
  <c r="G106" i="30"/>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G86" i="27"/>
  <c r="G87" i="27"/>
  <c r="G88" i="27"/>
  <c r="G89" i="27"/>
  <c r="G90" i="27"/>
  <c r="G91" i="27"/>
  <c r="G92" i="27"/>
  <c r="G93" i="27"/>
  <c r="G94" i="27"/>
  <c r="G95" i="27"/>
  <c r="G96" i="27"/>
  <c r="G97" i="27"/>
  <c r="G98" i="27"/>
  <c r="G99" i="27"/>
  <c r="G100" i="27"/>
  <c r="G101" i="27"/>
  <c r="G102" i="27"/>
  <c r="G103" i="27"/>
  <c r="G104" i="27"/>
  <c r="G105" i="27"/>
  <c r="G106" i="27"/>
  <c r="G107" i="27"/>
  <c r="G108" i="27"/>
  <c r="G109" i="27"/>
  <c r="G110" i="27"/>
  <c r="G111" i="27"/>
  <c r="G112" i="27"/>
  <c r="G113" i="27"/>
  <c r="G114" i="27"/>
  <c r="G115" i="27"/>
  <c r="G116" i="27"/>
  <c r="G117" i="27"/>
  <c r="G118" i="27"/>
  <c r="G119" i="27"/>
  <c r="G120" i="27"/>
  <c r="G121" i="27"/>
  <c r="G122" i="27"/>
  <c r="G123" i="27"/>
  <c r="G124" i="27"/>
  <c r="G125" i="27"/>
  <c r="G126" i="27"/>
  <c r="G127" i="27"/>
  <c r="G128" i="27"/>
  <c r="G129" i="27"/>
  <c r="G130" i="27"/>
  <c r="G131" i="27"/>
  <c r="G132" i="27"/>
  <c r="G133" i="27"/>
  <c r="G134" i="27"/>
  <c r="G135" i="27"/>
  <c r="G136" i="27"/>
  <c r="G137" i="27"/>
  <c r="G138" i="27"/>
  <c r="G139" i="27"/>
  <c r="G140" i="27"/>
  <c r="G141" i="27"/>
  <c r="G142" i="27"/>
  <c r="G143" i="27"/>
  <c r="G144" i="27"/>
  <c r="G145" i="27"/>
  <c r="G146" i="27"/>
  <c r="G147" i="27"/>
  <c r="G148" i="27"/>
  <c r="G149" i="27"/>
  <c r="G150" i="27"/>
  <c r="G151" i="27"/>
  <c r="G152" i="27"/>
  <c r="G153" i="27"/>
  <c r="G154" i="27"/>
  <c r="G155" i="27"/>
  <c r="G156" i="27"/>
  <c r="G157" i="27"/>
  <c r="G158" i="27"/>
  <c r="G159" i="27"/>
  <c r="G160" i="27"/>
  <c r="G161" i="27"/>
  <c r="G162" i="27"/>
  <c r="G163" i="27"/>
  <c r="G164" i="27"/>
  <c r="G165" i="27"/>
  <c r="G166" i="27"/>
  <c r="G167" i="27"/>
  <c r="G168" i="27"/>
  <c r="G169" i="27"/>
  <c r="G170" i="27"/>
  <c r="G171" i="27"/>
  <c r="G172" i="27"/>
  <c r="G173" i="27"/>
  <c r="G174" i="27"/>
  <c r="G175" i="27"/>
  <c r="G176" i="27"/>
  <c r="G177" i="27"/>
  <c r="G178" i="27"/>
  <c r="G179" i="27"/>
  <c r="G180" i="27"/>
  <c r="G181" i="27"/>
  <c r="G182" i="27"/>
  <c r="G183" i="27"/>
  <c r="G184" i="27"/>
  <c r="G185" i="27"/>
  <c r="G186" i="27"/>
  <c r="G187" i="27"/>
  <c r="G188" i="27"/>
  <c r="G189" i="27"/>
  <c r="G190" i="27"/>
  <c r="G191" i="27"/>
  <c r="G192" i="27"/>
  <c r="G193" i="27"/>
  <c r="G194" i="27"/>
  <c r="G195" i="27"/>
  <c r="G196" i="27"/>
  <c r="G197" i="27"/>
  <c r="G198" i="27"/>
  <c r="G199" i="27"/>
  <c r="G200" i="27"/>
  <c r="G201" i="27"/>
  <c r="G202" i="27"/>
  <c r="G203" i="27"/>
  <c r="G204" i="27"/>
  <c r="G205" i="27"/>
  <c r="G206" i="27"/>
  <c r="G207" i="27"/>
  <c r="G208" i="27"/>
  <c r="G209" i="27"/>
  <c r="G210" i="27"/>
  <c r="G211" i="27"/>
  <c r="G212" i="27"/>
  <c r="G213" i="27"/>
  <c r="G214" i="27"/>
  <c r="G215" i="27"/>
  <c r="G216" i="27"/>
  <c r="G217" i="27"/>
  <c r="G218" i="27"/>
  <c r="G219" i="27"/>
  <c r="G220" i="27"/>
  <c r="G221" i="27"/>
  <c r="G222" i="27"/>
  <c r="G223" i="27"/>
  <c r="G224" i="27"/>
  <c r="G225" i="27"/>
  <c r="G226" i="27"/>
  <c r="G227" i="27"/>
  <c r="G228" i="27"/>
  <c r="G229" i="27"/>
  <c r="G230" i="27"/>
  <c r="G231" i="27"/>
  <c r="G232" i="27"/>
  <c r="G233" i="27"/>
  <c r="G234" i="27"/>
  <c r="G235" i="27"/>
  <c r="G236" i="27"/>
  <c r="G237" i="27"/>
  <c r="G238" i="27"/>
  <c r="G239" i="27"/>
  <c r="G240" i="27"/>
  <c r="G241" i="27"/>
  <c r="G242" i="27"/>
  <c r="G243" i="27"/>
  <c r="G244" i="27"/>
  <c r="G245" i="27"/>
  <c r="G246" i="27"/>
  <c r="G247" i="27"/>
  <c r="G248" i="27"/>
  <c r="G249" i="27"/>
  <c r="G250" i="27"/>
  <c r="G251" i="27"/>
  <c r="G252" i="27"/>
  <c r="G253" i="27"/>
  <c r="G254" i="27"/>
  <c r="G255" i="27"/>
  <c r="G256" i="27"/>
  <c r="G257" i="27"/>
  <c r="G258" i="27"/>
  <c r="G259" i="27"/>
  <c r="G260" i="27"/>
  <c r="G261" i="27"/>
  <c r="G262" i="27"/>
  <c r="G263" i="27"/>
  <c r="G264" i="27"/>
  <c r="G265" i="27"/>
  <c r="G266" i="27"/>
  <c r="G267" i="27"/>
  <c r="G268" i="27"/>
  <c r="G269" i="27"/>
  <c r="G270" i="27"/>
  <c r="G271" i="27"/>
  <c r="G272" i="27"/>
  <c r="G273" i="27"/>
  <c r="G274" i="27"/>
  <c r="G275" i="27"/>
  <c r="G276" i="27"/>
  <c r="G277" i="27"/>
  <c r="G278" i="27"/>
  <c r="G279" i="27"/>
  <c r="G280" i="27"/>
  <c r="G281" i="27"/>
  <c r="G282" i="27"/>
  <c r="G283" i="27"/>
  <c r="G284" i="27"/>
  <c r="G285" i="27"/>
  <c r="G286" i="27"/>
  <c r="G287" i="27"/>
  <c r="G288" i="27"/>
  <c r="G289" i="27"/>
  <c r="G290" i="27"/>
  <c r="G291" i="27"/>
  <c r="G292" i="27"/>
  <c r="G293" i="27"/>
  <c r="G294" i="27"/>
  <c r="G295" i="27"/>
  <c r="G296" i="27"/>
  <c r="G297" i="27"/>
  <c r="G298" i="27"/>
  <c r="G299" i="27"/>
  <c r="G300" i="27"/>
  <c r="G301" i="27"/>
  <c r="G302" i="27"/>
  <c r="G303" i="27"/>
  <c r="G304" i="27"/>
  <c r="G305" i="27"/>
  <c r="G306" i="27"/>
  <c r="G307" i="27"/>
  <c r="G308" i="27"/>
  <c r="G309" i="27"/>
  <c r="G310" i="27"/>
  <c r="G311" i="27"/>
  <c r="G312" i="27"/>
  <c r="G313" i="27"/>
  <c r="G314" i="27"/>
  <c r="G315" i="27"/>
  <c r="G316" i="27"/>
  <c r="G317" i="27"/>
  <c r="G318" i="27"/>
  <c r="G319" i="27"/>
  <c r="G320" i="27"/>
  <c r="G321" i="27"/>
  <c r="G322" i="27"/>
  <c r="G323" i="27"/>
  <c r="G324" i="27"/>
  <c r="G325" i="27"/>
  <c r="G326" i="27"/>
  <c r="G327" i="27"/>
  <c r="G328" i="27"/>
  <c r="G329" i="27"/>
  <c r="G330" i="27"/>
  <c r="G331" i="27"/>
  <c r="G332" i="27"/>
  <c r="G333" i="27"/>
  <c r="G334" i="27"/>
  <c r="G335" i="27"/>
  <c r="G336" i="27"/>
  <c r="G337" i="27"/>
  <c r="G338" i="27"/>
  <c r="G339" i="27"/>
  <c r="G340" i="27"/>
  <c r="G341" i="27"/>
  <c r="G342" i="27"/>
  <c r="G343" i="27"/>
  <c r="G344" i="27"/>
  <c r="G345" i="27"/>
  <c r="G346" i="27"/>
  <c r="G347" i="27"/>
  <c r="G348" i="27"/>
  <c r="G349" i="27"/>
  <c r="G350" i="27"/>
  <c r="G351" i="27"/>
  <c r="G352" i="27"/>
  <c r="G353" i="27"/>
  <c r="G354" i="27"/>
  <c r="G355" i="27"/>
  <c r="G356" i="27"/>
  <c r="G357" i="27"/>
  <c r="G358" i="27"/>
  <c r="G359" i="27"/>
  <c r="G360" i="27"/>
  <c r="G361" i="27"/>
  <c r="G362" i="27"/>
  <c r="G363" i="27"/>
  <c r="G364" i="27"/>
  <c r="G365" i="27"/>
  <c r="G366" i="27"/>
  <c r="G367" i="27"/>
  <c r="G368" i="27"/>
  <c r="G369" i="27"/>
  <c r="G370" i="27"/>
  <c r="G371" i="27"/>
  <c r="G372" i="27"/>
  <c r="G373" i="27"/>
  <c r="G374" i="27"/>
  <c r="G375" i="27"/>
  <c r="G376" i="27"/>
  <c r="G377" i="27"/>
  <c r="G378" i="27"/>
  <c r="G379" i="27"/>
  <c r="G380" i="27"/>
  <c r="G381" i="27"/>
  <c r="G382" i="27"/>
  <c r="G383" i="27"/>
  <c r="G384" i="27"/>
  <c r="G385" i="27"/>
  <c r="G386" i="27"/>
  <c r="G387" i="27"/>
  <c r="G388" i="27"/>
  <c r="G389" i="27"/>
  <c r="G390" i="27"/>
  <c r="G391" i="27"/>
  <c r="G392" i="27"/>
  <c r="G393" i="27"/>
  <c r="G394" i="27"/>
  <c r="G395" i="27"/>
  <c r="G396" i="27"/>
  <c r="G397" i="27"/>
  <c r="G398" i="27"/>
  <c r="G399" i="27"/>
  <c r="G400" i="27"/>
  <c r="G401" i="27"/>
  <c r="G402" i="27"/>
  <c r="G403" i="27"/>
  <c r="G404" i="27"/>
  <c r="G405" i="27"/>
  <c r="G406" i="27"/>
  <c r="G407" i="27"/>
  <c r="G408" i="27"/>
  <c r="G409" i="27"/>
  <c r="G410" i="27"/>
  <c r="G411" i="27"/>
  <c r="G412" i="27"/>
  <c r="G413" i="27"/>
  <c r="G414" i="27"/>
  <c r="G415" i="27"/>
  <c r="G416" i="27"/>
  <c r="G417" i="27"/>
  <c r="G418" i="27"/>
  <c r="G419" i="27"/>
  <c r="G420" i="27"/>
  <c r="G421" i="27"/>
  <c r="G422" i="27"/>
  <c r="G423" i="27"/>
  <c r="G424" i="27"/>
  <c r="G425" i="27"/>
  <c r="G426" i="27"/>
  <c r="G427" i="27"/>
  <c r="G428" i="27"/>
  <c r="G429" i="27"/>
  <c r="G430" i="27"/>
  <c r="G431" i="27"/>
  <c r="G432" i="27"/>
  <c r="G433" i="27"/>
  <c r="G434" i="27"/>
  <c r="G435" i="27"/>
  <c r="G436" i="27"/>
  <c r="G437" i="27"/>
  <c r="G438" i="27"/>
  <c r="G439" i="27"/>
  <c r="G440" i="27"/>
  <c r="G441" i="27"/>
  <c r="G442" i="27"/>
  <c r="G443" i="27"/>
  <c r="G444" i="27"/>
  <c r="G445" i="27"/>
  <c r="G446" i="27"/>
  <c r="G447" i="27"/>
  <c r="G448" i="27"/>
  <c r="G449" i="27"/>
  <c r="G450" i="27"/>
  <c r="G451" i="27"/>
  <c r="G452" i="27"/>
  <c r="G453" i="27"/>
  <c r="G454" i="27"/>
  <c r="G455" i="27"/>
  <c r="G456" i="27"/>
  <c r="G457" i="27"/>
  <c r="G458" i="27"/>
  <c r="G459" i="27"/>
  <c r="G460" i="27"/>
  <c r="G461" i="27"/>
  <c r="G462" i="27"/>
  <c r="G463" i="27"/>
  <c r="G464" i="27"/>
  <c r="G465" i="27"/>
  <c r="G466" i="27"/>
  <c r="G467" i="27"/>
  <c r="G468" i="27"/>
  <c r="G469" i="27"/>
  <c r="G470" i="27"/>
  <c r="G471" i="27"/>
  <c r="G472" i="27"/>
  <c r="G473" i="27"/>
  <c r="G474" i="27"/>
  <c r="G475" i="27"/>
  <c r="G476" i="27"/>
  <c r="G477" i="27"/>
  <c r="G478" i="27"/>
  <c r="G479" i="27"/>
  <c r="G480" i="27"/>
  <c r="G481" i="27"/>
  <c r="G482" i="27"/>
  <c r="G483" i="27"/>
  <c r="G484" i="27"/>
  <c r="G485" i="27"/>
  <c r="G486" i="27"/>
  <c r="G487" i="27"/>
  <c r="G488" i="27"/>
  <c r="G489" i="27"/>
  <c r="G490" i="27"/>
  <c r="G491" i="27"/>
  <c r="G492" i="27"/>
  <c r="G493" i="27"/>
  <c r="G494" i="27"/>
  <c r="G495" i="27"/>
  <c r="G496" i="27"/>
  <c r="G497" i="27"/>
  <c r="G498" i="27"/>
  <c r="G499" i="27"/>
  <c r="G500" i="27"/>
  <c r="G501" i="27"/>
  <c r="G502" i="27"/>
  <c r="G503" i="27"/>
  <c r="G504" i="27"/>
  <c r="G505" i="27"/>
  <c r="G506" i="27"/>
  <c r="G507" i="27"/>
  <c r="G508" i="27"/>
  <c r="G509" i="27"/>
  <c r="G510" i="27"/>
  <c r="G511" i="27"/>
  <c r="G512" i="27"/>
  <c r="G513" i="27"/>
  <c r="G514" i="27"/>
  <c r="G515" i="27"/>
  <c r="G516" i="27"/>
  <c r="G517" i="27"/>
  <c r="G518" i="27"/>
  <c r="G519" i="27"/>
  <c r="G520" i="27"/>
  <c r="G521" i="27"/>
  <c r="G522" i="27"/>
  <c r="G523" i="27"/>
  <c r="G524" i="27"/>
  <c r="G525" i="27"/>
  <c r="G526" i="27"/>
  <c r="G527" i="27"/>
  <c r="G528" i="27"/>
  <c r="G529" i="27"/>
  <c r="G530" i="27"/>
  <c r="G531" i="27"/>
  <c r="G532" i="27"/>
  <c r="G533" i="27"/>
  <c r="G534" i="27"/>
  <c r="G535" i="27"/>
  <c r="G536" i="27"/>
  <c r="G537" i="27"/>
  <c r="G538" i="27"/>
  <c r="G539" i="27"/>
  <c r="G540" i="27"/>
  <c r="G541" i="27"/>
  <c r="G542" i="27"/>
  <c r="G543" i="27"/>
  <c r="G544" i="27"/>
  <c r="G545" i="27"/>
  <c r="G546" i="27"/>
  <c r="G547" i="27"/>
  <c r="G548" i="27"/>
  <c r="G549" i="27"/>
  <c r="G550" i="27"/>
  <c r="G551" i="27"/>
  <c r="G552" i="27"/>
  <c r="G553" i="27"/>
  <c r="G554" i="27"/>
  <c r="G555" i="27"/>
  <c r="G556" i="27"/>
  <c r="G557" i="27"/>
  <c r="G558" i="27"/>
  <c r="G559" i="27"/>
  <c r="G560" i="27"/>
  <c r="G561" i="27"/>
  <c r="G562" i="27"/>
  <c r="G563" i="27"/>
  <c r="G564" i="27"/>
  <c r="G565" i="27"/>
  <c r="G566" i="27"/>
  <c r="G567" i="27"/>
  <c r="G568" i="27"/>
  <c r="G569" i="27"/>
  <c r="G570" i="27"/>
  <c r="G571" i="27"/>
  <c r="G572" i="27"/>
  <c r="G573" i="27"/>
  <c r="G574" i="27"/>
  <c r="G575" i="27"/>
  <c r="G576" i="27"/>
  <c r="G577" i="27"/>
  <c r="G578" i="27"/>
  <c r="G579" i="27"/>
  <c r="G580" i="27"/>
  <c r="G581" i="27"/>
  <c r="G582" i="27"/>
  <c r="G583" i="27"/>
  <c r="G584" i="27"/>
  <c r="G585" i="27"/>
  <c r="G586" i="27"/>
  <c r="G587" i="27"/>
  <c r="G588" i="27"/>
  <c r="G589" i="27"/>
  <c r="G590" i="27"/>
  <c r="G591" i="27"/>
  <c r="G592" i="27"/>
  <c r="G593" i="27"/>
  <c r="G594" i="27"/>
  <c r="G595" i="27"/>
  <c r="G596" i="27"/>
  <c r="G597" i="27"/>
  <c r="G598" i="27"/>
  <c r="G599" i="27"/>
  <c r="G600" i="27"/>
  <c r="G601" i="27"/>
  <c r="G602" i="27"/>
  <c r="G603" i="27"/>
  <c r="G604" i="27"/>
  <c r="G605" i="27"/>
  <c r="G606" i="27"/>
  <c r="G607" i="27"/>
  <c r="G608" i="27"/>
  <c r="G609" i="27"/>
  <c r="G610" i="27"/>
  <c r="G611" i="27"/>
  <c r="G612" i="27"/>
  <c r="G613" i="27"/>
  <c r="G614" i="27"/>
  <c r="AG5" i="27"/>
  <c r="AG6" i="27"/>
  <c r="AG7" i="27"/>
  <c r="AG8" i="27"/>
  <c r="AG9" i="27"/>
  <c r="AG10" i="27"/>
  <c r="AG11" i="27"/>
  <c r="AG12" i="27"/>
  <c r="AG13" i="27"/>
  <c r="AG14" i="27"/>
  <c r="AG15" i="27"/>
  <c r="AG16" i="27"/>
  <c r="AG17" i="27"/>
  <c r="AG18" i="27"/>
  <c r="AG19" i="27"/>
  <c r="AG20" i="27"/>
  <c r="AG21" i="27"/>
  <c r="AG22" i="27"/>
  <c r="AG23" i="27"/>
  <c r="AG24" i="27"/>
  <c r="AG25" i="27"/>
  <c r="AG26" i="27"/>
  <c r="AG27" i="27"/>
  <c r="AG28" i="27"/>
  <c r="AG29" i="27"/>
  <c r="AG30" i="27"/>
  <c r="AG31" i="27"/>
  <c r="AG32" i="27"/>
  <c r="AG33" i="27"/>
  <c r="AG34" i="27"/>
  <c r="AG35" i="27"/>
  <c r="AG36" i="27"/>
  <c r="AG37" i="27"/>
  <c r="AG38" i="27"/>
  <c r="AG39" i="27"/>
  <c r="AG40" i="27"/>
  <c r="AG41" i="27"/>
  <c r="AG42" i="27"/>
  <c r="AG43" i="27"/>
  <c r="AG44" i="27"/>
  <c r="AG45" i="27"/>
  <c r="AG46" i="27"/>
  <c r="AG47" i="27"/>
  <c r="AG48" i="27"/>
  <c r="AG49" i="27"/>
  <c r="AG50" i="27"/>
  <c r="AG51" i="27"/>
  <c r="AG52" i="27"/>
  <c r="AG53" i="27"/>
  <c r="AG54" i="27"/>
  <c r="AG55" i="27"/>
  <c r="AG56" i="27"/>
  <c r="AG57" i="27"/>
  <c r="AG58" i="27"/>
  <c r="AG59" i="27"/>
  <c r="AG60" i="27"/>
  <c r="AG61" i="27"/>
  <c r="AG62" i="27"/>
  <c r="AG63" i="27"/>
  <c r="AG64" i="27"/>
  <c r="AG65" i="27"/>
  <c r="AG66" i="27"/>
  <c r="AG67" i="27"/>
  <c r="AG68" i="27"/>
  <c r="AG69" i="27"/>
  <c r="AG70" i="27"/>
  <c r="AG71" i="27"/>
  <c r="AG72" i="27"/>
  <c r="AG73" i="27"/>
  <c r="AG74" i="27"/>
  <c r="AG75" i="27"/>
  <c r="AG76" i="27"/>
  <c r="AG77" i="27"/>
  <c r="AG78" i="27"/>
  <c r="AG79" i="27"/>
  <c r="AG80" i="27"/>
  <c r="AG81" i="27"/>
  <c r="AG82" i="27"/>
  <c r="AG83" i="27"/>
  <c r="AG84" i="27"/>
  <c r="AG85" i="27"/>
  <c r="AG86" i="27"/>
  <c r="AG87" i="27"/>
  <c r="AG88" i="27"/>
  <c r="AG89" i="27"/>
  <c r="AG90" i="27"/>
  <c r="AG91" i="27"/>
  <c r="AG92" i="27"/>
  <c r="AG93" i="27"/>
  <c r="AG94" i="27"/>
  <c r="AG95" i="27"/>
  <c r="AG96" i="27"/>
  <c r="AG97" i="27"/>
  <c r="AG98" i="27"/>
  <c r="AG99" i="27"/>
  <c r="AG100" i="27"/>
  <c r="AG101" i="27"/>
  <c r="AG102" i="27"/>
  <c r="AG103" i="27"/>
  <c r="AG104" i="27"/>
  <c r="AG105" i="27"/>
  <c r="AG106" i="27"/>
  <c r="AG107" i="27"/>
  <c r="AG108" i="27"/>
  <c r="AG109" i="27"/>
  <c r="AG110" i="27"/>
  <c r="AG111" i="27"/>
  <c r="AG112" i="27"/>
  <c r="AG113" i="27"/>
  <c r="AG114" i="27"/>
  <c r="AG115" i="27"/>
  <c r="AG116" i="27"/>
  <c r="AG117" i="27"/>
  <c r="AG118" i="27"/>
  <c r="AG119" i="27"/>
  <c r="AG120" i="27"/>
  <c r="AG121" i="27"/>
  <c r="AG122" i="27"/>
  <c r="AG123" i="27"/>
  <c r="AG124" i="27"/>
  <c r="AG125" i="27"/>
  <c r="AG126" i="27"/>
  <c r="AG127" i="27"/>
  <c r="AG128" i="27"/>
  <c r="AG129" i="27"/>
  <c r="AG130" i="27"/>
  <c r="AG131" i="27"/>
  <c r="AG132" i="27"/>
  <c r="AG133" i="27"/>
  <c r="AG134" i="27"/>
  <c r="AG135" i="27"/>
  <c r="AG136" i="27"/>
  <c r="AG137" i="27"/>
  <c r="AG138" i="27"/>
  <c r="AG139" i="27"/>
  <c r="AG140" i="27"/>
  <c r="AG141" i="27"/>
  <c r="AG142" i="27"/>
  <c r="AG143" i="27"/>
  <c r="AG144" i="27"/>
  <c r="AG145" i="27"/>
  <c r="AG146" i="27"/>
  <c r="AG147" i="27"/>
  <c r="AG148" i="27"/>
  <c r="AG149" i="27"/>
  <c r="AG150" i="27"/>
  <c r="AG151" i="27"/>
  <c r="AG152" i="27"/>
  <c r="AG153" i="27"/>
  <c r="AG154" i="27"/>
  <c r="AG155" i="27"/>
  <c r="AG156" i="27"/>
  <c r="AG157" i="27"/>
  <c r="AG158" i="27"/>
  <c r="AG159" i="27"/>
  <c r="AG160" i="27"/>
  <c r="AG161" i="27"/>
  <c r="AG162" i="27"/>
  <c r="AG163" i="27"/>
  <c r="AG164" i="27"/>
  <c r="AG165" i="27"/>
  <c r="AG166" i="27"/>
  <c r="AG167" i="27"/>
  <c r="AG168" i="27"/>
  <c r="AG169" i="27"/>
  <c r="AG170" i="27"/>
  <c r="AG171" i="27"/>
  <c r="AG172" i="27"/>
  <c r="AG173" i="27"/>
  <c r="AG174" i="27"/>
  <c r="AG175" i="27"/>
  <c r="AG176" i="27"/>
  <c r="AG177" i="27"/>
  <c r="AG178" i="27"/>
  <c r="AG179" i="27"/>
  <c r="AG180" i="27"/>
  <c r="AG181" i="27"/>
  <c r="AG182" i="27"/>
  <c r="AG183" i="27"/>
  <c r="AG184" i="27"/>
  <c r="AG185" i="27"/>
  <c r="AG186" i="27"/>
  <c r="AG187" i="27"/>
  <c r="AG188" i="27"/>
  <c r="AG189" i="27"/>
  <c r="AG190" i="27"/>
  <c r="AG191" i="27"/>
  <c r="AG192" i="27"/>
  <c r="AG193" i="27"/>
  <c r="AG194" i="27"/>
  <c r="AG195" i="27"/>
  <c r="AG196" i="27"/>
  <c r="AG197" i="27"/>
  <c r="AG198" i="27"/>
  <c r="AG199" i="27"/>
  <c r="AG200" i="27"/>
  <c r="AG201" i="27"/>
  <c r="AG202" i="27"/>
  <c r="AG203" i="27"/>
  <c r="AG204" i="27"/>
  <c r="AG205" i="27"/>
  <c r="AG206" i="27"/>
  <c r="AG207" i="27"/>
  <c r="AG208" i="27"/>
  <c r="AG209" i="27"/>
  <c r="AG210" i="27"/>
  <c r="AG211" i="27"/>
  <c r="AG212" i="27"/>
  <c r="AG213" i="27"/>
  <c r="AG214" i="27"/>
  <c r="AG215" i="27"/>
  <c r="AG216" i="27"/>
  <c r="AG217" i="27"/>
  <c r="AG218" i="27"/>
  <c r="AG219" i="27"/>
  <c r="AG220" i="27"/>
  <c r="AG221" i="27"/>
  <c r="AG222" i="27"/>
  <c r="AG223" i="27"/>
  <c r="AG224" i="27"/>
  <c r="AG225" i="27"/>
  <c r="AG226" i="27"/>
  <c r="AG227" i="27"/>
  <c r="AG228" i="27"/>
  <c r="AG229" i="27"/>
  <c r="AG230" i="27"/>
  <c r="AG231" i="27"/>
  <c r="AG232" i="27"/>
  <c r="AG233" i="27"/>
  <c r="AG234" i="27"/>
  <c r="AG235" i="27"/>
  <c r="AG236" i="27"/>
  <c r="AG237" i="27"/>
  <c r="AG238" i="27"/>
  <c r="AG239" i="27"/>
  <c r="AG240" i="27"/>
  <c r="AG241" i="27"/>
  <c r="AG242" i="27"/>
  <c r="AG243" i="27"/>
  <c r="AG244" i="27"/>
  <c r="AG245" i="27"/>
  <c r="AG246" i="27"/>
  <c r="AG247" i="27"/>
  <c r="AG248" i="27"/>
  <c r="AG249" i="27"/>
  <c r="AG250" i="27"/>
  <c r="AG251" i="27"/>
  <c r="AG252" i="27"/>
  <c r="AG253" i="27"/>
  <c r="AG254" i="27"/>
  <c r="AG255" i="27"/>
  <c r="AG256" i="27"/>
  <c r="AG257" i="27"/>
  <c r="AG258" i="27"/>
  <c r="AG259" i="27"/>
  <c r="AG260" i="27"/>
  <c r="AG261" i="27"/>
  <c r="AG262" i="27"/>
  <c r="AG263" i="27"/>
  <c r="AG264" i="27"/>
  <c r="AG265" i="27"/>
  <c r="AG266" i="27"/>
  <c r="AG267" i="27"/>
  <c r="AG268" i="27"/>
  <c r="AG269" i="27"/>
  <c r="AG270" i="27"/>
  <c r="AG271" i="27"/>
  <c r="AG272" i="27"/>
  <c r="AG273" i="27"/>
  <c r="AG274" i="27"/>
  <c r="AG275" i="27"/>
  <c r="AG276" i="27"/>
  <c r="AG277" i="27"/>
  <c r="AG278" i="27"/>
  <c r="AG279" i="27"/>
  <c r="AG280" i="27"/>
  <c r="AG281" i="27"/>
  <c r="AG282" i="27"/>
  <c r="AG283" i="27"/>
  <c r="AG284" i="27"/>
  <c r="AG285" i="27"/>
  <c r="AG286" i="27"/>
  <c r="AG287" i="27"/>
  <c r="AG288" i="27"/>
  <c r="AG289" i="27"/>
  <c r="AG290" i="27"/>
  <c r="AG291" i="27"/>
  <c r="AG292" i="27"/>
  <c r="AG293" i="27"/>
  <c r="AG294" i="27"/>
  <c r="AG295" i="27"/>
  <c r="AG296" i="27"/>
  <c r="AG297" i="27"/>
  <c r="AG298" i="27"/>
  <c r="AG299" i="27"/>
  <c r="AG300" i="27"/>
  <c r="AG301" i="27"/>
  <c r="AG302" i="27"/>
  <c r="AG303" i="27"/>
  <c r="AG304" i="27"/>
  <c r="AG305" i="27"/>
  <c r="AG306" i="27"/>
  <c r="AG307" i="27"/>
  <c r="AG308" i="27"/>
  <c r="AG309" i="27"/>
  <c r="AG310" i="27"/>
  <c r="AG311" i="27"/>
  <c r="AG312" i="27"/>
  <c r="AG313" i="27"/>
  <c r="AG314" i="27"/>
  <c r="AG315" i="27"/>
  <c r="AG316" i="27"/>
  <c r="AG317" i="27"/>
  <c r="AG318" i="27"/>
  <c r="AG319" i="27"/>
  <c r="AG320" i="27"/>
  <c r="AG321" i="27"/>
  <c r="AG322" i="27"/>
  <c r="AG323" i="27"/>
  <c r="AG324" i="27"/>
  <c r="AG325" i="27"/>
  <c r="AG326" i="27"/>
  <c r="AG327" i="27"/>
  <c r="AG328" i="27"/>
  <c r="AG329" i="27"/>
  <c r="AG330" i="27"/>
  <c r="AG331" i="27"/>
  <c r="AG332" i="27"/>
  <c r="AG333" i="27"/>
  <c r="AG334" i="27"/>
  <c r="AG335" i="27"/>
  <c r="AG336" i="27"/>
  <c r="AG337" i="27"/>
  <c r="AG338" i="27"/>
  <c r="AG339" i="27"/>
  <c r="AG340" i="27"/>
  <c r="AG341" i="27"/>
  <c r="AG342" i="27"/>
  <c r="AG343" i="27"/>
  <c r="AG344" i="27"/>
  <c r="AG345" i="27"/>
  <c r="AG346" i="27"/>
  <c r="AG347" i="27"/>
  <c r="AG348" i="27"/>
  <c r="AG349" i="27"/>
  <c r="AG350" i="27"/>
  <c r="AG351" i="27"/>
  <c r="AG352" i="27"/>
  <c r="AG353" i="27"/>
  <c r="AG354" i="27"/>
  <c r="AG355" i="27"/>
  <c r="AG356" i="27"/>
  <c r="AG357" i="27"/>
  <c r="AG358" i="27"/>
  <c r="AG359" i="27"/>
  <c r="AG360" i="27"/>
  <c r="AG361" i="27"/>
  <c r="AG362" i="27"/>
  <c r="AG363" i="27"/>
  <c r="AG364" i="27"/>
  <c r="AG365" i="27"/>
  <c r="AG366" i="27"/>
  <c r="AG367" i="27"/>
  <c r="AG368" i="27"/>
  <c r="AG369" i="27"/>
  <c r="AG370" i="27"/>
  <c r="AG371" i="27"/>
  <c r="AG372" i="27"/>
  <c r="AG373" i="27"/>
  <c r="AG374" i="27"/>
  <c r="AG375" i="27"/>
  <c r="AG376" i="27"/>
  <c r="AG377" i="27"/>
  <c r="AG378" i="27"/>
  <c r="AG379" i="27"/>
  <c r="AG380" i="27"/>
  <c r="AG381" i="27"/>
  <c r="AG382" i="27"/>
  <c r="AG383" i="27"/>
  <c r="AG384" i="27"/>
  <c r="AG385" i="27"/>
  <c r="AG386" i="27"/>
  <c r="AG387" i="27"/>
  <c r="AG388" i="27"/>
  <c r="AG389" i="27"/>
  <c r="AG390" i="27"/>
  <c r="AG391" i="27"/>
  <c r="AG392" i="27"/>
  <c r="AG393" i="27"/>
  <c r="AG394" i="27"/>
  <c r="AG395" i="27"/>
  <c r="AG396" i="27"/>
  <c r="AG397" i="27"/>
  <c r="AG398" i="27"/>
  <c r="AG399" i="27"/>
  <c r="AG400" i="27"/>
  <c r="AG401" i="27"/>
  <c r="AG402" i="27"/>
  <c r="AG403" i="27"/>
  <c r="AG404" i="27"/>
  <c r="AG405" i="27"/>
  <c r="AG406" i="27"/>
  <c r="AG407" i="27"/>
  <c r="AG408" i="27"/>
  <c r="AG409" i="27"/>
  <c r="AG410" i="27"/>
  <c r="AG411" i="27"/>
  <c r="AG412" i="27"/>
  <c r="AG413" i="27"/>
  <c r="AG414" i="27"/>
  <c r="AG415" i="27"/>
  <c r="AG416" i="27"/>
  <c r="AG417" i="27"/>
  <c r="AG418" i="27"/>
  <c r="AG419" i="27"/>
  <c r="AG420" i="27"/>
  <c r="AG421" i="27"/>
  <c r="AG422" i="27"/>
  <c r="AG423" i="27"/>
  <c r="AG424" i="27"/>
  <c r="AG425" i="27"/>
  <c r="AG426" i="27"/>
  <c r="AG427" i="27"/>
  <c r="AG428" i="27"/>
  <c r="AG429" i="27"/>
  <c r="AG430" i="27"/>
  <c r="AG431" i="27"/>
  <c r="AG432" i="27"/>
  <c r="AG433" i="27"/>
  <c r="AG434" i="27"/>
  <c r="AG435" i="27"/>
  <c r="AG436" i="27"/>
  <c r="AG437" i="27"/>
  <c r="AG438" i="27"/>
  <c r="AG439" i="27"/>
  <c r="AG440" i="27"/>
  <c r="AG441" i="27"/>
  <c r="AG442" i="27"/>
  <c r="AG443" i="27"/>
  <c r="AG444" i="27"/>
  <c r="AG445" i="27"/>
  <c r="AG446" i="27"/>
  <c r="AG447" i="27"/>
  <c r="AG448" i="27"/>
  <c r="AG449" i="27"/>
  <c r="AG450" i="27"/>
  <c r="AG451" i="27"/>
  <c r="AG452" i="27"/>
  <c r="AG453" i="27"/>
  <c r="AG454" i="27"/>
  <c r="AG455" i="27"/>
  <c r="AG456" i="27"/>
  <c r="AG457" i="27"/>
  <c r="AG458" i="27"/>
  <c r="AG459" i="27"/>
  <c r="AG460" i="27"/>
  <c r="AG461" i="27"/>
  <c r="AG462" i="27"/>
  <c r="AG463" i="27"/>
  <c r="AG464" i="27"/>
  <c r="AG465" i="27"/>
  <c r="AG466" i="27"/>
  <c r="AG467" i="27"/>
  <c r="AG468" i="27"/>
  <c r="AG469" i="27"/>
  <c r="AG470" i="27"/>
  <c r="AG471" i="27"/>
  <c r="AG472" i="27"/>
  <c r="AG473" i="27"/>
  <c r="AG474" i="27"/>
  <c r="AG475" i="27"/>
  <c r="AG476" i="27"/>
  <c r="AG477" i="27"/>
  <c r="AG478" i="27"/>
  <c r="AG479" i="27"/>
  <c r="AG480" i="27"/>
  <c r="AG481" i="27"/>
  <c r="AG482" i="27"/>
  <c r="AG483" i="27"/>
  <c r="AG484" i="27"/>
  <c r="AG485" i="27"/>
  <c r="AG486" i="27"/>
  <c r="AG487" i="27"/>
  <c r="AG488" i="27"/>
  <c r="AG489" i="27"/>
  <c r="AG490" i="27"/>
  <c r="AG491" i="27"/>
  <c r="AG492" i="27"/>
  <c r="AG493" i="27"/>
  <c r="AG494" i="27"/>
  <c r="AG495" i="27"/>
  <c r="AG496" i="27"/>
  <c r="AG497" i="27"/>
  <c r="AG498" i="27"/>
  <c r="AG499" i="27"/>
  <c r="AG500" i="27"/>
  <c r="AG501" i="27"/>
  <c r="AG502" i="27"/>
  <c r="AG503" i="27"/>
  <c r="AG504" i="27"/>
  <c r="AG505" i="27"/>
  <c r="AG506" i="27"/>
  <c r="AG507" i="27"/>
  <c r="AG508" i="27"/>
  <c r="AG509" i="27"/>
  <c r="AG510" i="27"/>
  <c r="AG511" i="27"/>
  <c r="AG512" i="27"/>
  <c r="AG513" i="27"/>
  <c r="AG514" i="27"/>
  <c r="AG515" i="27"/>
  <c r="AG516" i="27"/>
  <c r="AG517" i="27"/>
  <c r="AG518" i="27"/>
  <c r="AG519" i="27"/>
  <c r="AG520" i="27"/>
  <c r="AG521" i="27"/>
  <c r="AG522" i="27"/>
  <c r="AG523" i="27"/>
  <c r="AG524" i="27"/>
  <c r="AG525" i="27"/>
  <c r="AG526" i="27"/>
  <c r="AG527" i="27"/>
  <c r="AG528" i="27"/>
  <c r="AG529" i="27"/>
  <c r="AG530" i="27"/>
  <c r="AG531" i="27"/>
  <c r="AG532" i="27"/>
  <c r="AG533" i="27"/>
  <c r="AG534" i="27"/>
  <c r="AG535" i="27"/>
  <c r="AG536" i="27"/>
  <c r="AG537" i="27"/>
  <c r="AG538" i="27"/>
  <c r="AG539" i="27"/>
  <c r="AG540" i="27"/>
  <c r="AG541" i="27"/>
  <c r="AG542" i="27"/>
  <c r="AG543" i="27"/>
  <c r="AG544" i="27"/>
  <c r="AG545" i="27"/>
  <c r="AG546" i="27"/>
  <c r="AG547" i="27"/>
  <c r="AG548" i="27"/>
  <c r="AG549" i="27"/>
  <c r="AG550" i="27"/>
  <c r="AG551" i="27"/>
  <c r="AG552" i="27"/>
  <c r="AG553" i="27"/>
  <c r="AG554" i="27"/>
  <c r="AG555" i="27"/>
  <c r="AG556" i="27"/>
  <c r="AG557" i="27"/>
  <c r="AG558" i="27"/>
  <c r="AG559" i="27"/>
  <c r="AG560" i="27"/>
  <c r="AG561" i="27"/>
  <c r="AG562" i="27"/>
  <c r="AG563" i="27"/>
  <c r="AG564" i="27"/>
  <c r="AG565" i="27"/>
  <c r="AG566" i="27"/>
  <c r="AG567" i="27"/>
  <c r="AG568" i="27"/>
  <c r="AG569" i="27"/>
  <c r="AG570" i="27"/>
  <c r="AG571" i="27"/>
  <c r="AG572" i="27"/>
  <c r="AG573" i="27"/>
  <c r="AG574" i="27"/>
  <c r="AG575" i="27"/>
  <c r="AG576" i="27"/>
  <c r="AG577" i="27"/>
  <c r="AG578" i="27"/>
  <c r="AG579" i="27"/>
  <c r="AG580" i="27"/>
  <c r="AG581" i="27"/>
  <c r="AG582" i="27"/>
  <c r="AG583" i="27"/>
  <c r="AG584" i="27"/>
  <c r="AG585" i="27"/>
  <c r="AG586" i="27"/>
  <c r="AG587" i="27"/>
  <c r="AG588" i="27"/>
  <c r="AG589" i="27"/>
  <c r="AG590" i="27"/>
  <c r="AG591" i="27"/>
  <c r="AG592" i="27"/>
  <c r="AG593" i="27"/>
  <c r="AG594" i="27"/>
  <c r="AG595" i="27"/>
  <c r="AG596" i="27"/>
  <c r="AG597" i="27"/>
  <c r="AG598" i="27"/>
  <c r="AG599" i="27"/>
  <c r="AG600" i="27"/>
  <c r="AG601" i="27"/>
  <c r="AG602" i="27"/>
  <c r="AG603" i="27"/>
  <c r="AG604" i="27"/>
  <c r="AG605" i="27"/>
  <c r="AG606" i="27"/>
  <c r="AG607" i="27"/>
  <c r="AG608" i="27"/>
  <c r="AG609" i="27"/>
  <c r="AG610" i="27"/>
  <c r="AG611" i="27"/>
  <c r="AG612" i="27"/>
  <c r="AG613" i="27"/>
  <c r="AG614" i="27"/>
  <c r="AI258" i="27"/>
  <c r="AI251" i="27"/>
  <c r="AH258" i="27"/>
  <c r="AH251" i="27"/>
  <c r="Z251" i="27"/>
  <c r="X251" i="27"/>
  <c r="AB251" i="27"/>
  <c r="Z258" i="27"/>
  <c r="Z282" i="27"/>
  <c r="X258" i="27"/>
  <c r="X603" i="27"/>
  <c r="X583" i="27"/>
  <c r="X283" i="27"/>
  <c r="X282" i="27"/>
  <c r="AE282" i="27" s="1"/>
  <c r="X174" i="27"/>
  <c r="X173" i="27"/>
  <c r="X27" i="27"/>
  <c r="AI603" i="27"/>
  <c r="AI583" i="27"/>
  <c r="AI283" i="27"/>
  <c r="AI282" i="27"/>
  <c r="AI174" i="27"/>
  <c r="AI173" i="27"/>
  <c r="AI27" i="27"/>
  <c r="AI26" i="27"/>
  <c r="AH26" i="27"/>
  <c r="AE5" i="27"/>
  <c r="AE6" i="27"/>
  <c r="AE7" i="27"/>
  <c r="AE8" i="27"/>
  <c r="AE9" i="27"/>
  <c r="AE10" i="27"/>
  <c r="AE11" i="27"/>
  <c r="AE12" i="27"/>
  <c r="AE13" i="27"/>
  <c r="AE14" i="27"/>
  <c r="AE15" i="27"/>
  <c r="AE16" i="27"/>
  <c r="AE17" i="27"/>
  <c r="AE18" i="27"/>
  <c r="AE19" i="27"/>
  <c r="AE20" i="27"/>
  <c r="AE21" i="27"/>
  <c r="AE22" i="27"/>
  <c r="AE23" i="27"/>
  <c r="AE24" i="27"/>
  <c r="AE25" i="27"/>
  <c r="AE514" i="27"/>
  <c r="AJ514" i="27" s="1"/>
  <c r="AE515" i="27"/>
  <c r="AJ515" i="27" s="1"/>
  <c r="AE28" i="27"/>
  <c r="AE29" i="27"/>
  <c r="AE30" i="27"/>
  <c r="AE31" i="27"/>
  <c r="AE32" i="27"/>
  <c r="AE33" i="27"/>
  <c r="AE34" i="27"/>
  <c r="AE35" i="27"/>
  <c r="AE36" i="27"/>
  <c r="AE37" i="27"/>
  <c r="AE38" i="27"/>
  <c r="AE39" i="27"/>
  <c r="AE516" i="27"/>
  <c r="AJ516" i="27" s="1"/>
  <c r="AE517" i="27"/>
  <c r="AJ517" i="27" s="1"/>
  <c r="AE40" i="27"/>
  <c r="AE41" i="27"/>
  <c r="AE44" i="27"/>
  <c r="AE45" i="27"/>
  <c r="AE46" i="27"/>
  <c r="AE47" i="27"/>
  <c r="AE48" i="27"/>
  <c r="AE49" i="27"/>
  <c r="AE50" i="27"/>
  <c r="AE51" i="27"/>
  <c r="AE52" i="27"/>
  <c r="AE53" i="27"/>
  <c r="AE54" i="27"/>
  <c r="AE55" i="27"/>
  <c r="AE56" i="27"/>
  <c r="AE57" i="27"/>
  <c r="AE58" i="27"/>
  <c r="AE59" i="27"/>
  <c r="AE60" i="27"/>
  <c r="AE61" i="27"/>
  <c r="AE62" i="27"/>
  <c r="AE63" i="27"/>
  <c r="AE64" i="27"/>
  <c r="AE65" i="27"/>
  <c r="AE66" i="27"/>
  <c r="AE67" i="27"/>
  <c r="AE68" i="27"/>
  <c r="AE69" i="27"/>
  <c r="AE70" i="27"/>
  <c r="AE71" i="27"/>
  <c r="AE72" i="27"/>
  <c r="AH72" i="27"/>
  <c r="AE73" i="27"/>
  <c r="AE74" i="27"/>
  <c r="AE75" i="27"/>
  <c r="AE76" i="27"/>
  <c r="AE77" i="27"/>
  <c r="AE78" i="27"/>
  <c r="AE79" i="27"/>
  <c r="AE80" i="27"/>
  <c r="AE81" i="27"/>
  <c r="AE82" i="27"/>
  <c r="AE83" i="27"/>
  <c r="AE84" i="27"/>
  <c r="AE85" i="27"/>
  <c r="AE86" i="27"/>
  <c r="AE87" i="27"/>
  <c r="AE88" i="27"/>
  <c r="AE89" i="27"/>
  <c r="AE90" i="27"/>
  <c r="AE91" i="27"/>
  <c r="AE92" i="27"/>
  <c r="AE93" i="27"/>
  <c r="AE94" i="27"/>
  <c r="AE95" i="27"/>
  <c r="AE96" i="27"/>
  <c r="AE97" i="27"/>
  <c r="AE98" i="27"/>
  <c r="AE99" i="27"/>
  <c r="AE100" i="27"/>
  <c r="AE101" i="27"/>
  <c r="AE102" i="27"/>
  <c r="AE103" i="27"/>
  <c r="AE104" i="27"/>
  <c r="AE105" i="27"/>
  <c r="AE106" i="27"/>
  <c r="AE107" i="27"/>
  <c r="AE108" i="27"/>
  <c r="AE109" i="27"/>
  <c r="AE110" i="27"/>
  <c r="AE111" i="27"/>
  <c r="AE112" i="27"/>
  <c r="AE113" i="27"/>
  <c r="AE114" i="27"/>
  <c r="AE115" i="27"/>
  <c r="AE116" i="27"/>
  <c r="AB117" i="27"/>
  <c r="AE117" i="27" s="1"/>
  <c r="AB118" i="27"/>
  <c r="AE118" i="27" s="1"/>
  <c r="AE119" i="27"/>
  <c r="AE120" i="27"/>
  <c r="AE121" i="27"/>
  <c r="AE122" i="27"/>
  <c r="AE123" i="27"/>
  <c r="AE124" i="27"/>
  <c r="AE125" i="27"/>
  <c r="AE126" i="27"/>
  <c r="AE127" i="27"/>
  <c r="AE128" i="27"/>
  <c r="AE129" i="27"/>
  <c r="AE130" i="27"/>
  <c r="AE131" i="27"/>
  <c r="AE132" i="27"/>
  <c r="AE232" i="27"/>
  <c r="AE233" i="27"/>
  <c r="AE135" i="27"/>
  <c r="AE136" i="27"/>
  <c r="AE137" i="27"/>
  <c r="AE138" i="27"/>
  <c r="AE234" i="27"/>
  <c r="AE235" i="27"/>
  <c r="AE141" i="27"/>
  <c r="AE142" i="27"/>
  <c r="AE143" i="27"/>
  <c r="AE144" i="27"/>
  <c r="AE145" i="27"/>
  <c r="AE236" i="27"/>
  <c r="AE146" i="27"/>
  <c r="AE148" i="27"/>
  <c r="AE149" i="27"/>
  <c r="AE150" i="27"/>
  <c r="AE151" i="27"/>
  <c r="AJ151" i="27" s="1"/>
  <c r="AE152" i="27"/>
  <c r="AE153" i="27"/>
  <c r="AE154" i="27"/>
  <c r="AE155" i="27"/>
  <c r="AE156" i="27"/>
  <c r="AE157" i="27"/>
  <c r="AE158" i="27"/>
  <c r="AE159" i="27"/>
  <c r="AE160" i="27"/>
  <c r="AE161" i="27"/>
  <c r="AE162" i="27"/>
  <c r="AE163" i="27"/>
  <c r="AE164" i="27"/>
  <c r="AE165" i="27"/>
  <c r="AE166" i="27"/>
  <c r="AE167" i="27"/>
  <c r="AE168" i="27"/>
  <c r="AE169" i="27"/>
  <c r="AE170" i="27"/>
  <c r="AE171" i="27"/>
  <c r="AE172" i="27"/>
  <c r="AE237" i="27"/>
  <c r="AE238" i="27"/>
  <c r="AE239" i="27"/>
  <c r="AE518" i="27"/>
  <c r="AE519" i="27"/>
  <c r="AE520" i="27"/>
  <c r="AE521" i="27"/>
  <c r="AB546" i="27"/>
  <c r="AE546" i="27" s="1"/>
  <c r="AE581" i="27"/>
  <c r="AE584" i="27"/>
  <c r="AE585" i="27"/>
  <c r="AE601" i="27"/>
  <c r="AE602" i="27"/>
  <c r="AE42" i="27"/>
  <c r="AJ42" i="27" s="1"/>
  <c r="AE43" i="27"/>
  <c r="AJ43" i="27" s="1"/>
  <c r="X260" i="27"/>
  <c r="AE260" i="27" s="1"/>
  <c r="AJ260" i="27" s="1"/>
  <c r="AB260" i="27"/>
  <c r="AE411" i="27"/>
  <c r="AJ411" i="27" s="1"/>
  <c r="AE412" i="27"/>
  <c r="AJ412" i="27" s="1"/>
  <c r="X457" i="27"/>
  <c r="AE457" i="27"/>
  <c r="AJ457" i="27" s="1"/>
  <c r="X458" i="27"/>
  <c r="AE458" i="27" s="1"/>
  <c r="AJ458" i="27" s="1"/>
  <c r="X473" i="27"/>
  <c r="AE473" i="27" s="1"/>
  <c r="AJ473" i="27" s="1"/>
  <c r="X474" i="27"/>
  <c r="AE474" i="27" s="1"/>
  <c r="AJ474" i="27" s="1"/>
  <c r="AE500" i="27"/>
  <c r="AJ500" i="27" s="1"/>
  <c r="AE501" i="27"/>
  <c r="AJ501" i="27" s="1"/>
  <c r="AE502" i="27"/>
  <c r="AJ502" i="27" s="1"/>
  <c r="AB524" i="27"/>
  <c r="AE524" i="27" s="1"/>
  <c r="AJ524" i="27" s="1"/>
  <c r="AE133" i="27"/>
  <c r="AJ133" i="27" s="1"/>
  <c r="AB134" i="27"/>
  <c r="AE134" i="27"/>
  <c r="AJ134" i="27" s="1"/>
  <c r="AE147" i="27"/>
  <c r="AJ147" i="27" s="1"/>
  <c r="AE175" i="27"/>
  <c r="AJ175" i="27" s="1"/>
  <c r="AE176" i="27"/>
  <c r="AJ176" i="27" s="1"/>
  <c r="AE177" i="27"/>
  <c r="AJ177" i="27" s="1"/>
  <c r="AE178" i="27"/>
  <c r="AJ178" i="27" s="1"/>
  <c r="AE179" i="27"/>
  <c r="AJ179" i="27" s="1"/>
  <c r="AE180" i="27"/>
  <c r="AJ180" i="27" s="1"/>
  <c r="AE181" i="27"/>
  <c r="AJ181" i="27" s="1"/>
  <c r="AE182" i="27"/>
  <c r="AJ182" i="27" s="1"/>
  <c r="AE210" i="27"/>
  <c r="AE211" i="27"/>
  <c r="AE212" i="27"/>
  <c r="AE213" i="27"/>
  <c r="AE214" i="27"/>
  <c r="AE215" i="27"/>
  <c r="AE216" i="27"/>
  <c r="AE217" i="27"/>
  <c r="AE218" i="27"/>
  <c r="AE219" i="27"/>
  <c r="AE220" i="27"/>
  <c r="AE221" i="27"/>
  <c r="AE222" i="27"/>
  <c r="AE223" i="27"/>
  <c r="AE224" i="27"/>
  <c r="AE225" i="27"/>
  <c r="AE226" i="27"/>
  <c r="AE227" i="27"/>
  <c r="AE228" i="27"/>
  <c r="AE229" i="27"/>
  <c r="AE230" i="27"/>
  <c r="AE231" i="27"/>
  <c r="AE183" i="27"/>
  <c r="AJ183" i="27" s="1"/>
  <c r="AE184" i="27"/>
  <c r="AJ184" i="27" s="1"/>
  <c r="AE185" i="27"/>
  <c r="AJ185" i="27" s="1"/>
  <c r="AE186" i="27"/>
  <c r="AJ186" i="27" s="1"/>
  <c r="AE187" i="27"/>
  <c r="AJ187" i="27" s="1"/>
  <c r="AE188" i="27"/>
  <c r="AJ188" i="27" s="1"/>
  <c r="AE189" i="27"/>
  <c r="AJ189" i="27" s="1"/>
  <c r="AE190" i="27"/>
  <c r="AJ190" i="27" s="1"/>
  <c r="AB240" i="27"/>
  <c r="AE240" i="27" s="1"/>
  <c r="AB241" i="27"/>
  <c r="AE241" i="27" s="1"/>
  <c r="AB242" i="27"/>
  <c r="AE242" i="27" s="1"/>
  <c r="AE243" i="27"/>
  <c r="AE244" i="27"/>
  <c r="AE245" i="27"/>
  <c r="AE246" i="27"/>
  <c r="AE247" i="27"/>
  <c r="AE248" i="27"/>
  <c r="AJ248" i="27" s="1"/>
  <c r="AE249" i="27"/>
  <c r="AE191" i="27"/>
  <c r="AJ191" i="27" s="1"/>
  <c r="AE192" i="27"/>
  <c r="AJ192" i="27" s="1"/>
  <c r="AE252" i="27"/>
  <c r="AE253" i="27"/>
  <c r="AE254" i="27"/>
  <c r="AE255" i="27"/>
  <c r="AE256" i="27"/>
  <c r="AB257" i="27"/>
  <c r="AE257" i="27" s="1"/>
  <c r="AE193" i="27"/>
  <c r="AJ193" i="27" s="1"/>
  <c r="X259" i="27"/>
  <c r="AE259" i="27" s="1"/>
  <c r="AE261" i="27"/>
  <c r="AE262" i="27"/>
  <c r="AE263" i="27"/>
  <c r="AB264" i="27"/>
  <c r="AE264" i="27" s="1"/>
  <c r="AB270" i="27"/>
  <c r="AE270" i="27" s="1"/>
  <c r="AE265" i="27"/>
  <c r="AE266" i="27"/>
  <c r="AE267" i="27"/>
  <c r="AE268" i="27"/>
  <c r="AJ268" i="27" s="1"/>
  <c r="AE269" i="27"/>
  <c r="AE271" i="27"/>
  <c r="AE272" i="27"/>
  <c r="AE273" i="27"/>
  <c r="AE274" i="27"/>
  <c r="AE275" i="27"/>
  <c r="AE276" i="27"/>
  <c r="AE277" i="27"/>
  <c r="AE278" i="27"/>
  <c r="AE279" i="27"/>
  <c r="AE280" i="27"/>
  <c r="AE281" i="27"/>
  <c r="AE194" i="27"/>
  <c r="AJ194" i="27" s="1"/>
  <c r="AE195" i="27"/>
  <c r="AJ195" i="27" s="1"/>
  <c r="AE284" i="27"/>
  <c r="AE285" i="27"/>
  <c r="AE288" i="27"/>
  <c r="AE286" i="27"/>
  <c r="AE287" i="27"/>
  <c r="AE196" i="27"/>
  <c r="AJ196" i="27" s="1"/>
  <c r="AE197" i="27"/>
  <c r="AJ197" i="27" s="1"/>
  <c r="AE291" i="27"/>
  <c r="AE292" i="27"/>
  <c r="AE297" i="27"/>
  <c r="AE293" i="27"/>
  <c r="AE294" i="27"/>
  <c r="AE295" i="27"/>
  <c r="AE296" i="27"/>
  <c r="AE298" i="27"/>
  <c r="AE299" i="27"/>
  <c r="AE300" i="27"/>
  <c r="AE301" i="27"/>
  <c r="AE302" i="27"/>
  <c r="AE303" i="27"/>
  <c r="AE304" i="27"/>
  <c r="AE305" i="27"/>
  <c r="AE306" i="27"/>
  <c r="AE307" i="27"/>
  <c r="AE308" i="27"/>
  <c r="AE309" i="27"/>
  <c r="AE310" i="27"/>
  <c r="AE311" i="27"/>
  <c r="AB312" i="27"/>
  <c r="AE312" i="27" s="1"/>
  <c r="AE313" i="27"/>
  <c r="AE314" i="27"/>
  <c r="AE198" i="27"/>
  <c r="AJ198" i="27" s="1"/>
  <c r="AE315" i="27"/>
  <c r="AE316" i="27"/>
  <c r="AE317" i="27"/>
  <c r="AE318" i="27"/>
  <c r="AE319" i="27"/>
  <c r="AE320" i="27"/>
  <c r="AE321" i="27"/>
  <c r="AE322" i="27"/>
  <c r="AE323" i="27"/>
  <c r="AE324" i="27"/>
  <c r="AE325" i="27"/>
  <c r="AE326" i="27"/>
  <c r="AE327" i="27"/>
  <c r="AE328" i="27"/>
  <c r="AE329" i="27"/>
  <c r="AE330" i="27"/>
  <c r="AE331" i="27"/>
  <c r="AE332" i="27"/>
  <c r="AE333" i="27"/>
  <c r="AE334" i="27"/>
  <c r="AE336" i="27"/>
  <c r="AE337" i="27"/>
  <c r="AE338" i="27"/>
  <c r="AE339" i="27"/>
  <c r="AE340" i="27"/>
  <c r="AE341" i="27"/>
  <c r="AE342" i="27"/>
  <c r="AE343" i="27"/>
  <c r="AE344" i="27"/>
  <c r="AE345" i="27"/>
  <c r="AE346" i="27"/>
  <c r="AE350" i="27"/>
  <c r="AE347" i="27"/>
  <c r="AE348" i="27"/>
  <c r="AE349" i="27"/>
  <c r="AE351" i="27"/>
  <c r="AE352" i="27"/>
  <c r="AE353" i="27"/>
  <c r="AE354" i="27"/>
  <c r="AE355" i="27"/>
  <c r="AE356" i="27"/>
  <c r="AE357" i="27"/>
  <c r="AB358" i="27"/>
  <c r="AE358" i="27" s="1"/>
  <c r="AB359" i="27"/>
  <c r="AE359" i="27" s="1"/>
  <c r="AE199" i="27"/>
  <c r="AJ199" i="27" s="1"/>
  <c r="AE361" i="27"/>
  <c r="AE362" i="27"/>
  <c r="AE363" i="27"/>
  <c r="AE364" i="27"/>
  <c r="AE365" i="27"/>
  <c r="AE366" i="27"/>
  <c r="AE367" i="27"/>
  <c r="AE368" i="27"/>
  <c r="AE369" i="27"/>
  <c r="AE370" i="27"/>
  <c r="AE371" i="27"/>
  <c r="AE372" i="27"/>
  <c r="AB373" i="27"/>
  <c r="AE373" i="27" s="1"/>
  <c r="AE374" i="27"/>
  <c r="AE375" i="27"/>
  <c r="AE376" i="27"/>
  <c r="AE377" i="27"/>
  <c r="AE382" i="27"/>
  <c r="AE378" i="27"/>
  <c r="AE379" i="27"/>
  <c r="AE380" i="27"/>
  <c r="AE381" i="27"/>
  <c r="AJ381" i="27" s="1"/>
  <c r="AE383" i="27"/>
  <c r="AE384" i="27"/>
  <c r="AE385" i="27"/>
  <c r="AE386" i="27"/>
  <c r="AE387" i="27"/>
  <c r="AE388" i="27"/>
  <c r="AE389" i="27"/>
  <c r="AE390" i="27"/>
  <c r="AE391" i="27"/>
  <c r="AE392" i="27"/>
  <c r="AE393" i="27"/>
  <c r="AE394" i="27"/>
  <c r="AE396" i="27"/>
  <c r="X397" i="27"/>
  <c r="AE397" i="27" s="1"/>
  <c r="X398" i="27"/>
  <c r="AE398" i="27" s="1"/>
  <c r="AE399" i="27"/>
  <c r="AE400" i="27"/>
  <c r="AE401" i="27"/>
  <c r="AE409" i="27"/>
  <c r="AE410" i="27"/>
  <c r="AB402" i="27"/>
  <c r="AE402" i="27"/>
  <c r="AB403" i="27"/>
  <c r="AE403" i="27" s="1"/>
  <c r="AB404" i="27"/>
  <c r="AE404" i="27" s="1"/>
  <c r="AE405" i="27"/>
  <c r="AE406" i="27"/>
  <c r="AE407" i="27"/>
  <c r="AE408" i="27"/>
  <c r="AE413" i="27"/>
  <c r="AE414" i="27"/>
  <c r="AE200" i="27"/>
  <c r="AJ200" i="27" s="1"/>
  <c r="AE201" i="27"/>
  <c r="AJ201" i="27" s="1"/>
  <c r="AE415" i="27"/>
  <c r="AE416" i="27"/>
  <c r="AB417" i="27"/>
  <c r="AE417" i="27"/>
  <c r="AE418" i="27"/>
  <c r="AE419" i="27"/>
  <c r="AE420" i="27"/>
  <c r="AE202" i="27"/>
  <c r="AJ202" i="27" s="1"/>
  <c r="AE203" i="27"/>
  <c r="AJ203" i="27" s="1"/>
  <c r="AE204" i="27"/>
  <c r="AJ204" i="27" s="1"/>
  <c r="AE205" i="27"/>
  <c r="AJ205" i="27"/>
  <c r="AE206" i="27"/>
  <c r="AJ206" i="27" s="1"/>
  <c r="AE207" i="27"/>
  <c r="AJ207" i="27" s="1"/>
  <c r="AE427" i="27"/>
  <c r="AE428" i="27"/>
  <c r="AE429" i="27"/>
  <c r="AE430" i="27"/>
  <c r="AE431" i="27"/>
  <c r="AE432" i="27"/>
  <c r="AE433" i="27"/>
  <c r="AE434" i="27"/>
  <c r="AE435" i="27"/>
  <c r="AE436" i="27"/>
  <c r="AE437" i="27"/>
  <c r="AE438" i="27"/>
  <c r="AE208" i="27"/>
  <c r="AJ208" i="27" s="1"/>
  <c r="AE209" i="27"/>
  <c r="AJ209" i="27" s="1"/>
  <c r="AE421" i="27"/>
  <c r="AJ421" i="27" s="1"/>
  <c r="AE422" i="27"/>
  <c r="AJ422" i="27" s="1"/>
  <c r="AE423" i="27"/>
  <c r="AJ423" i="27" s="1"/>
  <c r="AE424" i="27"/>
  <c r="AJ424" i="27" s="1"/>
  <c r="AE425" i="27"/>
  <c r="AJ425" i="27" s="1"/>
  <c r="X446" i="27"/>
  <c r="AE446" i="27" s="1"/>
  <c r="X447" i="27"/>
  <c r="AE447" i="27" s="1"/>
  <c r="X448" i="27"/>
  <c r="AE448" i="27" s="1"/>
  <c r="AE449" i="27"/>
  <c r="AE455" i="27"/>
  <c r="AE456" i="27"/>
  <c r="AE450" i="27"/>
  <c r="AE451" i="27"/>
  <c r="AE452" i="27"/>
  <c r="AE453" i="27"/>
  <c r="AE454" i="27"/>
  <c r="AE426" i="27"/>
  <c r="AJ426" i="27" s="1"/>
  <c r="AE475" i="27"/>
  <c r="AJ475" i="27" s="1"/>
  <c r="AE476" i="27"/>
  <c r="AJ476" i="27" s="1"/>
  <c r="AE477" i="27"/>
  <c r="AJ477" i="27" s="1"/>
  <c r="AE459" i="27"/>
  <c r="AE460" i="27"/>
  <c r="AE461" i="27"/>
  <c r="AE462" i="27"/>
  <c r="AE463" i="27"/>
  <c r="AE464" i="27"/>
  <c r="AJ464" i="27" s="1"/>
  <c r="AE465" i="27"/>
  <c r="AJ465" i="27" s="1"/>
  <c r="AE466" i="27"/>
  <c r="AJ466" i="27" s="1"/>
  <c r="AE467" i="27"/>
  <c r="AE468" i="27"/>
  <c r="AE469" i="27"/>
  <c r="AE470" i="27"/>
  <c r="AE471" i="27"/>
  <c r="AE472" i="27"/>
  <c r="AE478" i="27"/>
  <c r="AJ478" i="27" s="1"/>
  <c r="AE479" i="27"/>
  <c r="AJ479" i="27" s="1"/>
  <c r="AE480" i="27"/>
  <c r="AJ480" i="27"/>
  <c r="AE481" i="27"/>
  <c r="AJ481" i="27" s="1"/>
  <c r="AE482" i="27"/>
  <c r="AJ482" i="27" s="1"/>
  <c r="AE483" i="27"/>
  <c r="AJ483" i="27" s="1"/>
  <c r="AE484" i="27"/>
  <c r="AJ484" i="27" s="1"/>
  <c r="AE485" i="27"/>
  <c r="AJ485" i="27" s="1"/>
  <c r="AE486" i="27"/>
  <c r="AJ486" i="27" s="1"/>
  <c r="AE487" i="27"/>
  <c r="AJ487" i="27" s="1"/>
  <c r="AE488" i="27"/>
  <c r="AJ488" i="27" s="1"/>
  <c r="AE489" i="27"/>
  <c r="AJ489" i="27" s="1"/>
  <c r="AE490" i="27"/>
  <c r="AJ490" i="27" s="1"/>
  <c r="AE491" i="27"/>
  <c r="AJ491" i="27" s="1"/>
  <c r="AE492" i="27"/>
  <c r="AJ492" i="27" s="1"/>
  <c r="AE498" i="27"/>
  <c r="AJ498" i="27" s="1"/>
  <c r="AE499" i="27"/>
  <c r="AJ499" i="27" s="1"/>
  <c r="AB547" i="27"/>
  <c r="AE547" i="27" s="1"/>
  <c r="AJ547" i="27" s="1"/>
  <c r="AE588" i="27"/>
  <c r="AJ588" i="27" s="1"/>
  <c r="Z26" i="27"/>
  <c r="X26" i="27"/>
  <c r="AB26" i="27"/>
  <c r="AE493" i="27"/>
  <c r="AE494" i="27"/>
  <c r="AE495" i="27"/>
  <c r="AE496" i="27"/>
  <c r="AE497" i="27"/>
  <c r="Z27" i="27"/>
  <c r="AB27" i="27"/>
  <c r="Z173" i="27"/>
  <c r="AB173" i="27"/>
  <c r="Z174" i="27"/>
  <c r="AB174" i="27"/>
  <c r="AE503" i="27"/>
  <c r="AE504" i="27"/>
  <c r="AE505" i="27"/>
  <c r="AE506" i="27"/>
  <c r="AE507" i="27"/>
  <c r="AE508" i="27"/>
  <c r="AE509" i="27"/>
  <c r="AE510" i="27"/>
  <c r="AE511" i="27"/>
  <c r="AE512" i="27"/>
  <c r="AE513" i="27"/>
  <c r="AB258" i="27"/>
  <c r="AB282" i="27"/>
  <c r="Z283" i="27"/>
  <c r="AB283" i="27"/>
  <c r="Z583" i="27"/>
  <c r="AB583" i="27"/>
  <c r="Z603" i="27"/>
  <c r="AE603" i="27"/>
  <c r="AE139" i="27"/>
  <c r="AJ139" i="27" s="1"/>
  <c r="AE140" i="27"/>
  <c r="AJ140" i="27" s="1"/>
  <c r="AE522" i="27"/>
  <c r="AE523" i="27"/>
  <c r="AE289" i="27"/>
  <c r="AJ289" i="27" s="1"/>
  <c r="AE525" i="27"/>
  <c r="AE526" i="27"/>
  <c r="AE527" i="27"/>
  <c r="AE528" i="27"/>
  <c r="AE529" i="27"/>
  <c r="AE290" i="27"/>
  <c r="AJ290" i="27" s="1"/>
  <c r="AB360" i="27"/>
  <c r="AE360" i="27" s="1"/>
  <c r="AJ360" i="27" s="1"/>
  <c r="AE440" i="27"/>
  <c r="AJ440" i="27" s="1"/>
  <c r="AE441" i="27"/>
  <c r="AJ441" i="27" s="1"/>
  <c r="AE442" i="27"/>
  <c r="AJ442" i="27" s="1"/>
  <c r="AE443" i="27"/>
  <c r="AJ443" i="27" s="1"/>
  <c r="AE444" i="27"/>
  <c r="AJ444" i="27" s="1"/>
  <c r="AE445" i="27"/>
  <c r="AJ445" i="27" s="1"/>
  <c r="AE335" i="27"/>
  <c r="AJ335" i="27" s="1"/>
  <c r="X439" i="27"/>
  <c r="AE439" i="27" s="1"/>
  <c r="AE530" i="27"/>
  <c r="AJ530" i="27" s="1"/>
  <c r="AE531" i="27"/>
  <c r="AJ531" i="27" s="1"/>
  <c r="AE532" i="27"/>
  <c r="AJ532" i="27" s="1"/>
  <c r="AE533" i="27"/>
  <c r="AJ533" i="27" s="1"/>
  <c r="AE534" i="27"/>
  <c r="AJ534" i="27" s="1"/>
  <c r="AE535" i="27"/>
  <c r="AJ535" i="27" s="1"/>
  <c r="AE536" i="27"/>
  <c r="AJ536" i="27" s="1"/>
  <c r="AB548" i="27"/>
  <c r="AE548" i="27" s="1"/>
  <c r="AB549" i="27"/>
  <c r="AE549" i="27"/>
  <c r="AE537" i="27"/>
  <c r="AJ537" i="27" s="1"/>
  <c r="AE538" i="27"/>
  <c r="AJ538" i="27" s="1"/>
  <c r="AE539" i="27"/>
  <c r="AJ539" i="27" s="1"/>
  <c r="AB550" i="27"/>
  <c r="AE550" i="27"/>
  <c r="AB551" i="27"/>
  <c r="AE551" i="27" s="1"/>
  <c r="AB552" i="27"/>
  <c r="AE552" i="27"/>
  <c r="AB553" i="27"/>
  <c r="AE553" i="27" s="1"/>
  <c r="AB554" i="27"/>
  <c r="AE554" i="27" s="1"/>
  <c r="AE557" i="27"/>
  <c r="AE558" i="27"/>
  <c r="AE559" i="27"/>
  <c r="AE560" i="27"/>
  <c r="AE561" i="27"/>
  <c r="AE562" i="27"/>
  <c r="AE563" i="27"/>
  <c r="AE564" i="27"/>
  <c r="AE565" i="27"/>
  <c r="AE566" i="27"/>
  <c r="AE567" i="27"/>
  <c r="AE568" i="27"/>
  <c r="AE569" i="27"/>
  <c r="AE570" i="27"/>
  <c r="AE579" i="27"/>
  <c r="AE580" i="27"/>
  <c r="AE571" i="27"/>
  <c r="AE572" i="27"/>
  <c r="AE573" i="27"/>
  <c r="AE574" i="27"/>
  <c r="AE575" i="27"/>
  <c r="AE576" i="27"/>
  <c r="AE577" i="27"/>
  <c r="AE578" i="27"/>
  <c r="AE540" i="27"/>
  <c r="AJ540" i="27" s="1"/>
  <c r="AE582" i="27"/>
  <c r="AE541" i="27"/>
  <c r="AJ541" i="27" s="1"/>
  <c r="AE542" i="27"/>
  <c r="AJ542" i="27" s="1"/>
  <c r="AE543" i="27"/>
  <c r="AJ543" i="27" s="1"/>
  <c r="AE586" i="27"/>
  <c r="AE587" i="27"/>
  <c r="AE589" i="27"/>
  <c r="AE590" i="27"/>
  <c r="AE591" i="27"/>
  <c r="AE592" i="27"/>
  <c r="AE544" i="27"/>
  <c r="AJ544" i="27" s="1"/>
  <c r="AE593" i="27"/>
  <c r="AE594" i="27"/>
  <c r="AE595" i="27"/>
  <c r="AE596" i="27"/>
  <c r="AE597" i="27"/>
  <c r="AE598" i="27"/>
  <c r="AE599" i="27"/>
  <c r="AE600" i="27"/>
  <c r="AE604" i="27"/>
  <c r="AE605" i="27"/>
  <c r="AE545" i="27"/>
  <c r="AO545" i="27" s="1"/>
  <c r="AB555" i="27"/>
  <c r="AE555" i="27"/>
  <c r="AJ555" i="27" s="1"/>
  <c r="AE606" i="27"/>
  <c r="AE607" i="27"/>
  <c r="AE608" i="27"/>
  <c r="AB556" i="27"/>
  <c r="AE556" i="27" s="1"/>
  <c r="AE609" i="27"/>
  <c r="AE611" i="27"/>
  <c r="AE250" i="27"/>
  <c r="AE610" i="27"/>
  <c r="AE395" i="27"/>
  <c r="X612" i="27"/>
  <c r="AE612" i="27" s="1"/>
  <c r="AE613" i="27"/>
  <c r="AE614" i="27"/>
  <c r="AJ5" i="27"/>
  <c r="AJ6" i="27"/>
  <c r="AJ7" i="27"/>
  <c r="AJ8" i="27"/>
  <c r="AJ9" i="27"/>
  <c r="AJ10" i="27"/>
  <c r="AJ11" i="27"/>
  <c r="AJ12" i="27"/>
  <c r="AJ13" i="27"/>
  <c r="AJ14" i="27"/>
  <c r="AJ15" i="27"/>
  <c r="AJ16" i="27"/>
  <c r="AJ17" i="27"/>
  <c r="AJ18" i="27"/>
  <c r="AJ19" i="27"/>
  <c r="AJ20" i="27"/>
  <c r="AJ21" i="27"/>
  <c r="AJ22" i="27"/>
  <c r="AJ23" i="27"/>
  <c r="AJ24" i="27"/>
  <c r="AJ25" i="27"/>
  <c r="AJ28" i="27"/>
  <c r="AJ29" i="27"/>
  <c r="AJ30" i="27"/>
  <c r="AJ31" i="27"/>
  <c r="AJ32" i="27"/>
  <c r="AJ33" i="27"/>
  <c r="AJ34" i="27"/>
  <c r="AJ35" i="27"/>
  <c r="AJ36" i="27"/>
  <c r="AJ37" i="27"/>
  <c r="AJ38" i="27"/>
  <c r="AJ39" i="27"/>
  <c r="AJ40" i="27"/>
  <c r="AJ41" i="27"/>
  <c r="AJ44" i="27"/>
  <c r="AJ45" i="27"/>
  <c r="AJ46" i="27"/>
  <c r="AJ47" i="27"/>
  <c r="AJ48" i="27"/>
  <c r="AJ49" i="27"/>
  <c r="AJ50" i="27"/>
  <c r="AJ51" i="27"/>
  <c r="AJ52" i="27"/>
  <c r="AJ53" i="27"/>
  <c r="AJ54" i="27"/>
  <c r="AJ55" i="27"/>
  <c r="AJ56" i="27"/>
  <c r="AJ57" i="27"/>
  <c r="AJ58" i="27"/>
  <c r="AJ59" i="27"/>
  <c r="AJ60" i="27"/>
  <c r="AJ61" i="27"/>
  <c r="AJ62" i="27"/>
  <c r="AJ63" i="27"/>
  <c r="AJ64" i="27"/>
  <c r="AH65" i="27"/>
  <c r="AH66" i="27"/>
  <c r="AJ66" i="27" s="1"/>
  <c r="AH67" i="27"/>
  <c r="AJ67" i="27" s="1"/>
  <c r="AH68" i="27"/>
  <c r="AJ68" i="27" s="1"/>
  <c r="AH69" i="27"/>
  <c r="AJ69" i="27" s="1"/>
  <c r="AH70" i="27"/>
  <c r="AH71" i="27"/>
  <c r="AJ73" i="27"/>
  <c r="AJ74" i="27"/>
  <c r="AJ75" i="27"/>
  <c r="AH76" i="27"/>
  <c r="AJ77" i="27"/>
  <c r="AJ78" i="27"/>
  <c r="AJ79" i="27"/>
  <c r="AJ80" i="27"/>
  <c r="AJ81" i="27"/>
  <c r="AJ82" i="27"/>
  <c r="AJ83" i="27"/>
  <c r="AJ84" i="27"/>
  <c r="AJ85" i="27"/>
  <c r="AJ86" i="27"/>
  <c r="AJ87" i="27"/>
  <c r="AJ88" i="27"/>
  <c r="AJ89" i="27"/>
  <c r="AJ90" i="27"/>
  <c r="AJ91" i="27"/>
  <c r="AJ92" i="27"/>
  <c r="AJ93" i="27"/>
  <c r="AJ94" i="27"/>
  <c r="AJ95" i="27"/>
  <c r="AJ96" i="27"/>
  <c r="AJ97" i="27"/>
  <c r="AJ98" i="27"/>
  <c r="AJ99" i="27"/>
  <c r="AJ100" i="27"/>
  <c r="AJ101" i="27"/>
  <c r="AJ102" i="27"/>
  <c r="AJ103" i="27"/>
  <c r="AJ104" i="27"/>
  <c r="AJ105" i="27"/>
  <c r="AJ106" i="27"/>
  <c r="AJ107" i="27"/>
  <c r="AJ108" i="27"/>
  <c r="AJ109" i="27"/>
  <c r="AJ110" i="27"/>
  <c r="AJ111" i="27"/>
  <c r="AJ112" i="27"/>
  <c r="AJ113" i="27"/>
  <c r="AJ114" i="27"/>
  <c r="AJ115" i="27"/>
  <c r="AJ116" i="27"/>
  <c r="AJ117" i="27"/>
  <c r="AJ118" i="27"/>
  <c r="AJ119" i="27"/>
  <c r="AJ120" i="27"/>
  <c r="AJ121" i="27"/>
  <c r="AJ122" i="27"/>
  <c r="AJ123" i="27"/>
  <c r="AJ124" i="27"/>
  <c r="AJ125" i="27"/>
  <c r="AJ126" i="27"/>
  <c r="AJ127" i="27"/>
  <c r="AJ128" i="27"/>
  <c r="AJ129" i="27"/>
  <c r="AJ130" i="27"/>
  <c r="AJ131" i="27"/>
  <c r="AJ132" i="27"/>
  <c r="AH232" i="27"/>
  <c r="AJ232" i="27" s="1"/>
  <c r="AH233" i="27"/>
  <c r="AJ233" i="27" s="1"/>
  <c r="AJ135" i="27"/>
  <c r="AJ136" i="27"/>
  <c r="AJ137" i="27"/>
  <c r="AJ138" i="27"/>
  <c r="AH234" i="27"/>
  <c r="AH235" i="27"/>
  <c r="AJ235" i="27" s="1"/>
  <c r="AJ141" i="27"/>
  <c r="AJ142" i="27"/>
  <c r="AJ143" i="27"/>
  <c r="AJ144" i="27"/>
  <c r="AJ145" i="27"/>
  <c r="AH236" i="27"/>
  <c r="AJ146" i="27"/>
  <c r="AJ148" i="27"/>
  <c r="AJ149" i="27"/>
  <c r="AJ150" i="27"/>
  <c r="AJ152" i="27"/>
  <c r="AJ153" i="27"/>
  <c r="AJ154" i="27"/>
  <c r="AJ155" i="27"/>
  <c r="AJ156" i="27"/>
  <c r="AJ157" i="27"/>
  <c r="AJ158" i="27"/>
  <c r="AJ159" i="27"/>
  <c r="AJ160" i="27"/>
  <c r="AJ161" i="27"/>
  <c r="AJ162" i="27"/>
  <c r="AJ163" i="27"/>
  <c r="AJ164" i="27"/>
  <c r="AJ165" i="27"/>
  <c r="AJ166" i="27"/>
  <c r="AJ167" i="27"/>
  <c r="AJ168" i="27"/>
  <c r="AJ169" i="27"/>
  <c r="AJ170" i="27"/>
  <c r="AJ171" i="27"/>
  <c r="AJ172" i="27"/>
  <c r="AH237" i="27"/>
  <c r="AH238" i="27"/>
  <c r="AH239" i="27"/>
  <c r="AH518" i="27"/>
  <c r="AH519" i="27"/>
  <c r="AH520" i="27"/>
  <c r="AH521" i="27"/>
  <c r="AH546" i="27"/>
  <c r="AH581" i="27"/>
  <c r="AH584" i="27"/>
  <c r="AJ584" i="27" s="1"/>
  <c r="AH585" i="27"/>
  <c r="AJ585" i="27" s="1"/>
  <c r="AH601" i="27"/>
  <c r="AH602" i="27"/>
  <c r="AJ210" i="27"/>
  <c r="AJ211" i="27"/>
  <c r="AJ212" i="27"/>
  <c r="AJ213" i="27"/>
  <c r="AJ214" i="27"/>
  <c r="AJ215" i="27"/>
  <c r="AJ216" i="27"/>
  <c r="AJ217" i="27"/>
  <c r="AJ218" i="27"/>
  <c r="AJ219" i="27"/>
  <c r="AJ220" i="27"/>
  <c r="AJ221" i="27"/>
  <c r="AJ222" i="27"/>
  <c r="AJ223" i="27"/>
  <c r="AJ224" i="27"/>
  <c r="AJ225" i="27"/>
  <c r="AJ226" i="27"/>
  <c r="AJ227" i="27"/>
  <c r="AJ228" i="27"/>
  <c r="AJ229" i="27"/>
  <c r="AJ230" i="27"/>
  <c r="AJ231" i="27"/>
  <c r="AJ240" i="27"/>
  <c r="AJ241" i="27"/>
  <c r="AJ242" i="27"/>
  <c r="AJ243" i="27"/>
  <c r="AJ244" i="27"/>
  <c r="AJ245" i="27"/>
  <c r="AJ246" i="27"/>
  <c r="AJ247" i="27"/>
  <c r="AJ249" i="27"/>
  <c r="AJ252" i="27"/>
  <c r="AJ253" i="27"/>
  <c r="AJ254" i="27"/>
  <c r="AJ255" i="27"/>
  <c r="AJ256" i="27"/>
  <c r="AJ257" i="27"/>
  <c r="AJ259" i="27"/>
  <c r="AJ261" i="27"/>
  <c r="AJ262" i="27"/>
  <c r="AJ263" i="27"/>
  <c r="AJ264" i="27"/>
  <c r="AJ270" i="27"/>
  <c r="AH265" i="27"/>
  <c r="AJ266" i="27"/>
  <c r="AJ267" i="27"/>
  <c r="AJ269" i="27"/>
  <c r="AJ271" i="27"/>
  <c r="AJ272" i="27"/>
  <c r="AJ273" i="27"/>
  <c r="AJ274" i="27"/>
  <c r="AJ275" i="27"/>
  <c r="AJ276" i="27"/>
  <c r="AJ277" i="27"/>
  <c r="AJ278" i="27"/>
  <c r="AJ279" i="27"/>
  <c r="AJ280" i="27"/>
  <c r="AJ281" i="27"/>
  <c r="AJ284" i="27"/>
  <c r="AJ285" i="27"/>
  <c r="AJ288" i="27"/>
  <c r="AH286" i="27"/>
  <c r="AH287" i="27"/>
  <c r="AJ291" i="27"/>
  <c r="AJ292" i="27"/>
  <c r="AJ297" i="27"/>
  <c r="AJ293" i="27"/>
  <c r="AJ294" i="27"/>
  <c r="AJ295" i="27"/>
  <c r="AJ296" i="27"/>
  <c r="AJ298" i="27"/>
  <c r="AJ299" i="27"/>
  <c r="AJ300" i="27"/>
  <c r="AJ301" i="27"/>
  <c r="AJ302" i="27"/>
  <c r="AJ303" i="27"/>
  <c r="AJ304" i="27"/>
  <c r="AJ305" i="27"/>
  <c r="AJ306" i="27"/>
  <c r="AJ307" i="27"/>
  <c r="AJ308" i="27"/>
  <c r="AJ309" i="27"/>
  <c r="AJ310" i="27"/>
  <c r="AJ311" i="27"/>
  <c r="AJ312" i="27"/>
  <c r="AJ313" i="27"/>
  <c r="AJ314" i="27"/>
  <c r="AJ315" i="27"/>
  <c r="AJ316" i="27"/>
  <c r="AJ317" i="27"/>
  <c r="AJ318" i="27"/>
  <c r="AJ319" i="27"/>
  <c r="AJ320" i="27"/>
  <c r="AJ321" i="27"/>
  <c r="AJ322" i="27"/>
  <c r="AJ323" i="27"/>
  <c r="AJ324" i="27"/>
  <c r="AJ325" i="27"/>
  <c r="AJ326" i="27"/>
  <c r="AJ327" i="27"/>
  <c r="AJ328" i="27"/>
  <c r="AJ329" i="27"/>
  <c r="AJ330" i="27"/>
  <c r="AJ331" i="27"/>
  <c r="AJ332" i="27"/>
  <c r="AJ333" i="27"/>
  <c r="AJ334" i="27"/>
  <c r="AJ336" i="27"/>
  <c r="AJ337" i="27"/>
  <c r="AJ338" i="27"/>
  <c r="AJ339" i="27"/>
  <c r="AJ340" i="27"/>
  <c r="AJ341" i="27"/>
  <c r="AJ342" i="27"/>
  <c r="AJ343" i="27"/>
  <c r="AJ344" i="27"/>
  <c r="AJ345" i="27"/>
  <c r="AJ346" i="27"/>
  <c r="AJ350" i="27"/>
  <c r="AJ347" i="27"/>
  <c r="AJ348" i="27"/>
  <c r="AJ349" i="27"/>
  <c r="AJ351" i="27"/>
  <c r="AJ352" i="27"/>
  <c r="AJ353" i="27"/>
  <c r="AJ354" i="27"/>
  <c r="AJ355" i="27"/>
  <c r="AJ356" i="27"/>
  <c r="AJ357" i="27"/>
  <c r="AJ358" i="27"/>
  <c r="AJ359" i="27"/>
  <c r="AJ361" i="27"/>
  <c r="AJ362" i="27"/>
  <c r="AJ363" i="27"/>
  <c r="AJ364" i="27"/>
  <c r="AJ365" i="27"/>
  <c r="AJ366" i="27"/>
  <c r="AJ367" i="27"/>
  <c r="AJ368" i="27"/>
  <c r="AJ369" i="27"/>
  <c r="AJ370" i="27"/>
  <c r="AJ371" i="27"/>
  <c r="AJ372" i="27"/>
  <c r="AJ373" i="27"/>
  <c r="AJ374" i="27"/>
  <c r="AJ375" i="27"/>
  <c r="AJ376" i="27"/>
  <c r="AJ377" i="27"/>
  <c r="AJ382" i="27"/>
  <c r="AJ378" i="27"/>
  <c r="AJ379" i="27"/>
  <c r="AJ380" i="27"/>
  <c r="AJ383" i="27"/>
  <c r="AJ384" i="27"/>
  <c r="AJ385" i="27"/>
  <c r="AJ386" i="27"/>
  <c r="AJ387" i="27"/>
  <c r="AJ388" i="27"/>
  <c r="AJ389" i="27"/>
  <c r="AJ390" i="27"/>
  <c r="AJ391" i="27"/>
  <c r="AJ392" i="27"/>
  <c r="AJ393" i="27"/>
  <c r="AJ394" i="27"/>
  <c r="AJ396" i="27"/>
  <c r="AJ397" i="27"/>
  <c r="AJ398" i="27"/>
  <c r="AJ399" i="27"/>
  <c r="AJ400" i="27"/>
  <c r="AJ401" i="27"/>
  <c r="AJ409" i="27"/>
  <c r="AJ410" i="27"/>
  <c r="AJ402" i="27"/>
  <c r="AJ403" i="27"/>
  <c r="AJ404" i="27"/>
  <c r="AJ405" i="27"/>
  <c r="AJ406" i="27"/>
  <c r="AJ407" i="27"/>
  <c r="AJ408" i="27"/>
  <c r="AJ413" i="27"/>
  <c r="AJ414" i="27"/>
  <c r="AJ415" i="27"/>
  <c r="AJ416" i="27"/>
  <c r="AJ417" i="27"/>
  <c r="AJ418" i="27"/>
  <c r="AJ419" i="27"/>
  <c r="AJ420" i="27"/>
  <c r="AJ427" i="27"/>
  <c r="AJ428" i="27"/>
  <c r="AJ429" i="27"/>
  <c r="AJ430" i="27"/>
  <c r="AJ431" i="27"/>
  <c r="AJ432" i="27"/>
  <c r="AJ433" i="27"/>
  <c r="AJ434" i="27"/>
  <c r="AJ435" i="27"/>
  <c r="AJ436" i="27"/>
  <c r="AJ437" i="27"/>
  <c r="AJ438" i="27"/>
  <c r="AJ446" i="27"/>
  <c r="AJ447" i="27"/>
  <c r="AJ448" i="27"/>
  <c r="AJ449" i="27"/>
  <c r="AJ455" i="27"/>
  <c r="AJ456" i="27"/>
  <c r="AJ450" i="27"/>
  <c r="AJ451" i="27"/>
  <c r="AJ452" i="27"/>
  <c r="AJ453" i="27"/>
  <c r="AJ454" i="27"/>
  <c r="AJ459" i="27"/>
  <c r="AJ460" i="27"/>
  <c r="AJ461" i="27"/>
  <c r="AJ462" i="27"/>
  <c r="AJ463" i="27"/>
  <c r="AJ467" i="27"/>
  <c r="AJ468" i="27"/>
  <c r="AJ469" i="27"/>
  <c r="AJ470" i="27"/>
  <c r="AJ471" i="27"/>
  <c r="AJ472" i="27"/>
  <c r="AJ493" i="27"/>
  <c r="AJ494" i="27"/>
  <c r="AJ495" i="27"/>
  <c r="AJ496" i="27"/>
  <c r="AJ497" i="27"/>
  <c r="AH27" i="27"/>
  <c r="AH173" i="27"/>
  <c r="AH174" i="27"/>
  <c r="AJ503" i="27"/>
  <c r="AJ504" i="27"/>
  <c r="AJ505" i="27"/>
  <c r="AJ506" i="27"/>
  <c r="AJ507" i="27"/>
  <c r="AJ508" i="27"/>
  <c r="AJ509" i="27"/>
  <c r="AJ510" i="27"/>
  <c r="AJ511" i="27"/>
  <c r="AJ512" i="27"/>
  <c r="AJ513" i="27"/>
  <c r="AH282" i="27"/>
  <c r="AH283" i="27"/>
  <c r="AH583" i="27"/>
  <c r="AH603" i="27"/>
  <c r="AJ522" i="27"/>
  <c r="AJ523" i="27"/>
  <c r="AJ525" i="27"/>
  <c r="AJ526" i="27"/>
  <c r="AJ527" i="27"/>
  <c r="AJ528" i="27"/>
  <c r="AJ529" i="27"/>
  <c r="AJ548" i="27"/>
  <c r="AJ549" i="27"/>
  <c r="AJ550" i="27"/>
  <c r="AJ551" i="27"/>
  <c r="AJ552" i="27"/>
  <c r="AJ553" i="27"/>
  <c r="AJ554" i="27"/>
  <c r="AJ557" i="27"/>
  <c r="AJ558" i="27"/>
  <c r="AJ559" i="27"/>
  <c r="AJ560" i="27"/>
  <c r="AJ561" i="27"/>
  <c r="AJ562" i="27"/>
  <c r="AJ563" i="27"/>
  <c r="AJ564" i="27"/>
  <c r="AJ565" i="27"/>
  <c r="AJ566" i="27"/>
  <c r="AJ567" i="27"/>
  <c r="AJ568" i="27"/>
  <c r="AJ569" i="27"/>
  <c r="AJ570" i="27"/>
  <c r="AJ579" i="27"/>
  <c r="AJ580" i="27"/>
  <c r="AJ571" i="27"/>
  <c r="AJ572" i="27"/>
  <c r="AJ573" i="27"/>
  <c r="AJ574" i="27"/>
  <c r="AJ575" i="27"/>
  <c r="AJ576" i="27"/>
  <c r="AJ577" i="27"/>
  <c r="AJ578" i="27"/>
  <c r="AJ582" i="27"/>
  <c r="AJ586" i="27"/>
  <c r="AJ587" i="27"/>
  <c r="AJ589" i="27"/>
  <c r="AJ590" i="27"/>
  <c r="AJ591" i="27"/>
  <c r="AJ592" i="27"/>
  <c r="AJ593" i="27"/>
  <c r="AJ594" i="27"/>
  <c r="AJ595" i="27"/>
  <c r="AJ596" i="27"/>
  <c r="AJ597" i="27"/>
  <c r="AJ598" i="27"/>
  <c r="AJ599" i="27"/>
  <c r="AJ600" i="27"/>
  <c r="AJ604" i="27"/>
  <c r="AJ605" i="27"/>
  <c r="AJ606" i="27"/>
  <c r="AJ607" i="27"/>
  <c r="AJ608" i="27"/>
  <c r="AH556" i="27"/>
  <c r="AJ609" i="27"/>
  <c r="AJ611" i="27"/>
  <c r="AJ250" i="27"/>
  <c r="AJ610" i="27"/>
  <c r="AJ395" i="27"/>
  <c r="AJ612" i="27"/>
  <c r="AJ613" i="27"/>
  <c r="AJ614" i="27"/>
  <c r="Z84" i="30"/>
  <c r="Z85" i="30"/>
  <c r="Z88" i="30"/>
  <c r="Z39" i="30"/>
  <c r="Z55" i="30"/>
  <c r="Z56" i="30"/>
  <c r="Z118" i="30"/>
  <c r="Z119" i="30"/>
  <c r="Z120" i="30"/>
  <c r="Z121" i="30"/>
  <c r="Z77" i="30"/>
  <c r="Z5" i="30"/>
  <c r="Z6" i="30"/>
  <c r="Z31" i="30"/>
  <c r="Z32" i="30"/>
  <c r="Z53" i="30"/>
  <c r="Z47" i="30"/>
  <c r="Z20" i="30"/>
  <c r="Z99" i="30"/>
  <c r="U66" i="30"/>
  <c r="W66" i="30"/>
  <c r="Z93" i="30"/>
  <c r="Z94" i="30"/>
  <c r="Z59" i="30"/>
  <c r="Z97" i="30"/>
  <c r="Z98" i="30"/>
  <c r="Z86" i="30"/>
  <c r="Z87" i="30"/>
  <c r="Z21" i="30"/>
  <c r="Z22" i="30"/>
  <c r="Z111" i="30"/>
  <c r="Z112" i="30"/>
  <c r="Z69" i="30"/>
  <c r="Z70" i="30"/>
  <c r="Z71" i="30"/>
  <c r="Z122" i="30"/>
  <c r="Z123" i="30"/>
  <c r="Z124" i="30"/>
  <c r="Z78" i="30"/>
  <c r="Z79" i="30"/>
  <c r="Z80" i="30"/>
  <c r="Z81" i="30"/>
  <c r="Z14" i="30"/>
  <c r="Z15" i="30"/>
  <c r="W75" i="30"/>
  <c r="Z75" i="30" s="1"/>
  <c r="W76" i="30"/>
  <c r="Z76" i="30" s="1"/>
  <c r="Z89" i="30"/>
  <c r="Z34" i="30"/>
  <c r="Z18" i="30"/>
  <c r="Z35" i="30"/>
  <c r="Z36" i="30"/>
  <c r="Z48" i="30"/>
  <c r="Z125" i="30"/>
  <c r="Z27" i="30"/>
  <c r="Z29" i="30"/>
  <c r="Z41" i="30"/>
  <c r="Z126" i="30"/>
  <c r="Z127" i="30"/>
  <c r="Z128" i="30"/>
  <c r="U37" i="30"/>
  <c r="W37" i="30"/>
  <c r="Z37" i="30" s="1"/>
  <c r="U38" i="30"/>
  <c r="W38" i="30"/>
  <c r="Z109" i="30"/>
  <c r="Z110" i="30"/>
  <c r="Z40" i="30"/>
  <c r="Z26" i="30"/>
  <c r="Z33" i="30"/>
  <c r="Z51" i="30"/>
  <c r="Z83" i="30"/>
  <c r="Z57" i="30"/>
  <c r="Z58" i="30"/>
  <c r="Z100" i="30"/>
  <c r="Z101" i="30"/>
  <c r="Z102" i="30"/>
  <c r="Z73" i="30"/>
  <c r="Z74" i="30"/>
  <c r="Z107" i="30"/>
  <c r="Z108" i="30"/>
  <c r="W49" i="30"/>
  <c r="Z49" i="30" s="1"/>
  <c r="Z50" i="30"/>
  <c r="Z54" i="30"/>
  <c r="Z16" i="30"/>
  <c r="Z82" i="30"/>
  <c r="Z72" i="30"/>
  <c r="Z28" i="30"/>
  <c r="Z113" i="30"/>
  <c r="Z114" i="30"/>
  <c r="Z46" i="30"/>
  <c r="Z68" i="30"/>
  <c r="Z129" i="30"/>
  <c r="Z60" i="30"/>
  <c r="Z90" i="30"/>
  <c r="Z130" i="30"/>
  <c r="U61" i="30"/>
  <c r="Z61" i="30" s="1"/>
  <c r="U17" i="30"/>
  <c r="Z17" i="30" s="1"/>
  <c r="Z23" i="30"/>
  <c r="Z115" i="30"/>
  <c r="Z116" i="30"/>
  <c r="Z117" i="30"/>
  <c r="Z19" i="30"/>
  <c r="Z62" i="30"/>
  <c r="Z63" i="30"/>
  <c r="Z64" i="30"/>
  <c r="Z67" i="30"/>
  <c r="Z91" i="30"/>
  <c r="Z92" i="30"/>
  <c r="Z13" i="30"/>
  <c r="U65" i="30"/>
  <c r="Z65" i="30" s="1"/>
  <c r="Z44" i="30"/>
  <c r="Z45" i="30"/>
  <c r="Z42" i="30"/>
  <c r="Z43" i="30"/>
  <c r="Z30" i="30"/>
  <c r="Z95" i="30"/>
  <c r="Z96" i="30"/>
  <c r="Z24" i="30"/>
  <c r="Z25" i="30"/>
  <c r="U52" i="30"/>
  <c r="W52" i="30"/>
  <c r="Z7" i="30"/>
  <c r="Z8" i="30"/>
  <c r="Z9" i="30"/>
  <c r="Z10" i="30"/>
  <c r="Z11" i="30"/>
  <c r="Z12" i="30"/>
  <c r="Z103" i="30"/>
  <c r="Z104" i="30"/>
  <c r="Z105" i="30"/>
  <c r="Z106" i="30"/>
  <c r="AA56" i="30"/>
  <c r="AA55" i="30"/>
  <c r="AA12" i="30"/>
  <c r="AA11" i="30"/>
  <c r="AA10" i="30"/>
  <c r="AA9" i="30"/>
  <c r="AA8" i="30"/>
  <c r="AA7" i="30"/>
  <c r="AA114" i="30"/>
  <c r="AA113" i="30"/>
  <c r="AA108" i="30"/>
  <c r="AA107" i="30"/>
  <c r="AA74" i="30"/>
  <c r="AA73" i="30"/>
  <c r="AA106" i="30"/>
  <c r="AA105" i="30"/>
  <c r="AA104" i="30"/>
  <c r="AA103" i="30"/>
  <c r="AA102" i="30"/>
  <c r="AA101" i="30"/>
  <c r="AA100" i="30"/>
  <c r="AA58" i="30"/>
  <c r="AA57" i="30"/>
  <c r="AA110" i="30"/>
  <c r="AA109" i="30"/>
  <c r="AA38" i="30"/>
  <c r="AA37" i="30"/>
  <c r="AA36" i="30"/>
  <c r="AA35" i="30"/>
  <c r="AA34" i="30"/>
  <c r="AA76" i="30"/>
  <c r="AA75" i="30"/>
  <c r="AA124" i="30"/>
  <c r="AA123" i="30"/>
  <c r="AA122" i="30"/>
  <c r="AA71" i="30"/>
  <c r="AA70" i="30"/>
  <c r="AA69" i="30"/>
  <c r="AA112" i="30"/>
  <c r="AA111" i="30"/>
  <c r="AA22" i="30"/>
  <c r="AA21" i="30"/>
  <c r="AA87" i="30"/>
  <c r="AA86" i="30"/>
  <c r="AA98" i="30"/>
  <c r="AA97" i="30"/>
  <c r="AA94" i="30"/>
  <c r="AA93" i="30"/>
  <c r="AA32" i="30"/>
  <c r="AA31" i="30"/>
  <c r="AA6" i="30"/>
  <c r="AA5" i="30"/>
  <c r="AA121" i="30"/>
  <c r="AA120" i="30"/>
  <c r="AA119" i="30"/>
  <c r="AA118" i="30"/>
  <c r="AK514" i="27"/>
  <c r="AK515" i="27"/>
  <c r="AK516" i="27"/>
  <c r="AK517" i="27"/>
  <c r="AK232" i="27"/>
  <c r="AK233" i="27"/>
  <c r="AK234" i="27"/>
  <c r="AK235" i="27"/>
  <c r="AK236" i="27"/>
  <c r="AK237" i="27"/>
  <c r="AK238" i="27"/>
  <c r="AK239" i="27"/>
  <c r="AK518" i="27"/>
  <c r="AK519" i="27"/>
  <c r="AK520" i="27"/>
  <c r="AK521" i="27"/>
  <c r="AK411" i="27"/>
  <c r="AK412" i="27"/>
  <c r="AK457" i="27"/>
  <c r="AK458" i="27"/>
  <c r="AK473" i="27"/>
  <c r="AK474" i="27"/>
  <c r="AK500" i="27"/>
  <c r="AK501" i="27"/>
  <c r="AK502" i="27"/>
  <c r="AK175" i="27"/>
  <c r="AK176" i="27"/>
  <c r="AK177" i="27"/>
  <c r="AK178" i="27"/>
  <c r="AK179" i="27"/>
  <c r="AK180" i="27"/>
  <c r="AK181" i="27"/>
  <c r="AK182" i="27"/>
  <c r="AK183" i="27"/>
  <c r="AK184" i="27"/>
  <c r="AK185" i="27"/>
  <c r="AK186" i="27"/>
  <c r="AK187" i="27"/>
  <c r="AK188" i="27"/>
  <c r="AK189" i="27"/>
  <c r="AK190" i="27"/>
  <c r="AK191" i="27"/>
  <c r="AK192" i="27"/>
  <c r="AK193" i="27"/>
  <c r="AK194" i="27"/>
  <c r="AK195" i="27"/>
  <c r="AK203" i="27"/>
  <c r="AK204" i="27"/>
  <c r="AK205" i="27"/>
  <c r="AK206" i="27"/>
  <c r="AK207" i="27"/>
  <c r="AK208" i="27"/>
  <c r="AK209" i="27"/>
  <c r="AK196" i="27"/>
  <c r="AK197" i="27"/>
  <c r="AK198" i="27"/>
  <c r="AK199" i="27"/>
  <c r="AK200" i="27"/>
  <c r="AK201" i="27"/>
  <c r="AK202" i="27"/>
  <c r="AK421" i="27"/>
  <c r="AK422" i="27"/>
  <c r="AK423" i="27"/>
  <c r="AK424" i="27"/>
  <c r="AK425" i="27"/>
  <c r="AK426" i="27"/>
  <c r="AK475" i="27"/>
  <c r="AK476" i="27"/>
  <c r="AK477" i="27"/>
  <c r="AK478" i="27"/>
  <c r="AK479" i="27"/>
  <c r="AK480" i="27"/>
  <c r="AK481" i="27"/>
  <c r="AK482" i="27"/>
  <c r="AK483" i="27"/>
  <c r="AK484" i="27"/>
  <c r="AK485" i="27"/>
  <c r="AK486" i="27"/>
  <c r="AK487" i="27"/>
  <c r="AK488" i="27"/>
  <c r="AK489" i="27"/>
  <c r="AK490" i="27"/>
  <c r="AK491" i="27"/>
  <c r="AK492" i="27"/>
  <c r="AK498" i="27"/>
  <c r="AK499" i="27"/>
  <c r="AK251" i="27"/>
  <c r="AK258" i="27"/>
  <c r="AK282" i="27"/>
  <c r="AK283" i="27"/>
  <c r="AK289" i="27"/>
  <c r="AK290" i="27"/>
  <c r="AK440" i="27"/>
  <c r="AK441" i="27"/>
  <c r="AK442" i="27"/>
  <c r="AK443" i="27"/>
  <c r="AK444" i="27"/>
  <c r="AK445" i="27"/>
  <c r="AK530" i="27"/>
  <c r="AK531" i="27"/>
  <c r="AK532" i="27"/>
  <c r="AK533" i="27"/>
  <c r="AK534" i="27"/>
  <c r="AK535" i="27"/>
  <c r="AK536" i="27"/>
  <c r="AK537" i="27"/>
  <c r="AK538" i="27"/>
  <c r="AK539" i="27"/>
  <c r="AK540" i="27"/>
  <c r="AK541" i="27"/>
  <c r="AK542" i="27"/>
  <c r="AK543" i="27"/>
  <c r="AK544" i="27"/>
  <c r="AK545" i="27"/>
  <c r="AK554" i="27"/>
  <c r="AK553" i="27"/>
  <c r="AK552" i="27"/>
  <c r="AK551" i="27"/>
  <c r="AK600" i="27"/>
  <c r="AK599" i="27"/>
  <c r="AK598" i="27"/>
  <c r="AK597" i="27"/>
  <c r="AK596" i="27"/>
  <c r="AK595" i="27"/>
  <c r="AK594" i="27"/>
  <c r="AK593" i="27"/>
  <c r="AK529" i="27"/>
  <c r="AK528" i="27"/>
  <c r="AK527" i="27"/>
  <c r="AK526" i="27"/>
  <c r="AK525" i="27"/>
  <c r="AK523" i="27"/>
  <c r="AK522" i="27"/>
  <c r="AK438" i="27"/>
  <c r="AK437" i="27"/>
  <c r="AK436" i="27"/>
  <c r="AK394" i="27"/>
  <c r="AK393" i="27"/>
  <c r="AK392" i="27"/>
  <c r="AK391" i="27"/>
  <c r="AK390" i="27"/>
  <c r="AK389" i="27"/>
  <c r="AK388" i="27"/>
  <c r="AK387" i="27"/>
  <c r="AK386" i="27"/>
  <c r="AK385" i="27"/>
  <c r="AK384" i="27"/>
  <c r="AK383" i="27"/>
  <c r="AK372" i="27"/>
  <c r="AK371" i="27"/>
  <c r="AK359" i="27"/>
  <c r="AK358" i="27"/>
  <c r="AK345" i="27"/>
  <c r="AK344" i="27"/>
  <c r="AK341" i="27"/>
  <c r="AK340" i="27"/>
  <c r="AK306" i="27"/>
  <c r="AK305" i="27"/>
  <c r="AK304" i="27"/>
  <c r="AK303" i="27"/>
  <c r="AK288" i="27"/>
  <c r="AK285" i="27"/>
  <c r="AK284" i="27"/>
  <c r="AK223" i="27"/>
  <c r="AK222" i="27"/>
  <c r="AK221" i="27"/>
  <c r="AK220" i="27"/>
  <c r="AK219" i="27"/>
  <c r="AK218" i="27"/>
  <c r="AK217" i="27"/>
  <c r="AK216" i="27"/>
  <c r="AK215" i="27"/>
  <c r="AK214" i="27"/>
  <c r="AK213" i="27"/>
  <c r="AK212" i="27"/>
  <c r="AK211" i="27"/>
  <c r="AK210" i="27"/>
  <c r="AK172" i="27"/>
  <c r="AK171" i="27"/>
  <c r="AK170" i="27"/>
  <c r="AK169" i="27"/>
  <c r="AK168" i="27"/>
  <c r="AK167" i="27"/>
  <c r="AK166" i="27"/>
  <c r="AK165" i="27"/>
  <c r="AK164" i="27"/>
  <c r="AK163" i="27"/>
  <c r="AK127" i="27"/>
  <c r="AK126" i="27"/>
  <c r="AK125" i="27"/>
  <c r="AK124" i="27"/>
  <c r="AK123" i="27"/>
  <c r="AK122" i="27"/>
  <c r="AK121" i="27"/>
  <c r="AK107" i="27"/>
  <c r="AK106" i="27"/>
  <c r="AK105" i="27"/>
  <c r="AK104" i="27"/>
  <c r="AK103" i="27"/>
  <c r="AK102" i="27"/>
  <c r="AK101" i="27"/>
  <c r="AK100" i="27"/>
  <c r="AK99" i="27"/>
  <c r="AK98" i="27"/>
  <c r="AK97" i="27"/>
  <c r="AK96" i="27"/>
  <c r="AK95" i="27"/>
  <c r="AK94" i="27"/>
  <c r="AK93" i="27"/>
  <c r="AK92" i="27"/>
  <c r="AK91" i="27"/>
  <c r="AK90" i="27"/>
  <c r="AK89" i="27"/>
  <c r="AK88" i="27"/>
  <c r="AK87" i="27"/>
  <c r="AK86" i="27"/>
  <c r="AK85" i="27"/>
  <c r="AK84" i="27"/>
  <c r="AK83" i="27"/>
  <c r="AK82" i="27"/>
  <c r="AK81" i="27"/>
  <c r="AK64" i="27"/>
  <c r="AK63" i="27"/>
  <c r="AK62" i="27"/>
  <c r="AK61" i="27"/>
  <c r="AK60" i="27"/>
  <c r="AK59" i="27"/>
  <c r="AK58" i="27"/>
  <c r="AK57" i="27"/>
  <c r="AK56" i="27"/>
  <c r="AK55" i="27"/>
  <c r="AK54" i="27"/>
  <c r="AK53" i="27"/>
  <c r="AK456" i="27"/>
  <c r="AK455" i="27"/>
  <c r="AK449" i="27"/>
  <c r="AK420" i="27"/>
  <c r="AK419" i="27"/>
  <c r="AK418" i="27"/>
  <c r="AK362" i="27"/>
  <c r="AK361" i="27"/>
  <c r="AK343" i="27"/>
  <c r="AK342" i="27"/>
  <c r="AK511" i="27"/>
  <c r="AK510" i="27"/>
  <c r="AK509" i="27"/>
  <c r="AK508" i="27"/>
  <c r="AK505" i="27"/>
  <c r="AK503" i="27"/>
  <c r="AK410" i="27"/>
  <c r="AK409" i="27"/>
  <c r="AK401" i="27"/>
  <c r="AK400" i="27"/>
  <c r="AK399" i="27"/>
  <c r="AK398" i="27"/>
  <c r="AK397" i="27"/>
  <c r="AK396" i="27"/>
  <c r="AK370" i="27"/>
  <c r="AK369" i="27"/>
  <c r="AK350" i="27"/>
  <c r="AK346" i="27"/>
  <c r="AK274" i="27"/>
  <c r="AK273" i="27"/>
  <c r="AK272" i="27"/>
  <c r="AK271" i="27"/>
  <c r="AK435" i="27"/>
  <c r="AK434" i="27"/>
  <c r="AK433" i="27"/>
  <c r="AK368" i="27"/>
  <c r="AK367" i="27"/>
  <c r="AK339" i="27"/>
  <c r="AK338" i="27"/>
  <c r="AK592" i="27"/>
  <c r="AK591" i="27"/>
  <c r="AK590" i="27"/>
  <c r="AK589" i="27"/>
  <c r="AK366" i="27"/>
  <c r="AK365" i="27"/>
  <c r="AK278" i="27"/>
  <c r="AK277" i="27"/>
  <c r="AK276" i="27"/>
  <c r="AK416" i="27"/>
  <c r="AK415" i="27"/>
  <c r="AK297" i="27"/>
  <c r="AK292" i="27"/>
  <c r="AK291" i="27"/>
  <c r="AK364" i="27"/>
  <c r="AK363" i="27"/>
  <c r="AK432" i="27"/>
  <c r="AK431" i="27"/>
  <c r="AK430" i="27"/>
  <c r="AK302" i="27"/>
  <c r="AK301" i="27"/>
  <c r="AK414" i="27"/>
  <c r="AK413" i="27"/>
  <c r="AK377" i="27"/>
  <c r="AK375" i="27"/>
  <c r="AK311" i="27"/>
  <c r="AK310" i="27"/>
  <c r="AK309" i="27"/>
  <c r="AK308" i="27"/>
  <c r="AK307" i="27"/>
  <c r="AK280" i="27"/>
  <c r="AK279" i="27"/>
  <c r="AK11" i="27"/>
  <c r="AK10" i="27"/>
  <c r="AK9" i="27"/>
  <c r="AK8" i="27"/>
  <c r="AK7" i="27"/>
  <c r="AK6" i="27"/>
  <c r="AK429" i="27"/>
  <c r="AK428" i="27"/>
  <c r="AK427" i="27"/>
  <c r="AK337" i="27"/>
  <c r="AK336" i="27"/>
  <c r="AK300" i="27"/>
  <c r="AK299" i="27"/>
  <c r="AK298" i="27"/>
  <c r="AK162" i="27"/>
  <c r="AK161" i="27"/>
  <c r="AK160" i="27"/>
  <c r="AK159" i="27"/>
  <c r="AK158" i="27"/>
  <c r="AK157" i="27"/>
  <c r="AK156" i="27"/>
  <c r="AK155" i="27"/>
  <c r="AK154" i="27"/>
  <c r="AK153" i="27"/>
  <c r="AK263" i="27"/>
  <c r="AK262" i="27"/>
  <c r="AK261" i="27"/>
  <c r="AK52" i="27"/>
  <c r="AK51" i="27"/>
  <c r="AK50" i="27"/>
  <c r="AK49" i="27"/>
  <c r="AK48" i="27"/>
  <c r="AK47" i="27"/>
  <c r="AK46" i="27"/>
  <c r="AK45" i="27"/>
  <c r="AK44" i="27"/>
  <c r="A11" i="19"/>
  <c r="AO543" i="27"/>
  <c r="AE258" i="27" l="1"/>
  <c r="AJ581" i="27"/>
  <c r="AJ286" i="27"/>
  <c r="AJ238" i="27"/>
  <c r="AJ265" i="27"/>
  <c r="AJ237" i="27"/>
  <c r="AJ602" i="27"/>
  <c r="AJ71" i="27"/>
  <c r="AJ72" i="27"/>
  <c r="AJ239" i="27"/>
  <c r="AJ70" i="27"/>
  <c r="AJ601" i="27"/>
  <c r="AE173" i="27"/>
  <c r="AE283" i="27"/>
  <c r="AJ283" i="27" s="1"/>
  <c r="AE251" i="27"/>
  <c r="AJ251" i="27" s="1"/>
  <c r="AJ546" i="27"/>
  <c r="AJ521" i="27"/>
  <c r="AJ76" i="27"/>
  <c r="AE26" i="27"/>
  <c r="AJ26" i="27" s="1"/>
  <c r="Z38" i="30"/>
  <c r="AJ282" i="27"/>
  <c r="AJ520" i="27"/>
  <c r="AJ603" i="27"/>
  <c r="AE174" i="27"/>
  <c r="AJ174" i="27" s="1"/>
  <c r="AJ234" i="27"/>
  <c r="J114" i="33"/>
  <c r="Z52" i="30"/>
  <c r="AE27" i="27"/>
  <c r="AJ27" i="27" s="1"/>
  <c r="AJ236" i="27"/>
  <c r="AJ556" i="27"/>
  <c r="AJ287" i="27"/>
  <c r="AJ518" i="27"/>
  <c r="AJ519" i="27"/>
  <c r="AJ545" i="27"/>
  <c r="AE583" i="27"/>
  <c r="AJ583" i="27" s="1"/>
  <c r="AJ173" i="27"/>
  <c r="AJ65" i="27"/>
  <c r="Z66" i="30"/>
  <c r="AJ258" i="27"/>
  <c r="AJ439" i="27"/>
  <c r="AO439" i="27"/>
  <c r="C114" i="33"/>
  <c r="AO544"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BFK</author>
    <author>BKim</author>
  </authors>
  <commentList>
    <comment ref="H4" authorId="0" shapeId="0" xr:uid="{00000000-0006-0000-0200-000001000000}">
      <text>
        <r>
          <rPr>
            <b/>
            <sz val="8"/>
            <color indexed="81"/>
            <rFont val="Tahoma"/>
            <family val="2"/>
          </rPr>
          <t xml:space="preserve">BFK: </t>
        </r>
        <r>
          <rPr>
            <sz val="8"/>
            <color indexed="81"/>
            <rFont val="Tahoma"/>
            <family val="2"/>
          </rPr>
          <t xml:space="preserve">Don't use commas in this column - otherwise the study summary will split them into multiple rows
</t>
        </r>
      </text>
    </comment>
    <comment ref="AD4" authorId="1" shapeId="0" xr:uid="{00000000-0006-0000-0200-000002000000}">
      <text>
        <r>
          <rPr>
            <b/>
            <sz val="8"/>
            <color indexed="81"/>
            <rFont val="Tahoma"/>
            <family val="2"/>
          </rPr>
          <t>BKim:</t>
        </r>
        <r>
          <rPr>
            <sz val="8"/>
            <color indexed="81"/>
            <rFont val="Tahoma"/>
            <family val="2"/>
          </rPr>
          <t xml:space="preserve">
per kg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BKim</author>
    <author>BFK</author>
  </authors>
  <commentList>
    <comment ref="I4" authorId="0" shapeId="0" xr:uid="{00000000-0006-0000-0300-000001000000}">
      <text>
        <r>
          <rPr>
            <b/>
            <sz val="8"/>
            <color indexed="81"/>
            <rFont val="Tahoma"/>
            <family val="2"/>
          </rPr>
          <t>BKim:</t>
        </r>
        <r>
          <rPr>
            <sz val="8"/>
            <color indexed="81"/>
            <rFont val="Tahoma"/>
            <family val="2"/>
          </rPr>
          <t xml:space="preserve">
Farm or landing site
</t>
        </r>
      </text>
    </comment>
    <comment ref="K4" authorId="0" shapeId="0" xr:uid="{00000000-0006-0000-0300-000002000000}">
      <text>
        <r>
          <rPr>
            <b/>
            <sz val="8"/>
            <color indexed="81"/>
            <rFont val="Tahoma"/>
            <family val="2"/>
          </rPr>
          <t>BKim:</t>
        </r>
        <r>
          <rPr>
            <sz val="8"/>
            <color indexed="81"/>
            <rFont val="Tahoma"/>
            <family val="2"/>
          </rPr>
          <t xml:space="preserve">
aquaculture or fishery</t>
        </r>
      </text>
    </comment>
    <comment ref="M4" authorId="1" shapeId="0" xr:uid="{00000000-0006-0000-0300-000003000000}">
      <text>
        <r>
          <rPr>
            <b/>
            <sz val="8"/>
            <color indexed="81"/>
            <rFont val="Tahoma"/>
            <family val="2"/>
          </rPr>
          <t xml:space="preserve">BFK: </t>
        </r>
        <r>
          <rPr>
            <sz val="8"/>
            <color indexed="81"/>
            <rFont val="Tahoma"/>
            <family val="2"/>
          </rPr>
          <t>This this subitem should be grouped when presenting per kg and per serving impacts</t>
        </r>
        <r>
          <rPr>
            <sz val="8"/>
            <color indexed="81"/>
            <rFont val="Tahoma"/>
            <family val="2"/>
          </rPr>
          <t xml:space="preserve">
</t>
        </r>
      </text>
    </comment>
    <comment ref="Y4" authorId="0" shapeId="0" xr:uid="{00000000-0006-0000-0300-000004000000}">
      <text>
        <r>
          <rPr>
            <b/>
            <sz val="8"/>
            <color indexed="81"/>
            <rFont val="Tahoma"/>
            <family val="2"/>
          </rPr>
          <t>BKim:</t>
        </r>
        <r>
          <rPr>
            <sz val="8"/>
            <color indexed="81"/>
            <rFont val="Tahoma"/>
            <family val="2"/>
          </rPr>
          <t xml:space="preserve">
per kg whole fish</t>
        </r>
      </text>
    </comment>
    <comment ref="E18" authorId="1" shapeId="0" xr:uid="{00000000-0006-0000-0300-000005000000}">
      <text>
        <r>
          <rPr>
            <b/>
            <sz val="8"/>
            <color indexed="81"/>
            <rFont val="Tahoma"/>
            <family val="2"/>
          </rPr>
          <t>BFK:</t>
        </r>
        <r>
          <rPr>
            <sz val="8"/>
            <color indexed="81"/>
            <rFont val="Tahoma"/>
            <family val="2"/>
          </rPr>
          <t xml:space="preserve">
 (same family as haddock, cod)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CropLCAs" description="Connection to the 'CropLCAs' query in the workbook." type="5" refreshedVersion="0" background="1">
    <dbPr connection="Provider=Microsoft.Mashup.OleDb.1;Data Source=$Workbook$;Location=CropLCAs;Extended Properties=&quot;&quot;" command="SELECT * FROM [CropLCAs]"/>
  </connection>
  <connection id="2" xr16:uid="{00000000-0015-0000-FFFF-FFFF01000000}" name="Query - FBS items" description="Connection to the 'FBS items' query in the workbook." type="5" refreshedVersion="0" background="1">
    <dbPr connection="Provider=Microsoft.Mashup.OleDb.1;Data Source=$Workbook$;Location=&quot;FBS items&quot;;Extended Properties=&quot;&quot;" command="SELECT * FROM [FBS items]"/>
  </connection>
  <connection id="3" xr16:uid="{00000000-0015-0000-FFFF-FFFF02000000}" keepAlive="1" name="Query - fp_distributions" description="Connection to the 'fp_distributions' query in the workbook." type="5" refreshedVersion="8" background="1" saveData="1">
    <dbPr connection="Provider=Microsoft.Mashup.OleDb.1;Data Source=$Workbook$;Location=fp_distributions;Extended Properties=&quot;&quot;" command="SELECT * FROM [fp_distributions]"/>
  </connection>
  <connection id="4" xr16:uid="{00000000-0015-0000-FFFF-FFFF03000000}" name="Query - ProcessedLCAs" description="Connection to the 'ProcessedLCAs' query in the workbook." type="5" refreshedVersion="0" background="1">
    <dbPr connection="Provider=Microsoft.Mashup.OleDb.1;Data Source=$Workbook$;Location=ProcessedLCAs;Extended Properties=&quot;&quot;" command="SELECT * FROM [ProcessedLCAs]"/>
  </connection>
  <connection id="5" xr16:uid="{00000000-0015-0000-FFFF-FFFF04000000}" name="Query - SeafoodLCAs" description="Connection to the 'SeafoodLCAs' query in the workbook." type="5" refreshedVersion="0" background="1">
    <dbPr connection="Provider=Microsoft.Mashup.OleDb.1;Data Source=$Workbook$;Location=SeafoodLCAs;Extended Properties=&quot;&quot;" command="SELECT * FROM [SeafoodLCAs]"/>
  </connection>
  <connection id="6" xr16:uid="{00000000-0015-0000-FFFF-FFFF05000000}" keepAlive="1" name="Query - studies_summary" description="Connection to the 'studies_summary' query in the workbook." type="5" refreshedVersion="8" background="1" saveData="1">
    <dbPr connection="Provider=Microsoft.Mashup.OleDb.1;Data Source=$Workbook$;Location=studies_summary;Extended Properties=&quot;&quot;" command="SELECT * FROM [studies_summary]"/>
  </connection>
</connections>
</file>

<file path=xl/sharedStrings.xml><?xml version="1.0" encoding="utf-8"?>
<sst xmlns="http://schemas.openxmlformats.org/spreadsheetml/2006/main" count="22960" uniqueCount="1799">
  <si>
    <t>Peas</t>
  </si>
  <si>
    <t>Pulses</t>
  </si>
  <si>
    <t>Pulses, Other and products</t>
  </si>
  <si>
    <t>Vegetables, Other</t>
  </si>
  <si>
    <t>Vegetables</t>
  </si>
  <si>
    <t>Wheat and products</t>
  </si>
  <si>
    <t>Cereals - Excluding Beer</t>
  </si>
  <si>
    <t>Oilcrops</t>
  </si>
  <si>
    <t>Nuts and products</t>
  </si>
  <si>
    <t>Tomatoes and products</t>
  </si>
  <si>
    <t>Barley and products</t>
  </si>
  <si>
    <t>Beans</t>
  </si>
  <si>
    <t>Groundnuts (Shelled Eq)</t>
  </si>
  <si>
    <t>Maize and products</t>
  </si>
  <si>
    <t>Oats</t>
  </si>
  <si>
    <t>Onions</t>
  </si>
  <si>
    <t>Potatoes and products</t>
  </si>
  <si>
    <t>Starchy Roots</t>
  </si>
  <si>
    <t>Rice (Milled Equivalent)</t>
  </si>
  <si>
    <t>Rye and products</t>
  </si>
  <si>
    <t>Soyabeans</t>
  </si>
  <si>
    <t>Sorghum and products</t>
  </si>
  <si>
    <t>Sunflower seed</t>
  </si>
  <si>
    <t>Rape and Mustardseed</t>
  </si>
  <si>
    <t>Palm kernels</t>
  </si>
  <si>
    <t>Olives (including preserved)</t>
  </si>
  <si>
    <t>Oilcrops, Other</t>
  </si>
  <si>
    <t>Oranges, Mandarines</t>
  </si>
  <si>
    <t>Fruits - Excluding Wine</t>
  </si>
  <si>
    <t>Bananas</t>
  </si>
  <si>
    <t>Apples and products</t>
  </si>
  <si>
    <t>Fruits, Other</t>
  </si>
  <si>
    <t>Pineapples and products</t>
  </si>
  <si>
    <t>Lemons, Limes and products</t>
  </si>
  <si>
    <t>Grapes and products (excl wine)</t>
  </si>
  <si>
    <t>Sugar cane</t>
  </si>
  <si>
    <t>Sugar beet</t>
  </si>
  <si>
    <t>Sugar (Raw Equivalent)</t>
  </si>
  <si>
    <t>Honey</t>
  </si>
  <si>
    <t>Soyabean Oil</t>
  </si>
  <si>
    <t>Groundnut Oil</t>
  </si>
  <si>
    <t>Sunflowerseed Oil</t>
  </si>
  <si>
    <t>Rape and Mustard Oil</t>
  </si>
  <si>
    <t>Palmkernel Oil</t>
  </si>
  <si>
    <t>Palm Oil</t>
  </si>
  <si>
    <t>Olive Oil</t>
  </si>
  <si>
    <t>Ricebran Oil</t>
  </si>
  <si>
    <t>Maize Germ Oil</t>
  </si>
  <si>
    <t>Sugar Crops</t>
  </si>
  <si>
    <t>Sugar &amp; Sweeteners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</si>
  <si>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</si>
  <si>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</si>
  <si>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</si>
  <si>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</si>
  <si>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</si>
  <si>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</si>
  <si>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</si>
  <si>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</si>
  <si>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</si>
  <si>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</si>
  <si>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</si>
  <si>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</si>
  <si>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e433fc08-68b9-427b-85a8-853ff5d289b5</t>
  </si>
  <si>
    <t>CB_Block_0</t>
  </si>
  <si>
    <t>㜸〱敤㕣㕢㙣ㅣ㔷ㄹ摥㌳摥㕤敦慣敤搸㡤搳㑢㑡㉦㠶㔲ち㜵㜰攳戴愱㉤㄰㠲㉦㡤㤳攲挴㙥散愴愰㠲㌶攳摤㌳昱㌴㍢㌳敥捣慣ㄳ㤷㑡慤愰攵㈲㕡㤰捡㐵ㄴ捡㐵ㄵ㐲攲㠵换ぢ昷㤷㑡㐸㐵愸㐸㍣挰〳ㄲて愵㐲昰〰㐲㤱㜸攱〱〹扥敦捣捣敥捣慥㜷散㙥㕢㜰㤱㑦扡扦捦㥣摢㥣㜳晥敢昹晦㌳捤㠹㕣㉥昷㙦㈴晥㘵捡㌳㜳摤搲㠶ㅦ㐸㝢㘲挶慤搷㘵㌵戰㕣挷㥦㤸昲㍣㘳㘳摥昲㠳㍥㌴㈸㔶㉣搴晢㠵㡡㙦㍤㉣㑢㤵㜵改昹㘸㔴挸攵㑡㈵㕤㐳㍤〷攱㙦㈴㝥搰搹㙢㌰て戰㍣㌳扤戰昲㈰㐶㕤ち㕣㑦ㅥㄸ㍢ㅢ昶㍤㌲㌹㌹㌱㌹㜱挷攱挹㐳ㄳ〷て㡣捤㌴敡㐱挳㤳㐷ㅣ搹〸㍣愳㝥㘰㙣戱戱㔲户慡ㅦ㤰ㅢ换敥〵改ㅣ㤱㉢〷㙦㕦㌱敥戸㙢昲㡥挳㠷捤扢敦扥㙢㄰慦捥㥤㥡㤹㕥昴愴改扦㐶㘳ㄶ㌸攵㍢㘶㘵搵攲摡愴昴㉣攷晣挴捣㌴晥㑢捣ㅦ㑦㜷㑥㉣慤㑡ㄹ昰搵搲㤳㑥㔵晡㍡㍡づ搸㔳扥摦戰搷戸㜹扡㝤っ㑢慤ㅡ㝥㔰戰㘷㘴扤慥摢昱愸㈵㝢〱㝢㔷㌷㌶〶敤㈵改昸㔶㘰慤㕢挱㐶搱㕥挶㐰戵㈱晢㡣㉦㑦ㅢ捥㜹㜹捡戰㘵挱㥥㙢㔸戵㝣㤸㜲㝤户挴㐳㈴㈷愶㤶㍦㌱攵摢㌳慢㠶愷㘶攴㜳㘳㌲摡ㅥ昳慡改戶㌷㜵ㅦ㤷㔳㔷㙦攰㤸㌷㜷㙦㠷㥡戳㠶搷㙣㌹摥扤㘵戴昸昴っ㙥敢摥㍥戱㐷改㍥敦攸摥㐷㙤㘵扡戵ㄸ㠸攸㕢敤㈸ㄶ愳ㄷ〹晡〹㑡〴㐴愰㕥㈶ㄸ㈰ㄸ〴㄰昹㝦㠰㑢㤲ㅤ㔹愵㔵っ慤戲愲㔵慡㕡愵愶㔵愴㔶㌱戵捡㜹慤戲慡㔵㉣慤昲愰㔶戹㠰㌶㜱㉡昵昷㙢㔱㝡晥挹敢㥦㝦晡搳㤳㜳㕦㝡攱慥ㄷ扥昰昵㌹㝢㜰てㅡ摤ㄷ㑤㙡搶㌳㉥㠲搴㕡㔴っ㡥攰扦慤戹〲㑣㘱ㅥ㌶敦㌴㈷㈷㙢㠷てㅡ户ㅢ〵㉥㉢〳昹㈹㐲ㄹ㐱摢㐱昳㝥换愹戹ㄷㄵ敥慥㥢㌶㝣搹摡戸昱愸㙥摡㙤㌸㌵晦㑤㥢㔷㉥〵㐶㈰慦㙤慦㙢つ搲搱㙤〹㙣㈵㝤昵扥ㅢ摡扢㥤㌵敡つ㌹㜵挹ち慢慦㙦慢戶ㄷ㍤㜷愵㝢敤㌱㑦㍥搴慣敤㤸搱ㄴ㠴摡扡ㅡ扢㘳㤵㘱㔵㌸慦戱㤹㔵搷㤷㡥㥡摥戸扤㘸㔵㉦㐸㙦㐹㔲㈴捡㥡㕡敡㤵慣㡡戸㝥㝣挱挱㐲挱慤戵户㈴㑢捤㝢㉥〵㘰㘶㔹挳㝣搷愴ㄷ㙣㉣ㅢ㉢㜵㜹㔵慡㐹昸㑥㔴散㑦ㄵㅦ㜳慢つ㝦挶㜵〲捦慤愷㙢愶㙡敢〶㈴㑤敤愴㕢㤳昹㝣㑥〹〵〸摣扥㍥㈱㜲户㜶攷〵㠵㠸〴㡡挹挸搷愴挹㙥攲㌴㔶㠷㔵搴㈵㘹㔲㝢敢ㄶ㠳㜱扥㑡挶㘴㜰㘰㘲㑤搴ㅦ㝣改摢户ㄸ戶㠹戹搷户戱愶㡤㐶慢扦㘷㕤㍡挱㜱挳愹搵愵㤷愹晤〴㘷愴て〳ㄴ㉥㐳㈰㜴摤㍤慡㍡㜱㐹㙣ㄴ㉥㕡戵㘰戵戸㉡慤昳慢〱捡愰㈱㑢㈵㙥㙤㐷搲慦㐰㤱扥㤷㘰ㄴ愰㕣捥ㄵ昷戱㔱戱㡣㤴㉢㔰㍡㘵昰㜲㑡㤰戳㕦㡡㤷〷捤㘳㔶㍤㤰愱㔰ㅥ㌶㠱㤱㔰慢㈹昴つ㤱㐴㍤愳ㅡ㉡㡣㝤收っ愸搴戰㥣㘰愳挵户ㅤ㕣ㄲㄲ搱慥㉣搸㜱戲㠰愲㈰㉤て㌲㜸つ㐴搳㈶つ戲ㅢ㈷㠸㠸㙣㤰愱搹㌱㜲㥡挸搸㍥㐳㐶愰㝤㤲〸搹晡㘰㜷ㄹ㐱㘲敦㈴㔲㜶敡捡㡦扢搲㙣㌳㕢㍥㤴㘶㔷㘲攳昴慢〸慥㈶戸㠶㘰㍦㠰昸㌳㈴ㅣ愵ㅣ昲改愴扦〹捦晡㜵〴搷〳㐰㍥改㤴㌹㤱愸愲つ戵ㅤ㍢㤲敤㠶㘰㈷㉢愳㌸ㄴ㐵戴㡣㥢㜶收㤰慤㄰ㅤ㔹㥤㍢㐳搷收㤵㡥㝤㕢㜷摡㑣㉥㠷ㄴ㤹搱㌴戹搶㉤㥡㈶㌷㠲㑤㝢搴㕢㌷愲慢㍥㐶昰㘶㠰戲晥ㄶ㐲㈸ㄷㅡ扣摢戳攸㘹㔲扥㈱捣愲搰ㄸ敡㔱挱㐷㠴捣㈳㐰㠶㤰敢㌸扥散摡搰㌴〷挷捤㌷扣つ㝤愰㍢㝦㐷㐸㙦搳㥢扢㝡㠷晥愲㔷㘸㐵摦〴昶ㄲ㝦攸慡㘳㙥㐶戵晥㌶㠲㕢〰摡㜴っ㑦摦慦搴㔳愰捣㘲㍢㠱戹扤昴扡㈸㉢㜷㜹㘳㑤㉡つ㌴㘸㉥ㅢ摥㜹ㄹ挰㠳㜱㘲ㄶ戶戰敢㜹戲㡥㐳㙤㑤ㄵ昰晣㜲㜵扡搰㍦收戹㌶换㜷㙤㘴晦つ愱ㄸ昲㜹慤㉦搷㘶㈳㘷搸㥡〹㥦㔳㠲㜲愸㠳㙦敦㉥㈴ㄲ㥤搲攴挵㝥搹攷换㕤㐹搲㠳㈴㜹〷戶㔵扦ㄵ〰㔲㐲晣慥慢㐴㌹挰㘶敦㔴捤搲ㄶ㉢㍤㝣ㄹ愷㤳㌶ㅦ㘲㠷ㅣㄹ〸ㅤ戶搳昰ㅦ昸㐳昶㤲㘵㌷㠵挵㠰扤㈸扤㉡㝣ぢ㔶㕤㤶㐳户㉣㐵捤慥慣㜸㠳挸㡡扥扥㡥昳㜴㠶㝦㑤搱㐹㥢㤴挸攴昶捣捡㡣戳㜸㡢愸攸㠶愴㔰挹㜰つ㌵㈵㄰㈹㡦㙤㜷㐵㑣て㈲收㌶㙣㥣㝥㤰㘰㤲攰㄰㐰攱搷㤰㌴摢摤㜸㠶挳晡搷改搲慥㔴㜲㈵愲㐱戹〸㕦散㉡慣づ昳㌵敦㈲戸ㄳ愰捤晣愱〳㌲㠳㄰ㄵ捡ㄳ㠴愸挲ㄸ收㔹㑢㕥㈴つ散㌱ㄱ㔸㥡㘹昸㠱㙢㌳戲㌴㘴捥扡愷摣㘰搶昲搷㄰㠹ㅡ㌵愳捣晤慢搲〱㜵㜹戰㝤摡捡摣戵㌵㔹搳捤㈵户〱搱㜶㘲㜶㈷ㅣ捣戱ㅤ戰㈵搵搹㕣ㄳ㐸扤㥤㡦㌱㠴挰㑥㉢㝦㉢扤戱摢昲㝥昳搰㌷摣摡搱㘵㉢愸换〱㌳㘴㍡收㑢㈶㜶ㄱ㤱㠳㕡扦戹扣敡㐹㌹㍢㘴捥㜹㔶慤㙥㌹㤲挸㠰㡤挹㘰摤扣㍣㡦㈸挱愲换ㄸ愰敢っ㤹换㥥攱昸㙢〶〳㡡ㅢ㝢㔳㑦㉡㉣㔲㌰愷㉤挷挷㙢ㄴㄶ㤹ㅦ㌶㤷㔶摤㡢㠸搸㌶㙣㘷捥㔸昳㜷〴㔶㐸昴㘱㔲愸ㄱ㥡搰㌴㔱搲㑡扤攲㠷〷昲㕣㡥扣㤷㈷㔰戸捡ㄵ攸㌳捦搰摥戴敢愳ㄸつ敤㜴捥㘹㄰搱愳㘶㘱㕦愶ㄴ㈶愷敡㜷戳捦扢〱敥㥤㍢㜳愲ㄵ㤹㝢㔵㌱敢〲扤晣ㄹ㌲㕥㤱㐵㌳㄰㐲ㅦ摤㥥㤰㔴㔸㐶捡〱〷〲攳㝣㙡㈷扦戲愹摡㤰晡昶戴戲挷㄰㐹ㅡ㌴攷㡤ㄵ㔹㐷㍣摡㌶㠲㍤攱〳捤㔸摢愸晢㔱摤㡣㙢摢〶㐹㡢㘴戹㔴㌵㐸挱㔳㡤挰㍤㘹㌹扡〹愰攸㉦㉡㌲㉥愱挸戸愴㡡〶捤搳っつ慡㍣挷㜲捦ㅢ㥥ㄵ慣摡㔶戵挴〷㠶敦㜶〴㑤㠲挹㈹㜹攳ㄴ换㡣戱㌶㙢晥っ㑣㌶㝦〲攸㥥㠰ㅣ攵搶ㄱ晤愰㕣㑤ㄴ昱㑦昴攸㔸㠲㠰㔱㥥㔲晤扤ㄸ慤愰㙥㐷㐰攴愸㜴㌹扥㠳㜱昹㔱㤴㠴㐲㠸㔸捦㈰ㄱ㜸〵ㄳ㐲㥥㉥敥愲㜹挶戱〲㘰㡦ㄸ㍢㘶〵戳㍥㔰づ㠰慣㍡摥㕥慢戰㥡攸㌴摥搴ち㌷㜶㔶愵搴挴つ㥤昵㐹扤昱搶㑤慡㐳㡤㤲㔰㈴㕢㌵㔲㥡㘵㤳㌹敥㈴㔵㈳㤴攲㡥戵㡤挸㜲㥢戶昶㥤㔲攴㔵㈸㈶㐵㌳㌹晤㝤㡡㔰㄰攸㡤㜴ㄴ㝤昶搹攴㤱㠸搸搰〶㈸㔳㑦㠵㘵㐳㔱㐸昰〴慥㥤搴㘴㌹㝡〲㝦敦㠹戲ぢ㡤㈰㔵㘳㕣ㅡ㡤㙡愶敡昵〵〷㔶㐲搵昰㙡㍢㠴愵戱戶㔰挳㈸敥散㔵晢㠷摢㥢㘰挴㠸つㄹㄶ挹昰〳㠳つ挱㕣㠹㠸㉡慤戳㈱㙥㜵戳戸挴愷㤳搲㜰ㄴ〶㤶㠲摡慣㕣㔷㘶㔸换㤲ㅦ㔵ㅤ㥡愷㐵㈵㐷㜵㜳㙡挵㠷㑡て㈸挷愳㥣㘲㜰摤㍣㑤户ㄴ㉥㌱㐰散㐶戹挵㙡㠰搰㙥㜳〰㥥っ㜶づ㜶戰㈳㘱攸㠴搶ㄹ㈵㘸㌱㠳㜰搳㡢㈰敦昴㠸㔱〸㔲㔳愵扦ㅦㄵ㕦㜹㠶改㍢㐷㜳㜱㈶㘲㈲㠶扢㌲慣〷㈰㌷ㄹ㤹㈴ㄷ㡤挶〱昳㔰戲㈹愱㌵ㄸ㤷搱挴ㄸ愲挹攷〵戸挵挳㔸搶㌰搹愶㡥㝢㙥㠱〵㙤㕡摦搸㘳㥥㜰慡昵㐶㑤㉡㔵ㅣ换㙡愵㤱㜷〴扥搴ㄵ挰㤰㥢㌲昶㈵摡㤴ㄳ㌸㑡㜱挹㐴㔲敦㜶户㝥ㄴ摤㤵㤰挳ㄸ愱敡㘳〰㌲挳㉤愷〲㘲ㅤ昷ㄴ㘸ㅦ敥㙤㕤㘰㔰㤷攷㈰搲㍡㡡㈸换收㜱ㅦ慦ㄹ㐵㔶摣㤶㘸㌶敦捥扢戴搹ㄳ㐵挷慤戰㘸㐷攰〸敢っ〵㕥戱〸㘳愴㐷敥攰㈰戹换㔱㜴昷昲愳敡㌱㜷ㄹ愸㔰ㄸ㄰㡣昱昲ㄴ㤴挳慥㠲㤱㘸㜰㙢㉤慢㕢㌰晡㑢换㕢㥦〲㄰っ〳搳愰㐵换搰挰㤹㐱㝥㙢〳攷㐶戴捡㠸㤰㈶㠳愹㡣㔱㡥挲㘱て愴㠱㥢㜸㤰㕥㜶愱㠴㠲㝤敡㘲㔸㝣㌷㜱摣挶ㄱ挸昵慥㙡㉢㕣㌴〲㕣㝦㜱昶户ㄵ㑦搵㙡㌴㜷攱㥦摢ㄱ㔸挵搵㡤搰ㅣ摤搷㜶㈹㑢慤㠹昶摤㑤㙤ㄵ搱㘵挱㐳戳ㄳ挷㡤愰扡扡ㄴ㙣㠴ㄷ户㝡㈵㠹挲捦攱㡦搸昴敤戴㤹昳づ㉦愲慥㜳敦换ㄷㅣ昷愲愳收㔵昰㜹敢てㄴ㠲㉢㤴晤㥣㘴㌹昷㙦晣㔳㐹换ㄵ㝥㠶ㄱ户㌳㙤づ搰㜲㤰㜰ㅣ㤵㐲㘹㌰㠶㝣〶㥤挰㜶㙦摥ㅡ㈰㥤散㙢愳ㄳ㈵〸㜶〹挵㌹晦㥡ㄱ㡡昸㈹搰㑡㘲〹㡦攴搸昳㙦㠳昵挵㑦㔰㐲㠴攳㌹ㄲ㈳㠵㌷㈳㤷㠱㍡㈵挸愳㉢ㅥ扣㄰昲晦㠳愵㤸㥢㌷㘵愷晦〲㌳㡢ㅦ户愳攸〶愲攸㐷ㅤ㈸ㄲ扣〶愲昸昷㕥㘴攲㔴㘰㜸昶ㄵ〵挲戹愶摤〳攸敢㝥攱昷㝦㜸〰㥤㡦㠸㐳搹㘸〸戵摤㡣攷愶㠹搰搷㘱㈲㌰㜸慦㑣㠴㤳挸〸㐶昱㐳ㄳ㈱昲㠱㉣愰㘰㙢ㄳ㠱戱扤っ㐳㌰ㄱ㙡㑤戸㌵㜸〲扢捡愶㝦散㌸㉥摥㑡ㅦ昱㝣㈸㉤㝦〶ㅥ愹慢㍢㡢ㄷつ捦戰昷慢昲㌹㑦㐲㤹㜹换戸挹慤扡戰挷戵㥢搶愸㑥㥢昸㉡㘲㉦晢慥㍦㘵㝢昷搷㠱愹㌰㠵敥㝢㔱ㄲ挵㔷攱㈹ㄱ㍣㌷攴㍥扡敦扢㜳㝦㝣昸昱愳扣慤ㄶ搱㙡攱㔶攴㝢〹搹搳㥥㐰㔰㌷㜱㔱攴㑡㝥㤸㜳ㄲ㥦㈸㔹㙢㜵㌹㙤㜸捡ち昲㜵㍢捥㠶㠴㤷㈰捣㤰昸㜶㠲㠹㠹㝢て愱㠹㌹搱收敥㔴ㅦ㌶㈹ㄷ攱㐴㘲攲捡愷ㄷ㠷つ㐵㔷㐵搶愳戵㔹昸㍥㔴搱㉢㥣㐸摡㑡攴愹㤳㐹㠸敦戵敢扡挳搴㜵攱㐱㠶㘱晦㔸㑡㈱晥㐰ち㐹ㅥ㘴㜸㈱㐰㐹愹搳挸ㄴ㙥〳挸㠸慣戵㠷㜸改て搸ㄵ〲戲㜹改慦挷㡦㔸戰㡢挰㘲散㡢敦昵㐴㑢㕢㌴㔶㑤っ搵㉡㥢㘶〹ㄹ㜵㜸㘱挱㘴㕣㥡戲㜴づ愱㜴摢敥㈸扥㘴挸づ〳㙦㈱㘳ㄷ㙣晡摡捡昶㍤㑥〳㌷㍦愰㘷㡡㑡㘱㌸㝢㔹㡣〳愹㡡搱㠵㑤换㘱ㄱ攱㜰㤸㙤㜶ㅡ㠸慡愰戳㥣晤㌸㤵㈲昸挷㉦㠵㔸㍦摥ㅡ晡捡昶ㅡ敡㌸愷ㅦぢ攴て昶搷つㄹ㡣㡤户㤲㘳㈰㘱户搵慡ㄴ㕥て㍦㠳㉥㕣㜴㑥攸慤慣㝡ㄶ㠷昱㈷收慣㍥慤㐳晦㌳㝡慤㌸敢㉣㝢㌳㡣㥤搲晦ㅦ㐴挱㤶晡㕦㌰昶愶㄰昹愱㈸挳㠷〲攳㈷㕢㠶㙣戸㈳昰㙣㈳㜸愳づ挶扡捡㌲攴ㅤ收㤶昰昱㙡㔸慤㈴㌸晣㕥昹昶慢ㄱ捤扥戴㙤〷扡ち㐰挶㠶ち摦㠶〸敡摡㍦㉤户攲搳㙤昱〱㜴摣㜷搲慡㝡慥敦㥡挱搸ㄲ㠲扥㘳晣昶捣㠴捤㌳㈵扥搵㉥搴㙥挲㑥っ㝥〴㝤㑥㉤㐰㘰㥦㤲挱㙢ㄵ㡢㘴㘴㘱㝢㤱っ㝥㠷㌴㤲〸㉦㔱㍢昸㔷㤸昷㌵㡣㍡㍥㕤㕤㠰慦㌳㘰搱㡥㔰㜶愱挷戹晤㠶〶户づ㜷戴㍥〰㝦㤰慣㑦㈰㌸愶㤶昰挰㐷戸慦敤㝢㤰㙥ㅢ慤捤㘷换摥㝣㙥攵挲㜳挰改昶摥㤲㈶ㄹ扥㤳㕦㈴㤷昵ち㈱㉥敤ㅦ挵摦敤㍢㘸㌹摡㈸攸㍣晡愰㥢㡥戰昱㍡摣㘷摢㠸㝥㥦㐳㔷㌱㐵㠰㥦㙥㐴ㄹ㍥〸㝡昹挸㡡攲敢㔸ㄶㄹ〰昹㕣戱ち搰㥤慡㥦摤㡣慡㐷㘲㠱㉣㜸挶㈰㌹㤶挵㔷搱㤰摢ㄵ㉥ㅢ㉣挱㘵ぢ㜵㤶㐰㕥㡦㝢㈰㥦ㄳ㍣㑢愸㠹㝣ㄹㅤ㥡ㄳ戱㔰摡㝤㈲㕦摡㙣㈲㠲㔶㠰㕡㘸㜲晣㤱㔸㡢攸㜵㔴敢㌶㠱㐳攰〲っ㔳㉣㔲搶ㄴ挳搰挲㑦㠸ㄹ愴摦㐴㝦㕦㍡晡敢ㄷ㤹晥㜶㔴㈸㐱㠸慡昴攴㈹〸搵攴㍦㤷㥣扣㠷搲敥㤳㝦㙡戳挹㡦㔰㐶㜲㈶㝡〰㌰搴㈷㉡昸愳ㄶ搳㐰㠶晢挸㥦㌸㐷㠰㕦㙡ㄶ㈳〶㑡㔴摦㡢挸愰㉦㌷㕣戵扡㠴㑣摣户挰昵㘷㝣摣愳散㈳㕥㠴愴㉦愷ㄸ㍡㘳㡢愱㔶㉣搹㤱ㄷ㜶㐷挸〶㉣㠹㕦换㜶ㄵ改挵ㅥ㈳晣攲㤳㌱㘲㡥ㅦ㡦扦㥣搲愲㤸ㄳ〸㈳戴㐸㐹㍦摣㐸昱㠹戸昱て㝥搸㜲㤹愲〲〹搴ㄳ㌶㈶㥤愹挶㑦挴㡤て攱慢㉣搵㈶挷ㅢ〴㑣㉦挵㡤㐹㡦慡昱攳㜱攳扦ㅥ摡摦㙣ㅣ搳㘱㌸㜲㠱㐴㤲㘱敢㉡敢㍦昱㠵昶㌰㥡ㄷ㑣敡捦〱㌳㉣愶攴㔴愱攳扡搲愰㠳戸っ攲攱ㅢ改㜹摣㙤挲ㄵ㄰〸搹昰㝦㤵㜰〲㜷㥥㘶㡤挰挰㈷搰敢〸㌶㝢扡㝡㘲攷愲戹攰愱愰摦㍣攱攳㑣㔵摢㔱㈴〲㜳㈰ㅦ敥敦ㄶ㑥昹っ搳戱戵ㅦ㜱㤰㑣攳ㅤ㤲摥㤴㠷ち慣攴挵挷㘲捣收ㅥ㙢搱㡣晥㈸㤰〳改〸挸㡣晥ㄸ㘰ㄸ㠸攱㙤攵摣〸昹㕦㌱昷挷㔸昱㜱㠲挷〱捡㠲捣㑥㍡㈸㍥〱㌰ㅣ晦㡦㉡挶搶㤵扦㐴ㄳて挷㉦㑢㤲㤱晥㐹㜶昸ㄴ㐰ㅦ摣户㈲㈲挲戲晥㘹㤴㈴㕦㑡挱愱㕥晡ㄹ㔶㍣㐹昰ㄴ㐰戹挰挹㙥㝢搷戸愶ㅥ㌵搷㘷搱㔵㍣㐶㠰㥦晥戹㈸挳㠷〲昷攱㍤摤㙤㘵ㅥ㠵攳て晢ㄱ敡㑣㝤挱㝦て扥挸摦攰愲晢昰㍦㈴㈹㈸挳㍥慦扤扢户戱挸〴戴挹搵㙦つ㥢晤㉡挶攱扡㕡ㄱㄴ㡥㐸愵㔲搲㡡㠲昸收㠲㠵㡢㌷昰㉤㐷㔴㠵㄰愴〱㔵攱㐴ㄵ㐷㔱愰㝦㥥㑤㠹㘳攲㐹晦〲㥦㠸㕡戵㠹㕦㡣㌲㝣㄰挴慢敡晥㘰搴㍤㝥㈱㜱慤㉡慣戶ㄷㄲ晦慡㘲㌵昹挲㘷㌸㤸㐲ㄶ㌲㘹慤㐴愴㈹ㅡ晡㉡㌲㐳㝤挳㥣摢晤昸㘹㤷㐴昵㕣敤摣戹㝦づ攷挷慥捤㝦昰晤㠳捦扣昴慢㤷㥦晥敤㠷㡦晣攵㕦捦㍥晢摢㍦㍤晤攲扦㝥扥㜲攴㠵攷㥥晢挵扤摦㜸昱攵扤收㌷戵ㅦ晥㜳晥㥢㡦㑣㕥㜸攴㈱昳捣慤㜳㡦㝣攸挱晢㈶ㄷ慦ㄸ敦敢敢敦扦㘵昴㤷搷扣㝤攴戱㠷㝥㉣㥥晦晤搵㡥㔰换挵ぢ搲搳攰戲搵㌴扥㠶っ愶挱ㄹ扦慥搳攰㜲搵㐶慤㐴ㅢ㌵㡤㠲ㄲ㝣ㅡ㥣㠰慡㌰搲ㄵ〳晦〱㍦ㄹ戳㌳</t>
  </si>
  <si>
    <t>Decisioneering:7.0.0.0</t>
  </si>
  <si>
    <t>Freshwater Fish</t>
  </si>
  <si>
    <t>Demersal Fish</t>
  </si>
  <si>
    <t>Pelagic Fish</t>
  </si>
  <si>
    <t>Crustaceans</t>
  </si>
  <si>
    <t>Cephalopods</t>
  </si>
  <si>
    <t>Molluscs, Other</t>
  </si>
  <si>
    <t>Decisioneering:7.3.0.0</t>
  </si>
  <si>
    <t>CB_Block_7.0.0.0:2</t>
  </si>
  <si>
    <t>CB_Block_7.3.0.0:1</t>
  </si>
  <si>
    <t>Fish, Seafood</t>
  </si>
  <si>
    <t>Treenuts</t>
  </si>
  <si>
    <t>Spain</t>
  </si>
  <si>
    <t>initials</t>
  </si>
  <si>
    <t>Title</t>
  </si>
  <si>
    <t>Production subsystem</t>
  </si>
  <si>
    <t>Greenhouse</t>
  </si>
  <si>
    <t>Capital goods production (e.g., buildings, machinery)</t>
  </si>
  <si>
    <t>Inputs production (e.g., fuel, fertilizers)</t>
  </si>
  <si>
    <t>Land use change (deforestation)</t>
  </si>
  <si>
    <t>Sequestration in crop biomass</t>
  </si>
  <si>
    <t>Changes in soil organic carbon</t>
  </si>
  <si>
    <t>Post-farm</t>
  </si>
  <si>
    <t>GWP</t>
  </si>
  <si>
    <t>FU (value)</t>
  </si>
  <si>
    <t>FU (unit)</t>
  </si>
  <si>
    <t>CO2e (value)</t>
  </si>
  <si>
    <t>CO2e (unit)</t>
  </si>
  <si>
    <t>Conversion factor (value)</t>
  </si>
  <si>
    <t>Conversion factor (unit)</t>
  </si>
  <si>
    <t>Notes</t>
  </si>
  <si>
    <t>Notes2</t>
  </si>
  <si>
    <t>Notes3</t>
  </si>
  <si>
    <t>Notes4</t>
  </si>
  <si>
    <t>AS / BK</t>
  </si>
  <si>
    <t>Greenhouse gas emissions from conventional and organic cropping systems in Spain. II. Fruit tree orchards</t>
  </si>
  <si>
    <t>organic</t>
  </si>
  <si>
    <t>no</t>
  </si>
  <si>
    <t>yes - separate, see http://bit.ly/2bmWyMm</t>
  </si>
  <si>
    <t>yes - see http://bit.ly/2bmWyMm</t>
  </si>
  <si>
    <t>yes - separate</t>
  </si>
  <si>
    <t>kg</t>
  </si>
  <si>
    <t>g</t>
  </si>
  <si>
    <t>kg/g</t>
  </si>
  <si>
    <t>yes</t>
  </si>
  <si>
    <t>excludes SOC, minus coproduct; see separate excel file</t>
  </si>
  <si>
    <t>conventional</t>
  </si>
  <si>
    <t>CS</t>
  </si>
  <si>
    <t>Life cycle analysis reveals higher agroecological benefits of organic and low-input apple production</t>
  </si>
  <si>
    <t>France</t>
  </si>
  <si>
    <t xml:space="preserve">organic </t>
  </si>
  <si>
    <t>yes - machinery and sheds</t>
  </si>
  <si>
    <t>low-input</t>
  </si>
  <si>
    <t>Life cycle assessment based evaluation of regional impacts from agricultural production at the Peruvian coast</t>
  </si>
  <si>
    <t>apple</t>
  </si>
  <si>
    <t>Peru</t>
  </si>
  <si>
    <t>yes - separate (see table 2)</t>
  </si>
  <si>
    <t>excludes SOC (see separate excel file)</t>
  </si>
  <si>
    <t>AS</t>
  </si>
  <si>
    <t>Cerutti 2013</t>
  </si>
  <si>
    <t>Environmental sustainability of traditional foods: the case of ancient apple cultivars in Northern Italy assessed by multifunctional LCA</t>
  </si>
  <si>
    <t>doesn't say</t>
  </si>
  <si>
    <t>t</t>
  </si>
  <si>
    <t>tonne/kg</t>
  </si>
  <si>
    <t>Management influence on environmental impacts in an apple production system on Swiss fruit farms: Combining life cycle assessment with statistical risk assessment</t>
  </si>
  <si>
    <t>Switzerland</t>
  </si>
  <si>
    <t>ha</t>
  </si>
  <si>
    <t>ha/t</t>
  </si>
  <si>
    <t>see table 3. Min/max is also provided.</t>
  </si>
  <si>
    <t>Venkat 2012</t>
  </si>
  <si>
    <t>Comparison of Twelve Organic and Conventional Farming Systems: A Life Cycle Greenhouse Gas Emissions Perspective</t>
  </si>
  <si>
    <t>apples</t>
  </si>
  <si>
    <t xml:space="preserve">US (California) </t>
  </si>
  <si>
    <t xml:space="preserve">conventional </t>
  </si>
  <si>
    <t>no (transitional only)</t>
  </si>
  <si>
    <t>average of two scenarios (see Table 5, separate excel file)</t>
  </si>
  <si>
    <t>"The baseline analysis of both conventional and organic farming systems ...assumes ...SOC is at ...equilibrium"</t>
  </si>
  <si>
    <t>Farm and product carbon footprints of China’s fruit production—life cycle inventory of representative orchards of five major fruits</t>
  </si>
  <si>
    <t>China</t>
  </si>
  <si>
    <t>yes? cover-bags production (see Fig. 1)</t>
  </si>
  <si>
    <t>SD .04</t>
  </si>
  <si>
    <t xml:space="preserve">pre-farm: included production of paper and plastic bags for covering fruit (not sure if this should be classfied as capital good?) </t>
  </si>
  <si>
    <t>Carbon footprint of premium quality export bananas: Case study in Ecuador, the world's largest exporter</t>
  </si>
  <si>
    <t>banana</t>
  </si>
  <si>
    <t xml:space="preserve">Ecuador </t>
  </si>
  <si>
    <t>unclear</t>
  </si>
  <si>
    <t>no (see note)</t>
  </si>
  <si>
    <t xml:space="preserve">doesn't say </t>
  </si>
  <si>
    <t>includes on-farm activities and post-harvest handling, excludes post-farm (see separate excel file)</t>
  </si>
  <si>
    <t>LUC: "IPCC guideline states that lands unchanged for 20 years do not need to be reported ... In accordance with this guideline, CO2 emissions from LUC were not considered because the studied plantations are cultivated on agricultural land, which has been used for banana plants for longer than 20 years."</t>
  </si>
  <si>
    <t>SD .03</t>
  </si>
  <si>
    <t>Greenhouse gas emissions from conventional and organic cropping systems in Spain. I. Herbaceous crops</t>
  </si>
  <si>
    <t>yes - separate, machinery only</t>
  </si>
  <si>
    <t>Foods were aggregated into larger categoires (rainfed legumes, rice, open-air vegetables, and greenhouse vegetables). The open-air vegetables category contained potatoes (which is technically its own FAO cateogry) but we decided to let this slide because the dominance of all of the other veggies in this group</t>
  </si>
  <si>
    <t>Eady 2012</t>
  </si>
  <si>
    <t>Life cycle assessment modelling of complex agricultural systems with multiple food and fibre co-products</t>
  </si>
  <si>
    <t>barley</t>
  </si>
  <si>
    <t>Australia (W)</t>
  </si>
  <si>
    <t>unclear (see fig 1)</t>
  </si>
  <si>
    <t>no?</t>
  </si>
  <si>
    <t>tonne</t>
  </si>
  <si>
    <t>tonnes / kg</t>
  </si>
  <si>
    <t>"The carbon footprint results of this case study relate to the mixed farming enterprise studied and care should be taken in extrapolating to other systems." The study is based on one farm.</t>
  </si>
  <si>
    <t>"A comparison was made of the carbon footprint of all farm products with and without inclusion of the benefits imparted by their combination in the mixed farming system. This was done by taking a consequential approach to modelling the synergies between farm activities and translating the benefits into avoided products."</t>
  </si>
  <si>
    <t>The environmental impact assessment of wheat and barley production by using life cycle assessment (LCA) methodology</t>
  </si>
  <si>
    <t>Iran</t>
  </si>
  <si>
    <t>N1</t>
  </si>
  <si>
    <t>Used graph grabber, took average of all five N scenarios (see separate excel file)</t>
  </si>
  <si>
    <t>"...For barley, the total area of cultivated land in Iran is about 1.7 (Mha) in which 43.2 % of it is irrigated and 56.8 % is under rainfed system (Anonymous 2009)"</t>
  </si>
  <si>
    <t>N2</t>
  </si>
  <si>
    <t>N3</t>
  </si>
  <si>
    <t>N4</t>
  </si>
  <si>
    <t>N5</t>
  </si>
  <si>
    <t>Product carbon footprint of rye bread</t>
  </si>
  <si>
    <t>spring barley</t>
  </si>
  <si>
    <t>Denmark</t>
  </si>
  <si>
    <t>no (see 3.3)</t>
  </si>
  <si>
    <t>yes - during processing only</t>
  </si>
  <si>
    <t xml:space="preserve">kg/g CO2e </t>
  </si>
  <si>
    <t>includes agriculture stage only (see table 6)</t>
  </si>
  <si>
    <t>Effects of regional variation in climate and SOC decay on global warming potential and eutrophication attributable to cereal production in Norway</t>
  </si>
  <si>
    <t>Norway</t>
  </si>
  <si>
    <t>central</t>
  </si>
  <si>
    <t>yes - separate, both N2O and CO2</t>
  </si>
  <si>
    <t>excludes CO2 SOC, includes N2O SOC; see separate excel file</t>
  </si>
  <si>
    <t>central SE</t>
  </si>
  <si>
    <t>SE</t>
  </si>
  <si>
    <t>Including the costs of water and greenhouse gas emissions in a reassessment of the profitability of irrigation</t>
  </si>
  <si>
    <t>dryland (no irrigation)</t>
  </si>
  <si>
    <t>100*</t>
  </si>
  <si>
    <t>t/kg</t>
  </si>
  <si>
    <t>*GWP is assumed to be 100 based on GWP of N2O = 298</t>
  </si>
  <si>
    <t>Roughly 50% of australian ag land is irrigated: http://www.tradingeconomics.com/australia/agricultural-irrigated-land-percent-of-total-agricultural-land-wb-data.html</t>
  </si>
  <si>
    <t>irrigated</t>
  </si>
  <si>
    <t>Greenhouse gas emissions from oats, barley, wheat and rye production</t>
  </si>
  <si>
    <t xml:space="preserve">Finland </t>
  </si>
  <si>
    <t>direct drilling</t>
  </si>
  <si>
    <t>yes - see notes</t>
  </si>
  <si>
    <t>see table 2; table has a typo - should say emissions per kg, not per ha</t>
  </si>
  <si>
    <t xml:space="preserve">pre-farm inputs: only includes GHGs associated with fuels from machinery and the "production and use of fertilizers and seeds" (see methods) </t>
  </si>
  <si>
    <t xml:space="preserve">reduced tillage </t>
  </si>
  <si>
    <t>The influence of system boundaries on life cycle assessment of grain production in central southeast Norway</t>
  </si>
  <si>
    <t>yes - possible to separate (table 2)</t>
  </si>
  <si>
    <t>excludes SOC (humus mineralization); see table 2</t>
  </si>
  <si>
    <t>Life cycle assessment of bean production in the Prespa National Park, Greece</t>
  </si>
  <si>
    <t>Greece</t>
  </si>
  <si>
    <t>no? 3.1.2 not consistent w/fig 1</t>
  </si>
  <si>
    <t>avocados</t>
  </si>
  <si>
    <t>peach</t>
  </si>
  <si>
    <t>strawberries</t>
  </si>
  <si>
    <t>CS / BK</t>
  </si>
  <si>
    <t>Graefe 2012</t>
  </si>
  <si>
    <t>Resource use and GHG emissions of eight tropical fruit species cultivated in Colombia</t>
  </si>
  <si>
    <t>Colombia</t>
  </si>
  <si>
    <t>intensive</t>
  </si>
  <si>
    <t>values taken from figure 1b using Graph Grabber</t>
  </si>
  <si>
    <t>golden berry</t>
  </si>
  <si>
    <t>mango</t>
  </si>
  <si>
    <t>passion fruit</t>
  </si>
  <si>
    <t>Evaluating the global warming potential of the fresh produce supply chain for strawberries, romaine/cos lettuces (Lactuca sativa), and button mushrooms (Agaricus bisporus) in Western Australia using life cycle assessment (LCA)</t>
  </si>
  <si>
    <t>Australia</t>
  </si>
  <si>
    <t>includes pre-farm and on-farm activities only</t>
  </si>
  <si>
    <t>The equivalent of...were emitted due to the production of 1 kJ equivalent of strawberries (0.746 g), mushrooms (1.090 g), and lettuces (1.380 g) respectively.</t>
  </si>
  <si>
    <t>Environmental impact assessment of open field and greenhouse strawberry production</t>
  </si>
  <si>
    <t>conventional (open-field)</t>
  </si>
  <si>
    <t>greenhouse</t>
  </si>
  <si>
    <t>yes - unheated</t>
  </si>
  <si>
    <t>Life Cycle Assessment of fossil energy use and greenhouse gas emissions in Chinese pear production</t>
  </si>
  <si>
    <t>pear</t>
  </si>
  <si>
    <t>Liaoning</t>
  </si>
  <si>
    <t>excludes post-farm</t>
  </si>
  <si>
    <t>Beijing</t>
  </si>
  <si>
    <t>Eco-efficiency as a sustainability measure for kiwifruit production in New Zealand</t>
  </si>
  <si>
    <t>kiwifruit</t>
  </si>
  <si>
    <t>New Zealand</t>
  </si>
  <si>
    <t>includes both green and gold cultivar - assigned weight of 0.5</t>
  </si>
  <si>
    <t xml:space="preserve">The largest population of kiwifruit worldwide is the .. green-fleshed fruit. In New Zealand, 9336 ha of [green fruit] is under integrated management, and 576 ha grown according to BIO-GRO organic standards. For ... gold-fleshed fruit, the areas total 2590 ha </t>
  </si>
  <si>
    <t>gold cultivar</t>
  </si>
  <si>
    <t>green cultivar</t>
  </si>
  <si>
    <t xml:space="preserve">blueberries </t>
  </si>
  <si>
    <t>unclear (woody plants only)</t>
  </si>
  <si>
    <t>see Table 5, separate excel file</t>
  </si>
  <si>
    <t>no (woody plants only)</t>
  </si>
  <si>
    <t>SD .07</t>
  </si>
  <si>
    <t>SD .01</t>
  </si>
  <si>
    <t xml:space="preserve">raisin grapes </t>
  </si>
  <si>
    <t>BK</t>
  </si>
  <si>
    <t>Quantification of greenhouse gas emissions for carbon neutral farming in the Southeastern USA</t>
  </si>
  <si>
    <t>US</t>
  </si>
  <si>
    <t>strip-till/irrigated</t>
  </si>
  <si>
    <t>livestock and forestry handled separately (see Fig 1)</t>
  </si>
  <si>
    <t>conventional till/irrigated</t>
  </si>
  <si>
    <t>strip-till/non-irrigated</t>
  </si>
  <si>
    <t>conventional till/non-irrigated</t>
  </si>
  <si>
    <t>Carbon footprint of honey produced in Argentina</t>
  </si>
  <si>
    <t>honey</t>
  </si>
  <si>
    <t>Argentina</t>
  </si>
  <si>
    <t>n/a</t>
  </si>
  <si>
    <t>includes hive management and extraction; excludes freight. see separate excel file; results from graph grabber, figure 7</t>
  </si>
  <si>
    <t>Energy and greenhouse-gas emissions in irrigated agriculture of SE (southeast) Spain. Effects of alternative water supply scenarios</t>
  </si>
  <si>
    <t>lemon</t>
  </si>
  <si>
    <t>commercial</t>
  </si>
  <si>
    <t>see table 9</t>
  </si>
  <si>
    <t>studies also report hypothetical scenarios where freshwater availability declines - excluded</t>
  </si>
  <si>
    <t>Sustainability evaluation of Sicily's lemon and orange production: Anenergy, economic and environmental analysis</t>
  </si>
  <si>
    <t>High-yield maize with large net energy yield and small global warming intensity</t>
  </si>
  <si>
    <t>maize</t>
  </si>
  <si>
    <t>pivot irrigation, S-M, CT</t>
  </si>
  <si>
    <t>Mg (same as mt)</t>
  </si>
  <si>
    <t>tonnes/kg</t>
  </si>
  <si>
    <t>see Fig 4, separate excel file (from graph grabber)</t>
  </si>
  <si>
    <t>see table s1 for results from other studies (this study produced much lower results)</t>
  </si>
  <si>
    <t>pivot irrigation, S-M, RT</t>
  </si>
  <si>
    <t>pivot irrigation, M-M, CT</t>
  </si>
  <si>
    <t>pivot irrigation, M-M, RT</t>
  </si>
  <si>
    <t>surface irrigation, S-M, CT</t>
  </si>
  <si>
    <t>surface irrigation, S-M, RT</t>
  </si>
  <si>
    <t>surface irrigation, M-M, CT</t>
  </si>
  <si>
    <t>surface irrigation, M-M, RT</t>
  </si>
  <si>
    <t>hard maize</t>
  </si>
  <si>
    <t>van der Werf 2004</t>
  </si>
  <si>
    <t>Life Cycle Analysis of field production of fibre hemp, the effect of production practices on environmental impacts</t>
  </si>
  <si>
    <t>conventional (doesn't specify)</t>
  </si>
  <si>
    <t xml:space="preserve">yes - machinery </t>
  </si>
  <si>
    <t>ha/kg</t>
  </si>
  <si>
    <t>scope: "only the processes up to (and including) the harvest, the transport to the farm, and the on-farm drying of the harvested product (the latter applying only for maize) were considered"</t>
  </si>
  <si>
    <t>Life cycle assessment of the winter wheat-summer maize production system on the North China Plain</t>
  </si>
  <si>
    <t>Life cycle assessment of wheat-maize rotation system emphasizing high crop yield and high resource use efficiency in Quzhou County</t>
  </si>
  <si>
    <t xml:space="preserve">double high (see notes) </t>
  </si>
  <si>
    <t xml:space="preserve">"the components of a double high crop system comprise (1) significantly increased grain-yield through high yield crop management, i.e. an optimal cropping system design and management well adapted to climate systems; (2) greatly increased nutrient-use efficiency through root/rhizo-sphere management to optimize the nutrient supply intensity and composition in the root zone to maximize root/rhizosphere efficiency; </t>
  </si>
  <si>
    <t xml:space="preserve">...(3) improved soil quality to ensure long-term food security by managing soil organic matter and eliminating soil physical, chemical, and biological contrains and (4) enhanced agricultural sustainability through resource and environment management by increasing resource use efficiency, reducing nutrient losses and GHG emissions, and minimizing negative ecological footprints" </t>
  </si>
  <si>
    <t>CS/AS</t>
  </si>
  <si>
    <t>Carbon footprint of grain crop production in China - Based on farm survey data</t>
  </si>
  <si>
    <t>semiarid climate region</t>
  </si>
  <si>
    <t>SD.02</t>
  </si>
  <si>
    <t xml:space="preserve">humid climate region </t>
  </si>
  <si>
    <t>almonds</t>
  </si>
  <si>
    <t>walnuts</t>
  </si>
  <si>
    <t>oats</t>
  </si>
  <si>
    <t xml:space="preserve">oats </t>
  </si>
  <si>
    <t>olives</t>
  </si>
  <si>
    <t>Iraldo 2013</t>
  </si>
  <si>
    <t>An application of Life Cycle Assessment (LCA) as a green marketing tool for agricultural products: The case of extra-virgin olive oil in Val di Cornia, Italy</t>
  </si>
  <si>
    <t xml:space="preserve">Italy </t>
  </si>
  <si>
    <t>"average olive production processes ...in the area... sample of seven olive growers, both traditional and organic"</t>
  </si>
  <si>
    <t>kg extra-virgin olive oil</t>
  </si>
  <si>
    <t>kg olive oil / kg olives (see 3.1)</t>
  </si>
  <si>
    <t>Scope: did not include tree breeding/planting stages because the average olive plant in the area was 20 years old</t>
  </si>
  <si>
    <t>Alternative management for olive orchards grown in semi-arid environments: An energy, economic and environmental analysis</t>
  </si>
  <si>
    <t>Italy</t>
  </si>
  <si>
    <t>"sustainable" (irrigated with urban treated wastewater)</t>
  </si>
  <si>
    <t>Environmental impacts of olive oil production: a Life Cycle Assessment case study in the province of Messina (Sicily)</t>
  </si>
  <si>
    <t>conventional mechanized (scenario 1A)</t>
  </si>
  <si>
    <t>yes - separate for conventional only</t>
  </si>
  <si>
    <t>yes - waste stage only</t>
  </si>
  <si>
    <t xml:space="preserve">mt olives* </t>
  </si>
  <si>
    <t>kg?</t>
  </si>
  <si>
    <t>excludes post-farm (see table 5); organic scenarios were excluded because post-farm and avoided emissions cannot be separated</t>
  </si>
  <si>
    <t>*olive oil was not chosen as the FU because there are many types of oils</t>
  </si>
  <si>
    <t>3/4 of world [olive oil] production is in Europe. After Spain, Italy is the second largest olive oil producing country (27% and 20% of European and world production respectively)</t>
  </si>
  <si>
    <t>conventional mechanized (scenario 1B)</t>
  </si>
  <si>
    <t>conventional manual (scenario 3B)</t>
  </si>
  <si>
    <t>conventional manual (scenario 4B)</t>
  </si>
  <si>
    <t>Comparing organic and conventional olive groves relative to energy use and greenhouse gas emissions associated with the cultivation of two varieties</t>
  </si>
  <si>
    <t>low energy input (see notes) - includes conventional and organic</t>
  </si>
  <si>
    <t xml:space="preserve">Production system: group with the lowest energy inputs (25 conventional groves, 12 organic groves); Scope: "the system boundaries started at the production and the application of fertilizers and pesticides, the machinery production, soil preparation, etc., and ended at the removal of the olive fruit production" </t>
  </si>
  <si>
    <t>medium energy input (see notes) - includes conventional and organic</t>
  </si>
  <si>
    <t xml:space="preserve">Production system: intermediate energy inputs (4 conventional groves, 6 organic groves); Scope: "the system boundaries started at the production and the application of fertilizers and pesticides, the machinery production, soil preparation, etc., and ended at the removal of the olive fruit production" </t>
  </si>
  <si>
    <t>high energy input (see notes) - includes conventional and organic</t>
  </si>
  <si>
    <t xml:space="preserve">yes </t>
  </si>
  <si>
    <t xml:space="preserve">Production system: highest energy inputs (33 conventional groves, 8 organic groves); Scope: "the system boundaries started at the production and the application of fertilizers and pesticides, the machinery production, soil preparation, etc., and ended at the removal of the olive fruit production" </t>
  </si>
  <si>
    <t>Life Cycle Assessment of olive oil production in Greece</t>
  </si>
  <si>
    <t xml:space="preserve">conventional (doesn't specify but includes pesticides, herbicides, and fertilizers as inputs) </t>
  </si>
  <si>
    <t>yes - equipment</t>
  </si>
  <si>
    <t>see notes</t>
  </si>
  <si>
    <t xml:space="preserve">was able to exclude all steps aside from production of olives (see Fig 4) </t>
  </si>
  <si>
    <t>An assessment of greenhouse gas emissions from the Australian vegetables industry</t>
  </si>
  <si>
    <t>includes post-harvest cooling, refrigeration, cleaning and packaging; see separate excel file</t>
  </si>
  <si>
    <t>Influence of farming systems on production of greenhouse gas emissions within cultivation of selected crops</t>
  </si>
  <si>
    <t>onions</t>
  </si>
  <si>
    <t>Czech Republic</t>
  </si>
  <si>
    <t>see conclusions and figure 1</t>
  </si>
  <si>
    <t>http://world-food.net/download/journals/2013-issue_3&amp;4/2013-issue_3&amp;4-agriculture/a76.pdf</t>
  </si>
  <si>
    <t>mandarin</t>
  </si>
  <si>
    <t>Environmental assessment of organic orange juice imported to Denmark: a case study on oranges (Citrus sinesis) from Brazil</t>
  </si>
  <si>
    <t>orange</t>
  </si>
  <si>
    <t>Brazil</t>
  </si>
  <si>
    <t>organic, small scale</t>
  </si>
  <si>
    <t>yes - separate (see table 7)</t>
  </si>
  <si>
    <t>yes - manure, organic only</t>
  </si>
  <si>
    <t>mt</t>
  </si>
  <si>
    <t>excludes post-farm and SOC (see table 6), minus coproducts (table 7)</t>
  </si>
  <si>
    <t>"Latin America has 20% of the organically managed farmland in the world and exports most of its products, and Brazil has the world’s third largest organically certified area."</t>
  </si>
  <si>
    <t>organic, large scale</t>
  </si>
  <si>
    <t>conventional, small scale</t>
  </si>
  <si>
    <t>excludes post-farm and SOC (see table 6)</t>
  </si>
  <si>
    <t xml:space="preserve">orange </t>
  </si>
  <si>
    <t>SD .02</t>
  </si>
  <si>
    <t>Choo 2011</t>
  </si>
  <si>
    <t>Determination of GHG contributions by subsystems in the oil palm supply chain using the LCA approach</t>
  </si>
  <si>
    <t xml:space="preserve">palm fruit </t>
  </si>
  <si>
    <t>Palm fruit (no FAO equivalent)</t>
  </si>
  <si>
    <t>Malaysia</t>
  </si>
  <si>
    <t>no - see note</t>
  </si>
  <si>
    <t>mt fresh fruit</t>
  </si>
  <si>
    <t>Malaysia and Indonesia represent 81% of the global supply of [palm] fresh fruit bunches (FFB) in 2005: http://bit.ly/2bAtnXy</t>
  </si>
  <si>
    <t>In this study, no land use change was considered. If tropical forests were converted to oil palm plantations, carbon loss would exceed the carbon sequestration during the life cycle (25 years) of the oil palm. On the other hand, when oil palm plantations replace degraded land, carbon sequestration exceeds carbon loss and the plantation is now a net carbon sink.</t>
  </si>
  <si>
    <t>There was some uncertainy as to whether the emissions for each sub-system include emissions from the preceding subsystems. I think they ARE included, because the emissions for refined oil differ depending on whether crude oil uses biogas capture or not.</t>
  </si>
  <si>
    <t>(tonnes/kg)/extraction rate</t>
  </si>
  <si>
    <t xml:space="preserve">pea </t>
  </si>
  <si>
    <t>pineapple</t>
  </si>
  <si>
    <t>potatoes</t>
  </si>
  <si>
    <t>Prognostication of environmental indices in potato production using artificial neural networks</t>
  </si>
  <si>
    <t>large farm (&gt;3 ha)</t>
  </si>
  <si>
    <t>yes?</t>
  </si>
  <si>
    <t>Table 4 of this 1992 report suggests that vast majority of farm area in Iran is on farms larger than 3 ha: http://www.fao.org/ag/agp/agpc/doc/counprof/iran/iran.htm</t>
  </si>
  <si>
    <t>small farm (&lt;1 ha)</t>
  </si>
  <si>
    <t>medium farm (1-3 ha)</t>
  </si>
  <si>
    <t xml:space="preserve">Energy consumption and CO2 emissions analysis of potato production based on different farm size levels in Iran </t>
  </si>
  <si>
    <t>potato</t>
  </si>
  <si>
    <t>BK/AS</t>
  </si>
  <si>
    <t>Environmental burdens of producing bread wheat, oilseed rape and potatoes in England and Wales using simulation and system modelling</t>
  </si>
  <si>
    <t xml:space="preserve">maincrop </t>
  </si>
  <si>
    <t>no? see 2.6</t>
  </si>
  <si>
    <t>includes post-harvest storage, cooling, and drying</t>
  </si>
  <si>
    <t>table 14 has a typo - compare to table 9 - I think they meant to report "t CO2e" not "kg CO2e"</t>
  </si>
  <si>
    <t xml:space="preserve">first earlies </t>
  </si>
  <si>
    <t xml:space="preserve">maincrop, first earlies, and second earlies refer to different potato cultivars </t>
  </si>
  <si>
    <t xml:space="preserve">second earlies </t>
  </si>
  <si>
    <t>lupins</t>
  </si>
  <si>
    <t>chickpeas</t>
  </si>
  <si>
    <t>rapeseed (canola)</t>
  </si>
  <si>
    <t>Carbon footprint of canola and mustard is a function of the rate of N fertilizer</t>
  </si>
  <si>
    <t>mustard (alba)</t>
  </si>
  <si>
    <t>N0</t>
  </si>
  <si>
    <t>N25</t>
  </si>
  <si>
    <t>N50</t>
  </si>
  <si>
    <t>N100</t>
  </si>
  <si>
    <t>N150</t>
  </si>
  <si>
    <t>N200</t>
  </si>
  <si>
    <t>N250</t>
  </si>
  <si>
    <t>mustard (juncea)</t>
  </si>
  <si>
    <t>rapeseed (juncea canola)</t>
  </si>
  <si>
    <t>rapeseed (rapa canola)</t>
  </si>
  <si>
    <t>rapeseed (napus canola)</t>
  </si>
  <si>
    <t>Environmental life-cycle assessment of rapeseed produced in Central Europe: Addressing alternative fertilization and management practices</t>
  </si>
  <si>
    <t>rapeseed</t>
  </si>
  <si>
    <t>fertilization 1 - see notes</t>
  </si>
  <si>
    <t>ignores changes in SOC; result from graph grabber</t>
  </si>
  <si>
    <t xml:space="preserve">nitrogen requirements besides those provided by the NPK compounds were fulfilled with either calcium ammonium nitrate (scenario 1) or urea (scenario 2)  - see table 2 </t>
  </si>
  <si>
    <t xml:space="preserve">fertilization 2 - see notes </t>
  </si>
  <si>
    <t>ignores changes in SOC; result from article text</t>
  </si>
  <si>
    <t>nitrogen requirements besides those provided by the NPK compounds were fulfilled with either calcium ammonium nitrate (scenario 1) or urea (scenario 2)  - see table 3</t>
  </si>
  <si>
    <t>nitrogen requirements besides those provided by the NPK compounds were fulfilled with either calcium ammonium nitrate (scenario 1) or urea (scenario 2)  - see table 4</t>
  </si>
  <si>
    <t>nitrogen requirements besides those provided by the NPK compounds were fulfilled with either calcium ammonium nitrate (scenario 1) or urea (scenario 2)  - see table 5</t>
  </si>
  <si>
    <t>nitrogen requirements besides those provided by the NPK compounds were fulfilled with either calcium ammonium nitrate (scenario 1) or urea (scenario 2)  - see table 6</t>
  </si>
  <si>
    <t>nitrogen requirements besides those provided by the NPK compounds were fulfilled with either calcium ammonium nitrate (scenario 1) or urea (scenario 2)  - see table 7</t>
  </si>
  <si>
    <t>The use of life-cycle assessment to evaluate the environmental impacts of growing genetically modified, nitrogen use-efficient canola</t>
  </si>
  <si>
    <t>N = 0 kg</t>
  </si>
  <si>
    <t>no (see Fig. 1)</t>
  </si>
  <si>
    <t>see Fig 3, separate excel file; results are from graph grabber but they're slightly higher than those reported in text</t>
  </si>
  <si>
    <t>N = 56 kg</t>
  </si>
  <si>
    <t>N = 112 kg</t>
  </si>
  <si>
    <t>N = 168 kg</t>
  </si>
  <si>
    <t xml:space="preserve">N = 224 kg </t>
  </si>
  <si>
    <t>rapeseed (oilseed rape)</t>
  </si>
  <si>
    <t>rice</t>
  </si>
  <si>
    <t>no - cereals, legumes only</t>
  </si>
  <si>
    <t>Environmental profile of paddy rice cultivation with different straw management</t>
  </si>
  <si>
    <t>conventional - alternative (see notes)</t>
  </si>
  <si>
    <t xml:space="preserve">Alternative Scenario: Straw is collected by bailing and then the bales are sold. Applied amounts of mineral fertlizers are higher because the straw collection increases the removal of nutrients. Also, methane emisisons from soil have been recomputed taking into consideration that the straw is not buried into the soil and therefore less organic matter is decomposed in anaerobic conditions. </t>
  </si>
  <si>
    <t xml:space="preserve">conventional - baseline (see notes) </t>
  </si>
  <si>
    <t>Hokazono 2012</t>
  </si>
  <si>
    <t>Variability in environmental impacts during conversion from conventional to organic farming: a comparison among three rice production systems in Japan</t>
  </si>
  <si>
    <t>rice husked</t>
  </si>
  <si>
    <t>Japan</t>
  </si>
  <si>
    <t xml:space="preserve">"environmentally friendly" </t>
  </si>
  <si>
    <t>no? (see 2.2.7)</t>
  </si>
  <si>
    <t>see table 6 for results of other studies</t>
  </si>
  <si>
    <t>Evaluation of traditional and consolidated rice farms in Guilan Province, Iran, using life cycle assessment and fuzzy modeling</t>
  </si>
  <si>
    <t>consolidated rice farms (farms integrated to increase mechanization index)</t>
  </si>
  <si>
    <t>"...more than 60% of the total rice production occurs ... where the average rice-farm size is less than 0.6 ha and has been decreasing ... Rice farmers in this region typically cultivate traditional (local) varieties that have relatively low yields despite the large inputs of energy employed during the cultivation season."</t>
  </si>
  <si>
    <t>traditional rice farms (small farms with lower mechanization index)</t>
  </si>
  <si>
    <t>Life cycle assessment of a rice production system in Taihu region, China</t>
  </si>
  <si>
    <t xml:space="preserve">"the rice production system in this study was divided into three subsystems: raw material extraction and transportation, agrochemical production and transportation, and arable farming. we excluded production processes of machines, pesticides, buildings, and roads because of a lack of data" </t>
  </si>
  <si>
    <t>rye</t>
  </si>
  <si>
    <t>kg/g CO2e</t>
  </si>
  <si>
    <t>Variability in environmental impacts of Brazilian soybean according to crop production and transport scenarios</t>
  </si>
  <si>
    <t>soybean</t>
  </si>
  <si>
    <t>yes? (see 2.1)</t>
  </si>
  <si>
    <t>cites some other studies about soybean production in Brazil - could be of interest to look into</t>
  </si>
  <si>
    <t xml:space="preserve">At least 80% of Brazilian soybean crops are produced with zero-tillage systems </t>
  </si>
  <si>
    <t>Environmental assessment of organic soybean (Glycine max.) imported from China to Denmark: A case study</t>
  </si>
  <si>
    <t>yes - manure (organic only)</t>
  </si>
  <si>
    <t>results in table 6 - excludes post-farm and SOC, minus co-product</t>
  </si>
  <si>
    <t>results in table 6 - excludes post-farm and SOC</t>
  </si>
  <si>
    <t>Potential greenhouse gas emission reductions in soybean farming: A combined use of Life Cycle Assessment and Data Envelopment Analysis</t>
  </si>
  <si>
    <t>see note</t>
  </si>
  <si>
    <t>yes - straw, separate?</t>
  </si>
  <si>
    <t>ignores straw allocation? see 3.3</t>
  </si>
  <si>
    <t>" In the present study, average current global warming impact per kg of soybean was found to be 957 CO2 eq. "</t>
  </si>
  <si>
    <t xml:space="preserve">I don't fully understand all of the results. There are 94 farms, but only some of the values are provided. </t>
  </si>
  <si>
    <t>Greenhouse gas assessment of Brazilian soybean production: A case study of Mato Grosso State</t>
  </si>
  <si>
    <t>small farm</t>
  </si>
  <si>
    <t>includes table of results from other soy LCAs</t>
  </si>
  <si>
    <t>med farm</t>
  </si>
  <si>
    <t>large farm</t>
  </si>
  <si>
    <t>low land-use intensity</t>
  </si>
  <si>
    <t>med land-use intensity</t>
  </si>
  <si>
    <t>high land-use intensity</t>
  </si>
  <si>
    <t>An assessment of the energy inputs and GHG emissions in sugar beet production in the UK</t>
  </si>
  <si>
    <t xml:space="preserve">sugar beet </t>
  </si>
  <si>
    <t>UK</t>
  </si>
  <si>
    <t xml:space="preserve">conventional sand, irrigated </t>
  </si>
  <si>
    <t xml:space="preserve">unclear </t>
  </si>
  <si>
    <t xml:space="preserve">conventional sand, irrigated, spring barley cover crop </t>
  </si>
  <si>
    <t xml:space="preserve">conventional sand </t>
  </si>
  <si>
    <t xml:space="preserve">conventional sand, minimum tillage </t>
  </si>
  <si>
    <t xml:space="preserve">conventional sandy loam </t>
  </si>
  <si>
    <t xml:space="preserve">conventional clay loam </t>
  </si>
  <si>
    <t xml:space="preserve">conventional silt </t>
  </si>
  <si>
    <t xml:space="preserve">conventional peat, spring barley cover crop </t>
  </si>
  <si>
    <t xml:space="preserve">conventional peat </t>
  </si>
  <si>
    <t xml:space="preserve">organic sandy loam </t>
  </si>
  <si>
    <t xml:space="preserve">LCA of cane-sugar on the island of Mauritius </t>
  </si>
  <si>
    <t>sugar cane</t>
  </si>
  <si>
    <t>Mauritius</t>
  </si>
  <si>
    <t xml:space="preserve">yes - separate? </t>
  </si>
  <si>
    <t>includes only sugar cane cultivation and harvest (35.2% x 233 kg CO2e)</t>
  </si>
  <si>
    <t>non centrifugal kg co2e:</t>
  </si>
  <si>
    <t>Environmental benefits of improved water and nitrogen management in irrigated sugar cane: A combined crop modelling and life cycle assessment approach</t>
  </si>
  <si>
    <t xml:space="preserve">South Africa </t>
  </si>
  <si>
    <t xml:space="preserve">conventional + irrigation scheduling (see notes) </t>
  </si>
  <si>
    <t xml:space="preserve">An objective irrigation scheduling using a soil water depletion threshold was assessed. The managment aim was to use less irrigation water by scheduling more accurately according to crop demand while maintaining (or even increasing) yields  </t>
  </si>
  <si>
    <t xml:space="preserve">conventional + irrigation scheduling and reduced N fertlizer application (see notes) </t>
  </si>
  <si>
    <t>Irrigation scheduling was used (as described above). Additionally, seasonal N fertilizer applications were reduced to take advantage of higher soil N levels due to reduced leaching losses (because of improved irrigation) and to make better use of N from newly mineralized organic matter</t>
  </si>
  <si>
    <t xml:space="preserve">sunflower </t>
  </si>
  <si>
    <t>Life cycle assessment of Colombian greenhouse tomato production based on farmer-level survey data</t>
  </si>
  <si>
    <t>tomato</t>
  </si>
  <si>
    <t>greenhouse production- no active climate control system</t>
  </si>
  <si>
    <t>"ton"</t>
  </si>
  <si>
    <t>assume metric tons</t>
  </si>
  <si>
    <t>Quantification of greenhouse gas emissions from open field-grown Florida tomato production</t>
  </si>
  <si>
    <t>seepage irrigation w/surface water</t>
  </si>
  <si>
    <t>midpoint: "The average estimated total GHG emissions associated with typical production of fresh open field-grown Florida tomatoes was estimated to range from ...(0.19 kg CO2-eq kg fruit−1) to (0.27 kg CO2-eq kg fruit−1)... depending on irrigation type and water source."</t>
  </si>
  <si>
    <t>seepage irrigation w/well water</t>
  </si>
  <si>
    <t>drip irrigation w/surface water</t>
  </si>
  <si>
    <t>drip irrigation w/well water</t>
  </si>
  <si>
    <t>Environmental impact assessment of tomato and cucumber cultivation in greenhouses using life cycle assessment and adaptive neuro-fuzzy inference system</t>
  </si>
  <si>
    <t>mutli-tunnel curved roof plastic greenhouses</t>
  </si>
  <si>
    <t>Life cycle assessment of a packaged tomato puree: a comparison of environmental impacts produced by different life cycle phases</t>
  </si>
  <si>
    <t>commerical- follows integrated prouction guidelines of Emilia Romagna (processor in Italy)</t>
  </si>
  <si>
    <t>1 / 1.39 kg</t>
  </si>
  <si>
    <t>1.39 kg tomatoes in a 700 g jar</t>
  </si>
  <si>
    <t>Martinez-Blanco 2011</t>
  </si>
  <si>
    <t>Assessment of tomato Mediterranean production in open-field and standard multi-tunnel greenhouse, with compost or mineral fertilizers, from an agricultural and environmental standpoint</t>
  </si>
  <si>
    <t>open field, mineral fertilizers</t>
  </si>
  <si>
    <t>no - compost only</t>
  </si>
  <si>
    <t>see absolute results in table s3a</t>
  </si>
  <si>
    <t>greenhouse, mineral fertilizers</t>
  </si>
  <si>
    <t>tomatoes</t>
  </si>
  <si>
    <t>Carbon and water footprint tradeoffs in fresh tomato production</t>
  </si>
  <si>
    <t>low tech greenhouse, summer only</t>
  </si>
  <si>
    <t>mid tech greenhouse, year-round</t>
  </si>
  <si>
    <t>yes - heated</t>
  </si>
  <si>
    <t>yes - see note</t>
  </si>
  <si>
    <t>excludes post-farm, + 0.15 kg CO2e for greenhouse</t>
  </si>
  <si>
    <t xml:space="preserve"> the inclusion of greenhouse infrastructure materials over one year ... contributed ... Depending upon the yield this value comes to an increase of 0.1–0.2 kg CO2e ... for each kg of tomato in the med-tech and hi-tech greenhouses. </t>
  </si>
  <si>
    <t>To estimate the contribution of capital inputs for low-tech greenhouse construction, data on the type of crop, yield and management which is required to grow a crop out of the regular tomato cropping was not known.</t>
  </si>
  <si>
    <t>high tech greenhouse, year-round</t>
  </si>
  <si>
    <t>Location and technology options to reduce environmental impacts from agriculture</t>
  </si>
  <si>
    <t>greenhouse - low tech</t>
  </si>
  <si>
    <t>greenhouse - mid tech</t>
  </si>
  <si>
    <t>greenhouse - high tech</t>
  </si>
  <si>
    <t>Contrasted greenhouse gas emissions from local versus long-range tomato production</t>
  </si>
  <si>
    <t>Austria</t>
  </si>
  <si>
    <t>Organic- Tunnels</t>
  </si>
  <si>
    <t xml:space="preserve">yes - greenhouse and machinery </t>
  </si>
  <si>
    <t>excludes post-farm and SOC; see separate excel file</t>
  </si>
  <si>
    <t>Conventional- multi-tunnel</t>
  </si>
  <si>
    <t>Conventional-Venlo system</t>
  </si>
  <si>
    <t>Conventional- open field</t>
  </si>
  <si>
    <t>Environmental and economic assessment of protected crops in four European scenarios</t>
  </si>
  <si>
    <t>greenhouse, multi-tunnel</t>
  </si>
  <si>
    <t xml:space="preserve">yes - greenhouse and equipment </t>
  </si>
  <si>
    <t>Hungary</t>
  </si>
  <si>
    <t>greenhouse, geothermal energy</t>
  </si>
  <si>
    <t>yes - special</t>
  </si>
  <si>
    <t>greenhouse, natural gas</t>
  </si>
  <si>
    <t>Netherlands</t>
  </si>
  <si>
    <t>greenhouse, natural gas, avoided energy at at CHP</t>
  </si>
  <si>
    <t>greenhouse, natural gas, energy allocation at CHP</t>
  </si>
  <si>
    <t>An environmental impact calculator for greenhouse production systems</t>
  </si>
  <si>
    <t>glass greenhouse (venlo), heated</t>
  </si>
  <si>
    <t>results based on a previous LCA (Montero 2011)</t>
  </si>
  <si>
    <t>plastic greenhouse</t>
  </si>
  <si>
    <t>no (cereals, legumes only)</t>
  </si>
  <si>
    <t>conventional (open-air)</t>
  </si>
  <si>
    <t>asparagus</t>
  </si>
  <si>
    <t>Assessing the ecological soundness of organic and conventional agriculture by means of life cycle assessment (LCA) A case study of leek production</t>
  </si>
  <si>
    <t>leek</t>
  </si>
  <si>
    <t>Belgium</t>
  </si>
  <si>
    <t>avocado</t>
  </si>
  <si>
    <t>lettuce</t>
  </si>
  <si>
    <t>mushrooms</t>
  </si>
  <si>
    <t>cucumber</t>
  </si>
  <si>
    <t>mutli-tunnel curved roof plastic greehouses</t>
  </si>
  <si>
    <t>Repurpose for dry peas?</t>
  </si>
  <si>
    <t>email from authors re: why fresh peas are higher than shelled: "The figures in Table 3 and 4 are correct. They are two different varieties and the yield (per ha) of shelled peas is much higher than that of green peas (see Table 3 Column 2 and 3)."</t>
  </si>
  <si>
    <t>outlier (lowest value); the highest outliers (peas and asparagus) also come from this same study</t>
  </si>
  <si>
    <t>Repurpose for maize?</t>
  </si>
  <si>
    <t>Integrated analysis for a carbon- and water-constrained future: An assessment of drip irrigation in a lettuce production system in eastern Australia</t>
  </si>
  <si>
    <t>lettuce cropping farm - drip (trickle) irrigation</t>
  </si>
  <si>
    <t>see table 7 for results</t>
  </si>
  <si>
    <t>"This study uses an integrated assessment framework to evaluate trade-offs ... associated with conversion from an old hand shift sprinkler irrigation system to drip irrigation"</t>
  </si>
  <si>
    <t xml:space="preserve">lettuce cropping farm - sprinkler (hand shift) irrigation </t>
  </si>
  <si>
    <t>artichoke</t>
  </si>
  <si>
    <t>broccoli</t>
  </si>
  <si>
    <t>melon</t>
  </si>
  <si>
    <t>On the study of energy use and GHG (greenhouse gas) emissions in greenhouse cucumber production in Yazd province</t>
  </si>
  <si>
    <t>small greenhouse (&lt;2500 m2)</t>
  </si>
  <si>
    <t>med greenhouse (2500-5500 m2)</t>
  </si>
  <si>
    <t>large greenhouse (&gt;5500 m2)</t>
  </si>
  <si>
    <t>Environmental impact of screenhouse and open-field cultivation using a life cycle analysis: The case study of green bean production</t>
  </si>
  <si>
    <t>green bean</t>
  </si>
  <si>
    <t>open-field</t>
  </si>
  <si>
    <t xml:space="preserve">yes (see notes) </t>
  </si>
  <si>
    <t>yes - can be separated, see 2.1.2.5.</t>
  </si>
  <si>
    <t>excludes post-farm (waste) phase, 2008 scenario only - see notes and separate excel file</t>
  </si>
  <si>
    <t>results from 2009 excluded because "Extreme climatic conditions occurred during the 2009 cycle..."</t>
  </si>
  <si>
    <t>pre-farm excludes "transport of fertilizers and biocides, containers and packaging used in the supply of fertilizers and other farming materials" - see materials and methods</t>
  </si>
  <si>
    <t>screenhouse</t>
  </si>
  <si>
    <t>Optimization of the environmental performance of rainfed durum wheat by adjusting the management practices</t>
  </si>
  <si>
    <t xml:space="preserve">no tillage </t>
  </si>
  <si>
    <t>T1</t>
  </si>
  <si>
    <t>yes - machinery</t>
  </si>
  <si>
    <t>see Fig 7</t>
  </si>
  <si>
    <t>no tillage</t>
  </si>
  <si>
    <t>T2</t>
  </si>
  <si>
    <t>T3</t>
  </si>
  <si>
    <t>T4</t>
  </si>
  <si>
    <t>T5</t>
  </si>
  <si>
    <t>T6</t>
  </si>
  <si>
    <t>T7</t>
  </si>
  <si>
    <t>T8</t>
  </si>
  <si>
    <t xml:space="preserve">conventional tillage </t>
  </si>
  <si>
    <t>T9</t>
  </si>
  <si>
    <t>T10</t>
  </si>
  <si>
    <t>T11</t>
  </si>
  <si>
    <t>T12</t>
  </si>
  <si>
    <t>Berry 2010</t>
  </si>
  <si>
    <t>Quantifying the effect of interactions between disease control, nitrogen supply and land usechange on the greenhouse gas emissions associated with wheat production</t>
  </si>
  <si>
    <t>wheat - winter</t>
  </si>
  <si>
    <t xml:space="preserve">UK &amp; Denmark </t>
  </si>
  <si>
    <t>TT97</t>
  </si>
  <si>
    <t>"Winter wheat crops in the UK receive, on average, three fungicide sprays, and 96% of crops receive at least one spray..."</t>
  </si>
  <si>
    <t>TT98</t>
  </si>
  <si>
    <t>RM06</t>
  </si>
  <si>
    <t>TT06</t>
  </si>
  <si>
    <t>BK07</t>
  </si>
  <si>
    <t>TT07</t>
  </si>
  <si>
    <t>DK93</t>
  </si>
  <si>
    <t>DK94</t>
  </si>
  <si>
    <t>DK95</t>
  </si>
  <si>
    <t>Global warming potential of wheat production in Australia: a life cycle assessment</t>
  </si>
  <si>
    <t>wheat</t>
  </si>
  <si>
    <t xml:space="preserve">Australia </t>
  </si>
  <si>
    <t xml:space="preserve">conventional ("rain-fed wheat farm") </t>
  </si>
  <si>
    <t>Environmental impact assessment of agricultural production systems using the life cycle assessment (LCA) methodology - II. The application to N fertilizer use in winter wheat production systems</t>
  </si>
  <si>
    <t xml:space="preserve">winter wheat </t>
  </si>
  <si>
    <t>t / kg</t>
  </si>
  <si>
    <t>includes post-harvest drying; average of 7 N-application rate scenarios (see separate excel file)</t>
  </si>
  <si>
    <t>varying production intensities; "All other aspects of the ...system investigated in this study...have been defined according to good agricultural practice in Western Europe"</t>
  </si>
  <si>
    <t>N6</t>
  </si>
  <si>
    <t xml:space="preserve">" Total area under wheat cultivation in Iran is about 6.65 (Mha) in which 36.7 % of it is irrigated and the rest is managed under rainfed farming system." </t>
  </si>
  <si>
    <t xml:space="preserve">wheat </t>
  </si>
  <si>
    <t>Carbon footprint of spring wheat in response to fallow frequency and soil carbon changes over 25 years on the semiarid Canadian prairie</t>
  </si>
  <si>
    <t>Canada</t>
  </si>
  <si>
    <t>Wet, ContW</t>
  </si>
  <si>
    <t>excludes SOC sequestration; see separate excel file (used graph grabber)</t>
  </si>
  <si>
    <t>Wet, FWWWWW</t>
  </si>
  <si>
    <t>Wet, FWW</t>
  </si>
  <si>
    <t>Wet, FW</t>
  </si>
  <si>
    <t>ContW</t>
  </si>
  <si>
    <t>FWWWWW</t>
  </si>
  <si>
    <t>FWW</t>
  </si>
  <si>
    <t>FW</t>
  </si>
  <si>
    <t>Dry, ContW</t>
  </si>
  <si>
    <t>Dry, FWWWWW</t>
  </si>
  <si>
    <t>Dry, FWW</t>
  </si>
  <si>
    <t>Dry, FW</t>
  </si>
  <si>
    <t>An environmental life cycle assessment of controlled traffic farming</t>
  </si>
  <si>
    <t>random traffic farming (conventional tillage)</t>
  </si>
  <si>
    <t>ignores SOC and avoided emissions - see separate excel file</t>
  </si>
  <si>
    <t>controlled traffic farming (alternative tillage)</t>
  </si>
  <si>
    <t>Developing a fuzzy clustering model for better energy use in farm management systems</t>
  </si>
  <si>
    <t>cluster 1</t>
  </si>
  <si>
    <t>see table 7</t>
  </si>
  <si>
    <t>outlier - possibly due to lower yields in Iran?</t>
  </si>
  <si>
    <t>cluster 2</t>
  </si>
  <si>
    <t>cluster 3</t>
  </si>
  <si>
    <t>spring wheat</t>
  </si>
  <si>
    <t>durum</t>
  </si>
  <si>
    <t>Decisions to reduce greenhouse gases from agriculture and product transport: LCA case study of organic and conventional wheat</t>
  </si>
  <si>
    <t>kg/g CO2e / 160 g</t>
  </si>
  <si>
    <t>excludes post-farm and SOC</t>
  </si>
  <si>
    <t>The relative contribution of transportation to supply chain greenhouse gas emissions: A case study of American wheat</t>
  </si>
  <si>
    <t>Montana</t>
  </si>
  <si>
    <t>yes (see 3.1)</t>
  </si>
  <si>
    <t>The authors discuss SOC at length, but based on fig 1, it appears SOC is not included</t>
  </si>
  <si>
    <t>Kansas</t>
  </si>
  <si>
    <t>Oklahoma</t>
  </si>
  <si>
    <t>Minnesota</t>
  </si>
  <si>
    <t>North Dakota</t>
  </si>
  <si>
    <t>Ohio</t>
  </si>
  <si>
    <t>Illinois</t>
  </si>
  <si>
    <t>Missouri</t>
  </si>
  <si>
    <t>Idaho</t>
  </si>
  <si>
    <t>Washington</t>
  </si>
  <si>
    <t>Oregon</t>
  </si>
  <si>
    <t>Comparing global warming potential, energy use and land use of organic, conventional and integrated winter wheat production</t>
  </si>
  <si>
    <t>yes? - organic and integratic only</t>
  </si>
  <si>
    <t>includes post-harvest cooling and drying</t>
  </si>
  <si>
    <t>see tables 6 and 7 for more data points to include?</t>
  </si>
  <si>
    <t>organic biogas</t>
  </si>
  <si>
    <t>integrated</t>
  </si>
  <si>
    <t>integrated special</t>
  </si>
  <si>
    <t xml:space="preserve">"the components of a double high crop system comprise (1) significantly increased grain-yield through high yield crop management, i.e. an optimal cropping system design and management well adapted to climate systems; (2) greatly increased nutrient-use efficiency through root/rhizo-sphere management to optimize the nutrient supply intensity and composition in the root zone to maximize root/rhizosphere efficiency; (3) improved soil quality to ensure long-term food security by managing soil organic matter and eliminating soil physical, chemical, and biological contrains and (4) enhanced agricultural sustainability through resource and environment management by increasing resource use efficiency, reducing nutrient losses and GHG emissions, and minimizing negative ecological footprints" </t>
  </si>
  <si>
    <t>yes - straw</t>
  </si>
  <si>
    <t xml:space="preserve">100% urea fertilizer </t>
  </si>
  <si>
    <t>reduced cultivation and direct drilling</t>
  </si>
  <si>
    <t>75% N fertilizer</t>
  </si>
  <si>
    <t xml:space="preserve">90% clay soil </t>
  </si>
  <si>
    <t>plant breeding to increase protein content by 1%</t>
  </si>
  <si>
    <t>plant breeding to increase yield by 20%</t>
  </si>
  <si>
    <t>SD .05</t>
  </si>
  <si>
    <t>Niero 2015</t>
  </si>
  <si>
    <t>Eco-efficient production of spring barley in a changed climate: A Life Cycle Assessment including primary data from future climate scenarios</t>
  </si>
  <si>
    <t>spring barley grain (dry matter)</t>
  </si>
  <si>
    <t>yes, separate</t>
  </si>
  <si>
    <t xml:space="preserve">no </t>
  </si>
  <si>
    <t>kg (dry matter)</t>
  </si>
  <si>
    <t>no - SOC included; see note</t>
  </si>
  <si>
    <t>includes SOC losses, post-harvest drying and storage</t>
  </si>
  <si>
    <t xml:space="preserve">Why so high? Scope includes storage, drying, and loss of soil C; also the FU is dry weight. </t>
  </si>
  <si>
    <t xml:space="preserve">organic - transitional </t>
  </si>
  <si>
    <t>no - SOC</t>
  </si>
  <si>
    <t>Chase 2010</t>
  </si>
  <si>
    <t>A detailed greenhouse gas budget for palm oil production</t>
  </si>
  <si>
    <t>crude palm oil</t>
  </si>
  <si>
    <t>Modeled to represent general conditions</t>
  </si>
  <si>
    <t>"default"</t>
  </si>
  <si>
    <t>no - processed oil; based on modeled conditions</t>
  </si>
  <si>
    <t>GWP: "...estimates the production of GHG from these activities and converts them to carbon dioxide equivalents (CO2-e) using standard Intergovernmental Panel on Climate Change (IPCC) conversion factors (IPCC, 2007)."</t>
  </si>
  <si>
    <t>no biogas capture</t>
  </si>
  <si>
    <t>mt crude palm oil</t>
  </si>
  <si>
    <t>no - processed oil, use fresh fruit scenario</t>
  </si>
  <si>
    <t>biogas capture</t>
  </si>
  <si>
    <t>refined palm oil</t>
  </si>
  <si>
    <t xml:space="preserve">mt crude palm oil </t>
  </si>
  <si>
    <t>olive oil (converted values for olives reported separately)</t>
  </si>
  <si>
    <t>Olive oil</t>
  </si>
  <si>
    <t>no - processed oil</t>
  </si>
  <si>
    <t>includes agriculture and processing stages</t>
  </si>
  <si>
    <t>Seabra 2011</t>
  </si>
  <si>
    <t>LCA of Brazilian sugarcane products: GHG emissions and energy use</t>
  </si>
  <si>
    <t>sugar</t>
  </si>
  <si>
    <t>see methodology - presumably representative of typical conditions</t>
  </si>
  <si>
    <t xml:space="preserve">no - processed </t>
  </si>
  <si>
    <t>minus coproducts; see table 7</t>
  </si>
  <si>
    <t>doesn't appear to be a way to tease out production of sugarcane</t>
  </si>
  <si>
    <t>"For the direct LUC effects,...sugarcane expansion in the last decade... less than 1% occurred over native vegetation areas"</t>
  </si>
  <si>
    <t>lulo</t>
  </si>
  <si>
    <t>no - not on fao stat item sheet</t>
  </si>
  <si>
    <t>tree tomato</t>
  </si>
  <si>
    <t xml:space="preserve">hemp </t>
  </si>
  <si>
    <t xml:space="preserve">conventional (following "good agricultural practices") </t>
  </si>
  <si>
    <t>no - no extraction rate from hemp to hemp oil</t>
  </si>
  <si>
    <t xml:space="preserve">substitution of mineral fertilizer by pig slurry </t>
  </si>
  <si>
    <t>reduced tillage</t>
  </si>
  <si>
    <t xml:space="preserve">reduced nitrate leaching </t>
  </si>
  <si>
    <t>w/benefits from sheep co-products</t>
  </si>
  <si>
    <t>no - mixed system</t>
  </si>
  <si>
    <t>Naudin 2014</t>
  </si>
  <si>
    <t>Life cycle assessment applied to pea-wheat intercrops: A new method for handling the impacts of co-products</t>
  </si>
  <si>
    <t>winter field pea</t>
  </si>
  <si>
    <t>no - intercropping</t>
  </si>
  <si>
    <t>"Intercropping is the growth of two or more species in the same field for a significant period, with variations in the species, their respective densities and spatial arrangements (Willey, 1979). Apart from its frequent use in pastures, this practice is not widespread in temperate agroecosystems. "</t>
  </si>
  <si>
    <t>Rothwell 2016</t>
  </si>
  <si>
    <t>Environmental performance of local food: Trade-offs and implications for climate resilience in a developed city</t>
  </si>
  <si>
    <t xml:space="preserve">traditional commercial field production using transplants </t>
  </si>
  <si>
    <t>no - includes SOC, hydroponic</t>
  </si>
  <si>
    <t>Sorenson 2014</t>
  </si>
  <si>
    <t>Energy inputs and GHG emissions of tillage systems</t>
  </si>
  <si>
    <t xml:space="preserve">no soil tillage </t>
  </si>
  <si>
    <t>yes (see table 8)</t>
  </si>
  <si>
    <t>no - includes SOC (emailed authors)</t>
  </si>
  <si>
    <t>spring barley avg = 0.76833</t>
  </si>
  <si>
    <t xml:space="preserve">reduced soil tillage </t>
  </si>
  <si>
    <t xml:space="preserve">conventional soil tillage </t>
  </si>
  <si>
    <t>rape seed avg = 1.63</t>
  </si>
  <si>
    <t>winter barley</t>
  </si>
  <si>
    <t>winter barley avg = 0.64133</t>
  </si>
  <si>
    <t>winter wheat avg = 0.624</t>
  </si>
  <si>
    <t>Korsaeth 2012</t>
  </si>
  <si>
    <t>Environmental life cycle assessment of cereal and bread production in Norway</t>
  </si>
  <si>
    <t xml:space="preserve">barley </t>
  </si>
  <si>
    <t xml:space="preserve">Norway </t>
  </si>
  <si>
    <t>yes - separate (scenario B)</t>
  </si>
  <si>
    <t>no - includes SOC</t>
  </si>
  <si>
    <t>Johnson 2016</t>
  </si>
  <si>
    <t>Greenhouse Gas Emissions from U.S. Grain Farms</t>
  </si>
  <si>
    <t>corn</t>
  </si>
  <si>
    <t>various</t>
  </si>
  <si>
    <t>Kim 2009</t>
  </si>
  <si>
    <t>LCA of corn grain and corn stover in the US</t>
  </si>
  <si>
    <t>corn grain</t>
  </si>
  <si>
    <t>average of 8 scenarios, see table 5</t>
  </si>
  <si>
    <t>oat</t>
  </si>
  <si>
    <t>sorghum</t>
  </si>
  <si>
    <t>open field, compost + mineral fertilizers</t>
  </si>
  <si>
    <t>yes - compost only</t>
  </si>
  <si>
    <t>ignores avoided burdens associated with compost - see absolute results in table s3a</t>
  </si>
  <si>
    <t>greenhouse, compost + mineral fertilizers</t>
  </si>
  <si>
    <t>Hospido 2009</t>
  </si>
  <si>
    <t>The role of seasonality in lettuce consumption: a case study of environmental and social aspects</t>
  </si>
  <si>
    <t>Britain</t>
  </si>
  <si>
    <t>conventional, outdoors</t>
  </si>
  <si>
    <t>yes? see 2.3</t>
  </si>
  <si>
    <t>includes post-harvest cooling, excludes refrigerated transport (see separate excel file)</t>
  </si>
  <si>
    <t>conventional, greenhouse, w/out heating</t>
  </si>
  <si>
    <t>Conventional, greenhouse, heated in winter</t>
  </si>
  <si>
    <t xml:space="preserve">traditional commercial field production using direct seeding </t>
  </si>
  <si>
    <t>?</t>
  </si>
  <si>
    <t xml:space="preserve">low tech hydroponic </t>
  </si>
  <si>
    <t>high tech greenhouse</t>
  </si>
  <si>
    <t>high tech greenhouse: no mention of heating, but uses electricity</t>
  </si>
  <si>
    <t>Sanders 2014</t>
  </si>
  <si>
    <t>A comparative analysis of the greenhouse gas emissions intensity of wheat and beef in the United States</t>
  </si>
  <si>
    <t xml:space="preserve">yes (processing, transportation, storage, end-use preparation - see abstract) </t>
  </si>
  <si>
    <t>no - includes post-farm stages</t>
  </si>
  <si>
    <t>Tamburini 2015</t>
  </si>
  <si>
    <t>Life cycle based evaluation of environmental and economic impacts of agricultural productions in the Mediterranean area</t>
  </si>
  <si>
    <t>yes (see note)</t>
  </si>
  <si>
    <t>no - includes post-farm</t>
  </si>
  <si>
    <t xml:space="preserve">includes post-farm transportation that can't be taken out </t>
  </si>
  <si>
    <t>Nikkhah 2015</t>
  </si>
  <si>
    <t>Environmental impacts of peanut production system using life cycle assessment methodology</t>
  </si>
  <si>
    <t>dried peanut</t>
  </si>
  <si>
    <t>standard</t>
  </si>
  <si>
    <t>yes - transport and drying (table 1)</t>
  </si>
  <si>
    <t>ton</t>
  </si>
  <si>
    <t>ton/ kg</t>
  </si>
  <si>
    <t>includes transport and drying</t>
  </si>
  <si>
    <t>Kim 2008</t>
  </si>
  <si>
    <t>Effects of nitrogen fertilizer application on greenhouse gas emissions and economics of corn production</t>
  </si>
  <si>
    <t>yes - transport to local elevator</t>
  </si>
  <si>
    <t>average of 8 scenarios from fig 2 using graph grabber, see separate excel file; includes transportation to local grain elevator</t>
  </si>
  <si>
    <t>"Other fuel-related greenhouse gas emissions are associated with electricity, natural gas, liquefied petroleum gas, gasoline, and transportation of corn grain." Transport to the elevator probably doesn't account for much, but we can't tease it out.</t>
  </si>
  <si>
    <t>chicory</t>
  </si>
  <si>
    <t>Ingwersen 2012</t>
  </si>
  <si>
    <t>LCA of fresh pineapple from Costa Rica</t>
  </si>
  <si>
    <t>Costa Rica</t>
  </si>
  <si>
    <t>farms represented both conventional (88%) and organic (12%)</t>
  </si>
  <si>
    <t>yes (see 2.6)</t>
  </si>
  <si>
    <t>USDA serving (165 g)</t>
  </si>
  <si>
    <t>USDA servings/kg pineapple</t>
  </si>
  <si>
    <t>no - includes LUC</t>
  </si>
  <si>
    <t>no fungicide + less nitrogen + land use change</t>
  </si>
  <si>
    <t>yes (0.31 kg CO2e/kg wheat)</t>
  </si>
  <si>
    <t xml:space="preserve">tonne </t>
  </si>
  <si>
    <t>organic (rice-duck)</t>
  </si>
  <si>
    <t>yes (see 2.2.7)</t>
  </si>
  <si>
    <t>no - includes co-benefits from ducks</t>
  </si>
  <si>
    <t>Boulard 2011</t>
  </si>
  <si>
    <t>Environmental impact of greenhouse tomato production in France</t>
  </si>
  <si>
    <t>soilless and heated crops in glass or plastic multispan greenhouses</t>
  </si>
  <si>
    <t>no - GWP</t>
  </si>
  <si>
    <t>unheated soil based tunnel greenhouses</t>
  </si>
  <si>
    <t>Archer 2010</t>
  </si>
  <si>
    <t>Greenhouse Gas Mitigation Economics for Irrigated Cropping Systems in Northeastern Colorado</t>
  </si>
  <si>
    <t>Conventional with no N application</t>
  </si>
  <si>
    <t>Mg</t>
  </si>
  <si>
    <t>kg/Mg</t>
  </si>
  <si>
    <t>no - field study only, excludes inputs</t>
  </si>
  <si>
    <t>Conventional with medium N application</t>
  </si>
  <si>
    <t>Conventional with high N application</t>
  </si>
  <si>
    <t>No till, crop rotation, or N application</t>
  </si>
  <si>
    <t>No till or crop rotation. Medium N application</t>
  </si>
  <si>
    <t>No till or crop rotation. High N application</t>
  </si>
  <si>
    <t xml:space="preserve">Organic- no till or N application. Uses crop rotation, </t>
  </si>
  <si>
    <t>Integrated- Uses crop rotation, no till, and high N application.</t>
  </si>
  <si>
    <t>Hillier 2009</t>
  </si>
  <si>
    <t xml:space="preserve"> The carbon footprints of food crop production
</t>
  </si>
  <si>
    <t>spring cereal (spring barley, oats)</t>
  </si>
  <si>
    <t>Scotland</t>
  </si>
  <si>
    <t>average of conventional, organic, LEAF (authors do not report these separately)</t>
  </si>
  <si>
    <t>no - climate impact per HA only</t>
  </si>
  <si>
    <t>contact authors for per kg data?</t>
  </si>
  <si>
    <t>beans / peas</t>
  </si>
  <si>
    <t>rapeseed (winter oilseed)</t>
  </si>
  <si>
    <t>winter cereal (wheat)</t>
  </si>
  <si>
    <t>Comparing nutritional value and yield as functional units in the environmental assessment of horticultural production with organic or mineral fertilization</t>
  </si>
  <si>
    <t>vegetable (cauliflower)</t>
  </si>
  <si>
    <t>Mediterranean</t>
  </si>
  <si>
    <t>mineral fertilizer with high dose compost- (more organic production than 2 other production methods commonly seen)</t>
  </si>
  <si>
    <t>no - cannot exclude SOC and avoided burdens</t>
  </si>
  <si>
    <t>Pelletier 2014</t>
  </si>
  <si>
    <t>Life cycle inventory of four wheat production systems in Québec</t>
  </si>
  <si>
    <t xml:space="preserve">Canada (Quebec) </t>
  </si>
  <si>
    <t>no - can't access full paper (see note)</t>
  </si>
  <si>
    <t>available for $15 via http://elibrary.asabe.org/</t>
  </si>
  <si>
    <t xml:space="preserve">integrated </t>
  </si>
  <si>
    <t xml:space="preserve">apple, Grigia di Torriana cultivar </t>
  </si>
  <si>
    <t>no - ancient cultivar</t>
  </si>
  <si>
    <t xml:space="preserve">apple, Magnana cultivar </t>
  </si>
  <si>
    <t xml:space="preserve">apple, Runsé cultivar </t>
  </si>
  <si>
    <t>Peano 2015</t>
  </si>
  <si>
    <t>Green marketing tools for fruit growers associated groups: Application of the Life Cycle Assessment (LCA) for strawberries and berry fruits ecobranding in northern Italy</t>
  </si>
  <si>
    <t>eco-friendly (sustainable farming methods)</t>
  </si>
  <si>
    <t>yes - separate, CO2 offsets by chesnut trees</t>
  </si>
  <si>
    <t>yes - separate (transport, packaging, retail)</t>
  </si>
  <si>
    <t xml:space="preserve">g </t>
  </si>
  <si>
    <t>1 / 0.125 kg</t>
  </si>
  <si>
    <t>nursery + field only</t>
  </si>
  <si>
    <t xml:space="preserve">functional unit includes mass of punnet (packaging) </t>
  </si>
  <si>
    <t>raspberries</t>
  </si>
  <si>
    <t>1 / 0.25 kg</t>
  </si>
  <si>
    <t>Grains</t>
  </si>
  <si>
    <t>Sugars</t>
  </si>
  <si>
    <t>Nuts and seeds</t>
  </si>
  <si>
    <t>Fruits</t>
  </si>
  <si>
    <t>Meets inclusion criteria</t>
  </si>
  <si>
    <t>Initial</t>
  </si>
  <si>
    <t>Production system - additional info</t>
  </si>
  <si>
    <t>Avadi 2015</t>
  </si>
  <si>
    <t>Life cycle assessment of Ecuadorian processed tuna</t>
  </si>
  <si>
    <t>tuna</t>
  </si>
  <si>
    <t>Ecuador and international waters</t>
  </si>
  <si>
    <t>Ecuador</t>
  </si>
  <si>
    <t>fishery</t>
  </si>
  <si>
    <t>purse seining, small vessel</t>
  </si>
  <si>
    <t>yes - mass, see note</t>
  </si>
  <si>
    <t>tonne landed fish</t>
  </si>
  <si>
    <t>excludes post-landing</t>
  </si>
  <si>
    <t>"Mass allocation was used because all co-products had similar energy contents, the production system is driven by canned tuna but the other co-products are increasing in economic importance for the industry, and because it was applied in the fish canning studies cited."</t>
  </si>
  <si>
    <t>purse seining, medium-small vessel</t>
  </si>
  <si>
    <t>purse seining, medium vessel</t>
  </si>
  <si>
    <t>purse seining, larger vessel</t>
  </si>
  <si>
    <t>Comparative economic performance and carbon footprint of two farming models for producing Atlantic salmon (Salmo salar): Land-based closed containment system in freshwater and open net pen in seawater</t>
  </si>
  <si>
    <t>salmon</t>
  </si>
  <si>
    <t>aquaculture</t>
  </si>
  <si>
    <t>open net pen</t>
  </si>
  <si>
    <t>yes - mass (gutted vs. live weight; this can be ignored since we report live weight)</t>
  </si>
  <si>
    <t>based on IPCC guidelines</t>
  </si>
  <si>
    <t>kg live weight (see note)</t>
  </si>
  <si>
    <t>FU is gutted salmon w/head on; see table 7 for results for live-weight</t>
  </si>
  <si>
    <t>Also includes results for recirculating aquaculture (not reported here)</t>
  </si>
  <si>
    <t>Comparing environmental impacts of native and introduced freshwater prawn farming in Brazil and the influence of better effluent management using LCA</t>
  </si>
  <si>
    <t xml:space="preserve">amazon prawns </t>
  </si>
  <si>
    <t>yes - economic (feed)</t>
  </si>
  <si>
    <t>yes - separate (transport of prawns to market)</t>
  </si>
  <si>
    <t>t live weight</t>
  </si>
  <si>
    <t>Table 5 cites other shrimp LCAs</t>
  </si>
  <si>
    <t xml:space="preserve">better effluent management </t>
  </si>
  <si>
    <t>excludes post-farm; authors appear to have made a math error (see separate excel file)</t>
  </si>
  <si>
    <t xml:space="preserve">better effluent management system - composed of conventional practices with addition of effluent treatment for construcuted wetlands and application of pond sediments to crops </t>
  </si>
  <si>
    <t>giant prawns</t>
  </si>
  <si>
    <t>Life Cycle Inventory Analysis for a Small-Scale Trawl Fishery in Sendai Bay, Japan</t>
  </si>
  <si>
    <t xml:space="preserve">olive flounder </t>
  </si>
  <si>
    <t>Sendai Bay, Japan</t>
  </si>
  <si>
    <t xml:space="preserve">Japan </t>
  </si>
  <si>
    <t>small trawler</t>
  </si>
  <si>
    <t>yes - mass and economic (multi-species fishery)</t>
  </si>
  <si>
    <t>mass allocation: 4.7</t>
  </si>
  <si>
    <t xml:space="preserve">marbled sole </t>
  </si>
  <si>
    <t xml:space="preserve">brown sole </t>
  </si>
  <si>
    <t xml:space="preserve">stone flounder </t>
  </si>
  <si>
    <t>BK (old search) / RS</t>
  </si>
  <si>
    <t>A set of sustainability performance indicators for seafood: Direct human consumption products from Peruvian anchoveta fisheries and freshwater aquaculture</t>
  </si>
  <si>
    <t>red tilapia</t>
  </si>
  <si>
    <t>yes - mass allocation (processing)</t>
  </si>
  <si>
    <t>ton fresh fish edible portion</t>
  </si>
  <si>
    <t>ton/kg; conversion from edible to whole fish</t>
  </si>
  <si>
    <t>"Mass allocation was applied for computing the relative impacts of fish products and their associated processing residues (fish residues are valorised as inputs to the residual fishmeal industry)."</t>
  </si>
  <si>
    <t>"The FU for which all indicators were computed was defined as one tonne (t) of (a) edible fish in a DHC product in the case of anchoveta, and (b) fresh fish edible portion for cultured species. "</t>
  </si>
  <si>
    <t>results for anchovies include processing so we don't report those</t>
  </si>
  <si>
    <t>Life cycle assessment of Chinese shrimp farming systems targeted for export and domestic sales</t>
  </si>
  <si>
    <t>shrimp</t>
  </si>
  <si>
    <t>intensive scale</t>
  </si>
  <si>
    <t>ton live-weight shrimp</t>
  </si>
  <si>
    <t>ton/kg</t>
  </si>
  <si>
    <t>Average of 6 hatcheries and 18 farms</t>
  </si>
  <si>
    <t>semi-intensive scale</t>
  </si>
  <si>
    <t>Life cycle assessment of wild capture prawns: Expanding sustainability considerations in the Australian Northern Prawn Fishery</t>
  </si>
  <si>
    <t>prawns (white banana)</t>
  </si>
  <si>
    <t>trawling</t>
  </si>
  <si>
    <t>yes - mass allocation - see note</t>
  </si>
  <si>
    <t>kg frozen prawn</t>
  </si>
  <si>
    <t xml:space="preserve">excludes post-landing </t>
  </si>
  <si>
    <t>"Some of the catch packed at sea is not reprocessed ashore and would therefore require fewer inputs than the prawns examined here. Banana prawns accounted for 30% of the total products processed at the facility and input use was allocated based on mass."</t>
  </si>
  <si>
    <t>Extended Life Cycle Assessment of Southern Pink Shrimp Products Originating in Senegalese Artisanal and Industrial Fisheries for Export to Europe</t>
  </si>
  <si>
    <t>shrimp (Southern pink)</t>
  </si>
  <si>
    <t>Senegal</t>
  </si>
  <si>
    <t>yes - economic allocation</t>
  </si>
  <si>
    <t>based on 2007 IPCC indicators</t>
  </si>
  <si>
    <t>kg shrimp</t>
  </si>
  <si>
    <t>includes emissions up to landing (includes on-ship refrigerant use and other processing)</t>
  </si>
  <si>
    <t>artisanal (fele-fele)</t>
  </si>
  <si>
    <t>BK (old search) / AS</t>
  </si>
  <si>
    <t>Environmental assessment of sardine (Sardina pilchardus) purse seine fishery in Portugal with LCA methodology including biological impact categories</t>
  </si>
  <si>
    <t>sardines</t>
  </si>
  <si>
    <t>Portugal</t>
  </si>
  <si>
    <t xml:space="preserve">small vessel - purse seining </t>
  </si>
  <si>
    <t xml:space="preserve">yes - mass (other small pelagic species) </t>
  </si>
  <si>
    <t>kg whole landed sardine</t>
  </si>
  <si>
    <t xml:space="preserve">large vessel - purse seining </t>
  </si>
  <si>
    <t>Life cycle assessment for environmentally sustainable aquaculture management: A case study of combined aquaculture systems for carp and tilapia</t>
  </si>
  <si>
    <t>Indonesia</t>
  </si>
  <si>
    <t xml:space="preserve">large farms, high stocking density, generally appropriate feeding practice or water quality </t>
  </si>
  <si>
    <t xml:space="preserve">yes - transport to market (separate) </t>
  </si>
  <si>
    <t xml:space="preserve">t fresh fish </t>
  </si>
  <si>
    <t>excludes post-farm (see separate excel file)</t>
  </si>
  <si>
    <t xml:space="preserve">only included results from table 3 because they separate carp and tilapia whereas table 4 presents results for both species together </t>
  </si>
  <si>
    <t xml:space="preserve">small farms, relatively lower stocking density, relatively lower feeding efficiency or water quality </t>
  </si>
  <si>
    <t xml:space="preserve">tilapia </t>
  </si>
  <si>
    <t>Ayer 2009</t>
  </si>
  <si>
    <t>Assessing alternative aquaculture technologies: LCA of salmonid culture systems in Canada</t>
  </si>
  <si>
    <t>conventional marine net-pen</t>
  </si>
  <si>
    <t>yes - allocation both on energy content (feed) and system expansion - see note</t>
  </si>
  <si>
    <t>ton live-weight fish</t>
  </si>
  <si>
    <t>assumes average Canadian electricity mix (table 4)</t>
  </si>
  <si>
    <t>the allocation of environmental burdens between co-products in the feed production stage was done according to the gross nutritional energy content of the co-products [16] and [58].</t>
  </si>
  <si>
    <t>second allocation ... at the farm-gate stage for the recirculating system where in addition to the harvest of market-size fish, solid fish wastes were captured and reused as fertilizer. In this instance, system expansion was applied to avoid allocation, and it was assumed that the reuse of captured nitrogen and phosphorous as plant fertilizer would offset the production of an equivalent amount of synthetic nitrogen and phosphorous fertilizers.</t>
  </si>
  <si>
    <t>marine floating bag system</t>
  </si>
  <si>
    <t>land-based saltwater flow-through</t>
  </si>
  <si>
    <t>Life cycle environmental impacts of Spanish tuna fisheries</t>
  </si>
  <si>
    <t>Alantic Ocean</t>
  </si>
  <si>
    <t>seining</t>
  </si>
  <si>
    <t xml:space="preserve">no discussion of topic </t>
  </si>
  <si>
    <t>Indian Ocean</t>
  </si>
  <si>
    <t>Pacific Ocean</t>
  </si>
  <si>
    <t>Not All Salmon Are Created Equal: Life Cycle Assessment (LCA) of Global Salmon Farming Systems</t>
  </si>
  <si>
    <t>net-pen</t>
  </si>
  <si>
    <t>yes - energy content (feed)</t>
  </si>
  <si>
    <t>Chile</t>
  </si>
  <si>
    <t>RS / BK</t>
  </si>
  <si>
    <t>Environmental performance of copper-alloy Net-pens: Life cycle assessment of Atlantic salmon grow-out in copper-alloy and nylon net-pens</t>
  </si>
  <si>
    <t>copper alloy mesh (CAM) net pens</t>
  </si>
  <si>
    <t>yes (excludes production of smolts)</t>
  </si>
  <si>
    <t>metric tonne live weight</t>
  </si>
  <si>
    <t>nylon net pens</t>
  </si>
  <si>
    <t>Environmental analysis of the Norwegian fishery and aquaculture industry – a preliminary study focusing on farmed salmon</t>
  </si>
  <si>
    <t>fish feed dried and processed using heavy oil</t>
  </si>
  <si>
    <t>yes - can be separated</t>
  </si>
  <si>
    <t>kg fillet</t>
  </si>
  <si>
    <t>fillet to whole fish conversion</t>
  </si>
  <si>
    <t>excludes post-farm (used Graph Grabber) - see separate Excel file</t>
  </si>
  <si>
    <t>2.0 kg "round fish" (I assume this means whole fish) produces 1 kg fillet</t>
  </si>
  <si>
    <t>"In general, economic allocation has been used, for example, related to the allocation of effects from by-products and fillets in connection with filleting. In this analysis, it is assumed that the by-products have a minor, and thus ignorable, value,"</t>
  </si>
  <si>
    <t>fish feed dried and processed using natural gas</t>
  </si>
  <si>
    <t>Iribarren 2011</t>
  </si>
  <si>
    <t>Updating the carbon footprint of the Galician fishing activity (NW Spain)</t>
  </si>
  <si>
    <t>sardines (European pilchard)</t>
  </si>
  <si>
    <t>Spain, Coastal</t>
  </si>
  <si>
    <t>Spain (NW)</t>
  </si>
  <si>
    <t>yes - economic (multi-species fishery)</t>
  </si>
  <si>
    <t>ton landed fish</t>
  </si>
  <si>
    <t>may include some on-board processing</t>
  </si>
  <si>
    <t>methods described in 2010 study: http://www.sciencedirect.com/science/article/pii/S0048969710008235</t>
  </si>
  <si>
    <t>hake</t>
  </si>
  <si>
    <t>methods described in 2010 study: http://www.sciencedirect.com/science/article/pii/S0048969710008236</t>
  </si>
  <si>
    <t>methods described in 2010 study: http://www.sciencedirect.com/science/article/pii/S0048969710008237</t>
  </si>
  <si>
    <t>Spain, offshore (Northern Stock)</t>
  </si>
  <si>
    <t>lining</t>
  </si>
  <si>
    <t>methods described in 2010 study: http://www.sciencedirect.com/science/article/pii/S0048969710008238</t>
  </si>
  <si>
    <t>methods described in 2010 study: http://www.sciencedirect.com/science/article/pii/S0048969710008239</t>
  </si>
  <si>
    <t>megrim (sole)</t>
  </si>
  <si>
    <t>methods described in 2010 study: http://www.sciencedirect.com/science/article/pii/S0048969710008240</t>
  </si>
  <si>
    <t>Azores</t>
  </si>
  <si>
    <t>methods described in 2010 study: http://www.sciencedirect.com/science/article/pii/S0048969710008241</t>
  </si>
  <si>
    <t>common cuttlefish</t>
  </si>
  <si>
    <t>Mauritania</t>
  </si>
  <si>
    <t>methods described in 2010 study: http://www.sciencedirect.com/science/article/pii/S0048969710008242</t>
  </si>
  <si>
    <t>common octopus</t>
  </si>
  <si>
    <t>methods described in 2010 study: http://www.sciencedirect.com/science/article/pii/S0048969710008243</t>
  </si>
  <si>
    <t>methods described in 2010 study: http://www.sciencedirect.com/science/article/pii/S0048969710008244</t>
  </si>
  <si>
    <t>Atlantic Ocean</t>
  </si>
  <si>
    <t>methods described in 2010 study: http://www.sciencedirect.com/science/article/pii/S0048969710008245</t>
  </si>
  <si>
    <t>methods described in 2010 study: http://www.sciencedirect.com/science/article/pii/S0048969710008246</t>
  </si>
  <si>
    <t>methods described in 2010 study: http://www.sciencedirect.com/science/article/pii/S0048969710008247</t>
  </si>
  <si>
    <t>LCA of fresh hake fillets captured by the Galician fleet in the Northern Stock</t>
  </si>
  <si>
    <t>long lining</t>
  </si>
  <si>
    <t>yes - mass (multi-species fishery, bait); see note</t>
  </si>
  <si>
    <t xml:space="preserve">g of raw fresh fillet </t>
  </si>
  <si>
    <t>500 g fillet = 645 g landed hake</t>
  </si>
  <si>
    <t>"Despite the fact that most LCA studies recommend the use of economic allocation for multispecies fisheries, mass allocation was considered for this study. This approach was selected due to the highly volatile price of European hake at Galician fish markets, depending on the time of the year, freshness of the product, size of the individual and many other factors that make the system too complex to analyze from an economic allocation perspective"</t>
  </si>
  <si>
    <t>...in this study, however there appeared to be little difference between the use of mass vs. economic allocation (see table 4)</t>
  </si>
  <si>
    <t>tilapia</t>
  </si>
  <si>
    <t>Egypt</t>
  </si>
  <si>
    <t>yes - mass-weighted energy content (inputs)</t>
  </si>
  <si>
    <t>tonne live weight</t>
  </si>
  <si>
    <t xml:space="preserve">Egypt ranks ninth in fish farming production globally and has the largest aquaculture industry in Africa...  world’s second largest producer of farmed tilapia after China </t>
  </si>
  <si>
    <t>semi-intensive</t>
  </si>
  <si>
    <t xml:space="preserve">The most popular farming system in Egypt is the semi-intensive in earthen ponds, producing around 86 % of aquaculture production. </t>
  </si>
  <si>
    <t>Ziegler 2013</t>
  </si>
  <si>
    <t>The Carbon Footprint of Norwegian Seafood Products on the Global Seafood Market</t>
  </si>
  <si>
    <t>herring</t>
  </si>
  <si>
    <t>yes - mass (processing)</t>
  </si>
  <si>
    <t>kg live weight (see fig 2)</t>
  </si>
  <si>
    <t>excludes post-landing, used graph grabber (see separate excel file)</t>
  </si>
  <si>
    <t>cod</t>
  </si>
  <si>
    <t>haddock</t>
  </si>
  <si>
    <t>mussels</t>
  </si>
  <si>
    <t>pilchard (sardine)</t>
  </si>
  <si>
    <t>Coastal Portugal / NW Spain</t>
  </si>
  <si>
    <t>see table 6</t>
  </si>
  <si>
    <t>Fig 4 has 40 values, 20 for each fleet</t>
  </si>
  <si>
    <t>Comparative environmental performance of artisanal and commercial feed use in Peruvian freshwater aquaculture</t>
  </si>
  <si>
    <t>semi-intensive, generic</t>
  </si>
  <si>
    <t>results in supplementary info</t>
  </si>
  <si>
    <t>super-intensive, generic</t>
  </si>
  <si>
    <t>super-intensive, commercial</t>
  </si>
  <si>
    <t>Ewoukem 2012</t>
  </si>
  <si>
    <t>Environmental impacts of farms integrating aquaculture and agriculture in Cameroon</t>
  </si>
  <si>
    <t>Cameroon</t>
  </si>
  <si>
    <t>integrated pig-fish</t>
  </si>
  <si>
    <t>yes - economic</t>
  </si>
  <si>
    <t>maybe - fish-pig-crop polyculture</t>
  </si>
  <si>
    <t>wheat bran feed</t>
  </si>
  <si>
    <t>pig and crop by-products</t>
  </si>
  <si>
    <t>pig manure feed</t>
  </si>
  <si>
    <t>Boissy 2011</t>
  </si>
  <si>
    <t>Environmental impacts of plant-based salmonid diets at feed and farm scales</t>
  </si>
  <si>
    <t>standard diet</t>
  </si>
  <si>
    <t xml:space="preserve"> low marine-fishery-capture diet</t>
  </si>
  <si>
    <t>A life cycle assessment of frozen Indonesian tilapia fillets from lake and pond-based production systems</t>
  </si>
  <si>
    <t>lake-based</t>
  </si>
  <si>
    <t>see figure 4</t>
  </si>
  <si>
    <t>GWP " quantified according to the CML 2 Baseline 2000 method"</t>
  </si>
  <si>
    <t>pond-based</t>
  </si>
  <si>
    <t>Pahri 2006</t>
  </si>
  <si>
    <t>Life cycle assessment of cockles (Anadara granosa) farming: A case study in Malaysia</t>
  </si>
  <si>
    <t>cockles</t>
  </si>
  <si>
    <t>no - GWP only presented in relative values</t>
  </si>
  <si>
    <t>emailed author for absolute values</t>
  </si>
  <si>
    <t>trout</t>
  </si>
  <si>
    <t>NOT ON LIST</t>
  </si>
  <si>
    <t>no - not on species list</t>
  </si>
  <si>
    <t>mackerel</t>
  </si>
  <si>
    <t>saithe</t>
  </si>
  <si>
    <t>BK (old search)</t>
  </si>
  <si>
    <t>Wilfart 2013</t>
  </si>
  <si>
    <t>LCA and emergy accounting of aquaculture systems: Towards ecological intensification</t>
  </si>
  <si>
    <t>recirculating</t>
  </si>
  <si>
    <t>no - recirculating</t>
  </si>
  <si>
    <t>ton live fish</t>
  </si>
  <si>
    <t>study also assessed polycultures; these are not reported here</t>
  </si>
  <si>
    <t>land-based freshwater recirculating</t>
  </si>
  <si>
    <t>see above</t>
  </si>
  <si>
    <t>common ling (interchangable with cod?)</t>
  </si>
  <si>
    <t>no - not on species list (add later if we decide to include char, trout, etc.)</t>
  </si>
  <si>
    <t>AS (old search) / BK</t>
  </si>
  <si>
    <t>Aubin 2006</t>
  </si>
  <si>
    <t>Characterisation of the environmental impact of a turbot (Scophthalmus maximus) re-circulating production system using Life Cycle Assessment</t>
  </si>
  <si>
    <t>turbot</t>
  </si>
  <si>
    <t>Brittany (France)</t>
  </si>
  <si>
    <t>land based</t>
  </si>
  <si>
    <t>Reported impact is an average of three different N emissions scenarios</t>
  </si>
  <si>
    <t>Aubin 2009</t>
  </si>
  <si>
    <t>Assessment of the environmental impact of carnivorous ﬁnﬁsh production systems using life cycle assessment.</t>
  </si>
  <si>
    <t>rainbow trout</t>
  </si>
  <si>
    <t>intensive (freshwater raceway)</t>
  </si>
  <si>
    <t>kg LW</t>
  </si>
  <si>
    <t>sea bass</t>
  </si>
  <si>
    <t>intensive (sea cages)</t>
  </si>
  <si>
    <t>intensive (inland recirculating system)</t>
  </si>
  <si>
    <t>ton edible weight converted to whole fresh fish</t>
  </si>
  <si>
    <t>excludes processing</t>
  </si>
  <si>
    <t>black pacu</t>
  </si>
  <si>
    <t>Bosma 2011</t>
  </si>
  <si>
    <t>Life cycle assessment of intensive striped catfish farming in the Mekong Delta for screening hotspots as input to environmental policy and research agenda</t>
  </si>
  <si>
    <t>catfish (pangasius)</t>
  </si>
  <si>
    <t>Vietnam</t>
  </si>
  <si>
    <t>ton fresh fish</t>
  </si>
  <si>
    <t>Chen 2015</t>
  </si>
  <si>
    <t>Environmental assessment of trout farming in France by life cycle assessment: Using bootstrapped principal component analysis to better define system classification</t>
  </si>
  <si>
    <t>ton raw fish, pan-sized</t>
  </si>
  <si>
    <t>Reflects bootstrapped data from 24 farms</t>
  </si>
  <si>
    <t>ton raw fish, large and mixed-size</t>
  </si>
  <si>
    <t>ton raw fish, very large</t>
  </si>
  <si>
    <t>d'Orbcastel 2009</t>
  </si>
  <si>
    <t>Towards environmentally sustainable aquaculture: Comparison between two trout farming systems using Life Cycle Assessment</t>
  </si>
  <si>
    <t>brook trout, brown trout, rainbow trout, atlantic char</t>
  </si>
  <si>
    <t>flow through</t>
  </si>
  <si>
    <t>polyculture</t>
  </si>
  <si>
    <t>Dekamin 2015</t>
  </si>
  <si>
    <t>Life cycle assessment for rainbow trout (Oncorhynchus mykiss) production systems: a case study for Iran</t>
  </si>
  <si>
    <t>semi-closed recirculating</t>
  </si>
  <si>
    <t>Farmery 2014</t>
  </si>
  <si>
    <t>Managing fisheries for environmental performance: the effects of marine resource decision-making on the footprint of seafood</t>
  </si>
  <si>
    <t>rock lobster</t>
  </si>
  <si>
    <t>trapping</t>
  </si>
  <si>
    <t>kg live lobster</t>
  </si>
  <si>
    <t>air frieght was the largest contibutor (55%) to GWP</t>
  </si>
  <si>
    <t>Jerbi 2012</t>
  </si>
  <si>
    <t>Life cycle assessment (LCA) of two rearing techniques of sea bass (Dicentrarchus labrax)</t>
  </si>
  <si>
    <t>Tunisia</t>
  </si>
  <si>
    <t>traditional raceway</t>
  </si>
  <si>
    <t>Why are these values so high? Outlier?</t>
  </si>
  <si>
    <t>cascade raceway</t>
  </si>
  <si>
    <t>Ramos 2011</t>
  </si>
  <si>
    <t>Environmental assessment of the Atlantic mackerel (Scomber scombrus) season in the Basque Country. Increasing the timeline delimitation in fishery LCA studies</t>
  </si>
  <si>
    <t>Atlantic mackerel</t>
  </si>
  <si>
    <t>purse seining</t>
  </si>
  <si>
    <t>cited: Vázquez-Rowe I, Moreira MT, Feijoo G (2010b) Life cycle assessment of horse mackerel fisheries in Galicia (NW Spain).</t>
  </si>
  <si>
    <t>Samuel-Fitwi 2013</t>
  </si>
  <si>
    <t>System delimitation in life cycle assessment (LCA) of aquaculture: striving for valid and comprehensive environmental assessment using rainbow trout farming as a case study</t>
  </si>
  <si>
    <t>Germany</t>
  </si>
  <si>
    <t>tonne of live, whole fish</t>
  </si>
  <si>
    <t>Average of scenarios I (demand is met through area expansion) and II (demand is met through increased intensity)</t>
  </si>
  <si>
    <t>Scenarios III - VI account for a shift in demand among other "marginal" products (e.g., carp in China)</t>
  </si>
  <si>
    <t>Vazquez-Rowe 2010</t>
  </si>
  <si>
    <t>Life cycle assessment of horse mackerel fisheries in Galicia (NW Spain): Comparative analysis of two major fishing methods</t>
  </si>
  <si>
    <t>1 ton landed round Atlantic horse mackerel, prior to 2008</t>
  </si>
  <si>
    <t>Ziegler 2008</t>
  </si>
  <si>
    <t>Environmental life cycle assessment of Norway lobster (Nephrops norvegicus) caught along the Swedish west coast by creels and conventional trawls - LCA methodology with case study</t>
  </si>
  <si>
    <t>lobster</t>
  </si>
  <si>
    <t>creeling</t>
  </si>
  <si>
    <t>kg landed lobsters</t>
  </si>
  <si>
    <t>Jonell 2015</t>
  </si>
  <si>
    <t>Mangrove-shrimp farms in Vietnam-Comparing organic and conventional systems using life cycle assessment</t>
  </si>
  <si>
    <t>shrimp (P. monodon)</t>
  </si>
  <si>
    <t>organic mangrove</t>
  </si>
  <si>
    <t>yes - economic (polyculture system)</t>
  </si>
  <si>
    <t>t liveweight shrimp</t>
  </si>
  <si>
    <t>LUC: Includes emissions mangrove deforestation and soy/cassava cultivation</t>
  </si>
  <si>
    <t>non-organic mangrove</t>
  </si>
  <si>
    <t>Ziegler 2003</t>
  </si>
  <si>
    <t>Life cycle assessment of frozen cod fillets including fishery-specific environmental impacts</t>
  </si>
  <si>
    <t>Demersal fish</t>
  </si>
  <si>
    <t>Sweden (Baltic Sea)</t>
  </si>
  <si>
    <t>trawling / gillnet (weighted average of both methods)</t>
  </si>
  <si>
    <t xml:space="preserve">no - FU is frozen cod fillet; no conversion given </t>
  </si>
  <si>
    <t>kg landed fish</t>
  </si>
  <si>
    <t>scope includes fuel-related emissions only</t>
  </si>
  <si>
    <t xml:space="preserve">Vazquez-Rowe 2012        </t>
  </si>
  <si>
    <t>Environmental assessment of frozen common octopus (Octopus vulgaris) captured by Spanish fishing vessels in the Mauritanian EEZ</t>
  </si>
  <si>
    <t>octopus</t>
  </si>
  <si>
    <t>Spanish trawler off the coast of Mauritania</t>
  </si>
  <si>
    <t>no - FU is 24 kg carton of frozen octopus; no conversion given</t>
  </si>
  <si>
    <t>kg frozen octopus</t>
  </si>
  <si>
    <t>with storage and freight, total emissions = 186.43 kg</t>
  </si>
  <si>
    <t>includes on-board storage and processing</t>
  </si>
  <si>
    <t>BK (old search) / BK</t>
  </si>
  <si>
    <t>Freon 2014</t>
  </si>
  <si>
    <t>Life cycle assessment of the Peruvian industrial anchoveta fleet: Boundary setting in life cycle inventory analyses of complex and plural means of production</t>
  </si>
  <si>
    <t>anchovy</t>
  </si>
  <si>
    <t>Fishing zone off Peru</t>
  </si>
  <si>
    <t>no - fishoil / fishmeal</t>
  </si>
  <si>
    <t>" the Peruvian industrial anchoveta fishery displays the lowest fuel use intensity in the world on a per landed tonne basis, "</t>
  </si>
  <si>
    <t xml:space="preserve">The Peruvian industrial fishery of anchoveta does not use a pier, wharf or quay for landing anchoveta aimed at reduction into fishmeal and fish oil; vessels are discharged by pumping at a floating terminal―a.k.a. “chata”―located several hundred metres from the factory where the fish are processed. </t>
  </si>
  <si>
    <t>"Because the functional unit is related to a single product, there is no need for allocation between coproducts."</t>
  </si>
  <si>
    <t>Capital goods production (e.g., ships, machinery)</t>
  </si>
  <si>
    <t>Inputs production (e.g., fuel, feed)</t>
  </si>
  <si>
    <t>Co-product allocation / system expansion</t>
  </si>
  <si>
    <t>Post-landing (fisheries) / post-harvest (aquaculture)</t>
  </si>
  <si>
    <t>Citrus fruits</t>
  </si>
  <si>
    <t>Marine fish</t>
  </si>
  <si>
    <t>yes - avoided emissions, separate</t>
  </si>
  <si>
    <t>yes - avoided emissions</t>
  </si>
  <si>
    <t>includes (on-farm?) processing (extraction) - seems appropriate for honey, especially since it accounts for 90% of GWP</t>
  </si>
  <si>
    <t>includes agriculture stage only (70.79% of emissions)</t>
  </si>
  <si>
    <t>yes? unclear</t>
  </si>
  <si>
    <t>refrences previously unpublished results from Williams 2006 (see search results)</t>
  </si>
  <si>
    <t>Root directory</t>
  </si>
  <si>
    <t>Uses CELL to get the full filepath of this file, then uses SEARCH and LEFT to extract the root directory</t>
  </si>
  <si>
    <t>N/A</t>
  </si>
  <si>
    <t>Root directory is used by Power Query when referencing other files</t>
  </si>
  <si>
    <t>Starchy roots</t>
  </si>
  <si>
    <t>Pulses and soy</t>
  </si>
  <si>
    <t>Other marine fish</t>
  </si>
  <si>
    <t>Farmed salmon</t>
  </si>
  <si>
    <t>Forage fish</t>
  </si>
  <si>
    <t>Tuna</t>
  </si>
  <si>
    <t>Shrimp and prawns</t>
  </si>
  <si>
    <t>Life cycle assessment of mussel culture</t>
  </si>
  <si>
    <t>raft</t>
  </si>
  <si>
    <t>raft mussels (see note)</t>
  </si>
  <si>
    <t>raft/kg</t>
  </si>
  <si>
    <t>functional unit = 1 raft of mussel culture; 89.74 t/raft</t>
  </si>
  <si>
    <t>Carbon footprint of Scottish suspended mussels and intertidal oysters</t>
  </si>
  <si>
    <t>oysters</t>
  </si>
  <si>
    <t>Hall 2011</t>
  </si>
  <si>
    <t>Blue Frontiers: Managing the environmental costs of aquaculture</t>
  </si>
  <si>
    <t>bivalves</t>
  </si>
  <si>
    <t>extensive</t>
  </si>
  <si>
    <t>ton product</t>
  </si>
  <si>
    <t>excludes environmental costs associated with building infrastrucutre, seed production, packaging and processing of produce, transport of feed or produce, cooking the produce, and disposing of waste</t>
  </si>
  <si>
    <t>gastropods</t>
  </si>
  <si>
    <t>includes meat and shells; yield per ton of product: 609 kg meat, 391 kg shells</t>
  </si>
  <si>
    <t>includes meat and shells; yield per ton of product: 160 kg meat, 840 kg shells</t>
  </si>
  <si>
    <t>includes depuration (considered part of cradle to gate), excludes packaging</t>
  </si>
  <si>
    <t>ton harvested shellfish (live weight)</t>
  </si>
  <si>
    <t>report</t>
  </si>
  <si>
    <t>AS/BK</t>
  </si>
  <si>
    <t>no - not in species wish list</t>
  </si>
  <si>
    <t xml:space="preserve">used graph grabber; the bar in the chart is very short, so it is difficult to get a precise read </t>
  </si>
  <si>
    <t>https://minerva.usc.es/xmlui/bitstream/handle/10347/2812/9788498874204_content.pdf;jsessionid=814B5ADFF297E72D5279F44DE528358A?sequence=1</t>
  </si>
  <si>
    <t>book chapter</t>
  </si>
  <si>
    <t>author correspondence: "peanut yields are 'as seed'", i.e., shelled</t>
  </si>
  <si>
    <t>kg kernel meat (see email from Kumar)</t>
  </si>
  <si>
    <t>kg in-shell</t>
  </si>
  <si>
    <t>kg shelled</t>
  </si>
  <si>
    <t>ha in-shell</t>
  </si>
  <si>
    <t>Conversion from shelled to in-shell = 50%, based on FAO extraction rates</t>
  </si>
  <si>
    <t>Conversion from in-shell to shelled = 50%, based on FAO extraction rates</t>
  </si>
  <si>
    <t>Setting - fishery site</t>
  </si>
  <si>
    <t>Poland</t>
  </si>
  <si>
    <t>conventional + organic</t>
  </si>
  <si>
    <t>Subsetting</t>
  </si>
  <si>
    <t>W Virginia</t>
  </si>
  <si>
    <t>Center West</t>
  </si>
  <si>
    <t>Southern</t>
  </si>
  <si>
    <t>West</t>
  </si>
  <si>
    <t>Saskatchewan</t>
  </si>
  <si>
    <t>Nebraska</t>
  </si>
  <si>
    <t>Minnesota, 2003</t>
  </si>
  <si>
    <t>North Dakota, 2004</t>
  </si>
  <si>
    <t>UK? Doesn't say</t>
  </si>
  <si>
    <t>California</t>
  </si>
  <si>
    <t>UK; Denmark</t>
  </si>
  <si>
    <t>England; Wales</t>
  </si>
  <si>
    <t>China; Japan; South Korea; Thailand</t>
  </si>
  <si>
    <t>conventional? Doesn't specify. see note</t>
  </si>
  <si>
    <t>Swiss program of integrated farm management - aims to achieve profits while respecting nature and personal health</t>
  </si>
  <si>
    <t>organic + conventional</t>
  </si>
  <si>
    <t>open field</t>
  </si>
  <si>
    <t>sustainable</t>
  </si>
  <si>
    <t>with misting system</t>
  </si>
  <si>
    <t>bean (elefantes)</t>
  </si>
  <si>
    <t>bean (gigantes)</t>
  </si>
  <si>
    <t>bean (plake)</t>
  </si>
  <si>
    <t>barley; wheat; oats</t>
  </si>
  <si>
    <t>For subitem(s), setting, and production system, use ";" in place of "," to ensure proper formatting in the studies summary</t>
  </si>
  <si>
    <t>peas; fava beans; vetch</t>
  </si>
  <si>
    <t>organic greenhouse</t>
  </si>
  <si>
    <t>conventional greenhouse</t>
  </si>
  <si>
    <t>organic open-field</t>
  </si>
  <si>
    <t>cherry tomato; tomato; lettuce; pepper; beans</t>
  </si>
  <si>
    <t>asparagus; lettuce; melon; celery; cauliflower; potato; broccoli; onions; beans</t>
  </si>
  <si>
    <t>apple; pear; plum; table grapes; peach; apricot; fig</t>
  </si>
  <si>
    <t>avocado; mango; banana</t>
  </si>
  <si>
    <t>mandarins; oranges</t>
  </si>
  <si>
    <t>almonds; hazelnuts; carob</t>
  </si>
  <si>
    <t>wheat (durum)</t>
  </si>
  <si>
    <t>wheat (winter)</t>
  </si>
  <si>
    <t>palm kernel</t>
  </si>
  <si>
    <t>converted from palm fruti</t>
  </si>
  <si>
    <t>wheat (spring)</t>
  </si>
  <si>
    <t>barley (spring)</t>
  </si>
  <si>
    <t>aparagus</t>
  </si>
  <si>
    <t>beetroot</t>
  </si>
  <si>
    <t>cabbage</t>
  </si>
  <si>
    <t>capsicums</t>
  </si>
  <si>
    <t>carrot</t>
  </si>
  <si>
    <t>cauliflower</t>
  </si>
  <si>
    <t>celery</t>
  </si>
  <si>
    <t>chillies</t>
  </si>
  <si>
    <t>cucumbers</t>
  </si>
  <si>
    <t>green peas (fresh pod)</t>
  </si>
  <si>
    <t>melon (rock; canteloupe)</t>
  </si>
  <si>
    <t>watermelon</t>
  </si>
  <si>
    <t>pumpkins</t>
  </si>
  <si>
    <t>sweet corn</t>
  </si>
  <si>
    <t>zucchini; button squash</t>
  </si>
  <si>
    <t>wheat (hard red spring)</t>
  </si>
  <si>
    <t>wheat (hard red winter)</t>
  </si>
  <si>
    <t>wheat (soft red winter)</t>
  </si>
  <si>
    <t>wheat (white)</t>
  </si>
  <si>
    <t>olive</t>
  </si>
  <si>
    <t>peanut</t>
  </si>
  <si>
    <t>maize (summer)</t>
  </si>
  <si>
    <t>high yield</t>
  </si>
  <si>
    <t>unspecified</t>
  </si>
  <si>
    <t>strip till</t>
  </si>
  <si>
    <t>conventional till</t>
  </si>
  <si>
    <t>conventional?</t>
  </si>
  <si>
    <t>drip irrigated</t>
  </si>
  <si>
    <t>sprinkler irrigated</t>
  </si>
  <si>
    <t>consolidated</t>
  </si>
  <si>
    <t>traditional</t>
  </si>
  <si>
    <t>large scale</t>
  </si>
  <si>
    <t>small scale</t>
  </si>
  <si>
    <t>medium scale</t>
  </si>
  <si>
    <t>intensive open field</t>
  </si>
  <si>
    <t>traditional; organic</t>
  </si>
  <si>
    <t>conventional tillage</t>
  </si>
  <si>
    <t>alternative tillage</t>
  </si>
  <si>
    <t xml:space="preserve">conventional rainfed </t>
  </si>
  <si>
    <t xml:space="preserve">conventional irrigated </t>
  </si>
  <si>
    <t>mixed farming</t>
  </si>
  <si>
    <t>conventional, organic</t>
  </si>
  <si>
    <t>organic, conventional</t>
  </si>
  <si>
    <t>open-field, greenhouse</t>
  </si>
  <si>
    <t>greenhouse, open-field</t>
  </si>
  <si>
    <t>aquaculture, fishery</t>
  </si>
  <si>
    <t>Southern Europe</t>
  </si>
  <si>
    <t>Central Europe</t>
  </si>
  <si>
    <t>semi-organic</t>
  </si>
  <si>
    <t>blue whiting</t>
  </si>
  <si>
    <t>lesser flying squid</t>
  </si>
  <si>
    <t>conventional GMO</t>
  </si>
  <si>
    <t>UK, Denmark</t>
  </si>
  <si>
    <t>England, Wales</t>
  </si>
  <si>
    <t>traditional, organic</t>
  </si>
  <si>
    <t>China, Japan, South Korea, Thailand</t>
  </si>
  <si>
    <t>Country code</t>
  </si>
  <si>
    <t>Farmed carp &amp; tilapia</t>
  </si>
  <si>
    <t>RS</t>
  </si>
  <si>
    <t>Life cycle assessment of cricket farming in north-eastern Thailand</t>
  </si>
  <si>
    <t>Insects</t>
  </si>
  <si>
    <t>Thailand</t>
  </si>
  <si>
    <t>yes - for feed (by mass)</t>
  </si>
  <si>
    <t>kg edible component</t>
  </si>
  <si>
    <t>used value excluding biogenic carbon (we think this comes from the biofertilser but are unsure of what that means since it says changes in soil sequestration were not considered)</t>
  </si>
  <si>
    <t>Oonincx et al 2010</t>
  </si>
  <si>
    <t>An exploration on greenhouse gas and ammonia production by insect species suitable for animal or human consumption</t>
  </si>
  <si>
    <t>Environmental impact of the production of mealworms as a protein source for humans – a life cycle assessment</t>
  </si>
  <si>
    <t>mealworms</t>
  </si>
  <si>
    <t>insect feeding used carrots and grain mixture, not by-products</t>
  </si>
  <si>
    <t>Smetana et al 2016</t>
  </si>
  <si>
    <t>Sustainability of insect use for feed and food: life Cycle Assessment perspective</t>
  </si>
  <si>
    <t>black soldier flies</t>
  </si>
  <si>
    <t>van Zanten et al 2015</t>
  </si>
  <si>
    <t>crickets</t>
  </si>
  <si>
    <t>includes transport and processing</t>
  </si>
  <si>
    <t>kg fresh product</t>
  </si>
  <si>
    <t>yes - transport and processing</t>
  </si>
  <si>
    <t xml:space="preserve">kg </t>
  </si>
  <si>
    <t>see discussion</t>
  </si>
  <si>
    <t>25 (CH4), 298 (N2O)</t>
  </si>
  <si>
    <t>RS/BK</t>
  </si>
  <si>
    <t>Smetana 2015</t>
  </si>
  <si>
    <t>Meat alternatives: life cycle assessment of most known
meat substitutes</t>
  </si>
  <si>
    <t>not specified</t>
  </si>
  <si>
    <t>yes - to consumer plate</t>
  </si>
  <si>
    <t>2.84 - 3.02</t>
  </si>
  <si>
    <t>looks at insects as livestock feed not human consumption</t>
  </si>
  <si>
    <t>1.36 - 15.1</t>
  </si>
  <si>
    <t>does explain how crickets are processed, e.g., frozen, roasted, ground into meal</t>
  </si>
  <si>
    <t>maybe - too far paste farm gate?</t>
  </si>
  <si>
    <t>maybe - too far paste farm gate? GWP range is large</t>
  </si>
  <si>
    <t>no - incompatible FU</t>
  </si>
  <si>
    <t>kg mass gain per day</t>
  </si>
  <si>
    <t>From environmental nuisance to environmental opportunity: housefly larvae convert waste to livestock feed</t>
  </si>
  <si>
    <t xml:space="preserve"> COPY - USED FOR FORAGE FISH</t>
  </si>
  <si>
    <t>Molluscs</t>
  </si>
  <si>
    <t>t (does not specify milled, husked, etc.)</t>
  </si>
  <si>
    <t>t paddy rice</t>
  </si>
  <si>
    <t>Value fraction</t>
  </si>
  <si>
    <t>Product fraction</t>
  </si>
  <si>
    <t>lt bottled olive oil</t>
  </si>
  <si>
    <t>converted olive oil back to olives (did not use VF, but VF = 0.96 so the effect would be negligble anyway)</t>
  </si>
  <si>
    <t>functional unit given was 1 lt of bottled olive oil - it takes 4 kg of olives to produce 1 lt of olive oil (did not use VF, but VF = 0.96 so the effect would be negligble anyway)</t>
  </si>
  <si>
    <t>t paddy rice (does not specify)</t>
  </si>
  <si>
    <t>kg brown husked rice (back calc to paddy)</t>
  </si>
  <si>
    <t>special</t>
  </si>
  <si>
    <t>Year</t>
  </si>
  <si>
    <t>Abeliotis et al.</t>
  </si>
  <si>
    <t>Aguilera &amp; Guzmán</t>
  </si>
  <si>
    <t>Aguilera et al.</t>
  </si>
  <si>
    <t>Alaphilippe et al.</t>
  </si>
  <si>
    <t>Ali et al.</t>
  </si>
  <si>
    <t>Bartl et al.</t>
  </si>
  <si>
    <t>Berry et al.</t>
  </si>
  <si>
    <t>Biswas et al.</t>
  </si>
  <si>
    <t>Bojacá et al.</t>
  </si>
  <si>
    <t>Brentrup et al.</t>
  </si>
  <si>
    <t>Cerutti et al.</t>
  </si>
  <si>
    <t>Choo et al.</t>
  </si>
  <si>
    <t>da Silva et al.</t>
  </si>
  <si>
    <t>de Backer et al.</t>
  </si>
  <si>
    <t>Eady et al.</t>
  </si>
  <si>
    <t>Fallahpour et al.</t>
  </si>
  <si>
    <t>Fusi et al.</t>
  </si>
  <si>
    <t>Gan et al.</t>
  </si>
  <si>
    <t>Gasso et al.</t>
  </si>
  <si>
    <t>Graefe et al.</t>
  </si>
  <si>
    <t>Grassini &amp; Cassman</t>
  </si>
  <si>
    <t>Gunady et al.</t>
  </si>
  <si>
    <t>Halloran et al.</t>
  </si>
  <si>
    <t>Hokazono &amp; Hayashi</t>
  </si>
  <si>
    <t>Iraldo et al.</t>
  </si>
  <si>
    <t>Iriarte et al.</t>
  </si>
  <si>
    <t>Jensen &amp; Arlbjørn</t>
  </si>
  <si>
    <t>Jones et al.</t>
  </si>
  <si>
    <t>Khoshnevisan et al.</t>
  </si>
  <si>
    <t>Knudsen et al.</t>
  </si>
  <si>
    <t>Korsaeth et al.</t>
  </si>
  <si>
    <t>Liu et al.</t>
  </si>
  <si>
    <t>Manfredi &amp; Vignali</t>
  </si>
  <si>
    <t>Maraseni et al.</t>
  </si>
  <si>
    <t>Maraseni &amp; Cockfield</t>
  </si>
  <si>
    <t>Martinez-Blanco et al.</t>
  </si>
  <si>
    <t>Martin-Gorriz et al.</t>
  </si>
  <si>
    <t>Meisterling et al.</t>
  </si>
  <si>
    <t>Mohammadi et al.</t>
  </si>
  <si>
    <t>Moudrý et al.</t>
  </si>
  <si>
    <t>Mouron et al.</t>
  </si>
  <si>
    <t>Mujica et al.</t>
  </si>
  <si>
    <t>Müller et al.</t>
  </si>
  <si>
    <t>O'Donnell et al.</t>
  </si>
  <si>
    <t>Oonincx &amp; de Boer</t>
  </si>
  <si>
    <t>Page et al.</t>
  </si>
  <si>
    <t>Pergola et al.</t>
  </si>
  <si>
    <t>Pishgar-Komleh et al.</t>
  </si>
  <si>
    <t>Queirós et al.</t>
  </si>
  <si>
    <t>Rajaniemi et al.</t>
  </si>
  <si>
    <t>Ramjeawon</t>
  </si>
  <si>
    <t>Raucci et al.</t>
  </si>
  <si>
    <t>Roer et al.</t>
  </si>
  <si>
    <t>Romero-Gámez et al.</t>
  </si>
  <si>
    <t>Salomone &amp; Ioppolo</t>
  </si>
  <si>
    <t>Strange et al.</t>
  </si>
  <si>
    <t>Taxidis et al.</t>
  </si>
  <si>
    <t>Theurl et al.</t>
  </si>
  <si>
    <t>Torrellas et al.</t>
  </si>
  <si>
    <t>Torres et al.</t>
  </si>
  <si>
    <t>Tsarouhas et al.</t>
  </si>
  <si>
    <t>Tuomisto et al.</t>
  </si>
  <si>
    <t>Tzilivakis et al.</t>
  </si>
  <si>
    <t>van der Laan et al.</t>
  </si>
  <si>
    <t>van der Werf</t>
  </si>
  <si>
    <t>Venkat</t>
  </si>
  <si>
    <t>Wang et al.</t>
  </si>
  <si>
    <t>Williams et al.</t>
  </si>
  <si>
    <t>Yan et al.</t>
  </si>
  <si>
    <t>Almeida et al.</t>
  </si>
  <si>
    <t>Avadí et al.</t>
  </si>
  <si>
    <t>Avadí &amp; Fréon</t>
  </si>
  <si>
    <t>Ayer &amp; Tyedmers</t>
  </si>
  <si>
    <t>Ayer et al.</t>
  </si>
  <si>
    <t>Boissy et al.</t>
  </si>
  <si>
    <t>Cao et al.</t>
  </si>
  <si>
    <t>Ellingsen et al.</t>
  </si>
  <si>
    <t>Farmery et al.</t>
  </si>
  <si>
    <t>González-Garcia et al.</t>
  </si>
  <si>
    <t>Hall et al.</t>
  </si>
  <si>
    <t>Hospido &amp; Tyedmers</t>
  </si>
  <si>
    <t>Iribarren et al.</t>
  </si>
  <si>
    <t>Meyhoff Fry</t>
  </si>
  <si>
    <t>Mungkung et al.</t>
  </si>
  <si>
    <t>Pelletier et al.</t>
  </si>
  <si>
    <t>Pelletier &amp; Tyedmers</t>
  </si>
  <si>
    <t>Santos et al.</t>
  </si>
  <si>
    <t>Vázquez-Rowe et al.</t>
  </si>
  <si>
    <t>Watanabe &amp; Tahara</t>
  </si>
  <si>
    <t>Yacout et al.</t>
  </si>
  <si>
    <t>Ziegler et al.</t>
  </si>
  <si>
    <r>
      <rPr>
        <sz val="8"/>
        <color rgb="FF000000"/>
        <rFont val="Aptos Narrow"/>
        <family val="2"/>
        <scheme val="minor"/>
      </rPr>
      <t>Cross-vessel eco-efficiency analysis. A case study for purse seining fishing from North Portugal targeting European pilchard</t>
    </r>
  </si>
  <si>
    <r>
      <rPr>
        <sz val="8"/>
        <color rgb="FF000000"/>
        <rFont val="Aptos Narrow"/>
        <family val="2"/>
        <scheme val="minor"/>
      </rPr>
      <t>Comparative life cycle assessment (LCA) of Tilapia in two production systems: semi-intensive and intensive</t>
    </r>
  </si>
  <si>
    <t>Author(s)</t>
  </si>
  <si>
    <t>green peas (shelled)</t>
  </si>
  <si>
    <t>carp</t>
  </si>
  <si>
    <t>Processed FBS item</t>
  </si>
  <si>
    <t>Processed item footprint</t>
  </si>
  <si>
    <t>㜸〱捤㔸㕤㡣ㅢ㔷ㄵ㥥㍢昶㜸㍤㕥㍢㌱㐹㥡㌴㐹㥢ㄸㅡ㈹㕢㌶戸扢搹慣㥡愴㐴改摡捥晥挰晥㌵㜶㤲㑡㔵㘵捤㝡敥慣愷㍢㍦㘶㘶扣扢㙥㔵㈱愱昶㠱〷搴㈷㈴㉡㕡㐴㜹㈸㤵㉡㔵㠰ㅡ㈱㝥ち愲ㄲ㤵㥡〷㉡昱〰て昰㔲愹㐸㐸㈰㄰㐲攵㠵愲㜲扥㍢攳㕤晦㙤㥢㉣㡢㤴㐹㝣昷捥㍤昷㥥㝢敥昹昹捥戹㈳㌱㐹㤲㍥愶〷㝦昱挴搱戹慦摣昲〳㙥攷㡢慥㘵昱㕡㘰扡㡥㥦㥦昲㍣慤㌵㙦晡㐱㡣㈶㈴慡㈶搱㝤愵敡㥢㑦昳㘴㜵㥤㝢㍥㑤㔲㈴㈹㤹㔴㘵愲户㝦搹㜶㐷挵㉡㌵㑥㑤㥡㘶㐹㤵㘲㘱㘹攵㈹㘲㕤づ㕣㡦㥦挹㕤てㄹ㕣ㅡㅦ捦㡦攷捦㑤㡥㥦捤㡦㥤挹ㄵ㥢㔶搰昴昸㈵㠷㌷〳㑦戳捥攴㤶㥢㉢㤶㔹晢㌲㙦㔵摣㌵敥㕣攲㉢㘳ㄳ㉢摡戹昳攳攷㈶㈷㡤ぢㄷ捥愷ㄳ挴㜹戹㔸㤸攵㔶㠳昸敤ㄵ搷㈱攲扡㔸㉣㉣㝢摣搸㉢㥥ち戴㌱㕥攲㌵ㄳ㙡攳摣㌳㥤搵㝣戱㐰晦㍢戴㐲㙦て攷㤷捡㘵敥昸㘶㘰慥㥢㐱ぢ㥡㔳敤愵摡捡㜵捤㙡昲㠴㉤㐴㑡摡搷㌵㙦㔱戳㜹挶扥收昳慢㥡戳捡昱愶搸㌳㑤㔳㡦㤳㌹㘳てづ摡㈸㔲㔲㝥愹㔸㈸搶㌵㉦〸㔹搲〶てつ㥡㉤㜶捡㜷㠸㈲搶㠸㔱愸㠷つ㐷づ㠳㍤㠵㤴㐹㠸慡㔲㤳㐸㔱㜳戰㘳㘵㑥㉣捤㥤㘵昱て挹敤㍡ㄷづ搳㑣戹慡挹搵ㄵ戹㕡㤳慢扡㕣攵㜲搵㤰慢慢㜲戵㉥㔷㑤戹晡㤴㕣㕤愳㌹敤㈷㌹㌴㈴㐷捦㍢㝦㥢㌹晤挲㉦㕡ぢ慦㝦晢戳㠷㐷晥改晥㡢挱搳㠴换愵愹愳㘶愸㐹散愳㘶㠰㈰攳㡣晤㠳〴㠱㌰敦敡㕦昳㝥晦挳㥢挵㌷㑦扤摤晡搳㔷敢慦愴戳戴㘴㤱㌴㤴㕦攴挱ㅥ戹㤳〲捤摣扥㐵㈰扥㘲㠷〶㉤㜱扦愶挲摡㜳㡥捥㌷ㄳ搴㈳㉦㐸摢㐵搷〹昸㘶㔰搲〲㙤挸㕥搶㍣敥〴㉡㑤ㅡㄵ慢挲ㅥ㔶㘶挴㔸㝢㜵㉡㝡㈳づ㔹搱敤攰㌲㉣〶㐲㑥㡣攰㈰ㄶて摢㘴㘲㄰㉥捣㙡㝥㍤搰㔶㉣㝥慡挷㜱愰㌷昲搵㙢㠱㘹昹㜹㘲㌹攳戹捤〶㌴扡㔷㝣㄰敥㉡摣㉢㜱㠰ㅡ㠱㘲昸㑢ㅢ㍣慡ㅥ愴㍦㈹㐱㔴㐱㈴攳㝥っ捡㌶㉤㝤㠴㕥㐸挴㤲㙢㙢愶戳㐷挶㑤摦㑢㑣ㅦ㡢㘲愱攴㘹ㅢㄴ搷摢慣〹搴昰敦搳㠱㡤㜰捤㤸㌴ㅥ㌶挶挷昵挹㌱㙤㐲㔳㄰㐸㜷ㅡ㤷㠷㘸㑤摡扥㘱㍡扡扢㈱〲昵㠰㑤㔱㈸㠲慦搲㙡㜰㌱㤴㌶㉡㥡户捡㈹昸扤戹搲㈱愳攸㝡ㅥ户戴㠰敢㘲〰㘰㝦愴㝢搰㥦昶㕣ㅢ攳昷ㄵ㌴㥦㙦㠳挰愸ㄱ㙥㔴㜰㥢㡥敥ㅦㅦ㑣㉣〷挴晡㔸㉦㙤㥢㐹摦戲㌲〱㈳昷㠵愴㈷㝡㤷〹攷㥦摡㌴㐳昲晤㍤㘴㠲㐶㜷㘵㘷敡戴挷扦戲㐵敤㤳㘸㡡㌲摥㍡〷扤敦㤴㈱㈹㤴㡢㠰捣昵戹㈳挴ㅢ戵㤷捤摡ㅡ昷捡ㅣ昹㤲敢攲愸昷㠰挴㈹ㅥ㙢摣ㅦ㕤㠲敡〹㥢昵捦㜵㡥ㅡ㔷㌶〳㑥搱慣㤳扣㤴戳㠲㔶〵㤱㜴戸㙢㑡戸㈷ㄱ㡥㜶つ㑦扢戵愶㡦愸昵㕣慢㥢㌲愵慦㙢戴愷扥攰敡㍣ㅥ㤷㘳㔲㕣㡡攳㤱㈸ㄷ挴㈸㤴挷㝡〲㔵㈴ㅥ昰昶㍢ㄱ扥挳㜳〰昱ㄳ户戵愸摢扤戰㙥㄰㘴㙣㤵ㄲ散摥敥㔸挹㕦㈵敤㤱㤶㉣㡥㐰㤲㝢ㄱ愵㐳搰㙤慦挱㈶〳昱㌴㍣㔱㠷捥攰户㤸㍤戲昳㔱〴摢㉤捦昸晦㑥㤶攵㠳搱改慦慣ㄳ㘶捦㙡㡥㙥㜱敦㤳昵〵㠹搴愳㘸㡥愱㌹㑥㑤㑡㔲㍥㈰㜴摢㔱㤳挸㠴㙣㤳戵㤴つ㔳て敡㠹㍡㌷㔷敢〱㡤㔱愹㤶㑣㐲捤敦㐷扦㤷愹㔶晢ㄱ敡㌵昵㝥㌴㈷愸㐹愵㔲㤲挰捦㐴㑡捤㠹㜷㠹㈱㈳㠹散㡥㝣摡て慥て㘰㥡晡〹㌴㠶㘴っ㐰㔳㑦愳ㄹ㐱昳㈰㌵㈹㠹晤㡥捥㠱戳㥣㈶㤹㕦愴挴㜳㡢㝥㝦愶㥦愴㡥愲㌹㠳㔹ㅤㄲ攵挵扢ㄴ〷搶て㔲摢㔶㘶㠲搶㔲昳慥愶㑦㙢㌵慡㌷㠷愲㙡㌳㔹㜴敤〶攵㑢㉦㡢㤹㐵㡡ㄶ㡡挲㜵㔳攷㕥ㄲ〳㘵㉡㙤攳㔴㙣晡〹㠱㌵㍥㈵挲㤸愴㈸挳挹㐱㝢捤戵㜹㥤㡡㙣摡㔹㍡捦昵昱晦敢㘳攷㉦㐳搵愹㤴㈸㔲ㅥ愲慥㍡㐶㡤〲摢摥㜱㝣敥愷㐵㠷敤㜲摤摤㤸㈵攳㜲㍦㉣收晣愲㘷〶㐷晡㠷㈹戱㙢昶㔱㌱㍥攳㜱㠲㘴慦㐲挸㈴捥㠸ㄵ挷〶㔲挴愲㘳㈲㍣㍡㠰㘱搴戸㙥昲つ愴㤳㤳晤㈴慡㐶㡢㑤㍦㜰㐵ㅤ㜲愲㥦㕥㜲ㄷ摤愰㘴晡つ㑢㙢㥤ㅡ㐰づ㈹㌷敡摣㈱㌴昵〸㔴㍦㙤㤲摢㘸㜰㝤㠰㡣㘵户改搵昸㕣改㙥挰㘳戲㔴昸㌰〱挵㉣挹ㄲ㌲愳㘷㜷㔰挰攰㉥搲㌳㠷摥㤸㜹晦改攷㉥㈷〸攰ㄹ〵〸㠵㠸〲㜸搸つ㘴㈳㌰㌳㕤㠵挲㍤戸㔶㉣搰㔵捣㙣㔸扣愰㜹攴搸慥攷慢㜶扢ㅢ㍡㕥㐷㠱ㅦ㐶换摤愰㙣捡㝢㘱挶换敦㡣昸ㅤ㠲ぢㅦ㠴㌳〳㉦搸愱㥥搴㈴捥つ扣摣愵慤㤴昷〸搹敥㔰㄰㘰摦搰㍡捡晣㙡㔵㑡㐲㉣㍣㑣昹つ戱ㅡ㈸ㅦ挰㍥敥攰晡㈷㔶愵搶ㅣ㜷挳ㄱ㤲㉢㍥慡㉦〱愶㐳㐳㌸〶ち㘷昱㑣戶摤㐶㔲㤰㑦㐶〷改㉡慣㤲户敥愷㜳㍡㈵慣攸㐲㥡挶㠵戴攲㜱㜱敢㑣㡡ㄷ㔲㘱挶扥攱㝡㙢㉢慥扢㠶扢换㍥昱收搷㌹て㜰㐳ㅣ戶挳㙢㉥晡攴晢戱㔸搷㉤㌰搲㍢㠸愸搱挳晣㜳㡥㝡戱㘹慦㈶摥搸㉤㍡㍦㉥㙣㝦ㅦ㤹㍦昱挲㕢摦㥢㝥敥ㅤ晢㙡收㤷㑦愴搸扢ㄱ愱昴搲㝢㝦㝣昵〷㐷ㄶ扦㜱㉢㜶㜳晡㠱㙦㍤慢㈰愵摤㔶㌹㠱ぢ捡㝥㘳ぢ扢㉡㘶㘰昱㘱㈳㜴つ昴㤳〶愱ㄱ㤵㝡晡㤰㔱愹搳愹㑢ㄹ㘳挶㌳㜵换㜴㌸㕣㠷㡡㘸摣愶攷昹㉡㤵㜵换㉥㙥敥慥㤳㌱㉡㥥收昸挸㌵㑥慤㜵愰敢㑤㐴㡢㘲ㄴ㑣挷愷㙤〴㕥愲扦摦〰㥣㤳攵㥡戶㌳愳㌵晣扢㈱㥣挸㑦摡㑦〸㕥㌲㤳㘵㤶㤴㤳扢㡣〸㈹㜱㥥昸ㅤ敦㠸挰㡢戹㤲挹㠳摣ㄷ㜲㍥搷っ搷搵愹〶㤴〵挶挹㘷戱㜳〸㙤㈸㑣㙥扦攰㠳捣㘹昱愵㈴慡挴㘳㠳搲昷㔶㐵㡡ㄸ㔳㉦㔰挳㜲㘸攸愷㕥㡣㍡㜸㘱㈸㙦㔰㙦昴㈴昰㐷㘸㐸晤㈲㈶㥣愶〶愸摣ぢ捤㌴㤲㑡愹㤷㠸㐲昰捣㔰昵〰愲搹摢攴戰〰〶敡㑢㡣晤㡡㝡㠸敤〱戱挹㔰㈳㈱㍥挳㜸㤸愲摥㜶㍣扣㐵㙢〶挶挳捦㈳挲㕦㍥晦攴㥢ぢ晦㕥㉤晣散㥢㝦㜸晣愳㕦㍦晢㘳㠶㠲ち㌱㈱㈵慥㔰㜳㜲㤰つ㈸㉦㍢㐱づ㘶愰搲愷摦づっ攵ㄸ㙣愱㑥㔳挳㔰㡣〹㜵捤㐴ㅤ扣㘴㔱搸愰捥㐹捣㔲昳㤹㘲愱ㅡ〶㝥ㅢ㍦ㄲ㜳㌴扣㡦㠶㍢慡昴㉣敡㈰㔱㠶㝥㠹㍡攲ㅢㄲㄳ〶挱摢㍣㌵敤㈷ぢ挳〰昰搴〵㙡㌲戱㉣㡣㈰ㄶ㘲㌳ㄵ慣戳㌰㠹ㄸ㕡挶㄰㉡㑦〶ㄳ〸㐱慦㐶ㅤ扣㌰㜱〶敡愸㘵㙡摡㑦ㄶ㘷ㄱ㍢㔴愸㤳㠹㌱㐸〴ㅢ㈴慥攱㝤捡戲㜲㙤㤴愳㈲ㄱ㐳摤㕦搳㙥搰搰挸ㅣ㝤㈸㠵ㄶ㠳〶㝤攵ぢ㝣㜲㙥挳昵㜲㍡摤㐵㍣㜳愵ㄹ㝥㕢摤戴晣㑤昶㕡㘴慢攴㐷ㄳㅦ晣愴晥㑣攱昹搷㥥扦晣攱㙦扦㝥㤳㝤㍦㈲昴㝥攴捡戶戵愱㐰〱㡦っ挲敤扥㍢搰㘸敦㠵昳ち㕤㈰㕢㔰㔱㡣㑡㕤㐵愰㔱㕣扥戸㍢㕥敤摣㠹㈰㔲㕥㈵愹晦〷㍥戰㑡㜷敡㍢㐹㈳敡ㄳ搴㌰ㄸ㔳㠴〲捣愰㐲昱㉡㔴捤㕥搹㐹㠳摦㡤〸扤ㅦ昸戲昰〱㘱㘰㡤㍡攴㐲㙤敢㌳ㄸㅣ㕡㘵摦愱愵㌸㡡搸扤㐶㈳ち㐴攸㑤扥戸㉢㑣㐳㡢㍤户慣攱㘱愴摡昲㡢㍦㝤昴㍦ㄳ㑦㑥㌱散㈲戸扥ㄴ㜱㝤㥣〶㤲㔴〰㠲㌱昸戶㘷づ晦ㄷ㤰㍤㌶敢</t>
  </si>
  <si>
    <t>㜸〱捤㔸㕤㡣ㅢ㔷ㄵ昶㡣㍤攳ㄹ摢扢㔹㥡ㅦ㈰㐹㔳㠷㉣㙤摡摤戸搹㈶愱㐹㑢㤴慥敤㌸㔹戲搹㙣搷㥢ㅦ㠹㔴搶搸㜳㘷㍤摤昹㔹敥㡣㜷搷㈰〴て㐴愲ㄲ㉡扣㠴挲㘳㜹敡㑢㈹㐵慤㘸ぢ㔵ㄱ〱㈴挴ㅢ㡦㈰晡㠰㈸ㄴㄵ㠹ち〹㈴愰晣㝣攷捥搸敢昵㝡昳搷㈰㘵㜶㝤收摥㝢敥㍤昷攷㥣昳㥤㌳㌷㈱㈵ㄲ㠹晦攲愱㌷㍤㈹㉡散慥戶㠳㤰戹㠵㤲敦㌸慣ㄱ摡扥ㄷㄴ㈶㌹㌷摡搳㜶㄰㈶搱㐱慤搹攰〷㑡㉤戰㍦捦戴摡㌲攳〱㍡㈹㠹㠴愶改㌲昸㈴㠴㝥㈳㥤㡡㑥愳㜲㈹㤰昹㔲昱㕣晤㘹㐸慤㠶㍥㘷攳昹ぢ搱搸攳ㄳㄳ㠵㠹挲攱㈳ㄳ㡦ㄴづ㡥攷㑢㉤㈷㙣㜱㜶摣㘳慤㤰ㅢ捥㜸㝥戶㔵㜷散挶ㄹ搶㥥昷ㄷ㤹㜷㥣搵てㅥ慡ㅢ㠷㡦㑥ㅣ㍥㜲挴㍡㜶散㘸づ㔳㈷㘶㑢挵搳捣㔹㠲扣㍢㈵㔵㠵搴㤹㔲㜱㤶㌳敢㑥挹㔴攸㈰づ㤴㔹挳愶ㄳ㘳㡣摢摥㐲愱㔴挴㝦捦愹愰昶㘸攱㕣戵摡㌰挲㤰㜱摡㥢敥㥥㙢搴㉦ㄸ㑥㡢愹慥㔸㡥收㕥㌰昸㡣攱戲㈱昷㝣挰收っ㙦㠱㔱㑤㜱㑦戵㙣㌳〵㉤㈶ㅦㅣ㌴㐹㝣㐰㠵㜳愵㘲愹㘹昰㔰㠸愴〹挶〶昵ㄶ㌳ㄵ攲㘵㠸晥愲㠵㡥㐵捡挶㌶㈲收愳ㄵ愶㠹㘸㈰慡づ戲㈵ㅥ㤵ㄷ挳昲ㄳ㔲敡敦戰戲摥㐱㔹昴㤲㙢㠶㕣慢换戵㠶㕣㌳攵ㅡ㤳㙢㤶㕣㕢㤰㙢㑤戹㘶换戵愷攵摡㈲晡㜴ㅥ㉤㥤㤶攳攷㌹㑤摤晢散㍦ㅦ㍥昳晤㜷㍥㝡昵敡愵昰户㌹㤲㌵㠳㍤ㄵ㘶㔸㜸㠷㤴慦搰㝥㙥晥っ㜳攸慤戸㤱ち捡㉣㘸攸愴㥦㈹捦㘴慢㉡㑡搰㕢捥㉤昹㕥挸㔶挳戲ㄱㅡ㘹㜷搶攰捣ぢ㜵㜴ㅡㄳ愳愲ㄲ㡤ㅣㄲ㙤㥤搱㤹戸〶〹㈳愲搸㈳㈵㉢ㅡ㈲㐹ㄲ摣㉤㤹㡡愸愶づ㜲攰搳㐶搰っ㡤扡挳㐶晢㔴㑤攷〶敢㍡ㅦ摡㑥㔰㠰挸㔳摣㙦㉤搱㠹摥㈹㌹挲㠰挹㈸搴㈱㄰〱㌷昴挶昳㠴㍥っ㥡搱㠹愹ㄳ㤳愰〸㉦㝡㘲㕥敥ㅥ㤴㥦㡣㡤慤捣㡤ㄵ㌸捣㥡㡡㠱ㄶ昴㜷㘳挴〰㘰㔸㐷慣㐷慤㠹〹昳挸㐱攳㤰愱㤰愵摥㡡搱摦㠷晥㌹昷愲敤㤹晥㡡昰㠲㈱户㙡ぢ㈵㤷〹ㄵ㜳敥扣挱ㄷㄸㅣ㡡㑦㤵㌳慥戰晡昹昶ㄲ换扡戴收㔹摦昶挲㈰攷㡡㜷戵敤搶㝤㈷ㅢ㔵〰戱㍥捦挴っ㠰愹㉥晡㑦摢ㅥ㑡㐴慢㘸换㠸㤲攸ㄹ㌵㤲㘰㑣摦昴㔷㉡戶〳㠴㘰收㉥㌱慣攴㜳捥ㅣ㠳〰扢攴㌳换戲ㅢ㌶㡣㙣搸慤㜰摦慤㌲㉦㄰慢摡㈱扡捥戱〵捥〲挲愰㌲ぢつ㘸㝥㜷搱〸搸㥡㡦㡦㔹搱㔶㡢㝥换㌳㠳㕤㠳㤹搵搰〸搹捥㝥摥㥡㤰つ挳慡挰㍢ㄶ㠸攳摢搳㍦㑣㜸挹攴慡ㅤ戱敦敤㘳〳昵晣晡收摣ち㘷㥦敢㜲㌷慣㘸ㄲ㌱㙣㤹ㄱ㝦挳㉥㈳㔶戴㉥㘰㤵ㅦ㌰㑦㉣㙦捣㥤戵ㅢ㡢㡣㔷ㄹ㐵㐰㘶㡡慤㙥㈷ㄶ㡥摢㙢戰㘰散㥣㠷㡤〲㜶捤㑦昴戶㕡㈷㔷㐳〶户㌷戱㕥㠴愲戰㍤㑦㉥户㘳㕤㤷㘸㑥㌰㍥扥慥戹攲㌷㕡〱戹㌷昷㥤昵㥣㐹㜳搹挰㥣收㔹摦㘴愹愴㥣㑡㐸ㄴ㐹㔳㐴ㄲ㈹扣昱㈰摣㈶㤳㜰晦昱㍥攷ㄶ愱㠵愶〹㍡㌸摥㘳挲〴攴㠳愰愲ㅢ敢ㅦ搸㕣㥡搰㌲ㄹ㈲晤㐴㐴搸戶摥㐹㈹㝢昰㌹㜹㙦㕡㑡㙦捡ㅢ㠸戰敢搶㑢㕥搰㥤㐳㤲愴㡦昵㑤㌳〷晤㐰てづ愳愹攴㝥㜰敢搹晦㥡㕤搲㜲慦㌳㜱㡦㔶挸戵愹昷晥ㅢㅣ㐴搷昶晥扦㥤㘵㜹㙢扣晢㤳换昰散搳㠶㘷㍡㡣㕦㔷㠵ㄲ慤㐸摦㑡㘴ㅢ㐸㐶㜹て㄰㝢戳㝡愵ㅣ㉥扤㑣攱慢㔶㐳㌸㐰㡤㙣㑥㔲㜷㠰慡㘷つづ搳㔶晥〴㜹〳搵㉢㙣搴愳愴㐴㐸挸㉣㝡晥ち㜰〹㐶愱〴〴ㅣ㈴㕣㑦愷㐹㙤ㄹ晣攲㐷㑥挸〹〹晦敦㐲㉣㠹捥㕣扥㝣㌹づ〹㜲㐲昹㈳㕡慥愳戹㌸改攸㤸捣挶攵搳㈴ㄴ㈴㤵㍦㐰搰愶㤶㈴㌶戹㉡戵㤵ㄵ摢っ㥢㙡㤳搹ぢ捤㤰㠶㙡㜸㘸扤㙦㈳慦㕤㠲㤸㌳挸收扥㐱㌹慥扥㡢挸㙥㈲昷㠲㘴㌲㔱㌸㔳㌳㍡挵つ㔴㔳ㄴ攸〶㈹慡ㅢ㤶㈹摦挸㑣晢㠶㔹㌱ㅡ㐸㡤搳㜱㘲慣㤵㝣㜷〹挹〲ㅦ愱㥥㈵㈰〰㤰㘵搹㌶ㄹ搷愸㠱攲㐳ち㜹㜱愰ち晣っ㤰〵㈴ㄳ㡡㤲搵〶捤㌵搵㤱㌵ㅡ㕢ㄱ戴搱㑤昰愷㌶挸晦昳㤳㐷㑦搰收㌲ㄹ㑡㕡昵㍣㤱扤㈰ち㔹搳㉤〱捤ㄶㅡ敡捥㍡㝥㐸敢ㅤ㜶㑢ㅣ摦て摣㌶愶㙤搷づ户㜷慢㌳㉤户捥昸㍣ㄸ㑥戰戵摢㍡换㜸〳挶㙥㉣戰㥤挲㠵㝢〰㙣捣扡㘰戳ㄵ㐲㠷晢㌶戲㤰ㄷ㤷㕡㐱攸㡢晣㙡捦㐶㝥搹㥦昱挳戲ㅤ㉣㌹㐶㝢㜴〰㍢攲㕣㙣㌲て攰捦ㄱ〳㙥搴挹㕦㕡㘲收㠰㌵㔶晤ㄶ㜶㌰㔵扥ㅢ挲㠷㜰㘰㘸㈳㈱㠹㜰愱ㄵ㌶〷戶㑥摥摦慢㉢㠲〰㑤㤳〱挳搲敤㈱ㄱ戹愴昲㌶㥣敦ㄶ㈷愶㜱敢㤱〸つ㠹㜷㘱㤸㠴ㅤ㈳昸㐹㤹㡣扥て㙦㌸㥢㐴㐸㐷㈳昴㔱㄰㠱㐳㜸㉢攴愳㌷ㄵㅦ㐸摣ㄶ慢㙢㍦昳㜶攸戰慣㈵㑣㐴㤴㌵ぢㄶ㠱散挰㑣㕢昳㑤捥㔸㜹挸㍡挵㙤搳㠹㈳搵戶愸敢㌴㕢㐰㈶㌰敢〷㌶㈵㘴㐳搶㍣㌷扣㠰㕣搹㙢戴敦㔹㔷ㄳ慥慢㔸㐵摢ぢ㌰㡤戰㔹㉡㙦戱㈸挵㠳㡦戶㕣敦㤴戱ㄴ摣ㄵ昶㐳挷ㅡ㍤挲㠰㈴㔹㤲㘵㐹㤳戵摢戴㠷㠴晡㐹㐸㔳愳捦㐴㤴攴挴㈳㐴㠹㐰㤳搰愵㐲愰㝡ㅤ挸敦ぢ搶戴㍣攴搹㙢㜹㕡㜲㄰㄰㜶ㄳㅣㄱㅣ敦愷㌱て㠰㝣收搴昹愹戵㙦㡢て㜵㈳愱㔰ㄸ戸改慣㘱㍢㍡て㐷㔶㐳㤹〴〱㥡㉥㤴㑦戵㝥㑢捣㔸愲てㄹ攵昰㕡戱㠲挴㌱㘷㑤ㅢ㜵收㔴㝣敥ㅡ攱㜰㔴㈱晦㜶㠱愷㌱てㄱ挰㌵挸捡攸敢ㅦㅥ敥㌰捤㥡㙣㠵晥㔹摢搳㉤㄰㘱㡡㜱㤳戱㡡㈶㘳㔵㌴攵慣㌹晡ㄲ㠸㠲っ㘴昹ぢ〶㜰愱改摡つ㡤㉡㤴慤摦ㄵ收〹扦㈷㝦敦㍣挲㐶〱㔷昹㍥㤸㡢㍥㜶愱敥〲愲〹ㅤㅤ愹ㅦ㐶㉣㑢㉡晥愴摢㑣戳㤰㕡㠸慦㔸晤㐱㐸㔳挴摤ㄷ㈵ㅢ昴扣摦戹㘱㝢晦㑢㘸ㄱ㤶㉤㔱㙡㐰㙣晤愱戸㐰㤵㤱㍣〸つ㔵挷㐰㍥㔲㉡搶愲㡢愱㈹ㄳ㌱搰づ摢敡㌸㥡㠷搱摣㘳攳㈳㝢攳㌱晡〱ㄴ挴㈵㡣㐴㔰㈸㠴㍦ㅣㄷ㠴昰づㅥ敡〷愹攳〴ㄱ㜲㌵晤㄰㜵㈲㍦㄰㐳づ愳搰㜹ㄴ摡换つ㡦㡦捥㍣㘳搱㐱㔶挳戶〳攳愵㈲摤㠶㐴㈵昱ㄵ㉢摡㐴晥㠷敢愹㔴㝦昲搵ㅤ㑢昹㔵㜶㘰㐲㐹ㅣ搲㤳昲换〱挹㕢㜷㍣敤㘰㉤㔲搰ㄸ㝡搴㑦㠱㙣㍢㙢㌷戸ㅦ昸㔶㤸慦〲㡢昳昴搹㘷㈵ㄲ〷㈷愵㕦㐰愲挸㌶㐵㘷㤰㝤㌸㠹ㄱ搲ぢ敤㑣㍦ち㌲㤴捣ㅤ挳ぢ户㈵㘵摦㌵㙣敦㑥〱〵愹㙣攰㐵㐴㌴㑤昷㘶戰㘳〰㜴㥢㤲愳敢挰㜹㐴ㅥ㍡㘲㑤㔴〰ㄹ㐳敥㐵㥦㉦搶㝤㝦㤱㥡㠷㐵㉤㘸㌲ㄶ搲ㅤ㕤搶㡤散㠸捡㠸摥挹攴扡扢戸㌸ㅦ㈴㈶㙤㔲㝤っ㘴㘸搲㜱昲ㅤ㠹㠱晡㌸㌵慤扢㌷㔴㍦㡤愶晤㔳戸〹捥㕢扥ㅦ㉥攱㉥㌳っ昲〷㔰攱㜹ㄳㅦ㑥摣慥户愲换攳㔵㈷㔸㤵慥攱㡣改ㄲ㔰晢攰搰敦㕦㙦㝥愱㜸攵㠵㉢㈷晥昶慢㘷㕥㤵㝥ㄲ㌳晡慦昵㐶挸㜴挵昹㥦愰戹㤳ㄲㄹ慤戰㜰扡㉡㔲㈷㐱㤲ㄵ摥㄰㉥㈷扤ㄹぢ昹换晥改㍤㕦㝦昳㍢㤵慦晣摣㥤ㅢ㝡敢戳ㄹ改㐷㌱攳㡤晤晦搸攷㈸敦㑣㕤晤昱搸晥㤷㔶㡢㕦㤶挸晡扢搲㜴㤲ㄶ㐹㝡㝤㌳㐹慦挵㡣搷㝥晡摣捥摤㕢慦㑤扤㝣攵昹摦捤㍣㍦㝡㑤㈲ㄷㅡ㈴改搵捤㈴扤ㄲ㌳摥㝢攸愹㔷捥晥㙢愱昸挳慢扦戹昴挱捦扥昸〳㠹晣㜰㤰愴㤷㌷㤳昴扤㤸攱㝣敤㍦摦㝣敢慦昲昴㌳昷㝦昷㕢慡昳敢慦㡥㜴㝣㔸㈱摢㝤扣て晥㝡扥㡡㝢㘰㘴慣晦敥攲㈴敥㈲摡㠴㐵㐹㝣㘱㈸〲晢㔳昲㘳户㈷慢昳〹㑦ㄱ㔷㜹〹慢晥㄰㜲搶扢㌸㐹㈴㈸搵攷㐰㈴㌲ㄵ摡戲昴㈲收愰㜹㉥愱㠲㡣㔵㈱㙥㍦慣㄰㉥㔵㘸㠳㝤㕦㝡搹㉣攱㐶昵摢㙦㍣昱敦㐳㑦㑤㘶晦〷愰㘴摥搸</t>
  </si>
  <si>
    <t>Per unit group (seafood GHG)</t>
  </si>
  <si>
    <t>O'Donnell et al., 2009. The relative contribution of transportation to supply chain greenhouse gas emissions: A case study of American wheat.</t>
  </si>
  <si>
    <t>Tuomisto et al., 2012. Comparing global warming potential, energy use and land use of organic, conventional and integrated winter wheat production.</t>
  </si>
  <si>
    <t>Torres et al., 2015. Quantification of greenhouse gas emissions for carbon neutral farming in the Southeastern USA.</t>
  </si>
  <si>
    <t>Korsaeth et al., 2014. Effects of regional variation in climate and SOC decay on global warming potential and eutrophication attributable to cereal production in Norway.</t>
  </si>
  <si>
    <t>Wang et al., 2014. Life cycle assessment of wheat-maize rotation system emphasizing high crop yield and high resource use efficiency in Quzhou County.</t>
  </si>
  <si>
    <t>Wang et al., 2007. Life cycle assessment of the winter wheat-summer maize production system on the North China Plain.</t>
  </si>
  <si>
    <t>Meisterling et al., 2009. Decisions to reduce greenhouse gases from agriculture and product transport: LCA case study of organic and conventional wheat.</t>
  </si>
  <si>
    <t>Moudrý et al., 2013. Influence of farming systems on production of greenhouse gas emissions within cultivation of selected crops.</t>
  </si>
  <si>
    <t>Khoshnevisan et al., 2015. Developing a fuzzy clustering model for better energy use in farm management systems.</t>
  </si>
  <si>
    <t>van der Werf, 2004. Life Cycle Analysis of field production of fibre hemp, the effect of production practices on environmental impacts.</t>
  </si>
  <si>
    <t>Gan et al., 2012. Carbon footprint of spring wheat in response to fallow frequency and soil carbon changes over 25 years on the semiarid Canadian prairie.</t>
  </si>
  <si>
    <t>Rajaniemi et al., 2011. Greenhouse gas emissions from oats, barley, wheat and rye production.</t>
  </si>
  <si>
    <t>Gasso et al., 2014. An environmental life cycle assessment of controlled traffic farming.</t>
  </si>
  <si>
    <t>Fallahpour et al., 2012. The environmental impact assessment of wheat and barley production by using life cycle assessment (LCA) methodology.</t>
  </si>
  <si>
    <t>Eady et al., 2012. Life cycle assessment modelling of complex agricultural systems with multiple food and fibre co-products.</t>
  </si>
  <si>
    <t>Brentrup et al., 2004. Environmental impact assessment of agricultural production systems using the life cycle assessment (LCA) methodology - II. The application to N fertilizer use in winter wheat production systems.</t>
  </si>
  <si>
    <t>Roer et al., 2012. The influence of system boundaries on life cycle assessment of grain production in central southeast Norway.</t>
  </si>
  <si>
    <t>Berry et al., 2010. Quantifying the effect of interactions between disease control, nitrogen supply and land usechange on the greenhouse gas emissions associated with wheat production.</t>
  </si>
  <si>
    <t>Ali et al., 2015. Optimization of the environmental performance of rainfed durum wheat by adjusting the management practices.</t>
  </si>
  <si>
    <t>Williams et al., 2010. Environmental burdens of producing bread wheat, oilseed rape and potatoes in England and Wales using simulation and system modelling.</t>
  </si>
  <si>
    <t>Aguilera &amp; Guzmán, 2014. Greenhouse gas emissions from conventional and organic cropping systems in Spain. I. Herbaceous crops.</t>
  </si>
  <si>
    <t>Yan et al., 2015. Carbon footprint of grain crop production in China - Based on farm survey data.</t>
  </si>
  <si>
    <t>Biswas et al., 2008. Global warming potential of wheat production in Australia: a life cycle assessment.</t>
  </si>
  <si>
    <t>Maraseni &amp; Cockfield, 2012. Including the costs of water and greenhouse gas emissions in a reassessment of the profitability of irrigation.</t>
  </si>
  <si>
    <t>Jensen &amp; Arlbjørn, 2014. Product carbon footprint of rye bread.</t>
  </si>
  <si>
    <t>Grassini &amp; Cassman, 2012. High-yield maize with large net energy yield and small global warming intensity.</t>
  </si>
  <si>
    <t>Bartl et al., 2012. Life cycle assessment based evaluation of regional impacts from agricultural production at the Peruvian coast.</t>
  </si>
  <si>
    <t>Khoshnevisan et al., 2013. Prognostication of environmental indices in potato production using artificial neural networks.</t>
  </si>
  <si>
    <t>Maraseni et al., 2010. An assessment of greenhouse gas emissions from the Australian vegetables industry.</t>
  </si>
  <si>
    <t>Pishgar-Komleh et al., 2012. Energy consumption and CO2 emissions analysis of potato production based on different farm size levels in Iran .</t>
  </si>
  <si>
    <t>van der Laan et al., 2015. Environmental benefits of improved water and nitrogen management in irrigated sugar cane: A combined crop modelling and life cycle assessment approach.</t>
  </si>
  <si>
    <t>Ramjeawon, 2004. LCA of cane-sugar on the island of Mauritius .</t>
  </si>
  <si>
    <t>Tzilivakis et al., 2005. An assessment of the energy inputs and GHG emissions in sugar beet production in the UK.</t>
  </si>
  <si>
    <t>Abeliotis et al., 2013. Life cycle assessment of bean production in the Prespa National Park, Greece.</t>
  </si>
  <si>
    <t>Venkat, 2012. Comparison of Twelve Organic and Conventional Farming Systems: A Life Cycle Greenhouse Gas Emissions Perspective.</t>
  </si>
  <si>
    <t>Aguilera et al., 2015. Greenhouse gas emissions from conventional and organic cropping systems in Spain. II. Fruit tree orchards.</t>
  </si>
  <si>
    <t>Mohammadi et al., 2013. Potential greenhouse gas emission reductions in soybean farming: A combined use of Life Cycle Assessment and Data Envelopment Analysis.</t>
  </si>
  <si>
    <t>Raucci et al., 2015. Greenhouse gas assessment of Brazilian soybean production: A case study of Mato Grosso State.</t>
  </si>
  <si>
    <t>da Silva et al., 2010. Variability in environmental impacts of Brazilian soybean according to crop production and transport scenarios.</t>
  </si>
  <si>
    <t>Knudsen et al., 2010. Environmental assessment of organic soybean (Glycine max.) imported from China to Denmark: A case study.</t>
  </si>
  <si>
    <t>Taxidis et al., 2015. Comparing organic and conventional olive groves relative to energy use and greenhouse gas emissions associated with the cultivation of two varieties.</t>
  </si>
  <si>
    <t>Pergola et al., 2013. Alternative management for olive orchards grown in semi-arid environments: An energy, economic and environmental analysis.</t>
  </si>
  <si>
    <t>Salomone &amp; Ioppolo, 2012. Environmental impacts of olive oil production: a Life Cycle Assessment case study in the province of Messina (Sicily).</t>
  </si>
  <si>
    <t>Iraldo et al., 2013. An application of Life Cycle Assessment (LCA) as a green marketing tool for agricultural products: The case of extra-virgin olive oil in Val di Cornia, Italy.</t>
  </si>
  <si>
    <t>Tsarouhas et al., 2015. Life Cycle Assessment of olive oil production in Greece.</t>
  </si>
  <si>
    <t>Wang et al., 2010. Life cycle assessment of a rice production system in Taihu region, China.</t>
  </si>
  <si>
    <t>Fusi et al., 2014. Environmental profile of paddy rice cultivation with different straw management.</t>
  </si>
  <si>
    <t>Khoshnevisan et al., 2014. Evaluation of traditional and consolidated rice farms in Guilan Province, Iran, using life cycle assessment and fuzzy modeling.</t>
  </si>
  <si>
    <t>Hokazono &amp; Hayashi, 2012. Variability in environmental impacts during conversion from conventional to organic farming: a comparison among three rice production systems in Japan.</t>
  </si>
  <si>
    <t>Page et al., 2012. Carbon and water footprint tradeoffs in fresh tomato production.</t>
  </si>
  <si>
    <t>Theurl et al., 2014. Contrasted greenhouse gas emissions from local versus long-range tomato production.</t>
  </si>
  <si>
    <t>Jones et al., 2012. Quantification of greenhouse gas emissions from open field-grown Florida tomato production.</t>
  </si>
  <si>
    <t>Page et al., 2014. Location and technology options to reduce environmental impacts from agriculture.</t>
  </si>
  <si>
    <t>Torrellas et al., 2013. An environmental impact calculator for greenhouse production systems.</t>
  </si>
  <si>
    <t>Bojacá et al., 2014. Life cycle assessment of Colombian greenhouse tomato production based on farmer-level survey data.</t>
  </si>
  <si>
    <t>Martinez-Blanco et al., 2011. Assessment of tomato Mediterranean production in open-field and standard multi-tunnel greenhouse, with compost or mineral fertilizers, from an agricultural and environmental standpoint.</t>
  </si>
  <si>
    <t>Manfredi &amp; Vignali, 2014. Life cycle assessment of a packaged tomato puree: a comparison of environmental impacts produced by different life cycle phases.</t>
  </si>
  <si>
    <t>Khoshnevisan et al., 2013. Environmental impact assessment of tomato and cucumber cultivation in greenhouses using life cycle assessment and adaptive neuro-fuzzy inference system.</t>
  </si>
  <si>
    <t>Torrellas et al., 2012. Environmental and economic assessment of protected crops in four European scenarios.</t>
  </si>
  <si>
    <t>de Backer et al., 2009. Assessing the ecological soundness of organic and conventional agriculture by means of life cycle assessment (LCA) A case study of leek production.</t>
  </si>
  <si>
    <t>Romero-Gámez et al., 2012. Environmental impact of screenhouse and open-field cultivation using a life cycle analysis: The case study of green bean production.</t>
  </si>
  <si>
    <t>Graefe et al., 2012. Resource use and GHG emissions of eight tropical fruit species cultivated in Colombia.</t>
  </si>
  <si>
    <t>Martin-Gorriz et al., 2014. Energy and greenhouse-gas emissions in irrigated agriculture of SE (southeast) Spain. Effects of alternative water supply scenarios.</t>
  </si>
  <si>
    <t>Maraseni et al., 2012. Integrated analysis for a carbon- and water-constrained future: An assessment of drip irrigation in a lettuce production system in eastern Australia.</t>
  </si>
  <si>
    <t>Pishgar-Komleh et al., 2013. On the study of energy use and GHG (greenhouse gas) emissions in greenhouse cucumber production in Yazd province.</t>
  </si>
  <si>
    <t>Gunady et al., 2012. Evaluating the global warming potential of the fresh produce supply chain for strawberries, romaine/cos lettuces (Lactuca sativa), and button mushrooms (Agaricus bisporus) in Western Australia using life cycle assessment (LCA).</t>
  </si>
  <si>
    <t>Knudsen et al., 2011. Environmental assessment of organic orange juice imported to Denmark: a case study on oranges (Citrus sinesis) from Brazil.</t>
  </si>
  <si>
    <t>Pergola et al., 2013. Sustainability evaluation of Sicily's lemon and orange production: Anenergy, economic and environmental analysis.</t>
  </si>
  <si>
    <t>Yan et al., 2015. Farm and product carbon footprints of China’s fruit production—life cycle inventory of representative orchards of five major fruits.</t>
  </si>
  <si>
    <t>Iriarte et al., 2014. Carbon footprint of premium quality export bananas: Case study in Ecuador, the world's largest exporter.</t>
  </si>
  <si>
    <t>Alaphilippe et al., 2013. Life cycle analysis reveals higher agroecological benefits of organic and low-input apple production.</t>
  </si>
  <si>
    <t>Cerutti et al., 2013. Environmental sustainability of traditional foods: the case of ancient apple cultivars in Northern Italy assessed by multifunctional LCA.</t>
  </si>
  <si>
    <t>Mouron et al., 2006. Management influence on environmental impacts in an apple production system on Swiss fruit farms: Combining life cycle assessment with statistical risk assessment.</t>
  </si>
  <si>
    <t>Liu et al., 2010. Life Cycle Assessment of fossil energy use and greenhouse gas emissions in Chinese pear production.</t>
  </si>
  <si>
    <t>Müller et al., 2015. Eco-efficiency as a sustainability measure for kiwifruit production in New Zealand.</t>
  </si>
  <si>
    <t>Khoshnevisan et al., 2013. Environmental impact assessment of open field and greenhouse strawberry production.</t>
  </si>
  <si>
    <t>Mujica et al., 2014. Carbon footprint of honey produced in Argentina.</t>
  </si>
  <si>
    <t>Mungkung et al., 2013. Life cycle assessment for environmentally sustainable aquaculture management: A case study of combined aquaculture systems for carp and tilapia.</t>
  </si>
  <si>
    <t>Pelletier et al., 2009. Not All Salmon Are Created Equal: Life Cycle Assessment (LCA) of Global Salmon Farming Systems.</t>
  </si>
  <si>
    <t>Yacout et al., 2016. Comparative life cycle assessment (LCA) of Tilapia in two production systems: semi-intensive and intensive.</t>
  </si>
  <si>
    <t>Ziegler et al., 2013. The Carbon Footprint of Norwegian Seafood Products on the Global Seafood Market.</t>
  </si>
  <si>
    <t>Pelletier &amp; Tyedmers, 2010. A life cycle assessment of frozen Indonesian tilapia fillets from lake and pond-based production systems.</t>
  </si>
  <si>
    <t>Liu et al., 2016. Comparative economic performance and carbon footprint of two farming models for producing Atlantic salmon (Salmo salar): Land-based closed containment system in freshwater and open net pen in seawater.</t>
  </si>
  <si>
    <t>Avadí et al., 2015. Comparative environmental performance of artisanal and commercial feed use in Peruvian freshwater aquaculture.</t>
  </si>
  <si>
    <t>Ayer &amp; Tyedmers, 2009. Assessing alternative aquaculture technologies: LCA of salmonid culture systems in Canada.</t>
  </si>
  <si>
    <t>Avadí &amp; Fréon, 2015. A set of sustainability performance indicators for seafood: Direct human consumption products from Peruvian anchoveta fisheries and freshwater aquaculture.</t>
  </si>
  <si>
    <t>Boissy et al., 2011. Environmental impacts of plant-based salmonid diets at feed and farm scales.</t>
  </si>
  <si>
    <t>Ellingsen et al., 2009. Environmental analysis of the Norwegian fishery and aquaculture industry – a preliminary study focusing on farmed salmon.</t>
  </si>
  <si>
    <t>Ayer et al., 2016. Environmental performance of copper-alloy Net-pens: Life cycle assessment of Atlantic salmon grow-out in copper-alloy and nylon net-pens.</t>
  </si>
  <si>
    <t>Watanabe &amp; Tahara, 2016. Life Cycle Inventory Analysis for a Small-Scale Trawl Fishery in Sendai Bay, Japan.</t>
  </si>
  <si>
    <t>Vázquez-Rowe et al., 2011. LCA of fresh hake fillets captured by the Galician fleet in the Northern Stock.</t>
  </si>
  <si>
    <t>Iribarren et al., 2011. Updating the carbon footprint of the Galician fishing activity (NW Spain).</t>
  </si>
  <si>
    <t>Hospido &amp; Tyedmers, 2005. Life cycle environmental impacts of Spanish tuna fisheries.</t>
  </si>
  <si>
    <t>Avadí et al., 2015. Life cycle assessment of Ecuadorian processed tuna.</t>
  </si>
  <si>
    <t>Almeida et al., 2014. Environmental assessment of sardine (Sardina pilchardus) purse seine fishery in Portugal with LCA methodology including biological impact categories.</t>
  </si>
  <si>
    <t>González-Garcia et al., 2015. Cross-vessel eco-efficiency analysis. A case study for purse seining fishing from North Portugal targeting European pilchard.</t>
  </si>
  <si>
    <t>Santos et al., 2015. Comparing environmental impacts of native and introduced freshwater prawn farming in Brazil and the influence of better effluent management using LCA.</t>
  </si>
  <si>
    <t>Ziegler et al., 2011. Extended Life Cycle Assessment of Southern Pink Shrimp Products Originating in Senegalese Artisanal and Industrial Fisheries for Export to Europe.</t>
  </si>
  <si>
    <t>Cao et al., 2011. Life cycle assessment of Chinese shrimp farming systems targeted for export and domestic sales.</t>
  </si>
  <si>
    <t>Farmery et al., 2015. Life cycle assessment of wild capture prawns: Expanding sustainability considerations in the Australian Northern Prawn Fishery.</t>
  </si>
  <si>
    <t>Meyhoff Fry, 2011. Carbon footprint of Scottish suspended mussels and intertidal oysters.</t>
  </si>
  <si>
    <t>Hall et al., 2011. Blue Frontiers: Managing the environmental costs of aquaculture.</t>
  </si>
  <si>
    <t>Iribarren et al., 2010. Life cycle assessment of mussel culture.</t>
  </si>
  <si>
    <t>Oonincx &amp; de Boer, 2012. Environmental impact of the production of mealworms as a protein source for humans – a life cycle assessment.</t>
  </si>
  <si>
    <t>Halloran et al., 2017. Life cycle assessment of cricket farming in north-eastern Thailand.</t>
  </si>
  <si>
    <t>bootstrap_subgroup</t>
  </si>
  <si>
    <t>excludes post-farm, excludes LUC; deforestation increases GWP by 364.1 + 280.1 = 644.2</t>
  </si>
  <si>
    <t>Aquatic animals</t>
  </si>
  <si>
    <t>atlantic salmon</t>
  </si>
  <si>
    <t>apple (ariane)</t>
  </si>
  <si>
    <t>apple (golden delicious)</t>
  </si>
  <si>
    <t>beans (french; runner)</t>
  </si>
  <si>
    <t>blackberry (andean)</t>
  </si>
  <si>
    <t>apple (melrose)</t>
  </si>
  <si>
    <t>fbs_item</t>
  </si>
  <si>
    <t>fbs_item_code</t>
  </si>
  <si>
    <t>fbs_group</t>
  </si>
  <si>
    <t>output_group</t>
  </si>
  <si>
    <t>production_system</t>
  </si>
  <si>
    <t xml:space="preserve">organic, conventional </t>
  </si>
  <si>
    <t>drip irrigated, sprinkler irrigated</t>
  </si>
  <si>
    <t>integrated, organic, conventional</t>
  </si>
  <si>
    <t>high yield, conventional</t>
  </si>
  <si>
    <t>setting(s)</t>
  </si>
  <si>
    <t>production_system(s)</t>
  </si>
  <si>
    <t>item(s)</t>
  </si>
  <si>
    <t>fbs_item(s)</t>
  </si>
  <si>
    <t>Vegetables Other</t>
  </si>
  <si>
    <t>Fruits Other</t>
  </si>
  <si>
    <t>Oranges Mandarines</t>
  </si>
  <si>
    <t>Molluscs Other</t>
  </si>
  <si>
    <t>Vegetables Other; Fruits Other</t>
  </si>
  <si>
    <t>setting</t>
  </si>
  <si>
    <t>irrigated; high input</t>
  </si>
  <si>
    <t>irrigated, high input</t>
  </si>
  <si>
    <t>study_count</t>
  </si>
  <si>
    <t>Vegetable Oils</t>
  </si>
  <si>
    <t>Vegetable oils</t>
  </si>
  <si>
    <t>Queirós et al., 2015. Environmental life-cycle assessment of rapeseed produced in Central Europe: Addressing alternative fertilization and management practices.</t>
  </si>
  <si>
    <t>Strange et al., 2008. The use of life-cycle assessment to evaluate the environmental impacts of growing genetically modified, nitrogen use-efficient canola.</t>
  </si>
  <si>
    <t>Gan et al., 2011. Carbon footprint of canola and mustard is a function of the rate of N fertilizer.</t>
  </si>
  <si>
    <t>Choo et al., 2011. Determination of GHG contributions by subsystems in the oil palm supply chain using the LCA approach.</t>
  </si>
  <si>
    <t>Maize and products; Maize Germ Oil</t>
  </si>
  <si>
    <t>Sugar cane; Sugar (Raw Equivalent)</t>
  </si>
  <si>
    <t>Sugar beet; Sugar (Raw Equivalent)</t>
  </si>
  <si>
    <t>Soyabeans; Soyabean Oil</t>
  </si>
  <si>
    <t>Olives (including preserved); Olive Oil</t>
  </si>
  <si>
    <t>conventional, conventional GMO</t>
  </si>
  <si>
    <t>semi-organic, conventional</t>
  </si>
  <si>
    <t>Austria, Spain, Italy</t>
  </si>
  <si>
    <t>greenhouse, open field</t>
  </si>
  <si>
    <t>Central Europe, Southern Europe</t>
  </si>
  <si>
    <t>salmon, cod, haddock, herring, mussels</t>
  </si>
  <si>
    <t>Freshwater Fish; Demersal Fish; Pelagic Fish; Molluscs Other</t>
  </si>
  <si>
    <t>Demersal Fish; Pelagic Fish; Cephalopods</t>
  </si>
  <si>
    <t>amazon prawns , giant prawns</t>
  </si>
  <si>
    <t>type</t>
  </si>
  <si>
    <t>processed_type</t>
  </si>
  <si>
    <t>plant</t>
  </si>
  <si>
    <t>a_animal</t>
  </si>
  <si>
    <t>insect</t>
  </si>
  <si>
    <t>bean (elefantes), bean (gigantes), bean (plake)</t>
  </si>
  <si>
    <t xml:space="preserve">organic, conventional, organic </t>
  </si>
  <si>
    <t>organic , low-input, conventional</t>
  </si>
  <si>
    <t>apple (ariane), apple (golden delicious), apple (melrose)</t>
  </si>
  <si>
    <t xml:space="preserve">no tillage , no tillage, reduced tillage , conventional tillage </t>
  </si>
  <si>
    <t>barley, lupins, oats, wheat, rapeseed (canola)</t>
  </si>
  <si>
    <t xml:space="preserve">conventional rainfed , conventional irrigated </t>
  </si>
  <si>
    <t xml:space="preserve">barley, wheat, wheat </t>
  </si>
  <si>
    <t>Barley and products; Wheat and products</t>
  </si>
  <si>
    <t>Rice (Milled Equivalent); Ricebran Oil</t>
  </si>
  <si>
    <t>mustard (alba), mustard (juncea), rapeseed (juncea canola), rapeseed (napus canola), rapeseed (rapa canola)</t>
  </si>
  <si>
    <t>conventional tillage, alternative tillage</t>
  </si>
  <si>
    <t>blackberry (andean), avocado, golden berry, mango, passion fruit, pineapple</t>
  </si>
  <si>
    <t>Fruits Other; Vegetables Other; Pineapples and products</t>
  </si>
  <si>
    <t>lettuce, mushrooms, strawberries</t>
  </si>
  <si>
    <t>rye, barley (spring)</t>
  </si>
  <si>
    <t>Rye and products; Barley and products</t>
  </si>
  <si>
    <t>cucumber, tomato</t>
  </si>
  <si>
    <t>Vegetables Other; Tomatoes and products</t>
  </si>
  <si>
    <t>large scale, small scale, medium scale</t>
  </si>
  <si>
    <t>consolidated, traditional</t>
  </si>
  <si>
    <t>barley, oats, oats , wheat (spring), wheat (winter)</t>
  </si>
  <si>
    <t>Barley and products; Oats; Wheat and products</t>
  </si>
  <si>
    <t>aparagus, beans (french, runner), broccoli, cabbage, capsicums, carrot, cauliflower, celery, chillies, cucumbers, green peas (fresh pod), green peas (shelled), lettuce, melon (rock, canteloupe), watermelon, mushrooms, onions, potatoes, pumpkins, sweet corn, tomatoes, zucchini, button squash, beetroot</t>
  </si>
  <si>
    <t>Vegetables Other; Onions; Potatoes and products; Tomatoes and products; Sugar beet; Sugar (Raw Equivalent)</t>
  </si>
  <si>
    <t>barley, chickpeas, durum, wheat</t>
  </si>
  <si>
    <t>Barley and products; Pulses Other and products; Wheat and products</t>
  </si>
  <si>
    <t>artichoke, broccoli, lemon, lettuce, mandarin, melon, orange</t>
  </si>
  <si>
    <t>Vegetables Other; Lemons Limes and products; Oranges Mandarines</t>
  </si>
  <si>
    <t>carrot, onions, potatoes, rye, tomatoes, wheat</t>
  </si>
  <si>
    <t>Vegetables Other; Onions; Potatoes and products; Rye and products; Tomatoes and products; Wheat and products</t>
  </si>
  <si>
    <t>organic, various, integrated</t>
  </si>
  <si>
    <t>wheat (hard red spring), wheat (hard red winter), wheat (soft red winter), wheat (white)</t>
  </si>
  <si>
    <t>conventional , sustainable</t>
  </si>
  <si>
    <t>lemon, orange</t>
  </si>
  <si>
    <t>Lemons Limes and products; Oranges Mandarines</t>
  </si>
  <si>
    <t>France, Germany, Poland</t>
  </si>
  <si>
    <t>direct drilling, reduced tillage , conventional</t>
  </si>
  <si>
    <t>barley, oats, rye, wheat</t>
  </si>
  <si>
    <t>Barley and products; Oats; Rye and products; Wheat and products</t>
  </si>
  <si>
    <t>barley, oats, spring wheat</t>
  </si>
  <si>
    <t>open-field, screenhouse</t>
  </si>
  <si>
    <t>Spain, Hungary, Netherlands</t>
  </si>
  <si>
    <t>strip till, conventional till, intensive, conventional</t>
  </si>
  <si>
    <t>peanut, maize, wheat</t>
  </si>
  <si>
    <t>Groundnuts (Shelled Eq); Maize and products; Wheat and products; Groundnut Oil; Maize Germ Oil</t>
  </si>
  <si>
    <t>organic, conventional, integrated</t>
  </si>
  <si>
    <t xml:space="preserve">conventional , organic </t>
  </si>
  <si>
    <t>almonds, apples, blueberries , broccoli, lettuce, raisin grapes , strawberries, walnuts</t>
  </si>
  <si>
    <t>Nuts and products; Apples and products; Fruits Other; Vegetables Other; Grapes and products (excl wine)</t>
  </si>
  <si>
    <t>maize (summer), wheat (winter)</t>
  </si>
  <si>
    <t>Maize and products; Wheat and products; Maize Germ Oil</t>
  </si>
  <si>
    <t>conventional, conventional , organic</t>
  </si>
  <si>
    <t>maize, rice, wheat</t>
  </si>
  <si>
    <t>Maize and products; Rice (Milled Equivalent); Wheat and products; Maize Germ Oil; Ricebran Oil</t>
  </si>
  <si>
    <t>apple, banana, orange , peach, pear</t>
  </si>
  <si>
    <t>Apples and products; Bananas; Oranges Mandarines; Fruits Other</t>
  </si>
  <si>
    <t>mussels, oysters</t>
  </si>
  <si>
    <t xml:space="preserve">carp, tilapia </t>
  </si>
  <si>
    <t>Norway, UK, Canada, Chile</t>
  </si>
  <si>
    <t>num_data_points</t>
  </si>
  <si>
    <t>organic, conventional, organic greenhouse, conventional greenhouse, organic open-field, conventional (open-air)</t>
  </si>
  <si>
    <t>peas, fava beans, vetch, barley, wheat, oats, rice, cherry tomato, tomato, lettuce, pepper, beans, asparagus, lettuce, melon, celery, cauliflower, potato, broccoli, onions, beans</t>
  </si>
  <si>
    <t>Beans; Wheat and products; Rice (Milled Equivalent); Barley and products; Oats; Vegetables Other; Peas; Ricebran Oil</t>
  </si>
  <si>
    <t>hard maize, potatoes, asparagus, apple, avocados, peach, strawberries, mandarin</t>
  </si>
  <si>
    <t>Maize and products; Potatoes and products; Vegetables Other; Apples and products; Fruits Other; Oranges Mandarines; Maize Germ Oil</t>
  </si>
  <si>
    <t>apple, pear, plum, table grapes, peach, apricot, fig, almonds, hazelnuts, carob, avocado, mango, banana, olives, mandarins, oranges</t>
  </si>
  <si>
    <t>Apples and products; Nuts and products; Fruits Other; Grapes and products (excl wine); Bananas; Olives (including preserved); Oranges Mandarines; Olive Oil</t>
  </si>
  <si>
    <t>plant_ghg</t>
  </si>
  <si>
    <t>plant_ghg; processed_ghg</t>
  </si>
  <si>
    <t>insect_ghg</t>
  </si>
  <si>
    <t>a_animal_ghg</t>
  </si>
  <si>
    <t>numb_data_points_incl_all_aqua_pond</t>
  </si>
  <si>
    <t>match?</t>
  </si>
  <si>
    <t>include_in_model</t>
  </si>
  <si>
    <t xml:space="preserve">palm kernel, palm fruit </t>
  </si>
  <si>
    <t>Palm kernels; Palm fruit (no FAO equivalent); Palm Oil; Palmkernel Oil</t>
  </si>
  <si>
    <t>Barley and products; Pulses Other and products; Oats; Wheat and products; Rape and Mustardseed; Rape and Mustard Oil</t>
  </si>
  <si>
    <t>Rape and Mustardseed; Rape and Mustard Oil</t>
  </si>
  <si>
    <t xml:space="preserve">maize, rapeseed, pea , potato, wheat, sugar beet , sunflower </t>
  </si>
  <si>
    <t>Maize and products; Rape and Mustardseed; Peas; Potatoes and products; Wheat and products; Sugar beet; Sunflower seed; Maize Germ Oil; Rape and Mustard Oil; Sugar (Raw Equivalent); Sunflowerseed Oil</t>
  </si>
  <si>
    <t>rapeseed (oilseed rape), potatoes, wheat</t>
  </si>
  <si>
    <t>Rape and Mustardseed; Potatoes and products; Wheat and products; Rape and Mustard Oil</t>
  </si>
  <si>
    <t>product_fraction</t>
  </si>
  <si>
    <t>value_fraction</t>
  </si>
  <si>
    <t>kg_co2e_excl_luc</t>
  </si>
  <si>
    <t>2022-07 error correction: weight was previously set to 1</t>
  </si>
  <si>
    <t>2022-07 error correction: weight was previously set to 0.3333</t>
  </si>
  <si>
    <t xml:space="preserve">Extraction rates are from: http://www.fao.org/fileadmin/templates/ess/documents/methodology/tcf.pdf. We considered using extraction rates provided directly from FAOSTAT (the same data we use for imports), but these data do not have extraction rates for stepwise extractions, e.g., rice - rice bran - rice bran oil. In most cases the extraction rates are the same anyway. </t>
  </si>
  <si>
    <t>GHGe for crops and insects identified via lit review of life cycle assessments</t>
  </si>
  <si>
    <t>GHGe for aquatic animals identified via lit review of life cycle assessments</t>
  </si>
  <si>
    <t>Combined GHGe results for crops, insects, and aquatic animals</t>
  </si>
  <si>
    <t>These data are used by the bootstrapping component of the study model; see GLEAM files for terrestrial animal products which are specific to country of origin.</t>
  </si>
  <si>
    <t>Summary of LCA results, by source</t>
  </si>
  <si>
    <t>Note Choo et al. should only count as 2 data points - for the processed oils only</t>
  </si>
  <si>
    <t>This worksheet is for internal use only and is not used by the study model.</t>
  </si>
  <si>
    <t>blue whiting, hake, megrim (sole), sardines (European pilchard), tuna, common cuttlefish, common octopus, lesser flying squid</t>
  </si>
  <si>
    <t xml:space="preserve">brown sole , marbled sole , olive flounder , stone flounder </t>
  </si>
  <si>
    <t>This worksheet is compiled with a "Get and Transform" query; click "refresh all" to update.</t>
  </si>
  <si>
    <t>footprint</t>
  </si>
  <si>
    <t>footprint_type</t>
  </si>
  <si>
    <t>weight</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</si>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</sst>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0.000"/>
    <numFmt numFmtId="165" formatCode="_(* #,##0.000_);_(* \(#,##0.000\);_(* &quot;-&quot;??_);_(@_)"/>
    <numFmt numFmtId="166" formatCode="0.0"/>
    <numFmt numFmtId="167" formatCode="_(* #,##0.000000_);_(* \(#,##0.000000\);_(* &quot;-&quot;??_);_(@_)"/>
  </numFmts>
  <fonts count="28" x14ac:knownFonts="1">
    <font>
      <sz val="10"/>
      <color rgb="FF000000"/>
      <name val="Arial"/>
    </font>
    <font>
      <sz val="9"/>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0"/>
      <color rgb="FF000000"/>
      <name val="Arial"/>
      <family val="2"/>
    </font>
    <font>
      <b/>
      <sz val="10"/>
      <color rgb="FF000000"/>
      <name val="Arial"/>
      <family val="2"/>
    </font>
    <font>
      <sz val="10"/>
      <color rgb="FF000000"/>
      <name val="Aptos Narrow"/>
      <family val="2"/>
      <scheme val="minor"/>
    </font>
    <font>
      <sz val="10"/>
      <color rgb="FF000000"/>
      <name val="Arial"/>
      <family val="2"/>
    </font>
    <font>
      <sz val="12"/>
      <color theme="1"/>
      <name val="Aptos Narrow"/>
      <family val="2"/>
      <scheme val="minor"/>
    </font>
    <font>
      <sz val="9"/>
      <color rgb="FF000000"/>
      <name val="Aptos Narrow"/>
      <family val="2"/>
      <scheme val="minor"/>
    </font>
    <font>
      <b/>
      <sz val="8"/>
      <color rgb="FFFFFFFF"/>
      <name val="Aptos Narrow"/>
      <family val="2"/>
      <scheme val="minor"/>
    </font>
    <font>
      <sz val="8"/>
      <color rgb="FF000000"/>
      <name val="Aptos Narrow"/>
      <family val="2"/>
      <scheme val="minor"/>
    </font>
    <font>
      <sz val="8"/>
      <name val="Aptos Narrow"/>
      <family val="2"/>
      <scheme val="minor"/>
    </font>
    <font>
      <u/>
      <sz val="8"/>
      <color rgb="FF000000"/>
      <name val="Aptos Narrow"/>
      <family val="2"/>
      <scheme val="minor"/>
    </font>
    <font>
      <sz val="8"/>
      <color rgb="FFCCCCCC"/>
      <name val="Aptos Narrow"/>
      <family val="2"/>
      <scheme val="minor"/>
    </font>
    <font>
      <sz val="8"/>
      <color theme="0" tint="-0.249977111117893"/>
      <name val="Aptos Narrow"/>
      <family val="2"/>
      <scheme val="minor"/>
    </font>
    <font>
      <sz val="9"/>
      <color theme="0"/>
      <name val="Aptos Narrow"/>
      <family val="2"/>
      <scheme val="minor"/>
    </font>
    <font>
      <sz val="9"/>
      <name val="Aptos Narrow"/>
      <family val="2"/>
      <scheme val="minor"/>
    </font>
    <font>
      <sz val="8"/>
      <color indexed="81"/>
      <name val="Tahoma"/>
      <family val="2"/>
    </font>
    <font>
      <b/>
      <sz val="8"/>
      <color indexed="81"/>
      <name val="Tahoma"/>
      <family val="2"/>
    </font>
    <font>
      <u/>
      <sz val="10"/>
      <color theme="10"/>
      <name val="Arial"/>
      <family val="2"/>
    </font>
    <font>
      <sz val="8"/>
      <color rgb="FF0156AA"/>
      <name val="Aptos Narrow"/>
      <family val="2"/>
      <scheme val="minor"/>
    </font>
    <font>
      <u/>
      <sz val="8"/>
      <color theme="10"/>
      <name val="Aptos Narrow"/>
      <family val="2"/>
      <scheme val="minor"/>
    </font>
    <font>
      <u/>
      <sz val="11"/>
      <color theme="10"/>
      <name val="Calibri"/>
      <family val="2"/>
    </font>
    <font>
      <b/>
      <sz val="9"/>
      <color rgb="FF000000"/>
      <name val="Aptos Narrow"/>
      <family val="2"/>
      <scheme val="minor"/>
    </font>
    <font>
      <sz val="9"/>
      <color rgb="FF000000"/>
      <name val="Aptos Narrow"/>
      <family val="2"/>
    </font>
    <font>
      <b/>
      <sz val="9"/>
      <color theme="1"/>
      <name val="Aptos Narrow"/>
      <family val="2"/>
      <scheme val="minor"/>
    </font>
  </fonts>
  <fills count="8">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right style="thin">
        <color rgb="FFCCCCCC"/>
      </right>
      <top/>
      <bottom/>
      <diagonal/>
    </border>
  </borders>
  <cellStyleXfs count="10">
    <xf numFmtId="0" fontId="0" fillId="0" borderId="0"/>
    <xf numFmtId="0" fontId="5" fillId="0" borderId="0"/>
    <xf numFmtId="0" fontId="4" fillId="0" borderId="0"/>
    <xf numFmtId="0" fontId="3" fillId="0" borderId="0"/>
    <xf numFmtId="0" fontId="2" fillId="0" borderId="0"/>
    <xf numFmtId="43" fontId="8" fillId="0" borderId="0" applyFont="0" applyFill="0" applyBorder="0" applyAlignment="0" applyProtection="0"/>
    <xf numFmtId="0" fontId="9" fillId="0" borderId="0"/>
    <xf numFmtId="0" fontId="21" fillId="0" borderId="0" applyNumberFormat="0" applyFill="0" applyBorder="0" applyAlignment="0" applyProtection="0"/>
    <xf numFmtId="0" fontId="24" fillId="0" borderId="0" applyNumberFormat="0" applyFill="0" applyBorder="0" applyAlignment="0" applyProtection="0">
      <alignment vertical="top"/>
      <protection locked="0"/>
    </xf>
    <xf numFmtId="43" fontId="5" fillId="0" borderId="0" applyFont="0" applyFill="0" applyBorder="0" applyAlignment="0" applyProtection="0"/>
  </cellStyleXfs>
  <cellXfs count="125">
    <xf numFmtId="0" fontId="0" fillId="0" borderId="0" xfId="0"/>
    <xf numFmtId="0" fontId="6" fillId="0" borderId="0" xfId="0" applyFont="1"/>
    <xf numFmtId="0" fontId="0" fillId="0" borderId="0" xfId="0" quotePrefix="1"/>
    <xf numFmtId="0" fontId="7" fillId="0" borderId="0" xfId="0" applyFont="1"/>
    <xf numFmtId="0" fontId="10" fillId="0" borderId="0" xfId="0" applyFont="1"/>
    <xf numFmtId="0" fontId="12" fillId="0" borderId="0" xfId="0" applyFont="1" applyAlignment="1">
      <alignment wrapText="1"/>
    </xf>
    <xf numFmtId="0" fontId="12" fillId="0" borderId="0" xfId="0" applyFont="1" applyAlignment="1">
      <alignment horizontal="left" wrapText="1"/>
    </xf>
    <xf numFmtId="0" fontId="13" fillId="0" borderId="0" xfId="0" applyFont="1" applyAlignment="1">
      <alignment wrapText="1"/>
    </xf>
    <xf numFmtId="164" fontId="12" fillId="0" borderId="0" xfId="0" applyNumberFormat="1" applyFont="1" applyAlignment="1">
      <alignment wrapText="1"/>
    </xf>
    <xf numFmtId="2" fontId="12" fillId="0" borderId="0" xfId="0" applyNumberFormat="1" applyFont="1" applyAlignment="1">
      <alignment wrapText="1"/>
    </xf>
    <xf numFmtId="0" fontId="13" fillId="0" borderId="0" xfId="0" applyFont="1" applyAlignment="1">
      <alignment horizontal="left" wrapText="1"/>
    </xf>
    <xf numFmtId="0" fontId="12" fillId="4" borderId="0" xfId="0" applyFont="1" applyFill="1" applyAlignment="1">
      <alignment wrapText="1"/>
    </xf>
    <xf numFmtId="0" fontId="12" fillId="5" borderId="0" xfId="0" applyFont="1" applyFill="1" applyAlignment="1">
      <alignment wrapText="1"/>
    </xf>
    <xf numFmtId="0" fontId="12" fillId="0" borderId="0" xfId="0" applyFont="1" applyAlignment="1">
      <alignment horizontal="right" wrapText="1"/>
    </xf>
    <xf numFmtId="0" fontId="12" fillId="0" borderId="1" xfId="0" applyFont="1" applyBorder="1" applyAlignment="1">
      <alignment wrapText="1"/>
    </xf>
    <xf numFmtId="0" fontId="14" fillId="0" borderId="0" xfId="0" applyFont="1" applyAlignment="1">
      <alignment wrapText="1"/>
    </xf>
    <xf numFmtId="0" fontId="12" fillId="0" borderId="0" xfId="0" applyFont="1"/>
    <xf numFmtId="0" fontId="15" fillId="0" borderId="0" xfId="0" applyFont="1" applyAlignment="1">
      <alignment wrapText="1"/>
    </xf>
    <xf numFmtId="164" fontId="15" fillId="0" borderId="0" xfId="0" applyNumberFormat="1" applyFont="1" applyAlignment="1">
      <alignment wrapText="1"/>
    </xf>
    <xf numFmtId="0" fontId="15" fillId="0" borderId="0" xfId="0" applyFont="1" applyAlignment="1">
      <alignment horizontal="left" wrapText="1"/>
    </xf>
    <xf numFmtId="0" fontId="15" fillId="4" borderId="0" xfId="0" applyFont="1" applyFill="1" applyAlignment="1">
      <alignment wrapText="1"/>
    </xf>
    <xf numFmtId="0" fontId="15" fillId="5" borderId="0" xfId="0" applyFont="1" applyFill="1" applyAlignment="1">
      <alignment wrapText="1"/>
    </xf>
    <xf numFmtId="4" fontId="15" fillId="0" borderId="0" xfId="0" applyNumberFormat="1" applyFont="1" applyAlignment="1">
      <alignment horizontal="left" wrapText="1"/>
    </xf>
    <xf numFmtId="43" fontId="12" fillId="0" borderId="0" xfId="5" applyFont="1" applyAlignment="1">
      <alignment wrapText="1"/>
    </xf>
    <xf numFmtId="165" fontId="12" fillId="0" borderId="0" xfId="5" applyNumberFormat="1" applyFont="1" applyAlignment="1">
      <alignment wrapText="1"/>
    </xf>
    <xf numFmtId="4" fontId="12" fillId="0" borderId="0" xfId="0" applyNumberFormat="1" applyFont="1" applyAlignment="1">
      <alignment wrapText="1"/>
    </xf>
    <xf numFmtId="165" fontId="12" fillId="0" borderId="0" xfId="5" applyNumberFormat="1" applyFont="1" applyAlignment="1">
      <alignment horizontal="right" wrapText="1"/>
    </xf>
    <xf numFmtId="43" fontId="12" fillId="0" borderId="0" xfId="5" applyFont="1" applyFill="1" applyAlignment="1">
      <alignment wrapText="1"/>
    </xf>
    <xf numFmtId="165" fontId="12" fillId="0" borderId="0" xfId="5" applyNumberFormat="1" applyFont="1" applyFill="1" applyAlignment="1">
      <alignment wrapText="1"/>
    </xf>
    <xf numFmtId="43" fontId="15" fillId="0" borderId="0" xfId="5" applyFont="1" applyAlignment="1">
      <alignment wrapText="1"/>
    </xf>
    <xf numFmtId="165" fontId="15" fillId="0" borderId="0" xfId="5" applyNumberFormat="1" applyFont="1" applyAlignment="1">
      <alignment wrapText="1"/>
    </xf>
    <xf numFmtId="0" fontId="15" fillId="0" borderId="0" xfId="0" applyFont="1"/>
    <xf numFmtId="0" fontId="11" fillId="0" borderId="0" xfId="0" applyFont="1" applyAlignment="1">
      <alignment wrapText="1"/>
    </xf>
    <xf numFmtId="0" fontId="11" fillId="0" borderId="0" xfId="0" applyFont="1" applyAlignment="1">
      <alignment horizontal="left" wrapText="1"/>
    </xf>
    <xf numFmtId="0" fontId="11" fillId="2" borderId="0" xfId="0" applyFont="1" applyFill="1" applyAlignment="1">
      <alignment wrapText="1"/>
    </xf>
    <xf numFmtId="0" fontId="11" fillId="2" borderId="0" xfId="0" applyFont="1" applyFill="1" applyAlignment="1">
      <alignment horizontal="left" wrapText="1"/>
    </xf>
    <xf numFmtId="0" fontId="16" fillId="0" borderId="0" xfId="0" applyFont="1" applyAlignment="1">
      <alignment wrapText="1"/>
    </xf>
    <xf numFmtId="0" fontId="10" fillId="3" borderId="0" xfId="0" applyFont="1" applyFill="1" applyAlignment="1">
      <alignment wrapText="1"/>
    </xf>
    <xf numFmtId="0" fontId="10" fillId="3" borderId="0" xfId="0" quotePrefix="1" applyFont="1" applyFill="1" applyAlignment="1">
      <alignment wrapText="1"/>
    </xf>
    <xf numFmtId="43" fontId="10" fillId="3" borderId="0" xfId="0" quotePrefix="1" applyNumberFormat="1" applyFont="1" applyFill="1" applyAlignment="1">
      <alignment wrapText="1"/>
    </xf>
    <xf numFmtId="0" fontId="10" fillId="0" borderId="0" xfId="0" applyFont="1" applyAlignment="1">
      <alignment wrapText="1"/>
    </xf>
    <xf numFmtId="165" fontId="15" fillId="0" borderId="0" xfId="5" applyNumberFormat="1" applyFont="1" applyFill="1" applyAlignment="1">
      <alignment wrapText="1"/>
    </xf>
    <xf numFmtId="43" fontId="15" fillId="0" borderId="0" xfId="5" applyFont="1" applyFill="1" applyAlignment="1">
      <alignment wrapText="1"/>
    </xf>
    <xf numFmtId="0" fontId="15" fillId="6" borderId="0" xfId="0" applyFont="1" applyFill="1" applyAlignment="1">
      <alignment wrapText="1"/>
    </xf>
    <xf numFmtId="0" fontId="1" fillId="0" borderId="0" xfId="0" applyFont="1"/>
    <xf numFmtId="0" fontId="17" fillId="2" borderId="0" xfId="6" applyFont="1" applyFill="1"/>
    <xf numFmtId="0" fontId="18" fillId="0" borderId="0" xfId="6" applyFont="1"/>
    <xf numFmtId="0" fontId="12" fillId="0" borderId="0" xfId="0" applyFont="1" applyProtection="1">
      <protection locked="0"/>
    </xf>
    <xf numFmtId="0" fontId="11" fillId="0" borderId="0" xfId="0" applyFont="1" applyAlignment="1" applyProtection="1">
      <alignment wrapText="1"/>
      <protection locked="0"/>
    </xf>
    <xf numFmtId="0" fontId="12" fillId="0" borderId="0" xfId="0" applyFont="1" applyAlignment="1" applyProtection="1">
      <alignment wrapText="1"/>
      <protection locked="0"/>
    </xf>
    <xf numFmtId="0" fontId="15" fillId="0" borderId="0" xfId="0" applyFont="1" applyAlignment="1" applyProtection="1">
      <alignment wrapText="1"/>
      <protection locked="0"/>
    </xf>
    <xf numFmtId="0" fontId="12" fillId="0" borderId="0" xfId="0" applyFont="1" applyAlignment="1" applyProtection="1">
      <alignment horizontal="left" wrapText="1"/>
      <protection locked="0"/>
    </xf>
    <xf numFmtId="0" fontId="13" fillId="6" borderId="0" xfId="0" applyFont="1" applyFill="1" applyAlignment="1" applyProtection="1">
      <alignment wrapText="1"/>
      <protection locked="0"/>
    </xf>
    <xf numFmtId="0" fontId="13" fillId="0" borderId="0" xfId="0" applyFont="1" applyAlignment="1" applyProtection="1">
      <alignment wrapText="1"/>
      <protection locked="0"/>
    </xf>
    <xf numFmtId="0" fontId="16" fillId="0" borderId="0" xfId="0" applyFont="1" applyAlignment="1">
      <alignment horizontal="left" wrapText="1"/>
    </xf>
    <xf numFmtId="0" fontId="16" fillId="0" borderId="0" xfId="0" applyFont="1" applyAlignment="1" applyProtection="1">
      <alignment wrapText="1"/>
      <protection locked="0"/>
    </xf>
    <xf numFmtId="165" fontId="16" fillId="0" borderId="0" xfId="5" applyNumberFormat="1" applyFont="1" applyFill="1" applyAlignment="1">
      <alignment wrapText="1"/>
    </xf>
    <xf numFmtId="164" fontId="16" fillId="0" borderId="0" xfId="0" applyNumberFormat="1" applyFont="1" applyAlignment="1">
      <alignment wrapText="1"/>
    </xf>
    <xf numFmtId="164" fontId="16" fillId="0" borderId="0" xfId="5" applyNumberFormat="1" applyFont="1" applyFill="1" applyAlignment="1">
      <alignment wrapText="1"/>
    </xf>
    <xf numFmtId="0" fontId="16" fillId="0" borderId="0" xfId="0" applyFont="1"/>
    <xf numFmtId="0" fontId="12" fillId="6" borderId="0" xfId="0" applyFont="1" applyFill="1" applyAlignment="1">
      <alignment wrapText="1"/>
    </xf>
    <xf numFmtId="0" fontId="11" fillId="0" borderId="0" xfId="1" applyFont="1" applyAlignment="1">
      <alignment wrapText="1"/>
    </xf>
    <xf numFmtId="0" fontId="11" fillId="0" borderId="0" xfId="1" applyFont="1" applyAlignment="1">
      <alignment horizontal="left" wrapText="1"/>
    </xf>
    <xf numFmtId="0" fontId="11" fillId="0" borderId="0" xfId="1" applyFont="1" applyAlignment="1" applyProtection="1">
      <alignment wrapText="1"/>
      <protection locked="0"/>
    </xf>
    <xf numFmtId="0" fontId="11" fillId="2" borderId="0" xfId="1" applyFont="1" applyFill="1" applyAlignment="1">
      <alignment wrapText="1"/>
    </xf>
    <xf numFmtId="0" fontId="12" fillId="7" borderId="0" xfId="1" applyFont="1" applyFill="1" applyAlignment="1">
      <alignment wrapText="1"/>
    </xf>
    <xf numFmtId="0" fontId="12" fillId="7" borderId="0" xfId="1" applyFont="1" applyFill="1" applyAlignment="1">
      <alignment horizontal="left" wrapText="1"/>
    </xf>
    <xf numFmtId="0" fontId="12" fillId="7" borderId="0" xfId="1" applyFont="1" applyFill="1" applyAlignment="1" applyProtection="1">
      <alignment wrapText="1"/>
      <protection locked="0"/>
    </xf>
    <xf numFmtId="165" fontId="12" fillId="7" borderId="0" xfId="5" applyNumberFormat="1" applyFont="1" applyFill="1" applyAlignment="1">
      <alignment wrapText="1"/>
    </xf>
    <xf numFmtId="0" fontId="12" fillId="7" borderId="0" xfId="1" applyFont="1" applyFill="1"/>
    <xf numFmtId="0" fontId="13" fillId="7" borderId="0" xfId="1" applyFont="1" applyFill="1" applyAlignment="1">
      <alignment wrapText="1"/>
    </xf>
    <xf numFmtId="0" fontId="13" fillId="7" borderId="0" xfId="1" applyFont="1" applyFill="1" applyAlignment="1" applyProtection="1">
      <alignment wrapText="1"/>
      <protection locked="0"/>
    </xf>
    <xf numFmtId="0" fontId="13" fillId="7" borderId="0" xfId="1" applyFont="1" applyFill="1" applyAlignment="1">
      <alignment horizontal="left" wrapText="1"/>
    </xf>
    <xf numFmtId="165" fontId="13" fillId="7" borderId="0" xfId="5" applyNumberFormat="1" applyFont="1" applyFill="1" applyAlignment="1">
      <alignment wrapText="1"/>
    </xf>
    <xf numFmtId="0" fontId="12" fillId="0" borderId="0" xfId="1" applyFont="1" applyAlignment="1">
      <alignment wrapText="1"/>
    </xf>
    <xf numFmtId="0" fontId="12" fillId="0" borderId="0" xfId="1" applyFont="1" applyAlignment="1">
      <alignment horizontal="left" wrapText="1"/>
    </xf>
    <xf numFmtId="0" fontId="12" fillId="0" borderId="0" xfId="1" applyFont="1" applyAlignment="1" applyProtection="1">
      <alignment wrapText="1"/>
      <protection locked="0"/>
    </xf>
    <xf numFmtId="0" fontId="13" fillId="0" borderId="0" xfId="1" applyFont="1" applyAlignment="1">
      <alignment wrapText="1"/>
    </xf>
    <xf numFmtId="1" fontId="12" fillId="0" borderId="0" xfId="1" applyNumberFormat="1" applyFont="1" applyAlignment="1">
      <alignment wrapText="1"/>
    </xf>
    <xf numFmtId="0" fontId="13" fillId="0" borderId="0" xfId="1" applyFont="1"/>
    <xf numFmtId="0" fontId="13" fillId="0" borderId="0" xfId="1" applyFont="1" applyAlignment="1">
      <alignment horizontal="left" wrapText="1"/>
    </xf>
    <xf numFmtId="0" fontId="13" fillId="0" borderId="0" xfId="1" applyFont="1" applyAlignment="1" applyProtection="1">
      <alignment wrapText="1"/>
      <protection locked="0"/>
    </xf>
    <xf numFmtId="3" fontId="13" fillId="0" borderId="0" xfId="1" applyNumberFormat="1" applyFont="1" applyAlignment="1">
      <alignment wrapText="1"/>
    </xf>
    <xf numFmtId="165" fontId="13" fillId="0" borderId="0" xfId="5" applyNumberFormat="1" applyFont="1" applyAlignment="1">
      <alignment wrapText="1"/>
    </xf>
    <xf numFmtId="0" fontId="13" fillId="0" borderId="0" xfId="1" applyFont="1" applyProtection="1">
      <protection locked="0"/>
    </xf>
    <xf numFmtId="0" fontId="12" fillId="0" borderId="0" xfId="1" applyFont="1"/>
    <xf numFmtId="0" fontId="12" fillId="0" borderId="0" xfId="1" applyFont="1" applyAlignment="1">
      <alignment horizontal="right" wrapText="1"/>
    </xf>
    <xf numFmtId="0" fontId="22" fillId="0" borderId="0" xfId="1" applyFont="1" applyAlignment="1">
      <alignment horizontal="left" wrapText="1"/>
    </xf>
    <xf numFmtId="165" fontId="13" fillId="0" borderId="0" xfId="5" applyNumberFormat="1" applyFont="1" applyFill="1" applyAlignment="1">
      <alignment wrapText="1"/>
    </xf>
    <xf numFmtId="167" fontId="13" fillId="0" borderId="0" xfId="5" applyNumberFormat="1" applyFont="1" applyFill="1" applyAlignment="1">
      <alignment wrapText="1"/>
    </xf>
    <xf numFmtId="0" fontId="23" fillId="0" borderId="0" xfId="7" applyFont="1" applyFill="1" applyAlignment="1">
      <alignment wrapText="1"/>
    </xf>
    <xf numFmtId="0" fontId="12" fillId="4" borderId="0" xfId="1" applyFont="1" applyFill="1" applyAlignment="1">
      <alignment wrapText="1"/>
    </xf>
    <xf numFmtId="166" fontId="12" fillId="0" borderId="0" xfId="1" applyNumberFormat="1" applyFont="1" applyAlignment="1">
      <alignment wrapText="1"/>
    </xf>
    <xf numFmtId="4" fontId="12" fillId="0" borderId="0" xfId="1" applyNumberFormat="1" applyFont="1" applyAlignment="1">
      <alignment wrapText="1"/>
    </xf>
    <xf numFmtId="0" fontId="15" fillId="0" borderId="0" xfId="1" applyFont="1" applyAlignment="1">
      <alignment wrapText="1"/>
    </xf>
    <xf numFmtId="0" fontId="15" fillId="0" borderId="0" xfId="1" applyFont="1" applyAlignment="1">
      <alignment horizontal="left" wrapText="1"/>
    </xf>
    <xf numFmtId="0" fontId="16" fillId="0" borderId="0" xfId="1" applyFont="1" applyAlignment="1">
      <alignment wrapText="1"/>
    </xf>
    <xf numFmtId="0" fontId="15" fillId="0" borderId="0" xfId="1" applyFont="1" applyAlignment="1" applyProtection="1">
      <alignment wrapText="1"/>
      <protection locked="0"/>
    </xf>
    <xf numFmtId="1" fontId="15" fillId="0" borderId="0" xfId="1" applyNumberFormat="1" applyFont="1" applyAlignment="1">
      <alignment wrapText="1"/>
    </xf>
    <xf numFmtId="0" fontId="15" fillId="4" borderId="0" xfId="1" applyFont="1" applyFill="1" applyAlignment="1">
      <alignment wrapText="1"/>
    </xf>
    <xf numFmtId="0" fontId="15" fillId="4" borderId="0" xfId="1" applyFont="1" applyFill="1" applyAlignment="1">
      <alignment horizontal="left" wrapText="1"/>
    </xf>
    <xf numFmtId="0" fontId="15" fillId="0" borderId="0" xfId="1" applyFont="1" applyProtection="1">
      <protection locked="0"/>
    </xf>
    <xf numFmtId="2" fontId="15" fillId="0" borderId="0" xfId="1" applyNumberFormat="1" applyFont="1" applyAlignment="1">
      <alignment wrapText="1"/>
    </xf>
    <xf numFmtId="0" fontId="15" fillId="0" borderId="0" xfId="1" applyFont="1" applyAlignment="1">
      <alignment horizontal="right" wrapText="1"/>
    </xf>
    <xf numFmtId="4" fontId="15" fillId="0" borderId="0" xfId="1" applyNumberFormat="1" applyFont="1" applyAlignment="1">
      <alignment wrapText="1"/>
    </xf>
    <xf numFmtId="0" fontId="16" fillId="0" borderId="0" xfId="1" applyFont="1" applyAlignment="1">
      <alignment horizontal="left" wrapText="1"/>
    </xf>
    <xf numFmtId="0" fontId="16" fillId="0" borderId="0" xfId="1" applyFont="1" applyAlignment="1" applyProtection="1">
      <alignment wrapText="1"/>
      <protection locked="0"/>
    </xf>
    <xf numFmtId="165" fontId="16" fillId="0" borderId="0" xfId="5" applyNumberFormat="1" applyFont="1" applyAlignment="1">
      <alignment wrapText="1"/>
    </xf>
    <xf numFmtId="0" fontId="16" fillId="6" borderId="0" xfId="1" applyFont="1" applyFill="1" applyAlignment="1">
      <alignment horizontal="left" wrapText="1"/>
    </xf>
    <xf numFmtId="0" fontId="12" fillId="0" borderId="0" xfId="1" applyFont="1" applyProtection="1">
      <protection locked="0"/>
    </xf>
    <xf numFmtId="0" fontId="16" fillId="0" borderId="0" xfId="1" applyFont="1"/>
    <xf numFmtId="43" fontId="0" fillId="0" borderId="0" xfId="0" applyNumberFormat="1"/>
    <xf numFmtId="0" fontId="11" fillId="2" borderId="0" xfId="1" applyFont="1" applyFill="1" applyAlignment="1">
      <alignment horizontal="left" wrapText="1"/>
    </xf>
    <xf numFmtId="0" fontId="10" fillId="0" borderId="0" xfId="5" applyNumberFormat="1" applyFont="1" applyAlignment="1"/>
    <xf numFmtId="0" fontId="26" fillId="0" borderId="0" xfId="0" applyFont="1"/>
    <xf numFmtId="0" fontId="26" fillId="3" borderId="0" xfId="0" quotePrefix="1" applyFont="1" applyFill="1" applyAlignment="1">
      <alignment wrapText="1"/>
    </xf>
    <xf numFmtId="0" fontId="26" fillId="2" borderId="0" xfId="0" quotePrefix="1" applyFont="1" applyFill="1" applyAlignment="1">
      <alignment wrapText="1"/>
    </xf>
    <xf numFmtId="0" fontId="26" fillId="0" borderId="0" xfId="0" applyFont="1" applyAlignment="1">
      <alignment wrapText="1"/>
    </xf>
    <xf numFmtId="0" fontId="26" fillId="0" borderId="0" xfId="0" quotePrefix="1" applyFont="1"/>
    <xf numFmtId="0" fontId="27" fillId="0" borderId="0" xfId="0" applyFont="1"/>
    <xf numFmtId="0" fontId="25" fillId="0" borderId="0" xfId="0" applyFont="1"/>
    <xf numFmtId="0" fontId="10" fillId="0" borderId="0" xfId="1" applyFont="1"/>
    <xf numFmtId="0" fontId="10" fillId="0" borderId="0" xfId="1" applyFont="1" applyProtection="1">
      <protection locked="0"/>
    </xf>
    <xf numFmtId="0" fontId="10" fillId="0" borderId="0" xfId="0" applyFont="1" applyProtection="1">
      <protection locked="0"/>
    </xf>
    <xf numFmtId="0" fontId="5" fillId="0" borderId="0" xfId="0" applyFont="1"/>
  </cellXfs>
  <cellStyles count="10">
    <cellStyle name="Comma" xfId="5" builtinId="3"/>
    <cellStyle name="Comma 2" xfId="9" xr:uid="{00000000-0005-0000-0000-000001000000}"/>
    <cellStyle name="Hyperlink" xfId="7" builtinId="8"/>
    <cellStyle name="Hyperlink 2" xfId="8" xr:uid="{00000000-0005-0000-0000-000003000000}"/>
    <cellStyle name="Normal" xfId="0" builtinId="0"/>
    <cellStyle name="Normal 2" xfId="1" xr:uid="{00000000-0005-0000-0000-000005000000}"/>
    <cellStyle name="Normal 2 2" xfId="6" xr:uid="{00000000-0005-0000-0000-000006000000}"/>
    <cellStyle name="Normal 3" xfId="2" xr:uid="{00000000-0005-0000-0000-000007000000}"/>
    <cellStyle name="Normal 4" xfId="4" xr:uid="{00000000-0005-0000-0000-000008000000}"/>
    <cellStyle name="Normal 5" xfId="3" xr:uid="{00000000-0005-0000-0000-000009000000}"/>
  </cellStyles>
  <dxfs count="128">
    <dxf>
      <font>
        <strike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strike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none"/>
      </font>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ptos Narrow"/>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auto="1"/>
        <name val="Aptos Narrow"/>
        <scheme val="minor"/>
      </font>
      <fill>
        <patternFill patternType="none">
          <fgColor indexed="64"/>
          <bgColor auto="1"/>
        </patternFill>
      </fill>
    </dxf>
    <dxf>
      <font>
        <b val="0"/>
        <i val="0"/>
        <strike val="0"/>
        <condense val="0"/>
        <extend val="0"/>
        <outline val="0"/>
        <shadow val="0"/>
        <u val="none"/>
        <vertAlign val="baseline"/>
        <sz val="9"/>
        <color auto="1"/>
        <name val="Aptos Narrow"/>
        <scheme val="minor"/>
      </font>
      <fill>
        <patternFill patternType="none">
          <fgColor indexed="64"/>
          <bgColor auto="1"/>
        </patternFill>
      </fill>
    </dxf>
    <dxf>
      <font>
        <b val="0"/>
        <i val="0"/>
        <strike val="0"/>
        <condense val="0"/>
        <extend val="0"/>
        <outline val="0"/>
        <shadow val="0"/>
        <u val="none"/>
        <vertAlign val="baseline"/>
        <sz val="9"/>
        <color theme="0"/>
        <name val="Aptos Narrow"/>
        <scheme val="minor"/>
      </font>
      <fill>
        <patternFill patternType="solid">
          <fgColor indexed="64"/>
          <bgColor theme="5"/>
        </patternFill>
      </fill>
    </dxf>
    <dxf>
      <font>
        <strike val="0"/>
        <outline val="0"/>
        <shadow val="0"/>
        <u val="none"/>
        <vertAlign val="baseline"/>
        <sz val="9"/>
        <color rgb="FF000000"/>
        <name val="Aptos Narrow"/>
        <family val="2"/>
        <scheme val="none"/>
      </font>
      <numFmt numFmtId="0" formatCode="General"/>
    </dxf>
    <dxf>
      <font>
        <strike val="0"/>
        <outline val="0"/>
        <shadow val="0"/>
        <u val="none"/>
        <vertAlign val="baseline"/>
        <sz val="9"/>
        <color rgb="FF000000"/>
        <name val="Aptos Narrow"/>
        <family val="2"/>
        <scheme val="none"/>
      </font>
      <numFmt numFmtId="0" formatCode="General"/>
      <alignment horizontal="general" vertical="bottom" textRotation="0" wrapText="0" indent="0" justifyLastLine="0" shrinkToFit="0" readingOrder="0"/>
    </dxf>
    <dxf>
      <font>
        <strike val="0"/>
        <outline val="0"/>
        <shadow val="0"/>
        <u val="none"/>
        <vertAlign val="baseline"/>
        <sz val="9"/>
        <color rgb="FF000000"/>
        <name val="Aptos Narrow"/>
        <family val="2"/>
        <scheme val="none"/>
      </font>
      <numFmt numFmtId="0" formatCode="General"/>
      <fill>
        <patternFill patternType="solid">
          <fgColor indexed="64"/>
          <bgColor theme="6"/>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strike val="0"/>
        <outline val="0"/>
        <shadow val="0"/>
        <u val="none"/>
        <vertAlign val="baseline"/>
        <sz val="9"/>
        <color rgb="FF000000"/>
        <name val="Aptos Narrow"/>
        <scheme val="minor"/>
      </font>
      <numFmt numFmtId="0" formatCode="General"/>
      <alignment horizontal="general" vertical="bottom" textRotation="0" wrapText="0" indent="0" justifyLastLine="0" shrinkToFit="0" readingOrder="0"/>
    </dxf>
    <dxf>
      <font>
        <strike val="0"/>
        <outline val="0"/>
        <shadow val="0"/>
        <u val="none"/>
        <vertAlign val="baseline"/>
        <sz val="9"/>
        <color rgb="FF000000"/>
        <name val="Aptos Narrow"/>
        <family val="2"/>
        <scheme val="minor"/>
      </font>
      <numFmt numFmtId="0" formatCode="General"/>
      <fill>
        <patternFill patternType="solid">
          <fgColor indexed="64"/>
          <bgColor theme="6"/>
        </patternFill>
      </fill>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left"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numFmt numFmtId="165" formatCode="_(* #,##0.000_);_(* \(#,##0.000\);_(* &quot;-&quot;??_);_(@_)"/>
      <alignment horizontal="general"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numFmt numFmtId="165" formatCode="_(* #,##0.000_);_(* \(#,##0.000\);_(* &quot;-&quot;??_);_(@_)"/>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8"/>
        <color theme="0" tint="-0.249977111117893"/>
        <name val="Aptos Narrow"/>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8"/>
        <color theme="0" tint="-0.249977111117893"/>
        <name val="Aptos Narrow"/>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left"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alignment horizontal="general" vertical="bottom" textRotation="0" wrapText="1" indent="0" justifyLastLine="0" shrinkToFit="0" readingOrder="0"/>
    </dxf>
    <dxf>
      <font>
        <b/>
        <i val="0"/>
        <strike val="0"/>
        <condense val="0"/>
        <extend val="0"/>
        <outline val="0"/>
        <shadow val="0"/>
        <u val="none"/>
        <vertAlign val="baseline"/>
        <sz val="8"/>
        <color rgb="FFFFFFFF"/>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left" vertical="bottom" textRotation="0" wrapText="1" indent="0" justifyLastLine="0" shrinkToFit="0" readingOrder="0"/>
    </dxf>
    <dxf>
      <font>
        <b val="0"/>
        <i val="0"/>
        <strike val="0"/>
        <condense val="0"/>
        <extend val="0"/>
        <outline val="0"/>
        <shadow val="0"/>
        <u val="none"/>
        <vertAlign val="baseline"/>
        <sz val="8"/>
        <color rgb="FFCCCCCC"/>
        <name val="Aptos Narrow"/>
        <family val="2"/>
        <scheme val="minor"/>
      </font>
      <numFmt numFmtId="164" formatCode="0.000"/>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numFmt numFmtId="164" formatCode="0.000"/>
      <alignment horizontal="general"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left"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numFmt numFmtId="0" formatCode="General"/>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left"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numFmt numFmtId="165" formatCode="_(* #,##0.000_);_(* \(#,##0.000\);_(* &quot;-&quot;??_);_(@_)"/>
      <alignment horizontal="general"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numFmt numFmtId="165" formatCode="_(* #,##0.000_);_(* \(#,##0.000\);_(* &quot;-&quot;??_);_(@_)"/>
      <alignment horizontal="general"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numFmt numFmtId="165" formatCode="_(* #,##0.000_);_(* \(#,##0.000\);_(* &quot;-&quot;??_);_(@_)"/>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fill>
        <patternFill patternType="solid">
          <fgColor rgb="FFFFFFFF"/>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fill>
        <patternFill patternType="solid">
          <fgColor rgb="FFFFFFFF"/>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fill>
        <patternFill patternType="solid">
          <fgColor rgb="FFFFFFFF"/>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fill>
        <patternFill patternType="solid">
          <fgColor rgb="FFFFFFFF"/>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fill>
        <patternFill patternType="solid">
          <fgColor rgb="FFFFFFFF"/>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8"/>
        <color theme="0" tint="-0.249977111117893"/>
        <name val="Aptos Narrow"/>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8"/>
        <color auto="1"/>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left"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0" tint="-0.249977111117893"/>
        <name val="Aptos Narrow"/>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8"/>
        <color auto="1"/>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8"/>
        <color rgb="FF000000"/>
        <name val="Aptos Narrow"/>
        <family val="2"/>
        <scheme val="minor"/>
      </font>
      <alignment horizontal="general" vertical="bottom" textRotation="0" wrapText="1" indent="0" justifyLastLine="0" shrinkToFit="0" readingOrder="0"/>
    </dxf>
    <dxf>
      <font>
        <b/>
        <i val="0"/>
        <strike val="0"/>
        <condense val="0"/>
        <extend val="0"/>
        <outline val="0"/>
        <shadow val="0"/>
        <u val="none"/>
        <vertAlign val="baseline"/>
        <sz val="8"/>
        <color rgb="FFFFFFFF"/>
        <name val="Aptos Narrow"/>
        <family val="2"/>
        <scheme val="minor"/>
      </font>
      <fill>
        <patternFill patternType="none">
          <fgColor indexed="64"/>
          <bgColor auto="1"/>
        </patternFill>
      </fill>
      <alignment horizontal="general" vertical="bottom" textRotation="0" wrapText="1"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127"/>
      <tableStyleElement type="headerRow" dxfId="126"/>
      <tableStyleElement type="firstRowStripe" dxfId="125"/>
    </tableStyle>
    <tableStyle name="TableStyleQueryResult" pivot="0" count="3" xr9:uid="{00000000-0011-0000-FFFF-FFFF01000000}">
      <tableStyleElement type="wholeTable" dxfId="124"/>
      <tableStyleElement type="headerRow" dxfId="123"/>
      <tableStyleElement type="firstRowStripe" dxfId="122"/>
    </tableStyle>
  </tableStyles>
  <colors>
    <mruColors>
      <color rgb="FF802C2C"/>
      <color rgb="FF000000"/>
      <color rgb="FFD78D8D"/>
      <color rgb="FFD48282"/>
      <color rgb="FFCC6A6A"/>
      <color rgb="FFBF4545"/>
      <color rgb="FFB02A2A"/>
      <color rgb="FFE9B72B"/>
      <color rgb="FF64BCF2"/>
      <color rgb="FFE1CA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3" xr16:uid="{00000000-0016-0000-0800-000000000000}" autoFormatId="16" applyNumberFormats="0" applyBorderFormats="0" applyFontFormats="1" applyPatternFormats="1" applyAlignmentFormats="0" applyWidthHeightFormats="0">
  <queryTableRefresh nextId="116">
    <queryTableFields count="17">
      <queryTableField id="32" name="Item(s)" tableColumnId="1"/>
      <queryTableField id="2" name="Setting" tableColumnId="2"/>
      <queryTableField id="71" name="production_system" tableColumnId="13"/>
      <queryTableField id="64" name="fbs_item_code" tableColumnId="5"/>
      <queryTableField id="63" name="fbs_item" tableColumnId="3"/>
      <queryTableField id="66" name="output_group" tableColumnId="11"/>
      <queryTableField id="9" name="Weight" tableColumnId="9"/>
      <queryTableField id="114" name="footprint_type" tableColumnId="8"/>
      <queryTableField id="44" name="Footprint" tableColumnId="16"/>
      <queryTableField id="99" name="product_fraction" tableColumnId="20"/>
      <queryTableField id="100" name="value_fraction" tableColumnId="21"/>
      <queryTableField id="34" name="Source" tableColumnId="4"/>
      <queryTableField id="10" name="Meets inclusion criteria" tableColumnId="10"/>
      <queryTableField id="65" name="fbs_group" tableColumnId="7"/>
      <queryTableField id="61" name="bootstrap_subgroup" tableColumnId="6"/>
      <queryTableField id="83" name="type" tableColumnId="18"/>
      <queryTableField id="98" name="include_in_model" tableColumnId="17"/>
    </queryTableFields>
    <queryTableDeletedFields count="2">
      <deletedField name="Per unit group (seafood GHG)"/>
      <deletedField name="per_unit_group_unadj"/>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6" xr16:uid="{00000000-0016-0000-0900-000001000000}" autoFormatId="16" applyNumberFormats="0" applyBorderFormats="0" applyFontFormats="1" applyPatternFormats="1" applyAlignmentFormats="0" applyWidthHeightFormats="0">
  <queryTableRefresh nextId="39" unboundColumnsRight="1">
    <queryTableFields count="10">
      <queryTableField id="21" name="Source" tableColumnId="8"/>
      <queryTableField id="29" name="num_data_points" tableColumnId="9"/>
      <queryTableField id="3" dataBound="0" tableColumnId="4"/>
      <queryTableField id="31" dataBound="0" tableColumnId="10"/>
      <queryTableField id="7" name="Setting(s)" tableColumnId="6"/>
      <queryTableField id="22" name="production_system(s)" tableColumnId="1"/>
      <queryTableField id="23" name="item(s)" tableColumnId="2"/>
      <queryTableField id="24" name="fbs_item(s)" tableColumnId="5"/>
      <queryTableField id="28" name="type" tableColumnId="7"/>
      <queryTableField id="2" dataBound="0" tableColumnId="3"/>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ropLCAs" displayName="CropLCAs" ref="A4:AP614" totalsRowShown="0" headerRowDxfId="121" dataDxfId="120">
  <autoFilter ref="A4:AP614" xr:uid="{00000000-0009-0000-0100-000002000000}"/>
  <sortState xmlns:xlrd2="http://schemas.microsoft.com/office/spreadsheetml/2017/richdata2" ref="A5:AL611">
    <sortCondition ref="B4:B614"/>
  </sortState>
  <tableColumns count="42">
    <tableColumn id="1" xr3:uid="{00000000-0010-0000-0100-000001000000}" name="initials" dataDxfId="119"/>
    <tableColumn id="2" xr3:uid="{00000000-0010-0000-0100-000002000000}" name="Author(s)" dataDxfId="118"/>
    <tableColumn id="39" xr3:uid="{00000000-0010-0000-0100-000027000000}" name="Year" dataDxfId="117"/>
    <tableColumn id="3" xr3:uid="{00000000-0010-0000-0100-000003000000}" name="Title" dataDxfId="116"/>
    <tableColumn id="4" xr3:uid="{00000000-0010-0000-0100-000004000000}" name="item(s)" dataDxfId="115"/>
    <tableColumn id="6" xr3:uid="{00000000-0010-0000-0100-000006000000}" name="fbs_item" dataDxfId="114"/>
    <tableColumn id="43" xr3:uid="{00000000-0010-0000-0100-00002B000000}" name="type" dataDxfId="113">
      <calculatedColumnFormula>IF(CropLCAs[[#This Row],[fbs_item]]="Insects","insect_ghg","plant_ghg")</calculatedColumnFormula>
    </tableColumn>
    <tableColumn id="8" xr3:uid="{00000000-0010-0000-0100-000008000000}" name="setting" dataDxfId="112"/>
    <tableColumn id="7" xr3:uid="{00000000-0010-0000-0100-000007000000}" name="Country code" dataDxfId="111"/>
    <tableColumn id="5" xr3:uid="{00000000-0010-0000-0100-000005000000}" name="Subsetting" dataDxfId="110"/>
    <tableColumn id="9" xr3:uid="{00000000-0010-0000-0100-000009000000}" name="production_system" dataDxfId="109"/>
    <tableColumn id="10" xr3:uid="{00000000-0010-0000-0100-00000A000000}" name="Production subsystem" dataDxfId="108"/>
    <tableColumn id="11" xr3:uid="{00000000-0010-0000-0100-00000B000000}" name="Greenhouse" dataDxfId="107"/>
    <tableColumn id="12" xr3:uid="{00000000-0010-0000-0100-00000C000000}" name="Capital goods production (e.g., buildings, machinery)" dataDxfId="106"/>
    <tableColumn id="13" xr3:uid="{00000000-0010-0000-0100-00000D000000}" name="Inputs production (e.g., fuel, fertilizers)" dataDxfId="105"/>
    <tableColumn id="14" xr3:uid="{00000000-0010-0000-0100-00000E000000}" name="Land use change (deforestation)" dataDxfId="104"/>
    <tableColumn id="15" xr3:uid="{00000000-0010-0000-0100-00000F000000}" name="Sequestration in crop biomass" dataDxfId="103"/>
    <tableColumn id="16" xr3:uid="{00000000-0010-0000-0100-000010000000}" name="Changes in soil organic carbon" dataDxfId="102"/>
    <tableColumn id="17" xr3:uid="{00000000-0010-0000-0100-000011000000}" name="Post-farm" dataDxfId="101"/>
    <tableColumn id="19" xr3:uid="{00000000-0010-0000-0100-000013000000}" name="Co-product allocation / system expansion" dataDxfId="100"/>
    <tableColumn id="20" xr3:uid="{00000000-0010-0000-0100-000014000000}" name="GWP" dataDxfId="99"/>
    <tableColumn id="21" xr3:uid="{00000000-0010-0000-0100-000015000000}" name="FU (value)" dataDxfId="98"/>
    <tableColumn id="22" xr3:uid="{00000000-0010-0000-0100-000016000000}" name="FU (unit)" dataDxfId="97"/>
    <tableColumn id="23" xr3:uid="{00000000-0010-0000-0100-000017000000}" name="CO2e (value)" dataDxfId="96" dataCellStyle="Comma"/>
    <tableColumn id="24" xr3:uid="{00000000-0010-0000-0100-000018000000}" name="CO2e (unit)" dataDxfId="95"/>
    <tableColumn id="38" xr3:uid="{00000000-0010-0000-0100-000026000000}" name="Product fraction" dataDxfId="94"/>
    <tableColumn id="32" xr3:uid="{00000000-0010-0000-0100-000020000000}" name="Value fraction" dataDxfId="93"/>
    <tableColumn id="25" xr3:uid="{00000000-0010-0000-0100-000019000000}" name="Conversion factor (value)" dataDxfId="92" dataCellStyle="Comma"/>
    <tableColumn id="26" xr3:uid="{00000000-0010-0000-0100-00001A000000}" name="Conversion factor (unit)" dataDxfId="91"/>
    <tableColumn id="40" xr3:uid="{00000000-0010-0000-0100-000028000000}" name="footprint_type" dataDxfId="90">
      <calculatedColumnFormula>"kg_co2e_excl_luc"</calculatedColumnFormula>
    </tableColumn>
    <tableColumn id="27" xr3:uid="{00000000-0010-0000-0100-00001B000000}" name="footprint" dataDxfId="89" dataCellStyle="Comma">
      <calculatedColumnFormula>IF(CropLCAs[[#This Row],[Product fraction]]="",CropLCAs[[#This Row],[CO2e (value)]]*CropLCAs[[#This Row],[Conversion factor (value)]],CropLCAs[[#This Row],[CO2e (value)]]*CropLCAs[[#This Row],[Conversion factor (value)]]/CropLCAs[[#This Row],[Product fraction]]*CropLCAs[[#This Row],[Value fraction]])</calculatedColumnFormula>
    </tableColumn>
    <tableColumn id="29" xr3:uid="{00000000-0010-0000-0100-00001D000000}" name="Processed FBS item" dataDxfId="88"/>
    <tableColumn id="44" xr3:uid="{00000000-0010-0000-0100-00002C000000}" name="processed_type" dataDxfId="87">
      <calculatedColumnFormula>"processed_ghg"</calculatedColumnFormula>
    </tableColumn>
    <tableColumn id="30" xr3:uid="{00000000-0010-0000-0100-00001E000000}" name="product_fraction" dataDxfId="86"/>
    <tableColumn id="18" xr3:uid="{00000000-0010-0000-0100-000012000000}" name="value_fraction" dataDxfId="85"/>
    <tableColumn id="31" xr3:uid="{00000000-0010-0000-0100-00001F000000}" name="Processed item footprint" dataDxfId="84">
      <calculatedColumnFormula>IF(CropLCAs[[#This Row],[product_fraction]]&gt;0,CropLCAs[[#This Row],[footprint]]/CropLCAs[[#This Row],[product_fraction]]*CropLCAs[[#This Row],[value_fraction]],"")</calculatedColumnFormula>
    </tableColumn>
    <tableColumn id="28" xr3:uid="{00000000-0010-0000-0100-00001C000000}" name="weight" dataDxfId="83" dataCellStyle="Comma"/>
    <tableColumn id="33" xr3:uid="{00000000-0010-0000-0100-000021000000}" name="Meets inclusion criteria" dataDxfId="82"/>
    <tableColumn id="34" xr3:uid="{00000000-0010-0000-0100-000022000000}" name="Notes" dataDxfId="81"/>
    <tableColumn id="35" xr3:uid="{00000000-0010-0000-0100-000023000000}" name="Notes2" dataDxfId="80"/>
    <tableColumn id="36" xr3:uid="{00000000-0010-0000-0100-000024000000}" name="Notes3" dataDxfId="79"/>
    <tableColumn id="37" xr3:uid="{00000000-0010-0000-0100-000025000000}" name="Notes4" dataDxfId="7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eafoodLCAs" displayName="SeafoodLCAs" ref="A4:AF130" totalsRowShown="0" headerRowDxfId="77" dataDxfId="76" headerRowCellStyle="Normal 2" dataCellStyle="Normal 2">
  <autoFilter ref="A4:AF130" xr:uid="{00000000-0009-0000-0100-000004000000}"/>
  <sortState xmlns:xlrd2="http://schemas.microsoft.com/office/spreadsheetml/2017/richdata2" ref="A5:AF130">
    <sortCondition ref="E4:E130"/>
  </sortState>
  <tableColumns count="32">
    <tableColumn id="1" xr3:uid="{00000000-0010-0000-0200-000001000000}" name="Initial" dataDxfId="75" dataCellStyle="Normal 2"/>
    <tableColumn id="2" xr3:uid="{00000000-0010-0000-0200-000002000000}" name="Author(s)" dataDxfId="74" dataCellStyle="Normal 2"/>
    <tableColumn id="30" xr3:uid="{00000000-0010-0000-0200-00001E000000}" name="Year" dataDxfId="73" dataCellStyle="Normal 2"/>
    <tableColumn id="3" xr3:uid="{00000000-0010-0000-0200-000003000000}" name="Title" dataDxfId="72" dataCellStyle="Normal 2"/>
    <tableColumn id="4" xr3:uid="{00000000-0010-0000-0200-000004000000}" name="item(s)" dataDxfId="71" dataCellStyle="Normal 2"/>
    <tableColumn id="5" xr3:uid="{00000000-0010-0000-0200-000005000000}" name="fbs_item" dataDxfId="70" dataCellStyle="Normal 2"/>
    <tableColumn id="33" xr3:uid="{00000000-0010-0000-0200-000021000000}" name="type" dataDxfId="69" dataCellStyle="Normal 2">
      <calculatedColumnFormula>"a_animal_ghg"</calculatedColumnFormula>
    </tableColumn>
    <tableColumn id="7" xr3:uid="{00000000-0010-0000-0200-000007000000}" name="Setting - fishery site" dataDxfId="68" dataCellStyle="Normal 2"/>
    <tableColumn id="8" xr3:uid="{00000000-0010-0000-0200-000008000000}" name="setting" dataDxfId="67" dataCellStyle="Normal 2"/>
    <tableColumn id="29" xr3:uid="{00000000-0010-0000-0200-00001D000000}" name="Country code" dataDxfId="66" dataCellStyle="Normal 2"/>
    <tableColumn id="9" xr3:uid="{00000000-0010-0000-0200-000009000000}" name="production_system" dataDxfId="65" dataCellStyle="Normal 2"/>
    <tableColumn id="10" xr3:uid="{00000000-0010-0000-0200-00000A000000}" name="Production system - additional info" dataDxfId="64" dataCellStyle="Normal 2"/>
    <tableColumn id="6" xr3:uid="{00000000-0010-0000-0200-000006000000}" name="Per unit group (seafood GHG)" dataDxfId="63" dataCellStyle="Normal 2"/>
    <tableColumn id="11" xr3:uid="{00000000-0010-0000-0200-00000B000000}" name="Capital goods production (e.g., ships, machinery)" dataDxfId="62" dataCellStyle="Normal 2"/>
    <tableColumn id="12" xr3:uid="{00000000-0010-0000-0200-00000C000000}" name="Inputs production (e.g., fuel, feed)" dataDxfId="61" dataCellStyle="Normal 2"/>
    <tableColumn id="13" xr3:uid="{00000000-0010-0000-0200-00000D000000}" name="Co-product allocation / system expansion" dataDxfId="60" dataCellStyle="Normal 2"/>
    <tableColumn id="14" xr3:uid="{00000000-0010-0000-0200-00000E000000}" name="Post-landing (fisheries) / post-harvest (aquaculture)" dataDxfId="59" dataCellStyle="Normal 2"/>
    <tableColumn id="15" xr3:uid="{00000000-0010-0000-0200-00000F000000}" name="GWP" dataDxfId="58" dataCellStyle="Normal 2"/>
    <tableColumn id="17" xr3:uid="{00000000-0010-0000-0200-000011000000}" name="FU (value)" dataDxfId="57" dataCellStyle="Normal 2"/>
    <tableColumn id="18" xr3:uid="{00000000-0010-0000-0200-000012000000}" name="FU (unit)" dataDxfId="56" dataCellStyle="Normal 2"/>
    <tableColumn id="19" xr3:uid="{00000000-0010-0000-0200-000013000000}" name="CO2e (value)" dataDxfId="55" dataCellStyle="Normal 2"/>
    <tableColumn id="20" xr3:uid="{00000000-0010-0000-0200-000014000000}" name="CO2e (unit)" dataDxfId="54" dataCellStyle="Normal 2"/>
    <tableColumn id="21" xr3:uid="{00000000-0010-0000-0200-000015000000}" name="Conversion factor (value)" dataDxfId="53" dataCellStyle="Comma"/>
    <tableColumn id="22" xr3:uid="{00000000-0010-0000-0200-000016000000}" name="Conversion factor (unit)" dataDxfId="52" dataCellStyle="Normal 2"/>
    <tableColumn id="31" xr3:uid="{00000000-0010-0000-0200-00001F000000}" name="footprint_type" dataDxfId="51" dataCellStyle="Normal 2">
      <calculatedColumnFormula>"kg_co2e_excl_luc"</calculatedColumnFormula>
    </tableColumn>
    <tableColumn id="23" xr3:uid="{00000000-0010-0000-0200-000017000000}" name="footprint" dataDxfId="50" dataCellStyle="Comma">
      <calculatedColumnFormula>SeafoodLCAs[[#This Row],[CO2e (value)]]*SeafoodLCAs[[#This Row],[Conversion factor (value)]]</calculatedColumnFormula>
    </tableColumn>
    <tableColumn id="24" xr3:uid="{00000000-0010-0000-0200-000018000000}" name="weight" dataDxfId="49" dataCellStyle="Normal 2">
      <calculatedColumnFormula>1/6</calculatedColumnFormula>
    </tableColumn>
    <tableColumn id="16" xr3:uid="{00000000-0010-0000-0200-000010000000}" name="Meets inclusion criteria" dataDxfId="48" dataCellStyle="Normal 2"/>
    <tableColumn id="25" xr3:uid="{00000000-0010-0000-0200-000019000000}" name="Notes" dataDxfId="47" dataCellStyle="Normal 2"/>
    <tableColumn id="26" xr3:uid="{00000000-0010-0000-0200-00001A000000}" name="Notes2" dataDxfId="46" dataCellStyle="Normal 2"/>
    <tableColumn id="27" xr3:uid="{00000000-0010-0000-0200-00001B000000}" name="Notes3" dataDxfId="45" dataCellStyle="Normal 2"/>
    <tableColumn id="28" xr3:uid="{00000000-0010-0000-0200-00001C000000}" name="Notes4" dataDxfId="44"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fp_distributions" displayName="fp_distributions" ref="A4:Q658" tableType="queryTable" totalsRowShown="0" headerRowDxfId="43" dataDxfId="42">
  <autoFilter ref="A4:Q658" xr:uid="{CA6BA147-E78D-4664-BEAE-97BD7A1F9F78}"/>
  <sortState xmlns:xlrd2="http://schemas.microsoft.com/office/spreadsheetml/2017/richdata2" ref="A5:Q658">
    <sortCondition ref="D5:D658"/>
    <sortCondition ref="I5:I658"/>
    <sortCondition ref="G5:G658"/>
  </sortState>
  <tableColumns count="17">
    <tableColumn id="1" xr3:uid="{00000000-0010-0000-0700-000001000000}" uniqueName="1" name="item(s)" queryTableFieldId="32" dataDxfId="32"/>
    <tableColumn id="2" xr3:uid="{00000000-0010-0000-0700-000002000000}" uniqueName="2" name="setting" queryTableFieldId="2" dataDxfId="31"/>
    <tableColumn id="13" xr3:uid="{00000000-0010-0000-0700-00000D000000}" uniqueName="13" name="production_system" queryTableFieldId="71" dataDxfId="30"/>
    <tableColumn id="5" xr3:uid="{00000000-0010-0000-0700-000005000000}" uniqueName="5" name="fbs_item_code" queryTableFieldId="64" dataDxfId="29"/>
    <tableColumn id="3" xr3:uid="{00000000-0010-0000-0700-000003000000}" uniqueName="3" name="fbs_item" queryTableFieldId="63" dataDxfId="28"/>
    <tableColumn id="11" xr3:uid="{00000000-0010-0000-0700-00000B000000}" uniqueName="11" name="output_group" queryTableFieldId="66" dataDxfId="27"/>
    <tableColumn id="9" xr3:uid="{00000000-0010-0000-0700-000009000000}" uniqueName="9" name="weight" queryTableFieldId="9" dataDxfId="26" dataCellStyle="Comma"/>
    <tableColumn id="8" xr3:uid="{EE95D3F9-BA67-4AF3-B58F-59F2975EB923}" uniqueName="8" name="footprint_type" queryTableFieldId="114" dataCellStyle="Comma"/>
    <tableColumn id="16" xr3:uid="{00000000-0010-0000-0700-000010000000}" uniqueName="16" name="footprint" queryTableFieldId="44" dataDxfId="25"/>
    <tableColumn id="20" xr3:uid="{A379778E-9A96-4AE7-8C7B-F692F8E9D970}" uniqueName="20" name="product_fraction" queryTableFieldId="99" dataDxfId="41"/>
    <tableColumn id="21" xr3:uid="{A4F6CDC0-DED7-4087-828C-03AF08392CB7}" uniqueName="21" name="value_fraction" queryTableFieldId="100" dataDxfId="40"/>
    <tableColumn id="4" xr3:uid="{00000000-0010-0000-0700-000004000000}" uniqueName="4" name="source" queryTableFieldId="34" dataDxfId="24"/>
    <tableColumn id="10" xr3:uid="{00000000-0010-0000-0700-00000A000000}" uniqueName="10" name="Meets inclusion criteria" queryTableFieldId="10" dataDxfId="23"/>
    <tableColumn id="7" xr3:uid="{00000000-0010-0000-0700-000007000000}" uniqueName="7" name="fbs_group" queryTableFieldId="65" dataDxfId="22"/>
    <tableColumn id="6" xr3:uid="{00000000-0010-0000-0700-000006000000}" uniqueName="6" name="bootstrap_subgroup" queryTableFieldId="61" dataDxfId="21"/>
    <tableColumn id="18" xr3:uid="{00000000-0010-0000-0700-000012000000}" uniqueName="18" name="type" queryTableFieldId="83" dataDxfId="20"/>
    <tableColumn id="17" xr3:uid="{6F6D479B-826C-4B3B-B5D0-51687096367F}" uniqueName="17" name="include_in_model" queryTableFieldId="98" dataDxfId="3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studies_summary" displayName="studies_summary" ref="A4:J114" tableType="queryTable" totalsRowCount="1" headerRowDxfId="38" dataDxfId="37" totalsRowDxfId="36">
  <autoFilter ref="A4:J113" xr:uid="{75180041-7FC8-48F8-9A16-45379A3A7F0F}"/>
  <sortState xmlns:xlrd2="http://schemas.microsoft.com/office/spreadsheetml/2017/richdata2" ref="A5:J113">
    <sortCondition ref="A4:A113"/>
  </sortState>
  <tableColumns count="10">
    <tableColumn id="8" xr3:uid="{00000000-0010-0000-0800-000008000000}" uniqueName="8" name="source" queryTableFieldId="21" dataDxfId="9" totalsRowDxfId="10"/>
    <tableColumn id="9" xr3:uid="{00000000-0010-0000-0800-000009000000}" uniqueName="9" name="num_data_points" totalsRowFunction="sum" queryTableFieldId="29" dataDxfId="8" totalsRowDxfId="11"/>
    <tableColumn id="4" xr3:uid="{00000000-0010-0000-0800-000004000000}" uniqueName="4" name="numb_data_points_incl_all_aqua_pond" totalsRowFunction="sum" queryTableFieldId="3" dataDxfId="7" totalsRowDxfId="12">
      <calculatedColumnFormula>COUNTIF(fp_distributions[source],studies_summary[[#This Row],[source]])</calculatedColumnFormula>
    </tableColumn>
    <tableColumn id="10" xr3:uid="{00000000-0010-0000-0800-00000A000000}" uniqueName="10" name="match?" queryTableFieldId="31" dataDxfId="6" totalsRowDxfId="13">
      <calculatedColumnFormula>IF(studies_summary[[#This Row],[numb_data_points_incl_all_aqua_pond]]=studies_summary[[#This Row],[num_data_points]],"yes","")</calculatedColumnFormula>
    </tableColumn>
    <tableColumn id="6" xr3:uid="{00000000-0010-0000-0800-000006000000}" uniqueName="6" name="setting(s)" queryTableFieldId="7" dataDxfId="5" totalsRowDxfId="14"/>
    <tableColumn id="1" xr3:uid="{00000000-0010-0000-0800-000001000000}" uniqueName="1" name="production_system(s)" queryTableFieldId="22" dataDxfId="4" totalsRowDxfId="15"/>
    <tableColumn id="2" xr3:uid="{00000000-0010-0000-0800-000002000000}" uniqueName="2" name="item(s)" queryTableFieldId="23" dataDxfId="3" totalsRowDxfId="16"/>
    <tableColumn id="5" xr3:uid="{00000000-0010-0000-0800-000005000000}" uniqueName="5" name="fbs_item(s)" queryTableFieldId="24" dataDxfId="2" totalsRowDxfId="17"/>
    <tableColumn id="7" xr3:uid="{00000000-0010-0000-0800-000007000000}" uniqueName="7" name="type" queryTableFieldId="28" dataDxfId="1" totalsRowDxfId="18"/>
    <tableColumn id="3" xr3:uid="{00000000-0010-0000-0800-000003000000}" uniqueName="3" name="study_count" totalsRowFunction="count" queryTableFieldId="2" dataDxfId="0" totalsRowDxfId="19">
      <calculatedColumnFormula>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ootDir" displayName="RootDir" ref="A4:A5" totalsRowShown="0" headerRowDxfId="35" dataDxfId="34" headerRowCellStyle="Normal 2 2" dataCellStyle="Normal 2 2">
  <autoFilter ref="A4:A5" xr:uid="{00000000-0009-0000-0100-000001000000}"/>
  <tableColumns count="1">
    <tableColumn id="1" xr3:uid="{00000000-0010-0000-0000-000001000000}" name="Root directory" dataDxfId="33" dataCellStyle="Normal 2 2">
      <calculatedColumnFormula>LEFT(CELL("Filename",A2),SEARCH("ghge_lit_review_distributions",CELL("Filename",A2))-2)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orld-food.net/download/journals/2013-issue_3&amp;4/2013-issue_3&amp;4-agriculture/a76.pdf" TargetMode="External"/><Relationship Id="rId13" Type="http://schemas.openxmlformats.org/officeDocument/2006/relationships/printerSettings" Target="../printerSettings/printerSettings1.bin"/><Relationship Id="rId3" Type="http://schemas.openxmlformats.org/officeDocument/2006/relationships/hyperlink" Target="http://world-food.net/download/journals/2013-issue_3&amp;4/2013-issue_3&amp;4-agriculture/a76.pdf" TargetMode="External"/><Relationship Id="rId7" Type="http://schemas.openxmlformats.org/officeDocument/2006/relationships/hyperlink" Target="http://world-food.net/download/journals/2013-issue_3&amp;4/2013-issue_3&amp;4-agriculture/a76.pdf" TargetMode="External"/><Relationship Id="rId12" Type="http://schemas.openxmlformats.org/officeDocument/2006/relationships/hyperlink" Target="http://world-food.net/download/journals/2013-issue_3&amp;4/2013-issue_3&amp;4-agriculture/a76.pdf" TargetMode="External"/><Relationship Id="rId2" Type="http://schemas.openxmlformats.org/officeDocument/2006/relationships/hyperlink" Target="http://world-food.net/download/journals/2013-issue_3&amp;4/2013-issue_3&amp;4-agriculture/a76.pdf" TargetMode="External"/><Relationship Id="rId16" Type="http://schemas.openxmlformats.org/officeDocument/2006/relationships/comments" Target="../comments1.xml"/><Relationship Id="rId1" Type="http://schemas.openxmlformats.org/officeDocument/2006/relationships/hyperlink" Target="http://world-food.net/download/journals/2013-issue_3&amp;4/2013-issue_3&amp;4-agriculture/a76.pdf" TargetMode="External"/><Relationship Id="rId6" Type="http://schemas.openxmlformats.org/officeDocument/2006/relationships/hyperlink" Target="http://world-food.net/download/journals/2013-issue_3&amp;4/2013-issue_3&amp;4-agriculture/a76.pdf" TargetMode="External"/><Relationship Id="rId11" Type="http://schemas.openxmlformats.org/officeDocument/2006/relationships/hyperlink" Target="http://world-food.net/download/journals/2013-issue_3&amp;4/2013-issue_3&amp;4-agriculture/a76.pdf" TargetMode="External"/><Relationship Id="rId5" Type="http://schemas.openxmlformats.org/officeDocument/2006/relationships/hyperlink" Target="http://world-food.net/download/journals/2013-issue_3&amp;4/2013-issue_3&amp;4-agriculture/a76.pdf" TargetMode="External"/><Relationship Id="rId15" Type="http://schemas.openxmlformats.org/officeDocument/2006/relationships/table" Target="../tables/table1.xml"/><Relationship Id="rId10" Type="http://schemas.openxmlformats.org/officeDocument/2006/relationships/hyperlink" Target="http://world-food.net/download/journals/2013-issue_3&amp;4/2013-issue_3&amp;4-agriculture/a76.pdf" TargetMode="External"/><Relationship Id="rId4" Type="http://schemas.openxmlformats.org/officeDocument/2006/relationships/hyperlink" Target="http://world-food.net/download/journals/2013-issue_3&amp;4/2013-issue_3&amp;4-agriculture/a76.pdf" TargetMode="External"/><Relationship Id="rId9" Type="http://schemas.openxmlformats.org/officeDocument/2006/relationships/hyperlink" Target="http://world-food.net/download/journals/2013-issue_3&amp;4/2013-issue_3&amp;4-agriculture/a76.pdf"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minerva.usc.es/xmlui/bitstream/handle/10347/2812/9788498874204_content.pdf;jsessionid=814B5ADFF297E72D5279F44DE528358A?sequence=1" TargetMode="External"/><Relationship Id="rId5" Type="http://schemas.openxmlformats.org/officeDocument/2006/relationships/comments" Target="../comments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4"/>
  <sheetViews>
    <sheetView workbookViewId="0"/>
  </sheetViews>
  <sheetFormatPr defaultRowHeight="12.75" x14ac:dyDescent="0.2"/>
  <cols>
    <col min="1" max="7" width="36.7109375" customWidth="1"/>
  </cols>
  <sheetData>
    <row r="1" spans="1:3" x14ac:dyDescent="0.2">
      <c r="A1" s="1" t="s">
        <v>50</v>
      </c>
    </row>
    <row r="3" spans="1:3" x14ac:dyDescent="0.2">
      <c r="A3" t="s">
        <v>51</v>
      </c>
      <c r="B3" t="s">
        <v>52</v>
      </c>
      <c r="C3">
        <v>0</v>
      </c>
    </row>
    <row r="4" spans="1:3" x14ac:dyDescent="0.2">
      <c r="A4" t="s">
        <v>53</v>
      </c>
    </row>
    <row r="5" spans="1:3" x14ac:dyDescent="0.2">
      <c r="A5" t="s">
        <v>54</v>
      </c>
    </row>
    <row r="7" spans="1:3" x14ac:dyDescent="0.2">
      <c r="A7" s="1" t="s">
        <v>55</v>
      </c>
      <c r="B7" t="s">
        <v>56</v>
      </c>
    </row>
    <row r="8" spans="1:3" x14ac:dyDescent="0.2">
      <c r="B8">
        <v>1</v>
      </c>
    </row>
    <row r="10" spans="1:3" x14ac:dyDescent="0.2">
      <c r="A10" t="s">
        <v>57</v>
      </c>
    </row>
    <row r="11" spans="1:3" x14ac:dyDescent="0.2">
      <c r="A11" t="e">
        <f>CB_DATA_!#REF!</f>
        <v>#REF!</v>
      </c>
    </row>
    <row r="13" spans="1:3" x14ac:dyDescent="0.2">
      <c r="A13" t="s">
        <v>58</v>
      </c>
    </row>
    <row r="14" spans="1:3" x14ac:dyDescent="0.2">
      <c r="A14" t="s">
        <v>62</v>
      </c>
    </row>
    <row r="16" spans="1:3" x14ac:dyDescent="0.2">
      <c r="A16" t="s">
        <v>59</v>
      </c>
    </row>
    <row r="19" spans="1:1" x14ac:dyDescent="0.2">
      <c r="A19" t="s">
        <v>60</v>
      </c>
    </row>
    <row r="20" spans="1:1" x14ac:dyDescent="0.2">
      <c r="A20">
        <v>34</v>
      </c>
    </row>
    <row r="25" spans="1:1" x14ac:dyDescent="0.2">
      <c r="A25" s="1" t="s">
        <v>61</v>
      </c>
    </row>
    <row r="26" spans="1:1" x14ac:dyDescent="0.2">
      <c r="A26" s="2" t="s">
        <v>63</v>
      </c>
    </row>
    <row r="27" spans="1:1" x14ac:dyDescent="0.2">
      <c r="A27" t="s">
        <v>64</v>
      </c>
    </row>
    <row r="28" spans="1:1" x14ac:dyDescent="0.2">
      <c r="A28" s="2" t="s">
        <v>65</v>
      </c>
    </row>
    <row r="29" spans="1:1" x14ac:dyDescent="0.2">
      <c r="A29" s="2" t="s">
        <v>73</v>
      </c>
    </row>
    <row r="30" spans="1:1" x14ac:dyDescent="0.2">
      <c r="A30" t="s">
        <v>1532</v>
      </c>
    </row>
    <row r="31" spans="1:1" x14ac:dyDescent="0.2">
      <c r="A31" s="2" t="s">
        <v>65</v>
      </c>
    </row>
    <row r="32" spans="1:1" x14ac:dyDescent="0.2">
      <c r="A32" s="2" t="s">
        <v>74</v>
      </c>
    </row>
    <row r="33" spans="1:1" x14ac:dyDescent="0.2">
      <c r="A33" t="s">
        <v>1533</v>
      </c>
    </row>
    <row r="34" spans="1:1" x14ac:dyDescent="0.2">
      <c r="A34" s="2"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614"/>
  <sheetViews>
    <sheetView zoomScaleNormal="100" workbookViewId="0">
      <pane ySplit="4" topLeftCell="A218" activePane="bottomLeft" state="frozen"/>
      <selection activeCell="A49" sqref="A49"/>
      <selection pane="bottomLeft" activeCell="D225" sqref="D225"/>
    </sheetView>
  </sheetViews>
  <sheetFormatPr defaultColWidth="14.42578125" defaultRowHeight="44.1" customHeight="1" x14ac:dyDescent="0.2"/>
  <cols>
    <col min="1" max="2" width="10.7109375" style="16" customWidth="1"/>
    <col min="3" max="3" width="8.7109375" style="16" customWidth="1"/>
    <col min="4" max="5" width="10.7109375" style="16" customWidth="1"/>
    <col min="6" max="9" width="10.7109375" style="47" customWidth="1"/>
    <col min="10" max="30" width="10.7109375" style="16" customWidth="1"/>
    <col min="31" max="31" width="14.42578125" style="16"/>
    <col min="32" max="36" width="10.7109375" style="16" customWidth="1"/>
    <col min="37" max="37" width="20.7109375" style="16" customWidth="1"/>
    <col min="38" max="38" width="20.42578125" style="16" customWidth="1"/>
    <col min="39" max="40" width="35.7109375" style="16" customWidth="1"/>
    <col min="41" max="41" width="18.28515625" style="16" customWidth="1"/>
    <col min="42" max="42" width="19.85546875" style="16" customWidth="1"/>
    <col min="43" max="43" width="8.7109375" style="16" customWidth="1"/>
    <col min="44" max="16384" width="14.42578125" style="16"/>
  </cols>
  <sheetData>
    <row r="1" spans="1:47" s="4" customFormat="1" ht="12" customHeight="1" x14ac:dyDescent="0.2">
      <c r="A1" s="120" t="s">
        <v>1785</v>
      </c>
      <c r="F1" s="123"/>
      <c r="G1" s="123"/>
      <c r="H1" s="123"/>
      <c r="I1" s="123"/>
    </row>
    <row r="2" spans="1:47" s="4" customFormat="1" ht="12" customHeight="1" x14ac:dyDescent="0.2">
      <c r="A2" s="4" t="s">
        <v>1784</v>
      </c>
      <c r="F2" s="123"/>
      <c r="G2" s="123"/>
      <c r="H2" s="123"/>
      <c r="I2" s="123"/>
    </row>
    <row r="3" spans="1:47" s="4" customFormat="1" ht="12" customHeight="1" x14ac:dyDescent="0.2">
      <c r="A3" s="4" t="s">
        <v>1309</v>
      </c>
      <c r="F3" s="123"/>
      <c r="G3" s="123"/>
      <c r="H3" s="123"/>
      <c r="I3" s="123"/>
    </row>
    <row r="4" spans="1:47" s="5" customFormat="1" ht="44.1" customHeight="1" x14ac:dyDescent="0.2">
      <c r="A4" s="32" t="s">
        <v>78</v>
      </c>
      <c r="B4" s="32" t="s">
        <v>1527</v>
      </c>
      <c r="C4" s="32" t="s">
        <v>1433</v>
      </c>
      <c r="D4" s="32" t="s">
        <v>79</v>
      </c>
      <c r="E4" s="33" t="s">
        <v>1660</v>
      </c>
      <c r="F4" s="32" t="s">
        <v>1649</v>
      </c>
      <c r="G4" s="34" t="s">
        <v>1691</v>
      </c>
      <c r="H4" s="48" t="s">
        <v>1667</v>
      </c>
      <c r="I4" s="48" t="s">
        <v>1382</v>
      </c>
      <c r="J4" s="48" t="s">
        <v>1285</v>
      </c>
      <c r="K4" s="32" t="s">
        <v>1653</v>
      </c>
      <c r="L4" s="32" t="s">
        <v>80</v>
      </c>
      <c r="M4" s="32" t="s">
        <v>81</v>
      </c>
      <c r="N4" s="32" t="s">
        <v>82</v>
      </c>
      <c r="O4" s="32" t="s">
        <v>83</v>
      </c>
      <c r="P4" s="32" t="s">
        <v>84</v>
      </c>
      <c r="Q4" s="32" t="s">
        <v>85</v>
      </c>
      <c r="R4" s="32" t="s">
        <v>86</v>
      </c>
      <c r="S4" s="32" t="s">
        <v>87</v>
      </c>
      <c r="T4" s="61" t="s">
        <v>1230</v>
      </c>
      <c r="U4" s="32" t="s">
        <v>88</v>
      </c>
      <c r="V4" s="32" t="s">
        <v>89</v>
      </c>
      <c r="W4" s="32" t="s">
        <v>90</v>
      </c>
      <c r="X4" s="32" t="s">
        <v>91</v>
      </c>
      <c r="Y4" s="32" t="s">
        <v>92</v>
      </c>
      <c r="Z4" s="32" t="s">
        <v>1426</v>
      </c>
      <c r="AA4" s="32" t="s">
        <v>1425</v>
      </c>
      <c r="AB4" s="32" t="s">
        <v>93</v>
      </c>
      <c r="AC4" s="32" t="s">
        <v>94</v>
      </c>
      <c r="AD4" s="34" t="s">
        <v>1796</v>
      </c>
      <c r="AE4" s="34" t="s">
        <v>1795</v>
      </c>
      <c r="AF4" s="33" t="s">
        <v>1530</v>
      </c>
      <c r="AG4" s="34" t="s">
        <v>1692</v>
      </c>
      <c r="AH4" s="33" t="s">
        <v>1779</v>
      </c>
      <c r="AI4" s="33" t="s">
        <v>1780</v>
      </c>
      <c r="AJ4" s="35" t="s">
        <v>1531</v>
      </c>
      <c r="AK4" s="32" t="s">
        <v>1797</v>
      </c>
      <c r="AL4" s="33" t="s">
        <v>897</v>
      </c>
      <c r="AM4" s="32" t="s">
        <v>95</v>
      </c>
      <c r="AN4" s="32" t="s">
        <v>96</v>
      </c>
      <c r="AO4" s="32" t="s">
        <v>97</v>
      </c>
      <c r="AP4" s="32" t="s">
        <v>98</v>
      </c>
      <c r="AQ4" s="32"/>
      <c r="AR4" s="32"/>
      <c r="AS4" s="32"/>
      <c r="AT4" s="32"/>
      <c r="AU4" s="32"/>
    </row>
    <row r="5" spans="1:47" ht="44.1" customHeight="1" x14ac:dyDescent="0.2">
      <c r="A5" s="5" t="s">
        <v>112</v>
      </c>
      <c r="B5" s="5" t="s">
        <v>1434</v>
      </c>
      <c r="C5" s="5">
        <v>2013</v>
      </c>
      <c r="D5" s="5" t="s">
        <v>209</v>
      </c>
      <c r="E5" s="5" t="s">
        <v>1305</v>
      </c>
      <c r="F5" s="5" t="s">
        <v>11</v>
      </c>
      <c r="G5" s="5" t="str">
        <f>IF(CropLCAs[[#This Row],[fbs_item]]="Insects","insect_ghg","plant_ghg")</f>
        <v>plant_ghg</v>
      </c>
      <c r="H5" s="49" t="s">
        <v>210</v>
      </c>
      <c r="I5" s="49"/>
      <c r="J5" s="49"/>
      <c r="K5" s="5" t="s">
        <v>690</v>
      </c>
      <c r="L5" s="5" t="s">
        <v>1284</v>
      </c>
      <c r="M5" s="5" t="s">
        <v>102</v>
      </c>
      <c r="N5" s="5" t="s">
        <v>211</v>
      </c>
      <c r="O5" s="5" t="s">
        <v>109</v>
      </c>
      <c r="P5" s="5" t="s">
        <v>102</v>
      </c>
      <c r="Q5" s="5" t="s">
        <v>102</v>
      </c>
      <c r="R5" s="5" t="s">
        <v>102</v>
      </c>
      <c r="S5" s="5" t="s">
        <v>102</v>
      </c>
      <c r="T5" s="5" t="s">
        <v>102</v>
      </c>
      <c r="U5" s="5">
        <v>100</v>
      </c>
      <c r="V5" s="5">
        <v>1</v>
      </c>
      <c r="W5" s="5" t="s">
        <v>106</v>
      </c>
      <c r="X5" s="24">
        <v>8.6599999999999996E-2</v>
      </c>
      <c r="Y5" s="5" t="s">
        <v>106</v>
      </c>
      <c r="Z5" s="5"/>
      <c r="AA5" s="5"/>
      <c r="AB5" s="24">
        <v>1</v>
      </c>
      <c r="AC5" s="5"/>
      <c r="AD5" s="5" t="str">
        <f t="shared" ref="AD5:AD68" si="0">"kg_co2e_excl_luc"</f>
        <v>kg_co2e_excl_luc</v>
      </c>
      <c r="AE5" s="24">
        <f>IF(CropLCAs[[#This Row],[Product fraction]]="",CropLCAs[[#This Row],[CO2e (value)]]*CropLCAs[[#This Row],[Conversion factor (value)]],CropLCAs[[#This Row],[CO2e (value)]]*CropLCAs[[#This Row],[Conversion factor (value)]]/CropLCAs[[#This Row],[Product fraction]]*CropLCAs[[#This Row],[Value fraction]])</f>
        <v>8.6599999999999996E-2</v>
      </c>
      <c r="AF5" s="5"/>
      <c r="AG5" s="5" t="str">
        <f t="shared" ref="AG5:AG68" si="1">"processed_ghg"</f>
        <v>processed_ghg</v>
      </c>
      <c r="AH5" s="5"/>
      <c r="AI5" s="5"/>
      <c r="AJ5" s="8" t="str">
        <f>IF(CropLCAs[[#This Row],[product_fraction]]&gt;0,CropLCAs[[#This Row],[footprint]]/CropLCAs[[#This Row],[product_fraction]]*CropLCAs[[#This Row],[value_fraction]],"")</f>
        <v/>
      </c>
      <c r="AK5" s="23">
        <v>1</v>
      </c>
      <c r="AL5" s="5" t="s">
        <v>109</v>
      </c>
      <c r="AM5" s="5"/>
      <c r="AN5" s="5"/>
      <c r="AO5" s="5"/>
      <c r="AP5" s="5"/>
      <c r="AQ5" s="5"/>
      <c r="AR5" s="5"/>
      <c r="AS5" s="5"/>
      <c r="AT5" s="5"/>
      <c r="AU5" s="5"/>
    </row>
    <row r="6" spans="1:47" ht="44.1" customHeight="1" x14ac:dyDescent="0.2">
      <c r="A6" s="5" t="s">
        <v>112</v>
      </c>
      <c r="B6" s="5" t="s">
        <v>1434</v>
      </c>
      <c r="C6" s="5">
        <v>2013</v>
      </c>
      <c r="D6" s="5" t="s">
        <v>209</v>
      </c>
      <c r="E6" s="5" t="s">
        <v>1306</v>
      </c>
      <c r="F6" s="5" t="s">
        <v>11</v>
      </c>
      <c r="G6" s="5" t="str">
        <f>IF(CropLCAs[[#This Row],[fbs_item]]="Insects","insect_ghg","plant_ghg")</f>
        <v>plant_ghg</v>
      </c>
      <c r="H6" s="49" t="s">
        <v>210</v>
      </c>
      <c r="I6" s="49"/>
      <c r="J6" s="49"/>
      <c r="K6" s="5" t="s">
        <v>101</v>
      </c>
      <c r="L6" s="5"/>
      <c r="M6" s="5" t="s">
        <v>102</v>
      </c>
      <c r="N6" s="5" t="s">
        <v>211</v>
      </c>
      <c r="O6" s="5" t="s">
        <v>109</v>
      </c>
      <c r="P6" s="5" t="s">
        <v>102</v>
      </c>
      <c r="Q6" s="5" t="s">
        <v>102</v>
      </c>
      <c r="R6" s="5" t="s">
        <v>102</v>
      </c>
      <c r="S6" s="5" t="s">
        <v>102</v>
      </c>
      <c r="T6" s="5" t="s">
        <v>102</v>
      </c>
      <c r="U6" s="5">
        <v>100</v>
      </c>
      <c r="V6" s="5">
        <v>1</v>
      </c>
      <c r="W6" s="5" t="s">
        <v>106</v>
      </c>
      <c r="X6" s="24">
        <v>0.30299999999999999</v>
      </c>
      <c r="Y6" s="5" t="s">
        <v>106</v>
      </c>
      <c r="Z6" s="5"/>
      <c r="AA6" s="5"/>
      <c r="AB6" s="24">
        <v>1</v>
      </c>
      <c r="AC6" s="5"/>
      <c r="AD6" s="5" t="str">
        <f t="shared" si="0"/>
        <v>kg_co2e_excl_luc</v>
      </c>
      <c r="AE6" s="24">
        <f>IF(CropLCAs[[#This Row],[Product fraction]]="",CropLCAs[[#This Row],[CO2e (value)]]*CropLCAs[[#This Row],[Conversion factor (value)]],CropLCAs[[#This Row],[CO2e (value)]]*CropLCAs[[#This Row],[Conversion factor (value)]]/CropLCAs[[#This Row],[Product fraction]]*CropLCAs[[#This Row],[Value fraction]])</f>
        <v>0.30299999999999999</v>
      </c>
      <c r="AF6" s="5"/>
      <c r="AG6" s="5" t="str">
        <f t="shared" si="1"/>
        <v>processed_ghg</v>
      </c>
      <c r="AH6" s="5"/>
      <c r="AI6" s="5"/>
      <c r="AJ6" s="8" t="str">
        <f>IF(CropLCAs[[#This Row],[product_fraction]]&gt;0,CropLCAs[[#This Row],[footprint]]/CropLCAs[[#This Row],[product_fraction]]*CropLCAs[[#This Row],[value_fraction]],"")</f>
        <v/>
      </c>
      <c r="AK6" s="23">
        <f t="shared" ref="AK6:AK11" si="2">1/3</f>
        <v>0.33333333333333331</v>
      </c>
      <c r="AL6" s="5" t="s">
        <v>109</v>
      </c>
      <c r="AM6" s="5"/>
      <c r="AN6" s="5"/>
      <c r="AO6" s="5"/>
      <c r="AP6" s="5"/>
      <c r="AQ6" s="5"/>
      <c r="AR6" s="5"/>
      <c r="AS6" s="5"/>
      <c r="AT6" s="5"/>
      <c r="AU6" s="5"/>
    </row>
    <row r="7" spans="1:47" ht="44.1" customHeight="1" x14ac:dyDescent="0.2">
      <c r="A7" s="5" t="s">
        <v>112</v>
      </c>
      <c r="B7" s="5" t="s">
        <v>1434</v>
      </c>
      <c r="C7" s="5">
        <v>2013</v>
      </c>
      <c r="D7" s="5" t="s">
        <v>209</v>
      </c>
      <c r="E7" s="5" t="s">
        <v>1306</v>
      </c>
      <c r="F7" s="5" t="s">
        <v>11</v>
      </c>
      <c r="G7" s="5" t="str">
        <f>IF(CropLCAs[[#This Row],[fbs_item]]="Insects","insect_ghg","plant_ghg")</f>
        <v>plant_ghg</v>
      </c>
      <c r="H7" s="49" t="s">
        <v>210</v>
      </c>
      <c r="I7" s="49"/>
      <c r="J7" s="49"/>
      <c r="K7" s="5" t="s">
        <v>111</v>
      </c>
      <c r="L7" s="5"/>
      <c r="M7" s="5" t="s">
        <v>102</v>
      </c>
      <c r="N7" s="5" t="s">
        <v>211</v>
      </c>
      <c r="O7" s="5" t="s">
        <v>109</v>
      </c>
      <c r="P7" s="5" t="s">
        <v>102</v>
      </c>
      <c r="Q7" s="5" t="s">
        <v>102</v>
      </c>
      <c r="R7" s="5" t="s">
        <v>102</v>
      </c>
      <c r="S7" s="5" t="s">
        <v>102</v>
      </c>
      <c r="T7" s="5" t="s">
        <v>102</v>
      </c>
      <c r="U7" s="5">
        <v>100</v>
      </c>
      <c r="V7" s="5">
        <v>1</v>
      </c>
      <c r="W7" s="5" t="s">
        <v>106</v>
      </c>
      <c r="X7" s="24">
        <v>0.247</v>
      </c>
      <c r="Y7" s="5" t="s">
        <v>106</v>
      </c>
      <c r="Z7" s="5"/>
      <c r="AA7" s="5"/>
      <c r="AB7" s="24">
        <v>1</v>
      </c>
      <c r="AC7" s="5"/>
      <c r="AD7" s="5" t="str">
        <f t="shared" si="0"/>
        <v>kg_co2e_excl_luc</v>
      </c>
      <c r="AE7" s="24">
        <f>IF(CropLCAs[[#This Row],[Product fraction]]="",CropLCAs[[#This Row],[CO2e (value)]]*CropLCAs[[#This Row],[Conversion factor (value)]],CropLCAs[[#This Row],[CO2e (value)]]*CropLCAs[[#This Row],[Conversion factor (value)]]/CropLCAs[[#This Row],[Product fraction]]*CropLCAs[[#This Row],[Value fraction]])</f>
        <v>0.247</v>
      </c>
      <c r="AF7" s="5"/>
      <c r="AG7" s="5" t="str">
        <f t="shared" si="1"/>
        <v>processed_ghg</v>
      </c>
      <c r="AH7" s="5"/>
      <c r="AI7" s="5"/>
      <c r="AJ7" s="8" t="str">
        <f>IF(CropLCAs[[#This Row],[product_fraction]]&gt;0,CropLCAs[[#This Row],[footprint]]/CropLCAs[[#This Row],[product_fraction]]*CropLCAs[[#This Row],[value_fraction]],"")</f>
        <v/>
      </c>
      <c r="AK7" s="23">
        <f t="shared" si="2"/>
        <v>0.33333333333333331</v>
      </c>
      <c r="AL7" s="5" t="s">
        <v>109</v>
      </c>
      <c r="AM7" s="5"/>
      <c r="AN7" s="5"/>
      <c r="AO7" s="5"/>
      <c r="AP7" s="5"/>
      <c r="AQ7" s="5"/>
      <c r="AR7" s="5"/>
      <c r="AS7" s="5"/>
      <c r="AT7" s="5"/>
      <c r="AU7" s="5"/>
    </row>
    <row r="8" spans="1:47" ht="44.1" customHeight="1" x14ac:dyDescent="0.2">
      <c r="A8" s="5" t="s">
        <v>112</v>
      </c>
      <c r="B8" s="5" t="s">
        <v>1434</v>
      </c>
      <c r="C8" s="5">
        <v>2013</v>
      </c>
      <c r="D8" s="5" t="s">
        <v>209</v>
      </c>
      <c r="E8" s="5" t="s">
        <v>1306</v>
      </c>
      <c r="F8" s="5" t="s">
        <v>11</v>
      </c>
      <c r="G8" s="5" t="str">
        <f>IF(CropLCAs[[#This Row],[fbs_item]]="Insects","insect_ghg","plant_ghg")</f>
        <v>plant_ghg</v>
      </c>
      <c r="H8" s="49" t="s">
        <v>210</v>
      </c>
      <c r="I8" s="49"/>
      <c r="J8" s="49"/>
      <c r="K8" s="5" t="s">
        <v>690</v>
      </c>
      <c r="L8" s="5" t="s">
        <v>1284</v>
      </c>
      <c r="M8" s="5" t="s">
        <v>102</v>
      </c>
      <c r="N8" s="5" t="s">
        <v>211</v>
      </c>
      <c r="O8" s="5" t="s">
        <v>109</v>
      </c>
      <c r="P8" s="5" t="s">
        <v>102</v>
      </c>
      <c r="Q8" s="5" t="s">
        <v>102</v>
      </c>
      <c r="R8" s="5" t="s">
        <v>102</v>
      </c>
      <c r="S8" s="5" t="s">
        <v>102</v>
      </c>
      <c r="T8" s="5" t="s">
        <v>102</v>
      </c>
      <c r="U8" s="5">
        <v>100</v>
      </c>
      <c r="V8" s="5">
        <v>1</v>
      </c>
      <c r="W8" s="5" t="s">
        <v>106</v>
      </c>
      <c r="X8" s="24">
        <v>0.127</v>
      </c>
      <c r="Y8" s="5" t="s">
        <v>106</v>
      </c>
      <c r="Z8" s="5"/>
      <c r="AA8" s="5"/>
      <c r="AB8" s="24">
        <v>1</v>
      </c>
      <c r="AC8" s="5"/>
      <c r="AD8" s="5" t="str">
        <f t="shared" si="0"/>
        <v>kg_co2e_excl_luc</v>
      </c>
      <c r="AE8" s="24">
        <f>IF(CropLCAs[[#This Row],[Product fraction]]="",CropLCAs[[#This Row],[CO2e (value)]]*CropLCAs[[#This Row],[Conversion factor (value)]],CropLCAs[[#This Row],[CO2e (value)]]*CropLCAs[[#This Row],[Conversion factor (value)]]/CropLCAs[[#This Row],[Product fraction]]*CropLCAs[[#This Row],[Value fraction]])</f>
        <v>0.127</v>
      </c>
      <c r="AF8" s="5"/>
      <c r="AG8" s="5" t="str">
        <f t="shared" si="1"/>
        <v>processed_ghg</v>
      </c>
      <c r="AH8" s="5"/>
      <c r="AI8" s="5"/>
      <c r="AJ8" s="8" t="str">
        <f>IF(CropLCAs[[#This Row],[product_fraction]]&gt;0,CropLCAs[[#This Row],[footprint]]/CropLCAs[[#This Row],[product_fraction]]*CropLCAs[[#This Row],[value_fraction]],"")</f>
        <v/>
      </c>
      <c r="AK8" s="23">
        <f t="shared" si="2"/>
        <v>0.33333333333333331</v>
      </c>
      <c r="AL8" s="5" t="s">
        <v>109</v>
      </c>
      <c r="AM8" s="5"/>
      <c r="AN8" s="5"/>
      <c r="AO8" s="5"/>
      <c r="AP8" s="5"/>
      <c r="AQ8" s="5"/>
      <c r="AR8" s="5"/>
      <c r="AS8" s="5"/>
      <c r="AT8" s="5"/>
      <c r="AU8" s="5"/>
    </row>
    <row r="9" spans="1:47" ht="44.1" customHeight="1" x14ac:dyDescent="0.2">
      <c r="A9" s="5" t="s">
        <v>112</v>
      </c>
      <c r="B9" s="5" t="s">
        <v>1434</v>
      </c>
      <c r="C9" s="5">
        <v>2013</v>
      </c>
      <c r="D9" s="5" t="s">
        <v>209</v>
      </c>
      <c r="E9" s="5" t="s">
        <v>1307</v>
      </c>
      <c r="F9" s="5" t="s">
        <v>11</v>
      </c>
      <c r="G9" s="5" t="str">
        <f>IF(CropLCAs[[#This Row],[fbs_item]]="Insects","insect_ghg","plant_ghg")</f>
        <v>plant_ghg</v>
      </c>
      <c r="H9" s="49" t="s">
        <v>210</v>
      </c>
      <c r="I9" s="49"/>
      <c r="J9" s="49"/>
      <c r="K9" s="5" t="s">
        <v>690</v>
      </c>
      <c r="L9" s="5" t="s">
        <v>1284</v>
      </c>
      <c r="M9" s="5" t="s">
        <v>102</v>
      </c>
      <c r="N9" s="5" t="s">
        <v>211</v>
      </c>
      <c r="O9" s="5" t="s">
        <v>109</v>
      </c>
      <c r="P9" s="5" t="s">
        <v>102</v>
      </c>
      <c r="Q9" s="5" t="s">
        <v>102</v>
      </c>
      <c r="R9" s="5" t="s">
        <v>102</v>
      </c>
      <c r="S9" s="5" t="s">
        <v>102</v>
      </c>
      <c r="T9" s="5" t="s">
        <v>102</v>
      </c>
      <c r="U9" s="5">
        <v>100</v>
      </c>
      <c r="V9" s="5">
        <v>1</v>
      </c>
      <c r="W9" s="5" t="s">
        <v>106</v>
      </c>
      <c r="X9" s="24">
        <v>0.11799999999999999</v>
      </c>
      <c r="Y9" s="5" t="s">
        <v>106</v>
      </c>
      <c r="Z9" s="5"/>
      <c r="AA9" s="5"/>
      <c r="AB9" s="24">
        <v>1</v>
      </c>
      <c r="AC9" s="5"/>
      <c r="AD9" s="5" t="str">
        <f t="shared" si="0"/>
        <v>kg_co2e_excl_luc</v>
      </c>
      <c r="AE9" s="24">
        <f>IF(CropLCAs[[#This Row],[Product fraction]]="",CropLCAs[[#This Row],[CO2e (value)]]*CropLCAs[[#This Row],[Conversion factor (value)]],CropLCAs[[#This Row],[CO2e (value)]]*CropLCAs[[#This Row],[Conversion factor (value)]]/CropLCAs[[#This Row],[Product fraction]]*CropLCAs[[#This Row],[Value fraction]])</f>
        <v>0.11799999999999999</v>
      </c>
      <c r="AF9" s="5"/>
      <c r="AG9" s="5" t="str">
        <f t="shared" si="1"/>
        <v>processed_ghg</v>
      </c>
      <c r="AH9" s="5"/>
      <c r="AI9" s="5"/>
      <c r="AJ9" s="8" t="str">
        <f>IF(CropLCAs[[#This Row],[product_fraction]]&gt;0,CropLCAs[[#This Row],[footprint]]/CropLCAs[[#This Row],[product_fraction]]*CropLCAs[[#This Row],[value_fraction]],"")</f>
        <v/>
      </c>
      <c r="AK9" s="23">
        <f t="shared" si="2"/>
        <v>0.33333333333333331</v>
      </c>
      <c r="AL9" s="5" t="s">
        <v>109</v>
      </c>
      <c r="AM9" s="5"/>
      <c r="AN9" s="5"/>
      <c r="AO9" s="5"/>
      <c r="AP9" s="5"/>
      <c r="AQ9" s="5"/>
      <c r="AR9" s="5"/>
      <c r="AS9" s="5"/>
      <c r="AT9" s="5"/>
      <c r="AU9" s="5"/>
    </row>
    <row r="10" spans="1:47" ht="44.1" customHeight="1" x14ac:dyDescent="0.2">
      <c r="A10" s="5" t="s">
        <v>112</v>
      </c>
      <c r="B10" s="5" t="s">
        <v>1434</v>
      </c>
      <c r="C10" s="5">
        <v>2013</v>
      </c>
      <c r="D10" s="5" t="s">
        <v>209</v>
      </c>
      <c r="E10" s="5" t="s">
        <v>1307</v>
      </c>
      <c r="F10" s="5" t="s">
        <v>11</v>
      </c>
      <c r="G10" s="5" t="str">
        <f>IF(CropLCAs[[#This Row],[fbs_item]]="Insects","insect_ghg","plant_ghg")</f>
        <v>plant_ghg</v>
      </c>
      <c r="H10" s="49" t="s">
        <v>210</v>
      </c>
      <c r="I10" s="49"/>
      <c r="J10" s="49"/>
      <c r="K10" s="5" t="s">
        <v>101</v>
      </c>
      <c r="L10" s="5"/>
      <c r="M10" s="5" t="s">
        <v>102</v>
      </c>
      <c r="N10" s="5" t="s">
        <v>211</v>
      </c>
      <c r="O10" s="5" t="s">
        <v>109</v>
      </c>
      <c r="P10" s="5" t="s">
        <v>102</v>
      </c>
      <c r="Q10" s="5" t="s">
        <v>102</v>
      </c>
      <c r="R10" s="5" t="s">
        <v>102</v>
      </c>
      <c r="S10" s="5" t="s">
        <v>102</v>
      </c>
      <c r="T10" s="5" t="s">
        <v>102</v>
      </c>
      <c r="U10" s="5">
        <v>100</v>
      </c>
      <c r="V10" s="5">
        <v>1</v>
      </c>
      <c r="W10" s="5" t="s">
        <v>106</v>
      </c>
      <c r="X10" s="24">
        <v>0.438</v>
      </c>
      <c r="Y10" s="5" t="s">
        <v>106</v>
      </c>
      <c r="Z10" s="5"/>
      <c r="AA10" s="5"/>
      <c r="AB10" s="24">
        <v>1</v>
      </c>
      <c r="AC10" s="5"/>
      <c r="AD10" s="5" t="str">
        <f t="shared" si="0"/>
        <v>kg_co2e_excl_luc</v>
      </c>
      <c r="AE10" s="24">
        <f>IF(CropLCAs[[#This Row],[Product fraction]]="",CropLCAs[[#This Row],[CO2e (value)]]*CropLCAs[[#This Row],[Conversion factor (value)]],CropLCAs[[#This Row],[CO2e (value)]]*CropLCAs[[#This Row],[Conversion factor (value)]]/CropLCAs[[#This Row],[Product fraction]]*CropLCAs[[#This Row],[Value fraction]])</f>
        <v>0.438</v>
      </c>
      <c r="AF10" s="5"/>
      <c r="AG10" s="5" t="str">
        <f t="shared" si="1"/>
        <v>processed_ghg</v>
      </c>
      <c r="AH10" s="5"/>
      <c r="AI10" s="5"/>
      <c r="AJ10" s="8" t="str">
        <f>IF(CropLCAs[[#This Row],[product_fraction]]&gt;0,CropLCAs[[#This Row],[footprint]]/CropLCAs[[#This Row],[product_fraction]]*CropLCAs[[#This Row],[value_fraction]],"")</f>
        <v/>
      </c>
      <c r="AK10" s="23">
        <f t="shared" si="2"/>
        <v>0.33333333333333331</v>
      </c>
      <c r="AL10" s="5" t="s">
        <v>109</v>
      </c>
      <c r="AM10" s="5"/>
      <c r="AN10" s="5"/>
      <c r="AO10" s="5"/>
      <c r="AP10" s="5"/>
      <c r="AQ10" s="5"/>
      <c r="AR10" s="5"/>
      <c r="AS10" s="5"/>
      <c r="AT10" s="5"/>
      <c r="AU10" s="5"/>
    </row>
    <row r="11" spans="1:47" ht="44.1" customHeight="1" x14ac:dyDescent="0.2">
      <c r="A11" s="5" t="s">
        <v>112</v>
      </c>
      <c r="B11" s="5" t="s">
        <v>1434</v>
      </c>
      <c r="C11" s="5">
        <v>2013</v>
      </c>
      <c r="D11" s="5" t="s">
        <v>209</v>
      </c>
      <c r="E11" s="5" t="s">
        <v>1307</v>
      </c>
      <c r="F11" s="5" t="s">
        <v>11</v>
      </c>
      <c r="G11" s="5" t="str">
        <f>IF(CropLCAs[[#This Row],[fbs_item]]="Insects","insect_ghg","plant_ghg")</f>
        <v>plant_ghg</v>
      </c>
      <c r="H11" s="49" t="s">
        <v>210</v>
      </c>
      <c r="I11" s="49"/>
      <c r="J11" s="49"/>
      <c r="K11" s="5" t="s">
        <v>111</v>
      </c>
      <c r="L11" s="5"/>
      <c r="M11" s="5" t="s">
        <v>102</v>
      </c>
      <c r="N11" s="5" t="s">
        <v>211</v>
      </c>
      <c r="O11" s="5" t="s">
        <v>109</v>
      </c>
      <c r="P11" s="5" t="s">
        <v>102</v>
      </c>
      <c r="Q11" s="5" t="s">
        <v>102</v>
      </c>
      <c r="R11" s="5" t="s">
        <v>102</v>
      </c>
      <c r="S11" s="5" t="s">
        <v>102</v>
      </c>
      <c r="T11" s="5" t="s">
        <v>102</v>
      </c>
      <c r="U11" s="5">
        <v>100</v>
      </c>
      <c r="V11" s="5">
        <v>1</v>
      </c>
      <c r="W11" s="5" t="s">
        <v>106</v>
      </c>
      <c r="X11" s="24">
        <v>0.30199999999999999</v>
      </c>
      <c r="Y11" s="5" t="s">
        <v>106</v>
      </c>
      <c r="Z11" s="5"/>
      <c r="AA11" s="5"/>
      <c r="AB11" s="24">
        <v>1</v>
      </c>
      <c r="AC11" s="5"/>
      <c r="AD11" s="5" t="str">
        <f t="shared" si="0"/>
        <v>kg_co2e_excl_luc</v>
      </c>
      <c r="AE11" s="24">
        <f>IF(CropLCAs[[#This Row],[Product fraction]]="",CropLCAs[[#This Row],[CO2e (value)]]*CropLCAs[[#This Row],[Conversion factor (value)]],CropLCAs[[#This Row],[CO2e (value)]]*CropLCAs[[#This Row],[Conversion factor (value)]]/CropLCAs[[#This Row],[Product fraction]]*CropLCAs[[#This Row],[Value fraction]])</f>
        <v>0.30199999999999999</v>
      </c>
      <c r="AF11" s="5"/>
      <c r="AG11" s="5" t="str">
        <f t="shared" si="1"/>
        <v>processed_ghg</v>
      </c>
      <c r="AH11" s="5"/>
      <c r="AI11" s="5"/>
      <c r="AJ11" s="8" t="str">
        <f>IF(CropLCAs[[#This Row],[product_fraction]]&gt;0,CropLCAs[[#This Row],[footprint]]/CropLCAs[[#This Row],[product_fraction]]*CropLCAs[[#This Row],[value_fraction]],"")</f>
        <v/>
      </c>
      <c r="AK11" s="23">
        <f t="shared" si="2"/>
        <v>0.33333333333333331</v>
      </c>
      <c r="AL11" s="5" t="s">
        <v>109</v>
      </c>
      <c r="AM11" s="5"/>
      <c r="AN11" s="5"/>
      <c r="AO11" s="5"/>
      <c r="AP11" s="5"/>
      <c r="AQ11" s="5"/>
      <c r="AR11" s="5"/>
      <c r="AS11" s="5"/>
      <c r="AT11" s="5"/>
      <c r="AU11" s="5"/>
    </row>
    <row r="12" spans="1:47" ht="44.1" customHeight="1" x14ac:dyDescent="0.2">
      <c r="A12" s="5" t="s">
        <v>99</v>
      </c>
      <c r="B12" s="5" t="s">
        <v>1435</v>
      </c>
      <c r="C12" s="5">
        <v>2014</v>
      </c>
      <c r="D12" s="5" t="s">
        <v>156</v>
      </c>
      <c r="E12" s="6" t="s">
        <v>1308</v>
      </c>
      <c r="F12" s="5" t="s">
        <v>10</v>
      </c>
      <c r="G12" s="5" t="str">
        <f>IF(CropLCAs[[#This Row],[fbs_item]]="Insects","insect_ghg","plant_ghg")</f>
        <v>plant_ghg</v>
      </c>
      <c r="H12" s="49" t="s">
        <v>77</v>
      </c>
      <c r="I12" s="49"/>
      <c r="J12" s="49"/>
      <c r="K12" s="5" t="s">
        <v>111</v>
      </c>
      <c r="L12" s="5"/>
      <c r="M12" s="5" t="s">
        <v>102</v>
      </c>
      <c r="N12" s="5" t="s">
        <v>157</v>
      </c>
      <c r="O12" s="5" t="s">
        <v>105</v>
      </c>
      <c r="P12" s="5" t="s">
        <v>102</v>
      </c>
      <c r="Q12" s="5" t="s">
        <v>102</v>
      </c>
      <c r="R12" s="5" t="s">
        <v>105</v>
      </c>
      <c r="S12" s="5" t="s">
        <v>102</v>
      </c>
      <c r="T12" s="5" t="s">
        <v>105</v>
      </c>
      <c r="U12" s="5">
        <v>100</v>
      </c>
      <c r="V12" s="5">
        <v>1</v>
      </c>
      <c r="W12" s="5" t="s">
        <v>106</v>
      </c>
      <c r="X12" s="24">
        <v>323</v>
      </c>
      <c r="Y12" s="5" t="s">
        <v>107</v>
      </c>
      <c r="Z12" s="5"/>
      <c r="AA12" s="5"/>
      <c r="AB12" s="24">
        <v>1E-3</v>
      </c>
      <c r="AC12" s="5" t="s">
        <v>108</v>
      </c>
      <c r="AD12" s="5" t="str">
        <f t="shared" si="0"/>
        <v>kg_co2e_excl_luc</v>
      </c>
      <c r="AE12" s="24">
        <f>IF(CropLCAs[[#This Row],[Product fraction]]="",CropLCAs[[#This Row],[CO2e (value)]]*CropLCAs[[#This Row],[Conversion factor (value)]],CropLCAs[[#This Row],[CO2e (value)]]*CropLCAs[[#This Row],[Conversion factor (value)]]/CropLCAs[[#This Row],[Product fraction]]*CropLCAs[[#This Row],[Value fraction]])</f>
        <v>0.32300000000000001</v>
      </c>
      <c r="AF12" s="5"/>
      <c r="AG12" s="5" t="str">
        <f t="shared" si="1"/>
        <v>processed_ghg</v>
      </c>
      <c r="AH12" s="5"/>
      <c r="AI12" s="5"/>
      <c r="AJ12" s="8" t="str">
        <f>IF(CropLCAs[[#This Row],[product_fraction]]&gt;0,CropLCAs[[#This Row],[footprint]]/CropLCAs[[#This Row],[product_fraction]]*CropLCAs[[#This Row],[value_fraction]],"")</f>
        <v/>
      </c>
      <c r="AK12" s="23">
        <v>0.5</v>
      </c>
      <c r="AL12" s="5" t="s">
        <v>109</v>
      </c>
      <c r="AM12" s="5" t="s">
        <v>110</v>
      </c>
      <c r="AN12" s="5" t="s">
        <v>158</v>
      </c>
      <c r="AO12" s="7"/>
      <c r="AP12" s="7"/>
      <c r="AQ12" s="5"/>
      <c r="AR12" s="5"/>
      <c r="AS12" s="5"/>
      <c r="AT12" s="5"/>
      <c r="AU12" s="5"/>
    </row>
    <row r="13" spans="1:47" ht="44.1" customHeight="1" x14ac:dyDescent="0.2">
      <c r="A13" s="5" t="s">
        <v>99</v>
      </c>
      <c r="B13" s="5" t="s">
        <v>1435</v>
      </c>
      <c r="C13" s="5">
        <v>2014</v>
      </c>
      <c r="D13" s="5" t="s">
        <v>156</v>
      </c>
      <c r="E13" s="6" t="s">
        <v>1308</v>
      </c>
      <c r="F13" s="5" t="s">
        <v>10</v>
      </c>
      <c r="G13" s="5" t="str">
        <f>IF(CropLCAs[[#This Row],[fbs_item]]="Insects","insect_ghg","plant_ghg")</f>
        <v>plant_ghg</v>
      </c>
      <c r="H13" s="49" t="s">
        <v>77</v>
      </c>
      <c r="I13" s="49"/>
      <c r="J13" s="49"/>
      <c r="K13" s="5" t="s">
        <v>101</v>
      </c>
      <c r="L13" s="5"/>
      <c r="M13" s="5" t="s">
        <v>102</v>
      </c>
      <c r="N13" s="5" t="s">
        <v>157</v>
      </c>
      <c r="O13" s="5" t="s">
        <v>105</v>
      </c>
      <c r="P13" s="5" t="s">
        <v>102</v>
      </c>
      <c r="Q13" s="5" t="s">
        <v>102</v>
      </c>
      <c r="R13" s="5" t="s">
        <v>105</v>
      </c>
      <c r="S13" s="5" t="s">
        <v>102</v>
      </c>
      <c r="T13" s="5" t="s">
        <v>105</v>
      </c>
      <c r="U13" s="5">
        <v>100</v>
      </c>
      <c r="V13" s="5">
        <v>1</v>
      </c>
      <c r="W13" s="5" t="s">
        <v>106</v>
      </c>
      <c r="X13" s="24">
        <v>205</v>
      </c>
      <c r="Y13" s="5" t="s">
        <v>107</v>
      </c>
      <c r="Z13" s="5"/>
      <c r="AA13" s="5"/>
      <c r="AB13" s="24">
        <v>1E-3</v>
      </c>
      <c r="AC13" s="5" t="s">
        <v>108</v>
      </c>
      <c r="AD13" s="5" t="str">
        <f t="shared" si="0"/>
        <v>kg_co2e_excl_luc</v>
      </c>
      <c r="AE13" s="24">
        <f>IF(CropLCAs[[#This Row],[Product fraction]]="",CropLCAs[[#This Row],[CO2e (value)]]*CropLCAs[[#This Row],[Conversion factor (value)]],CropLCAs[[#This Row],[CO2e (value)]]*CropLCAs[[#This Row],[Conversion factor (value)]]/CropLCAs[[#This Row],[Product fraction]]*CropLCAs[[#This Row],[Value fraction]])</f>
        <v>0.20500000000000002</v>
      </c>
      <c r="AF13" s="5"/>
      <c r="AG13" s="5" t="str">
        <f t="shared" si="1"/>
        <v>processed_ghg</v>
      </c>
      <c r="AH13" s="5"/>
      <c r="AI13" s="5"/>
      <c r="AJ13" s="8" t="str">
        <f>IF(CropLCAs[[#This Row],[product_fraction]]&gt;0,CropLCAs[[#This Row],[footprint]]/CropLCAs[[#This Row],[product_fraction]]*CropLCAs[[#This Row],[value_fraction]],"")</f>
        <v/>
      </c>
      <c r="AK13" s="23">
        <v>0.5</v>
      </c>
      <c r="AL13" s="5" t="s">
        <v>109</v>
      </c>
      <c r="AM13" s="5" t="s">
        <v>110</v>
      </c>
      <c r="AN13" s="5" t="s">
        <v>158</v>
      </c>
      <c r="AO13" s="7"/>
      <c r="AP13" s="7"/>
      <c r="AQ13" s="5"/>
      <c r="AR13" s="5"/>
      <c r="AS13" s="5"/>
      <c r="AT13" s="5"/>
      <c r="AU13" s="5"/>
    </row>
    <row r="14" spans="1:47" ht="44.1" customHeight="1" x14ac:dyDescent="0.2">
      <c r="A14" s="5" t="s">
        <v>99</v>
      </c>
      <c r="B14" s="5" t="s">
        <v>1435</v>
      </c>
      <c r="C14" s="5">
        <v>2014</v>
      </c>
      <c r="D14" s="5" t="s">
        <v>156</v>
      </c>
      <c r="E14" s="6" t="s">
        <v>1308</v>
      </c>
      <c r="F14" s="5" t="s">
        <v>14</v>
      </c>
      <c r="G14" s="5" t="str">
        <f>IF(CropLCAs[[#This Row],[fbs_item]]="Insects","insect_ghg","plant_ghg")</f>
        <v>plant_ghg</v>
      </c>
      <c r="H14" s="49" t="s">
        <v>77</v>
      </c>
      <c r="I14" s="49"/>
      <c r="J14" s="49"/>
      <c r="K14" s="5" t="s">
        <v>111</v>
      </c>
      <c r="L14" s="5"/>
      <c r="M14" s="5" t="s">
        <v>102</v>
      </c>
      <c r="N14" s="5" t="s">
        <v>157</v>
      </c>
      <c r="O14" s="5" t="s">
        <v>105</v>
      </c>
      <c r="P14" s="5" t="s">
        <v>102</v>
      </c>
      <c r="Q14" s="5" t="s">
        <v>102</v>
      </c>
      <c r="R14" s="5" t="s">
        <v>105</v>
      </c>
      <c r="S14" s="5" t="s">
        <v>102</v>
      </c>
      <c r="T14" s="5" t="s">
        <v>105</v>
      </c>
      <c r="U14" s="5">
        <v>100</v>
      </c>
      <c r="V14" s="5">
        <v>1</v>
      </c>
      <c r="W14" s="5" t="s">
        <v>106</v>
      </c>
      <c r="X14" s="24">
        <v>323</v>
      </c>
      <c r="Y14" s="5" t="s">
        <v>107</v>
      </c>
      <c r="Z14" s="5"/>
      <c r="AA14" s="5"/>
      <c r="AB14" s="24">
        <v>1E-3</v>
      </c>
      <c r="AC14" s="5" t="s">
        <v>108</v>
      </c>
      <c r="AD14" s="5" t="str">
        <f t="shared" si="0"/>
        <v>kg_co2e_excl_luc</v>
      </c>
      <c r="AE14" s="24">
        <f>IF(CropLCAs[[#This Row],[Product fraction]]="",CropLCAs[[#This Row],[CO2e (value)]]*CropLCAs[[#This Row],[Conversion factor (value)]],CropLCAs[[#This Row],[CO2e (value)]]*CropLCAs[[#This Row],[Conversion factor (value)]]/CropLCAs[[#This Row],[Product fraction]]*CropLCAs[[#This Row],[Value fraction]])</f>
        <v>0.32300000000000001</v>
      </c>
      <c r="AF14" s="5"/>
      <c r="AG14" s="5" t="str">
        <f t="shared" si="1"/>
        <v>processed_ghg</v>
      </c>
      <c r="AH14" s="5"/>
      <c r="AI14" s="5"/>
      <c r="AJ14" s="8" t="str">
        <f>IF(CropLCAs[[#This Row],[product_fraction]]&gt;0,CropLCAs[[#This Row],[footprint]]/CropLCAs[[#This Row],[product_fraction]]*CropLCAs[[#This Row],[value_fraction]],"")</f>
        <v/>
      </c>
      <c r="AK14" s="23">
        <v>0.5</v>
      </c>
      <c r="AL14" s="5" t="s">
        <v>109</v>
      </c>
      <c r="AM14" s="5" t="s">
        <v>110</v>
      </c>
      <c r="AN14" s="5" t="s">
        <v>158</v>
      </c>
      <c r="AO14" s="7"/>
      <c r="AP14" s="7"/>
      <c r="AQ14" s="5"/>
      <c r="AR14" s="5"/>
      <c r="AS14" s="5"/>
      <c r="AT14" s="5"/>
      <c r="AU14" s="5"/>
    </row>
    <row r="15" spans="1:47" ht="44.1" customHeight="1" x14ac:dyDescent="0.2">
      <c r="A15" s="5" t="s">
        <v>99</v>
      </c>
      <c r="B15" s="5" t="s">
        <v>1435</v>
      </c>
      <c r="C15" s="5">
        <v>2014</v>
      </c>
      <c r="D15" s="5" t="s">
        <v>156</v>
      </c>
      <c r="E15" s="6" t="s">
        <v>1308</v>
      </c>
      <c r="F15" s="5" t="s">
        <v>14</v>
      </c>
      <c r="G15" s="5" t="str">
        <f>IF(CropLCAs[[#This Row],[fbs_item]]="Insects","insect_ghg","plant_ghg")</f>
        <v>plant_ghg</v>
      </c>
      <c r="H15" s="49" t="s">
        <v>77</v>
      </c>
      <c r="I15" s="49"/>
      <c r="J15" s="49"/>
      <c r="K15" s="5" t="s">
        <v>101</v>
      </c>
      <c r="L15" s="5"/>
      <c r="M15" s="5" t="s">
        <v>102</v>
      </c>
      <c r="N15" s="5" t="s">
        <v>157</v>
      </c>
      <c r="O15" s="5" t="s">
        <v>105</v>
      </c>
      <c r="P15" s="5" t="s">
        <v>102</v>
      </c>
      <c r="Q15" s="5" t="s">
        <v>102</v>
      </c>
      <c r="R15" s="5" t="s">
        <v>105</v>
      </c>
      <c r="S15" s="5" t="s">
        <v>102</v>
      </c>
      <c r="T15" s="5" t="s">
        <v>105</v>
      </c>
      <c r="U15" s="5">
        <v>100</v>
      </c>
      <c r="V15" s="5">
        <v>1</v>
      </c>
      <c r="W15" s="5" t="s">
        <v>106</v>
      </c>
      <c r="X15" s="24">
        <v>205</v>
      </c>
      <c r="Y15" s="5" t="s">
        <v>107</v>
      </c>
      <c r="Z15" s="5"/>
      <c r="AA15" s="5"/>
      <c r="AB15" s="24">
        <v>1E-3</v>
      </c>
      <c r="AC15" s="5" t="s">
        <v>108</v>
      </c>
      <c r="AD15" s="5" t="str">
        <f t="shared" si="0"/>
        <v>kg_co2e_excl_luc</v>
      </c>
      <c r="AE15" s="24">
        <f>IF(CropLCAs[[#This Row],[Product fraction]]="",CropLCAs[[#This Row],[CO2e (value)]]*CropLCAs[[#This Row],[Conversion factor (value)]],CropLCAs[[#This Row],[CO2e (value)]]*CropLCAs[[#This Row],[Conversion factor (value)]]/CropLCAs[[#This Row],[Product fraction]]*CropLCAs[[#This Row],[Value fraction]])</f>
        <v>0.20500000000000002</v>
      </c>
      <c r="AF15" s="5"/>
      <c r="AG15" s="5" t="str">
        <f t="shared" si="1"/>
        <v>processed_ghg</v>
      </c>
      <c r="AH15" s="5"/>
      <c r="AI15" s="5"/>
      <c r="AJ15" s="8" t="str">
        <f>IF(CropLCAs[[#This Row],[product_fraction]]&gt;0,CropLCAs[[#This Row],[footprint]]/CropLCAs[[#This Row],[product_fraction]]*CropLCAs[[#This Row],[value_fraction]],"")</f>
        <v/>
      </c>
      <c r="AK15" s="23">
        <v>0.5</v>
      </c>
      <c r="AL15" s="5" t="s">
        <v>109</v>
      </c>
      <c r="AM15" s="5" t="s">
        <v>110</v>
      </c>
      <c r="AN15" s="5" t="s">
        <v>158</v>
      </c>
      <c r="AO15" s="7"/>
      <c r="AP15" s="7"/>
      <c r="AQ15" s="5"/>
      <c r="AR15" s="5"/>
      <c r="AS15" s="5"/>
      <c r="AT15" s="5"/>
      <c r="AU15" s="5"/>
    </row>
    <row r="16" spans="1:47" ht="44.1" customHeight="1" x14ac:dyDescent="0.2">
      <c r="A16" s="5" t="s">
        <v>99</v>
      </c>
      <c r="B16" s="5" t="s">
        <v>1435</v>
      </c>
      <c r="C16" s="5">
        <v>2014</v>
      </c>
      <c r="D16" s="5" t="s">
        <v>156</v>
      </c>
      <c r="E16" s="6" t="s">
        <v>1308</v>
      </c>
      <c r="F16" s="5" t="s">
        <v>5</v>
      </c>
      <c r="G16" s="5" t="str">
        <f>IF(CropLCAs[[#This Row],[fbs_item]]="Insects","insect_ghg","plant_ghg")</f>
        <v>plant_ghg</v>
      </c>
      <c r="H16" s="49" t="s">
        <v>77</v>
      </c>
      <c r="I16" s="49"/>
      <c r="J16" s="49"/>
      <c r="K16" s="5" t="s">
        <v>111</v>
      </c>
      <c r="L16" s="5"/>
      <c r="M16" s="5" t="s">
        <v>102</v>
      </c>
      <c r="N16" s="5" t="s">
        <v>157</v>
      </c>
      <c r="O16" s="5" t="s">
        <v>105</v>
      </c>
      <c r="P16" s="5" t="s">
        <v>102</v>
      </c>
      <c r="Q16" s="5" t="s">
        <v>102</v>
      </c>
      <c r="R16" s="5" t="s">
        <v>105</v>
      </c>
      <c r="S16" s="5" t="s">
        <v>102</v>
      </c>
      <c r="T16" s="5" t="s">
        <v>105</v>
      </c>
      <c r="U16" s="5">
        <v>100</v>
      </c>
      <c r="V16" s="5">
        <v>1</v>
      </c>
      <c r="W16" s="5" t="s">
        <v>106</v>
      </c>
      <c r="X16" s="24">
        <v>323</v>
      </c>
      <c r="Y16" s="5" t="s">
        <v>107</v>
      </c>
      <c r="Z16" s="5"/>
      <c r="AA16" s="5"/>
      <c r="AB16" s="24">
        <v>1E-3</v>
      </c>
      <c r="AC16" s="5" t="s">
        <v>108</v>
      </c>
      <c r="AD16" s="5" t="str">
        <f t="shared" si="0"/>
        <v>kg_co2e_excl_luc</v>
      </c>
      <c r="AE16" s="24">
        <f>IF(CropLCAs[[#This Row],[Product fraction]]="",CropLCAs[[#This Row],[CO2e (value)]]*CropLCAs[[#This Row],[Conversion factor (value)]],CropLCAs[[#This Row],[CO2e (value)]]*CropLCAs[[#This Row],[Conversion factor (value)]]/CropLCAs[[#This Row],[Product fraction]]*CropLCAs[[#This Row],[Value fraction]])</f>
        <v>0.32300000000000001</v>
      </c>
      <c r="AF16" s="5"/>
      <c r="AG16" s="5" t="str">
        <f t="shared" si="1"/>
        <v>processed_ghg</v>
      </c>
      <c r="AH16" s="5"/>
      <c r="AI16" s="5"/>
      <c r="AJ16" s="8" t="str">
        <f>IF(CropLCAs[[#This Row],[product_fraction]]&gt;0,CropLCAs[[#This Row],[footprint]]/CropLCAs[[#This Row],[product_fraction]]*CropLCAs[[#This Row],[value_fraction]],"")</f>
        <v/>
      </c>
      <c r="AK16" s="23">
        <v>0.5</v>
      </c>
      <c r="AL16" s="5" t="s">
        <v>109</v>
      </c>
      <c r="AM16" s="5" t="s">
        <v>110</v>
      </c>
      <c r="AN16" s="5" t="s">
        <v>158</v>
      </c>
      <c r="AO16" s="7"/>
      <c r="AP16" s="7"/>
      <c r="AQ16" s="5"/>
      <c r="AR16" s="5"/>
      <c r="AS16" s="5"/>
      <c r="AT16" s="5"/>
      <c r="AU16" s="5"/>
    </row>
    <row r="17" spans="1:47" ht="44.1" customHeight="1" x14ac:dyDescent="0.2">
      <c r="A17" s="5" t="s">
        <v>99</v>
      </c>
      <c r="B17" s="5" t="s">
        <v>1435</v>
      </c>
      <c r="C17" s="5">
        <v>2014</v>
      </c>
      <c r="D17" s="5" t="s">
        <v>156</v>
      </c>
      <c r="E17" s="6" t="s">
        <v>1308</v>
      </c>
      <c r="F17" s="5" t="s">
        <v>5</v>
      </c>
      <c r="G17" s="5" t="str">
        <f>IF(CropLCAs[[#This Row],[fbs_item]]="Insects","insect_ghg","plant_ghg")</f>
        <v>plant_ghg</v>
      </c>
      <c r="H17" s="49" t="s">
        <v>77</v>
      </c>
      <c r="I17" s="49"/>
      <c r="J17" s="49"/>
      <c r="K17" s="5" t="s">
        <v>101</v>
      </c>
      <c r="L17" s="5"/>
      <c r="M17" s="5" t="s">
        <v>102</v>
      </c>
      <c r="N17" s="5" t="s">
        <v>157</v>
      </c>
      <c r="O17" s="5" t="s">
        <v>105</v>
      </c>
      <c r="P17" s="5" t="s">
        <v>102</v>
      </c>
      <c r="Q17" s="5" t="s">
        <v>102</v>
      </c>
      <c r="R17" s="5" t="s">
        <v>105</v>
      </c>
      <c r="S17" s="5" t="s">
        <v>102</v>
      </c>
      <c r="T17" s="5" t="s">
        <v>105</v>
      </c>
      <c r="U17" s="5">
        <v>100</v>
      </c>
      <c r="V17" s="5">
        <v>1</v>
      </c>
      <c r="W17" s="5" t="s">
        <v>106</v>
      </c>
      <c r="X17" s="24">
        <v>205</v>
      </c>
      <c r="Y17" s="5" t="s">
        <v>107</v>
      </c>
      <c r="Z17" s="5"/>
      <c r="AA17" s="5"/>
      <c r="AB17" s="24">
        <v>1E-3</v>
      </c>
      <c r="AC17" s="5" t="s">
        <v>108</v>
      </c>
      <c r="AD17" s="5" t="str">
        <f t="shared" si="0"/>
        <v>kg_co2e_excl_luc</v>
      </c>
      <c r="AE17" s="24">
        <f>IF(CropLCAs[[#This Row],[Product fraction]]="",CropLCAs[[#This Row],[CO2e (value)]]*CropLCAs[[#This Row],[Conversion factor (value)]],CropLCAs[[#This Row],[CO2e (value)]]*CropLCAs[[#This Row],[Conversion factor (value)]]/CropLCAs[[#This Row],[Product fraction]]*CropLCAs[[#This Row],[Value fraction]])</f>
        <v>0.20500000000000002</v>
      </c>
      <c r="AF17" s="5"/>
      <c r="AG17" s="5" t="str">
        <f t="shared" si="1"/>
        <v>processed_ghg</v>
      </c>
      <c r="AH17" s="5"/>
      <c r="AI17" s="5"/>
      <c r="AJ17" s="8" t="str">
        <f>IF(CropLCAs[[#This Row],[product_fraction]]&gt;0,CropLCAs[[#This Row],[footprint]]/CropLCAs[[#This Row],[product_fraction]]*CropLCAs[[#This Row],[value_fraction]],"")</f>
        <v/>
      </c>
      <c r="AK17" s="23">
        <v>0.5</v>
      </c>
      <c r="AL17" s="5" t="s">
        <v>109</v>
      </c>
      <c r="AM17" s="5" t="s">
        <v>110</v>
      </c>
      <c r="AN17" s="5" t="s">
        <v>158</v>
      </c>
      <c r="AO17" s="7"/>
      <c r="AP17" s="7"/>
      <c r="AQ17" s="5"/>
      <c r="AR17" s="5"/>
      <c r="AS17" s="5"/>
      <c r="AT17" s="5"/>
      <c r="AU17" s="5"/>
    </row>
    <row r="18" spans="1:47" ht="44.1" customHeight="1" x14ac:dyDescent="0.2">
      <c r="A18" s="5" t="s">
        <v>99</v>
      </c>
      <c r="B18" s="5" t="s">
        <v>1435</v>
      </c>
      <c r="C18" s="5">
        <v>2014</v>
      </c>
      <c r="D18" s="5" t="s">
        <v>156</v>
      </c>
      <c r="E18" s="6" t="s">
        <v>1314</v>
      </c>
      <c r="F18" s="5" t="s">
        <v>3</v>
      </c>
      <c r="G18" s="5" t="str">
        <f>IF(CropLCAs[[#This Row],[fbs_item]]="Insects","insect_ghg","plant_ghg")</f>
        <v>plant_ghg</v>
      </c>
      <c r="H18" s="49" t="s">
        <v>77</v>
      </c>
      <c r="I18" s="49"/>
      <c r="J18" s="49"/>
      <c r="K18" s="5" t="s">
        <v>1311</v>
      </c>
      <c r="L18" s="5"/>
      <c r="M18" s="5" t="s">
        <v>231</v>
      </c>
      <c r="N18" s="5" t="s">
        <v>157</v>
      </c>
      <c r="O18" s="5" t="s">
        <v>105</v>
      </c>
      <c r="P18" s="5" t="s">
        <v>102</v>
      </c>
      <c r="Q18" s="5" t="s">
        <v>102</v>
      </c>
      <c r="R18" s="5" t="s">
        <v>105</v>
      </c>
      <c r="S18" s="5" t="s">
        <v>102</v>
      </c>
      <c r="T18" s="5" t="s">
        <v>432</v>
      </c>
      <c r="U18" s="5">
        <v>100</v>
      </c>
      <c r="V18" s="5">
        <v>1</v>
      </c>
      <c r="W18" s="5" t="s">
        <v>106</v>
      </c>
      <c r="X18" s="24">
        <v>199</v>
      </c>
      <c r="Y18" s="5" t="s">
        <v>107</v>
      </c>
      <c r="Z18" s="5"/>
      <c r="AA18" s="5"/>
      <c r="AB18" s="24">
        <v>1E-3</v>
      </c>
      <c r="AC18" s="5" t="s">
        <v>108</v>
      </c>
      <c r="AD18" s="5" t="str">
        <f t="shared" si="0"/>
        <v>kg_co2e_excl_luc</v>
      </c>
      <c r="AE18" s="24">
        <f>IF(CropLCAs[[#This Row],[Product fraction]]="",CropLCAs[[#This Row],[CO2e (value)]]*CropLCAs[[#This Row],[Conversion factor (value)]],CropLCAs[[#This Row],[CO2e (value)]]*CropLCAs[[#This Row],[Conversion factor (value)]]/CropLCAs[[#This Row],[Product fraction]]*CropLCAs[[#This Row],[Value fraction]])</f>
        <v>0.19900000000000001</v>
      </c>
      <c r="AF18" s="5"/>
      <c r="AG18" s="5" t="str">
        <f t="shared" si="1"/>
        <v>processed_ghg</v>
      </c>
      <c r="AH18" s="5"/>
      <c r="AI18" s="5"/>
      <c r="AJ18" s="8" t="str">
        <f>IF(CropLCAs[[#This Row],[product_fraction]]&gt;0,CropLCAs[[#This Row],[footprint]]/CropLCAs[[#This Row],[product_fraction]]*CropLCAs[[#This Row],[value_fraction]],"")</f>
        <v/>
      </c>
      <c r="AK18" s="23">
        <v>0.5</v>
      </c>
      <c r="AL18" s="5" t="s">
        <v>109</v>
      </c>
      <c r="AM18" s="5" t="s">
        <v>110</v>
      </c>
      <c r="AN18" s="5" t="s">
        <v>158</v>
      </c>
      <c r="AO18" s="7"/>
      <c r="AP18" s="7"/>
      <c r="AQ18" s="5"/>
      <c r="AR18" s="5"/>
      <c r="AS18" s="5"/>
      <c r="AT18" s="5"/>
      <c r="AU18" s="5"/>
    </row>
    <row r="19" spans="1:47" ht="44.1" customHeight="1" x14ac:dyDescent="0.2">
      <c r="A19" s="5" t="s">
        <v>99</v>
      </c>
      <c r="B19" s="5" t="s">
        <v>1435</v>
      </c>
      <c r="C19" s="5">
        <v>2014</v>
      </c>
      <c r="D19" s="5" t="s">
        <v>156</v>
      </c>
      <c r="E19" s="6" t="s">
        <v>1314</v>
      </c>
      <c r="F19" s="5" t="s">
        <v>3</v>
      </c>
      <c r="G19" s="5" t="str">
        <f>IF(CropLCAs[[#This Row],[fbs_item]]="Insects","insect_ghg","plant_ghg")</f>
        <v>plant_ghg</v>
      </c>
      <c r="H19" s="49" t="s">
        <v>77</v>
      </c>
      <c r="I19" s="49"/>
      <c r="J19" s="49"/>
      <c r="K19" s="5" t="s">
        <v>1312</v>
      </c>
      <c r="L19" s="5"/>
      <c r="M19" s="5" t="s">
        <v>231</v>
      </c>
      <c r="N19" s="5" t="s">
        <v>157</v>
      </c>
      <c r="O19" s="5" t="s">
        <v>105</v>
      </c>
      <c r="P19" s="5" t="s">
        <v>102</v>
      </c>
      <c r="Q19" s="5" t="s">
        <v>102</v>
      </c>
      <c r="R19" s="5" t="s">
        <v>105</v>
      </c>
      <c r="S19" s="5" t="s">
        <v>102</v>
      </c>
      <c r="T19" s="5" t="s">
        <v>561</v>
      </c>
      <c r="U19" s="5">
        <v>100</v>
      </c>
      <c r="V19" s="5">
        <v>1</v>
      </c>
      <c r="W19" s="5" t="s">
        <v>106</v>
      </c>
      <c r="X19" s="24">
        <v>218</v>
      </c>
      <c r="Y19" s="5" t="s">
        <v>107</v>
      </c>
      <c r="Z19" s="5"/>
      <c r="AA19" s="5"/>
      <c r="AB19" s="24">
        <v>1E-3</v>
      </c>
      <c r="AC19" s="5" t="s">
        <v>108</v>
      </c>
      <c r="AD19" s="5" t="str">
        <f t="shared" si="0"/>
        <v>kg_co2e_excl_luc</v>
      </c>
      <c r="AE19" s="24">
        <f>IF(CropLCAs[[#This Row],[Product fraction]]="",CropLCAs[[#This Row],[CO2e (value)]]*CropLCAs[[#This Row],[Conversion factor (value)]],CropLCAs[[#This Row],[CO2e (value)]]*CropLCAs[[#This Row],[Conversion factor (value)]]/CropLCAs[[#This Row],[Product fraction]]*CropLCAs[[#This Row],[Value fraction]])</f>
        <v>0.218</v>
      </c>
      <c r="AF19" s="5"/>
      <c r="AG19" s="5" t="str">
        <f t="shared" si="1"/>
        <v>processed_ghg</v>
      </c>
      <c r="AH19" s="5"/>
      <c r="AI19" s="5"/>
      <c r="AJ19" s="8" t="str">
        <f>IF(CropLCAs[[#This Row],[product_fraction]]&gt;0,CropLCAs[[#This Row],[footprint]]/CropLCAs[[#This Row],[product_fraction]]*CropLCAs[[#This Row],[value_fraction]],"")</f>
        <v/>
      </c>
      <c r="AK19" s="23">
        <v>0.5</v>
      </c>
      <c r="AL19" s="5" t="s">
        <v>109</v>
      </c>
      <c r="AM19" s="5" t="s">
        <v>110</v>
      </c>
      <c r="AN19" s="5" t="s">
        <v>158</v>
      </c>
      <c r="AO19" s="7"/>
      <c r="AP19" s="7"/>
      <c r="AQ19" s="5"/>
      <c r="AR19" s="5"/>
      <c r="AS19" s="5"/>
      <c r="AT19" s="5"/>
      <c r="AU19" s="5"/>
    </row>
    <row r="20" spans="1:47" ht="44.1" customHeight="1" x14ac:dyDescent="0.2">
      <c r="A20" s="5" t="s">
        <v>99</v>
      </c>
      <c r="B20" s="5" t="s">
        <v>1435</v>
      </c>
      <c r="C20" s="5">
        <v>2014</v>
      </c>
      <c r="D20" s="5" t="s">
        <v>156</v>
      </c>
      <c r="E20" s="6" t="s">
        <v>1315</v>
      </c>
      <c r="F20" s="5" t="s">
        <v>3</v>
      </c>
      <c r="G20" s="5" t="str">
        <f>IF(CropLCAs[[#This Row],[fbs_item]]="Insects","insect_ghg","plant_ghg")</f>
        <v>plant_ghg</v>
      </c>
      <c r="H20" s="49" t="s">
        <v>77</v>
      </c>
      <c r="I20" s="49"/>
      <c r="J20" s="49"/>
      <c r="K20" s="5" t="s">
        <v>1313</v>
      </c>
      <c r="L20" s="5"/>
      <c r="M20" s="5" t="s">
        <v>102</v>
      </c>
      <c r="N20" s="5" t="s">
        <v>157</v>
      </c>
      <c r="O20" s="5" t="s">
        <v>105</v>
      </c>
      <c r="P20" s="5" t="s">
        <v>102</v>
      </c>
      <c r="Q20" s="5" t="s">
        <v>102</v>
      </c>
      <c r="R20" s="5" t="s">
        <v>105</v>
      </c>
      <c r="S20" s="5" t="s">
        <v>102</v>
      </c>
      <c r="T20" s="5" t="s">
        <v>432</v>
      </c>
      <c r="U20" s="5">
        <v>100</v>
      </c>
      <c r="V20" s="5">
        <v>1</v>
      </c>
      <c r="W20" s="5" t="s">
        <v>106</v>
      </c>
      <c r="X20" s="24">
        <v>300</v>
      </c>
      <c r="Y20" s="5" t="s">
        <v>107</v>
      </c>
      <c r="Z20" s="5"/>
      <c r="AA20" s="5"/>
      <c r="AB20" s="24">
        <v>1E-3</v>
      </c>
      <c r="AC20" s="5" t="s">
        <v>108</v>
      </c>
      <c r="AD20" s="5" t="str">
        <f t="shared" si="0"/>
        <v>kg_co2e_excl_luc</v>
      </c>
      <c r="AE20" s="24">
        <f>IF(CropLCAs[[#This Row],[Product fraction]]="",CropLCAs[[#This Row],[CO2e (value)]]*CropLCAs[[#This Row],[Conversion factor (value)]],CropLCAs[[#This Row],[CO2e (value)]]*CropLCAs[[#This Row],[Conversion factor (value)]]/CropLCAs[[#This Row],[Product fraction]]*CropLCAs[[#This Row],[Value fraction]])</f>
        <v>0.3</v>
      </c>
      <c r="AF20" s="5"/>
      <c r="AG20" s="5" t="str">
        <f t="shared" si="1"/>
        <v>processed_ghg</v>
      </c>
      <c r="AH20" s="5"/>
      <c r="AI20" s="5"/>
      <c r="AJ20" s="8" t="str">
        <f>IF(CropLCAs[[#This Row],[product_fraction]]&gt;0,CropLCAs[[#This Row],[footprint]]/CropLCAs[[#This Row],[product_fraction]]*CropLCAs[[#This Row],[value_fraction]],"")</f>
        <v/>
      </c>
      <c r="AK20" s="23">
        <v>0.5</v>
      </c>
      <c r="AL20" s="5" t="s">
        <v>109</v>
      </c>
      <c r="AM20" s="5" t="s">
        <v>110</v>
      </c>
      <c r="AN20" s="5" t="s">
        <v>158</v>
      </c>
      <c r="AO20" s="7"/>
      <c r="AP20" s="7"/>
      <c r="AQ20" s="5"/>
      <c r="AR20" s="5"/>
      <c r="AS20" s="5"/>
      <c r="AT20" s="5"/>
      <c r="AU20" s="5"/>
    </row>
    <row r="21" spans="1:47" ht="44.1" customHeight="1" x14ac:dyDescent="0.2">
      <c r="A21" s="5" t="s">
        <v>99</v>
      </c>
      <c r="B21" s="5" t="s">
        <v>1435</v>
      </c>
      <c r="C21" s="5">
        <v>2014</v>
      </c>
      <c r="D21" s="5" t="s">
        <v>156</v>
      </c>
      <c r="E21" s="6" t="s">
        <v>1315</v>
      </c>
      <c r="F21" s="5" t="s">
        <v>3</v>
      </c>
      <c r="G21" s="5" t="str">
        <f>IF(CropLCAs[[#This Row],[fbs_item]]="Insects","insect_ghg","plant_ghg")</f>
        <v>plant_ghg</v>
      </c>
      <c r="H21" s="49" t="s">
        <v>77</v>
      </c>
      <c r="I21" s="49"/>
      <c r="J21" s="49"/>
      <c r="K21" s="5" t="s">
        <v>562</v>
      </c>
      <c r="L21" s="5"/>
      <c r="M21" s="5" t="s">
        <v>102</v>
      </c>
      <c r="N21" s="5" t="s">
        <v>157</v>
      </c>
      <c r="O21" s="5" t="s">
        <v>105</v>
      </c>
      <c r="P21" s="5" t="s">
        <v>102</v>
      </c>
      <c r="Q21" s="5" t="s">
        <v>102</v>
      </c>
      <c r="R21" s="5" t="s">
        <v>105</v>
      </c>
      <c r="S21" s="5" t="s">
        <v>102</v>
      </c>
      <c r="T21" s="5" t="s">
        <v>432</v>
      </c>
      <c r="U21" s="5">
        <v>100</v>
      </c>
      <c r="V21" s="5">
        <v>1</v>
      </c>
      <c r="W21" s="5" t="s">
        <v>106</v>
      </c>
      <c r="X21" s="24">
        <v>264</v>
      </c>
      <c r="Y21" s="5" t="s">
        <v>107</v>
      </c>
      <c r="Z21" s="5"/>
      <c r="AA21" s="5"/>
      <c r="AB21" s="24">
        <v>1E-3</v>
      </c>
      <c r="AC21" s="5" t="s">
        <v>108</v>
      </c>
      <c r="AD21" s="5" t="str">
        <f t="shared" si="0"/>
        <v>kg_co2e_excl_luc</v>
      </c>
      <c r="AE21" s="24">
        <f>IF(CropLCAs[[#This Row],[Product fraction]]="",CropLCAs[[#This Row],[CO2e (value)]]*CropLCAs[[#This Row],[Conversion factor (value)]],CropLCAs[[#This Row],[CO2e (value)]]*CropLCAs[[#This Row],[Conversion factor (value)]]/CropLCAs[[#This Row],[Product fraction]]*CropLCAs[[#This Row],[Value fraction]])</f>
        <v>0.26400000000000001</v>
      </c>
      <c r="AF21" s="5"/>
      <c r="AG21" s="5" t="str">
        <f t="shared" si="1"/>
        <v>processed_ghg</v>
      </c>
      <c r="AH21" s="5"/>
      <c r="AI21" s="5"/>
      <c r="AJ21" s="8" t="str">
        <f>IF(CropLCAs[[#This Row],[product_fraction]]&gt;0,CropLCAs[[#This Row],[footprint]]/CropLCAs[[#This Row],[product_fraction]]*CropLCAs[[#This Row],[value_fraction]],"")</f>
        <v/>
      </c>
      <c r="AK21" s="23">
        <v>0.5</v>
      </c>
      <c r="AL21" s="5" t="s">
        <v>109</v>
      </c>
      <c r="AM21" s="5" t="s">
        <v>110</v>
      </c>
      <c r="AN21" s="5" t="s">
        <v>158</v>
      </c>
      <c r="AO21" s="7"/>
      <c r="AP21" s="7"/>
      <c r="AQ21" s="5"/>
      <c r="AR21" s="5"/>
      <c r="AS21" s="5"/>
      <c r="AT21" s="5"/>
      <c r="AU21" s="5"/>
    </row>
    <row r="22" spans="1:47" ht="44.1" customHeight="1" x14ac:dyDescent="0.2">
      <c r="A22" s="5" t="s">
        <v>99</v>
      </c>
      <c r="B22" s="5" t="s">
        <v>1435</v>
      </c>
      <c r="C22" s="5">
        <v>2014</v>
      </c>
      <c r="D22" s="5" t="s">
        <v>156</v>
      </c>
      <c r="E22" s="6" t="s">
        <v>1310</v>
      </c>
      <c r="F22" s="5" t="s">
        <v>11</v>
      </c>
      <c r="G22" s="5" t="str">
        <f>IF(CropLCAs[[#This Row],[fbs_item]]="Insects","insect_ghg","plant_ghg")</f>
        <v>plant_ghg</v>
      </c>
      <c r="H22" s="49" t="s">
        <v>77</v>
      </c>
      <c r="I22" s="49"/>
      <c r="J22" s="49"/>
      <c r="K22" s="5" t="s">
        <v>101</v>
      </c>
      <c r="L22" s="5"/>
      <c r="M22" s="5" t="s">
        <v>102</v>
      </c>
      <c r="N22" s="5" t="s">
        <v>157</v>
      </c>
      <c r="O22" s="5" t="s">
        <v>105</v>
      </c>
      <c r="P22" s="5" t="s">
        <v>102</v>
      </c>
      <c r="Q22" s="5" t="s">
        <v>102</v>
      </c>
      <c r="R22" s="5" t="s">
        <v>105</v>
      </c>
      <c r="S22" s="5" t="s">
        <v>102</v>
      </c>
      <c r="T22" s="5" t="s">
        <v>105</v>
      </c>
      <c r="U22" s="5">
        <v>100</v>
      </c>
      <c r="V22" s="5">
        <v>1</v>
      </c>
      <c r="W22" s="5" t="s">
        <v>106</v>
      </c>
      <c r="X22" s="24">
        <v>304</v>
      </c>
      <c r="Y22" s="5" t="s">
        <v>107</v>
      </c>
      <c r="Z22" s="5"/>
      <c r="AA22" s="5"/>
      <c r="AB22" s="24">
        <v>1E-3</v>
      </c>
      <c r="AC22" s="5" t="s">
        <v>108</v>
      </c>
      <c r="AD22" s="5" t="str">
        <f t="shared" si="0"/>
        <v>kg_co2e_excl_luc</v>
      </c>
      <c r="AE22" s="24">
        <f>IF(CropLCAs[[#This Row],[Product fraction]]="",CropLCAs[[#This Row],[CO2e (value)]]*CropLCAs[[#This Row],[Conversion factor (value)]],CropLCAs[[#This Row],[CO2e (value)]]*CropLCAs[[#This Row],[Conversion factor (value)]]/CropLCAs[[#This Row],[Product fraction]]*CropLCAs[[#This Row],[Value fraction]])</f>
        <v>0.30399999999999999</v>
      </c>
      <c r="AF22" s="5"/>
      <c r="AG22" s="5" t="str">
        <f t="shared" si="1"/>
        <v>processed_ghg</v>
      </c>
      <c r="AH22" s="5"/>
      <c r="AI22" s="5"/>
      <c r="AJ22" s="8" t="str">
        <f>IF(CropLCAs[[#This Row],[product_fraction]]&gt;0,CropLCAs[[#This Row],[footprint]]/CropLCAs[[#This Row],[product_fraction]]*CropLCAs[[#This Row],[value_fraction]],"")</f>
        <v/>
      </c>
      <c r="AK22" s="23">
        <v>0.5</v>
      </c>
      <c r="AL22" s="5" t="s">
        <v>109</v>
      </c>
      <c r="AM22" s="5" t="s">
        <v>110</v>
      </c>
      <c r="AN22" s="5" t="s">
        <v>158</v>
      </c>
      <c r="AO22" s="7"/>
      <c r="AP22" s="7"/>
      <c r="AQ22" s="5"/>
      <c r="AR22" s="5"/>
      <c r="AS22" s="5"/>
      <c r="AT22" s="5"/>
      <c r="AU22" s="5"/>
    </row>
    <row r="23" spans="1:47" ht="44.1" customHeight="1" x14ac:dyDescent="0.2">
      <c r="A23" s="5" t="s">
        <v>99</v>
      </c>
      <c r="B23" s="5" t="s">
        <v>1435</v>
      </c>
      <c r="C23" s="5">
        <v>2014</v>
      </c>
      <c r="D23" s="5" t="s">
        <v>156</v>
      </c>
      <c r="E23" s="6" t="s">
        <v>1310</v>
      </c>
      <c r="F23" s="5" t="s">
        <v>11</v>
      </c>
      <c r="G23" s="5" t="str">
        <f>IF(CropLCAs[[#This Row],[fbs_item]]="Insects","insect_ghg","plant_ghg")</f>
        <v>plant_ghg</v>
      </c>
      <c r="H23" s="49" t="s">
        <v>77</v>
      </c>
      <c r="I23" s="49"/>
      <c r="J23" s="49"/>
      <c r="K23" s="5" t="s">
        <v>111</v>
      </c>
      <c r="L23" s="5"/>
      <c r="M23" s="5" t="s">
        <v>102</v>
      </c>
      <c r="N23" s="5" t="s">
        <v>157</v>
      </c>
      <c r="O23" s="5" t="s">
        <v>105</v>
      </c>
      <c r="P23" s="5" t="s">
        <v>102</v>
      </c>
      <c r="Q23" s="5" t="s">
        <v>102</v>
      </c>
      <c r="R23" s="5" t="s">
        <v>105</v>
      </c>
      <c r="S23" s="5" t="s">
        <v>102</v>
      </c>
      <c r="T23" s="5" t="s">
        <v>105</v>
      </c>
      <c r="U23" s="5">
        <v>100</v>
      </c>
      <c r="V23" s="5">
        <v>1</v>
      </c>
      <c r="W23" s="5" t="s">
        <v>106</v>
      </c>
      <c r="X23" s="24">
        <v>262</v>
      </c>
      <c r="Y23" s="5" t="s">
        <v>107</v>
      </c>
      <c r="Z23" s="5"/>
      <c r="AA23" s="5"/>
      <c r="AB23" s="24">
        <v>1E-3</v>
      </c>
      <c r="AC23" s="5" t="s">
        <v>108</v>
      </c>
      <c r="AD23" s="5" t="str">
        <f t="shared" si="0"/>
        <v>kg_co2e_excl_luc</v>
      </c>
      <c r="AE23" s="24">
        <f>IF(CropLCAs[[#This Row],[Product fraction]]="",CropLCAs[[#This Row],[CO2e (value)]]*CropLCAs[[#This Row],[Conversion factor (value)]],CropLCAs[[#This Row],[CO2e (value)]]*CropLCAs[[#This Row],[Conversion factor (value)]]/CropLCAs[[#This Row],[Product fraction]]*CropLCAs[[#This Row],[Value fraction]])</f>
        <v>0.26200000000000001</v>
      </c>
      <c r="AF23" s="5"/>
      <c r="AG23" s="5" t="str">
        <f t="shared" si="1"/>
        <v>processed_ghg</v>
      </c>
      <c r="AH23" s="5"/>
      <c r="AI23" s="5"/>
      <c r="AJ23" s="8" t="str">
        <f>IF(CropLCAs[[#This Row],[product_fraction]]&gt;0,CropLCAs[[#This Row],[footprint]]/CropLCAs[[#This Row],[product_fraction]]*CropLCAs[[#This Row],[value_fraction]],"")</f>
        <v/>
      </c>
      <c r="AK23" s="23">
        <v>0.5</v>
      </c>
      <c r="AL23" s="5" t="s">
        <v>109</v>
      </c>
      <c r="AM23" s="5" t="s">
        <v>110</v>
      </c>
      <c r="AN23" s="5" t="s">
        <v>158</v>
      </c>
      <c r="AO23" s="7"/>
      <c r="AP23" s="7"/>
      <c r="AQ23" s="5"/>
      <c r="AR23" s="5"/>
      <c r="AS23" s="5"/>
      <c r="AT23" s="5"/>
      <c r="AU23" s="5"/>
    </row>
    <row r="24" spans="1:47" ht="44.1" customHeight="1" x14ac:dyDescent="0.2">
      <c r="A24" s="5" t="s">
        <v>99</v>
      </c>
      <c r="B24" s="5" t="s">
        <v>1435</v>
      </c>
      <c r="C24" s="5">
        <v>2014</v>
      </c>
      <c r="D24" s="5" t="s">
        <v>156</v>
      </c>
      <c r="E24" s="6" t="s">
        <v>1310</v>
      </c>
      <c r="F24" s="5" t="s">
        <v>0</v>
      </c>
      <c r="G24" s="5" t="str">
        <f>IF(CropLCAs[[#This Row],[fbs_item]]="Insects","insect_ghg","plant_ghg")</f>
        <v>plant_ghg</v>
      </c>
      <c r="H24" s="49" t="s">
        <v>77</v>
      </c>
      <c r="I24" s="49"/>
      <c r="J24" s="49"/>
      <c r="K24" s="5" t="s">
        <v>101</v>
      </c>
      <c r="L24" s="5"/>
      <c r="M24" s="5" t="s">
        <v>102</v>
      </c>
      <c r="N24" s="5" t="s">
        <v>157</v>
      </c>
      <c r="O24" s="5" t="s">
        <v>105</v>
      </c>
      <c r="P24" s="5" t="s">
        <v>102</v>
      </c>
      <c r="Q24" s="5" t="s">
        <v>102</v>
      </c>
      <c r="R24" s="5" t="s">
        <v>105</v>
      </c>
      <c r="S24" s="5" t="s">
        <v>102</v>
      </c>
      <c r="T24" s="5" t="s">
        <v>105</v>
      </c>
      <c r="U24" s="5">
        <v>100</v>
      </c>
      <c r="V24" s="5">
        <v>1</v>
      </c>
      <c r="W24" s="5" t="s">
        <v>106</v>
      </c>
      <c r="X24" s="24">
        <v>304</v>
      </c>
      <c r="Y24" s="5" t="s">
        <v>107</v>
      </c>
      <c r="Z24" s="5"/>
      <c r="AA24" s="5"/>
      <c r="AB24" s="24">
        <v>1E-3</v>
      </c>
      <c r="AC24" s="5" t="s">
        <v>108</v>
      </c>
      <c r="AD24" s="5" t="str">
        <f t="shared" si="0"/>
        <v>kg_co2e_excl_luc</v>
      </c>
      <c r="AE24" s="24">
        <f>IF(CropLCAs[[#This Row],[Product fraction]]="",CropLCAs[[#This Row],[CO2e (value)]]*CropLCAs[[#This Row],[Conversion factor (value)]],CropLCAs[[#This Row],[CO2e (value)]]*CropLCAs[[#This Row],[Conversion factor (value)]]/CropLCAs[[#This Row],[Product fraction]]*CropLCAs[[#This Row],[Value fraction]])</f>
        <v>0.30399999999999999</v>
      </c>
      <c r="AF24" s="5"/>
      <c r="AG24" s="5" t="str">
        <f t="shared" si="1"/>
        <v>processed_ghg</v>
      </c>
      <c r="AH24" s="5"/>
      <c r="AI24" s="5"/>
      <c r="AJ24" s="8" t="str">
        <f>IF(CropLCAs[[#This Row],[product_fraction]]&gt;0,CropLCAs[[#This Row],[footprint]]/CropLCAs[[#This Row],[product_fraction]]*CropLCAs[[#This Row],[value_fraction]],"")</f>
        <v/>
      </c>
      <c r="AK24" s="23">
        <v>0.5</v>
      </c>
      <c r="AL24" s="5" t="s">
        <v>109</v>
      </c>
      <c r="AM24" s="5" t="s">
        <v>110</v>
      </c>
      <c r="AN24" s="5" t="s">
        <v>158</v>
      </c>
      <c r="AO24" s="7"/>
      <c r="AP24" s="7"/>
      <c r="AQ24" s="5"/>
      <c r="AR24" s="5"/>
      <c r="AS24" s="5"/>
      <c r="AT24" s="5"/>
      <c r="AU24" s="5"/>
    </row>
    <row r="25" spans="1:47" ht="44.1" customHeight="1" x14ac:dyDescent="0.2">
      <c r="A25" s="5" t="s">
        <v>99</v>
      </c>
      <c r="B25" s="5" t="s">
        <v>1435</v>
      </c>
      <c r="C25" s="5">
        <v>2014</v>
      </c>
      <c r="D25" s="5" t="s">
        <v>156</v>
      </c>
      <c r="E25" s="6" t="s">
        <v>1310</v>
      </c>
      <c r="F25" s="5" t="s">
        <v>0</v>
      </c>
      <c r="G25" s="5" t="str">
        <f>IF(CropLCAs[[#This Row],[fbs_item]]="Insects","insect_ghg","plant_ghg")</f>
        <v>plant_ghg</v>
      </c>
      <c r="H25" s="49" t="s">
        <v>77</v>
      </c>
      <c r="I25" s="49"/>
      <c r="J25" s="49"/>
      <c r="K25" s="5" t="s">
        <v>111</v>
      </c>
      <c r="L25" s="5"/>
      <c r="M25" s="5" t="s">
        <v>102</v>
      </c>
      <c r="N25" s="5" t="s">
        <v>157</v>
      </c>
      <c r="O25" s="5" t="s">
        <v>105</v>
      </c>
      <c r="P25" s="5" t="s">
        <v>102</v>
      </c>
      <c r="Q25" s="5" t="s">
        <v>102</v>
      </c>
      <c r="R25" s="5" t="s">
        <v>105</v>
      </c>
      <c r="S25" s="5" t="s">
        <v>102</v>
      </c>
      <c r="T25" s="5" t="s">
        <v>105</v>
      </c>
      <c r="U25" s="5">
        <v>100</v>
      </c>
      <c r="V25" s="5">
        <v>1</v>
      </c>
      <c r="W25" s="5" t="s">
        <v>106</v>
      </c>
      <c r="X25" s="24">
        <v>262</v>
      </c>
      <c r="Y25" s="5" t="s">
        <v>107</v>
      </c>
      <c r="Z25" s="5"/>
      <c r="AA25" s="5"/>
      <c r="AB25" s="24">
        <v>1E-3</v>
      </c>
      <c r="AC25" s="5" t="s">
        <v>108</v>
      </c>
      <c r="AD25" s="5" t="str">
        <f t="shared" si="0"/>
        <v>kg_co2e_excl_luc</v>
      </c>
      <c r="AE25" s="24">
        <f>IF(CropLCAs[[#This Row],[Product fraction]]="",CropLCAs[[#This Row],[CO2e (value)]]*CropLCAs[[#This Row],[Conversion factor (value)]],CropLCAs[[#This Row],[CO2e (value)]]*CropLCAs[[#This Row],[Conversion factor (value)]]/CropLCAs[[#This Row],[Product fraction]]*CropLCAs[[#This Row],[Value fraction]])</f>
        <v>0.26200000000000001</v>
      </c>
      <c r="AF25" s="5"/>
      <c r="AG25" s="5" t="str">
        <f t="shared" si="1"/>
        <v>processed_ghg</v>
      </c>
      <c r="AH25" s="5"/>
      <c r="AI25" s="5"/>
      <c r="AJ25" s="8" t="str">
        <f>IF(CropLCAs[[#This Row],[product_fraction]]&gt;0,CropLCAs[[#This Row],[footprint]]/CropLCAs[[#This Row],[product_fraction]]*CropLCAs[[#This Row],[value_fraction]],"")</f>
        <v/>
      </c>
      <c r="AK25" s="23">
        <v>0.5</v>
      </c>
      <c r="AL25" s="5" t="s">
        <v>109</v>
      </c>
      <c r="AM25" s="5" t="s">
        <v>110</v>
      </c>
      <c r="AN25" s="5" t="s">
        <v>158</v>
      </c>
      <c r="AO25" s="7"/>
      <c r="AP25" s="7"/>
      <c r="AQ25" s="5"/>
      <c r="AR25" s="5"/>
      <c r="AS25" s="5"/>
      <c r="AT25" s="5"/>
      <c r="AU25" s="5"/>
    </row>
    <row r="26" spans="1:47" ht="44.1" customHeight="1" x14ac:dyDescent="0.2">
      <c r="A26" s="5" t="s">
        <v>99</v>
      </c>
      <c r="B26" s="5" t="s">
        <v>1435</v>
      </c>
      <c r="C26" s="5">
        <v>2014</v>
      </c>
      <c r="D26" s="5" t="s">
        <v>156</v>
      </c>
      <c r="E26" s="6" t="s">
        <v>431</v>
      </c>
      <c r="F26" s="5" t="s">
        <v>18</v>
      </c>
      <c r="G26" s="5" t="str">
        <f>IF(CropLCAs[[#This Row],[fbs_item]]="Insects","insect_ghg","plant_ghg")</f>
        <v>plant_ghg</v>
      </c>
      <c r="H26" s="49" t="s">
        <v>77</v>
      </c>
      <c r="I26" s="49"/>
      <c r="J26" s="49"/>
      <c r="K26" s="5" t="s">
        <v>101</v>
      </c>
      <c r="L26" s="5"/>
      <c r="M26" s="5" t="s">
        <v>102</v>
      </c>
      <c r="N26" s="5" t="s">
        <v>157</v>
      </c>
      <c r="O26" s="5" t="s">
        <v>105</v>
      </c>
      <c r="P26" s="5" t="s">
        <v>102</v>
      </c>
      <c r="Q26" s="5" t="s">
        <v>102</v>
      </c>
      <c r="R26" s="5" t="s">
        <v>105</v>
      </c>
      <c r="S26" s="5" t="s">
        <v>102</v>
      </c>
      <c r="T26" s="5" t="s">
        <v>432</v>
      </c>
      <c r="U26" s="5">
        <v>100</v>
      </c>
      <c r="V26" s="5">
        <v>1</v>
      </c>
      <c r="W26" s="5" t="s">
        <v>1430</v>
      </c>
      <c r="X26" s="24">
        <f>2873</f>
        <v>2873</v>
      </c>
      <c r="Y26" s="5" t="s">
        <v>107</v>
      </c>
      <c r="Z26" s="5">
        <f>0.77*0.9</f>
        <v>0.69300000000000006</v>
      </c>
      <c r="AA26" s="5">
        <v>0.81</v>
      </c>
      <c r="AB26" s="28">
        <f>0.001</f>
        <v>1E-3</v>
      </c>
      <c r="AC26" s="5" t="s">
        <v>108</v>
      </c>
      <c r="AD26" s="5" t="str">
        <f t="shared" si="0"/>
        <v>kg_co2e_excl_luc</v>
      </c>
      <c r="AE26" s="24">
        <f>IF(CropLCAs[[#This Row],[Product fraction]]="",CropLCAs[[#This Row],[CO2e (value)]]*CropLCAs[[#This Row],[Conversion factor (value)]],CropLCAs[[#This Row],[CO2e (value)]]*CropLCAs[[#This Row],[Conversion factor (value)]]/CropLCAs[[#This Row],[Product fraction]]*CropLCAs[[#This Row],[Value fraction]])</f>
        <v>3.3580519480519486</v>
      </c>
      <c r="AF26" s="5" t="s">
        <v>46</v>
      </c>
      <c r="AG26" s="5" t="str">
        <f t="shared" si="1"/>
        <v>processed_ghg</v>
      </c>
      <c r="AH26" s="5">
        <f>0.08*0.14</f>
        <v>1.1200000000000002E-2</v>
      </c>
      <c r="AI26" s="5">
        <f>0.19*0.33</f>
        <v>6.2700000000000006E-2</v>
      </c>
      <c r="AJ26" s="8">
        <f>IF(CropLCAs[[#This Row],[product_fraction]]&gt;0,CropLCAs[[#This Row],[footprint]]/CropLCAs[[#This Row],[product_fraction]]*CropLCAs[[#This Row],[value_fraction]],"")</f>
        <v>18.799094387755105</v>
      </c>
      <c r="AK26" s="23">
        <v>0.5</v>
      </c>
      <c r="AL26" s="5" t="s">
        <v>109</v>
      </c>
      <c r="AM26" s="5" t="s">
        <v>110</v>
      </c>
      <c r="AN26" s="5" t="s">
        <v>158</v>
      </c>
      <c r="AO26" s="5"/>
      <c r="AP26" s="7"/>
      <c r="AQ26" s="5"/>
      <c r="AR26" s="5"/>
      <c r="AS26" s="5"/>
      <c r="AT26" s="5"/>
      <c r="AU26" s="5"/>
    </row>
    <row r="27" spans="1:47" ht="44.1" customHeight="1" x14ac:dyDescent="0.2">
      <c r="A27" s="5" t="s">
        <v>99</v>
      </c>
      <c r="B27" s="5" t="s">
        <v>1435</v>
      </c>
      <c r="C27" s="5">
        <v>2014</v>
      </c>
      <c r="D27" s="5" t="s">
        <v>156</v>
      </c>
      <c r="E27" s="6" t="s">
        <v>431</v>
      </c>
      <c r="F27" s="5" t="s">
        <v>18</v>
      </c>
      <c r="G27" s="5" t="str">
        <f>IF(CropLCAs[[#This Row],[fbs_item]]="Insects","insect_ghg","plant_ghg")</f>
        <v>plant_ghg</v>
      </c>
      <c r="H27" s="49" t="s">
        <v>77</v>
      </c>
      <c r="I27" s="49"/>
      <c r="J27" s="49"/>
      <c r="K27" s="5" t="s">
        <v>111</v>
      </c>
      <c r="L27" s="5"/>
      <c r="M27" s="5" t="s">
        <v>102</v>
      </c>
      <c r="N27" s="5" t="s">
        <v>157</v>
      </c>
      <c r="O27" s="5" t="s">
        <v>105</v>
      </c>
      <c r="P27" s="5" t="s">
        <v>102</v>
      </c>
      <c r="Q27" s="5" t="s">
        <v>102</v>
      </c>
      <c r="R27" s="5" t="s">
        <v>105</v>
      </c>
      <c r="S27" s="5" t="s">
        <v>102</v>
      </c>
      <c r="T27" s="5" t="s">
        <v>432</v>
      </c>
      <c r="U27" s="5">
        <v>100</v>
      </c>
      <c r="V27" s="5">
        <v>1</v>
      </c>
      <c r="W27" s="5" t="s">
        <v>1430</v>
      </c>
      <c r="X27" s="24">
        <f>1774</f>
        <v>1774</v>
      </c>
      <c r="Y27" s="5" t="s">
        <v>107</v>
      </c>
      <c r="Z27" s="5">
        <f>0.77*0.9</f>
        <v>0.69300000000000006</v>
      </c>
      <c r="AA27" s="5">
        <v>0.81</v>
      </c>
      <c r="AB27" s="28">
        <f>0.001</f>
        <v>1E-3</v>
      </c>
      <c r="AC27" s="5" t="s">
        <v>108</v>
      </c>
      <c r="AD27" s="5" t="str">
        <f t="shared" si="0"/>
        <v>kg_co2e_excl_luc</v>
      </c>
      <c r="AE27" s="24">
        <f>IF(CropLCAs[[#This Row],[Product fraction]]="",CropLCAs[[#This Row],[CO2e (value)]]*CropLCAs[[#This Row],[Conversion factor (value)]],CropLCAs[[#This Row],[CO2e (value)]]*CropLCAs[[#This Row],[Conversion factor (value)]]/CropLCAs[[#This Row],[Product fraction]]*CropLCAs[[#This Row],[Value fraction]])</f>
        <v>2.0735064935064935</v>
      </c>
      <c r="AF27" s="5" t="s">
        <v>46</v>
      </c>
      <c r="AG27" s="5" t="str">
        <f t="shared" si="1"/>
        <v>processed_ghg</v>
      </c>
      <c r="AH27" s="5">
        <f>0.08*0.14</f>
        <v>1.1200000000000002E-2</v>
      </c>
      <c r="AI27" s="5">
        <f>0.19*0.33</f>
        <v>6.2700000000000006E-2</v>
      </c>
      <c r="AJ27" s="8">
        <f>IF(CropLCAs[[#This Row],[product_fraction]]&gt;0,CropLCAs[[#This Row],[footprint]]/CropLCAs[[#This Row],[product_fraction]]*CropLCAs[[#This Row],[value_fraction]],"")</f>
        <v>11.607933673469388</v>
      </c>
      <c r="AK27" s="23">
        <v>0.5</v>
      </c>
      <c r="AL27" s="5" t="s">
        <v>109</v>
      </c>
      <c r="AM27" s="5" t="s">
        <v>110</v>
      </c>
      <c r="AN27" s="5" t="s">
        <v>158</v>
      </c>
      <c r="AO27" s="5"/>
      <c r="AP27" s="7"/>
      <c r="AQ27" s="5"/>
      <c r="AR27" s="5"/>
      <c r="AS27" s="5"/>
      <c r="AT27" s="5"/>
      <c r="AU27" s="5"/>
    </row>
    <row r="28" spans="1:47" ht="44.1" customHeight="1" x14ac:dyDescent="0.2">
      <c r="A28" s="5" t="s">
        <v>99</v>
      </c>
      <c r="B28" s="5" t="s">
        <v>1436</v>
      </c>
      <c r="C28" s="5">
        <v>2015</v>
      </c>
      <c r="D28" s="6" t="s">
        <v>100</v>
      </c>
      <c r="E28" s="6" t="s">
        <v>1316</v>
      </c>
      <c r="F28" s="5" t="s">
        <v>30</v>
      </c>
      <c r="G28" s="5" t="str">
        <f>IF(CropLCAs[[#This Row],[fbs_item]]="Insects","insect_ghg","plant_ghg")</f>
        <v>plant_ghg</v>
      </c>
      <c r="H28" s="49" t="s">
        <v>77</v>
      </c>
      <c r="I28" s="49"/>
      <c r="J28" s="49"/>
      <c r="K28" s="5" t="s">
        <v>101</v>
      </c>
      <c r="L28" s="5"/>
      <c r="M28" s="5" t="s">
        <v>102</v>
      </c>
      <c r="N28" s="5" t="s">
        <v>103</v>
      </c>
      <c r="O28" s="5" t="s">
        <v>104</v>
      </c>
      <c r="P28" s="5" t="s">
        <v>102</v>
      </c>
      <c r="Q28" s="5" t="s">
        <v>102</v>
      </c>
      <c r="R28" s="5" t="s">
        <v>105</v>
      </c>
      <c r="S28" s="5" t="s">
        <v>102</v>
      </c>
      <c r="T28" s="5" t="s">
        <v>105</v>
      </c>
      <c r="U28" s="5">
        <v>100</v>
      </c>
      <c r="V28" s="5">
        <v>1</v>
      </c>
      <c r="W28" s="5" t="s">
        <v>106</v>
      </c>
      <c r="X28" s="24">
        <v>227</v>
      </c>
      <c r="Y28" s="5" t="s">
        <v>107</v>
      </c>
      <c r="Z28" s="5"/>
      <c r="AA28" s="5"/>
      <c r="AB28" s="24">
        <v>1E-3</v>
      </c>
      <c r="AC28" s="5" t="s">
        <v>108</v>
      </c>
      <c r="AD28" s="5" t="str">
        <f t="shared" si="0"/>
        <v>kg_co2e_excl_luc</v>
      </c>
      <c r="AE28" s="24">
        <f>IF(CropLCAs[[#This Row],[Product fraction]]="",CropLCAs[[#This Row],[CO2e (value)]]*CropLCAs[[#This Row],[Conversion factor (value)]],CropLCAs[[#This Row],[CO2e (value)]]*CropLCAs[[#This Row],[Conversion factor (value)]]/CropLCAs[[#This Row],[Product fraction]]*CropLCAs[[#This Row],[Value fraction]])</f>
        <v>0.22700000000000001</v>
      </c>
      <c r="AF28" s="5"/>
      <c r="AG28" s="5" t="str">
        <f t="shared" si="1"/>
        <v>processed_ghg</v>
      </c>
      <c r="AH28" s="5"/>
      <c r="AI28" s="5"/>
      <c r="AJ28" s="8" t="str">
        <f>IF(CropLCAs[[#This Row],[product_fraction]]&gt;0,CropLCAs[[#This Row],[footprint]]/CropLCAs[[#This Row],[product_fraction]]*CropLCAs[[#This Row],[value_fraction]],"")</f>
        <v/>
      </c>
      <c r="AK28" s="23">
        <v>0.5</v>
      </c>
      <c r="AL28" s="5" t="s">
        <v>109</v>
      </c>
      <c r="AM28" s="5" t="s">
        <v>110</v>
      </c>
      <c r="AN28" s="5"/>
      <c r="AO28" s="5"/>
      <c r="AP28" s="5"/>
      <c r="AQ28" s="5"/>
      <c r="AR28" s="5"/>
      <c r="AS28" s="5"/>
      <c r="AT28" s="5"/>
      <c r="AU28" s="5"/>
    </row>
    <row r="29" spans="1:47" ht="44.1" customHeight="1" x14ac:dyDescent="0.2">
      <c r="A29" s="5" t="s">
        <v>99</v>
      </c>
      <c r="B29" s="5" t="s">
        <v>1436</v>
      </c>
      <c r="C29" s="5">
        <v>2015</v>
      </c>
      <c r="D29" s="6" t="s">
        <v>100</v>
      </c>
      <c r="E29" s="6" t="s">
        <v>1316</v>
      </c>
      <c r="F29" s="5" t="s">
        <v>30</v>
      </c>
      <c r="G29" s="5" t="str">
        <f>IF(CropLCAs[[#This Row],[fbs_item]]="Insects","insect_ghg","plant_ghg")</f>
        <v>plant_ghg</v>
      </c>
      <c r="H29" s="49" t="s">
        <v>77</v>
      </c>
      <c r="I29" s="49"/>
      <c r="J29" s="49"/>
      <c r="K29" s="5" t="s">
        <v>111</v>
      </c>
      <c r="L29" s="5"/>
      <c r="M29" s="5" t="s">
        <v>102</v>
      </c>
      <c r="N29" s="5" t="s">
        <v>103</v>
      </c>
      <c r="O29" s="5" t="s">
        <v>104</v>
      </c>
      <c r="P29" s="5" t="s">
        <v>102</v>
      </c>
      <c r="Q29" s="5" t="s">
        <v>102</v>
      </c>
      <c r="R29" s="5" t="s">
        <v>105</v>
      </c>
      <c r="S29" s="5" t="s">
        <v>102</v>
      </c>
      <c r="T29" s="5" t="s">
        <v>105</v>
      </c>
      <c r="U29" s="5">
        <v>100</v>
      </c>
      <c r="V29" s="5">
        <v>1</v>
      </c>
      <c r="W29" s="5" t="s">
        <v>106</v>
      </c>
      <c r="X29" s="24">
        <v>145</v>
      </c>
      <c r="Y29" s="5" t="s">
        <v>107</v>
      </c>
      <c r="Z29" s="5"/>
      <c r="AA29" s="5"/>
      <c r="AB29" s="24">
        <v>1E-3</v>
      </c>
      <c r="AC29" s="5" t="s">
        <v>108</v>
      </c>
      <c r="AD29" s="5" t="str">
        <f t="shared" si="0"/>
        <v>kg_co2e_excl_luc</v>
      </c>
      <c r="AE29" s="24">
        <f>IF(CropLCAs[[#This Row],[Product fraction]]="",CropLCAs[[#This Row],[CO2e (value)]]*CropLCAs[[#This Row],[Conversion factor (value)]],CropLCAs[[#This Row],[CO2e (value)]]*CropLCAs[[#This Row],[Conversion factor (value)]]/CropLCAs[[#This Row],[Product fraction]]*CropLCAs[[#This Row],[Value fraction]])</f>
        <v>0.14499999999999999</v>
      </c>
      <c r="AF29" s="5"/>
      <c r="AG29" s="5" t="str">
        <f t="shared" si="1"/>
        <v>processed_ghg</v>
      </c>
      <c r="AH29" s="5"/>
      <c r="AI29" s="5"/>
      <c r="AJ29" s="8" t="str">
        <f>IF(CropLCAs[[#This Row],[product_fraction]]&gt;0,CropLCAs[[#This Row],[footprint]]/CropLCAs[[#This Row],[product_fraction]]*CropLCAs[[#This Row],[value_fraction]],"")</f>
        <v/>
      </c>
      <c r="AK29" s="23">
        <v>0.5</v>
      </c>
      <c r="AL29" s="5" t="s">
        <v>109</v>
      </c>
      <c r="AM29" s="5" t="s">
        <v>110</v>
      </c>
      <c r="AN29" s="5"/>
      <c r="AO29" s="5"/>
      <c r="AP29" s="5"/>
      <c r="AQ29" s="5"/>
      <c r="AR29" s="5"/>
      <c r="AS29" s="5"/>
      <c r="AT29" s="5"/>
      <c r="AU29" s="5"/>
    </row>
    <row r="30" spans="1:47" ht="44.1" customHeight="1" x14ac:dyDescent="0.2">
      <c r="A30" s="5" t="s">
        <v>99</v>
      </c>
      <c r="B30" s="5" t="s">
        <v>1436</v>
      </c>
      <c r="C30" s="5">
        <v>2015</v>
      </c>
      <c r="D30" s="6" t="s">
        <v>100</v>
      </c>
      <c r="E30" s="6" t="s">
        <v>1316</v>
      </c>
      <c r="F30" s="5" t="s">
        <v>31</v>
      </c>
      <c r="G30" s="5" t="str">
        <f>IF(CropLCAs[[#This Row],[fbs_item]]="Insects","insect_ghg","plant_ghg")</f>
        <v>plant_ghg</v>
      </c>
      <c r="H30" s="49" t="s">
        <v>77</v>
      </c>
      <c r="I30" s="49"/>
      <c r="J30" s="49"/>
      <c r="K30" s="5" t="s">
        <v>101</v>
      </c>
      <c r="L30" s="5"/>
      <c r="M30" s="5" t="s">
        <v>102</v>
      </c>
      <c r="N30" s="5" t="s">
        <v>103</v>
      </c>
      <c r="O30" s="5" t="s">
        <v>104</v>
      </c>
      <c r="P30" s="5" t="s">
        <v>102</v>
      </c>
      <c r="Q30" s="5" t="s">
        <v>102</v>
      </c>
      <c r="R30" s="5" t="s">
        <v>105</v>
      </c>
      <c r="S30" s="5" t="s">
        <v>102</v>
      </c>
      <c r="T30" s="5" t="s">
        <v>105</v>
      </c>
      <c r="U30" s="5">
        <v>100</v>
      </c>
      <c r="V30" s="5">
        <v>1</v>
      </c>
      <c r="W30" s="5" t="s">
        <v>106</v>
      </c>
      <c r="X30" s="24">
        <v>227</v>
      </c>
      <c r="Y30" s="5" t="s">
        <v>107</v>
      </c>
      <c r="Z30" s="5"/>
      <c r="AA30" s="5"/>
      <c r="AB30" s="24">
        <v>1E-3</v>
      </c>
      <c r="AC30" s="5" t="s">
        <v>108</v>
      </c>
      <c r="AD30" s="5" t="str">
        <f t="shared" si="0"/>
        <v>kg_co2e_excl_luc</v>
      </c>
      <c r="AE30" s="24">
        <f>IF(CropLCAs[[#This Row],[Product fraction]]="",CropLCAs[[#This Row],[CO2e (value)]]*CropLCAs[[#This Row],[Conversion factor (value)]],CropLCAs[[#This Row],[CO2e (value)]]*CropLCAs[[#This Row],[Conversion factor (value)]]/CropLCAs[[#This Row],[Product fraction]]*CropLCAs[[#This Row],[Value fraction]])</f>
        <v>0.22700000000000001</v>
      </c>
      <c r="AF30" s="5"/>
      <c r="AG30" s="5" t="str">
        <f t="shared" si="1"/>
        <v>processed_ghg</v>
      </c>
      <c r="AH30" s="5"/>
      <c r="AI30" s="5"/>
      <c r="AJ30" s="8" t="str">
        <f>IF(CropLCAs[[#This Row],[product_fraction]]&gt;0,CropLCAs[[#This Row],[footprint]]/CropLCAs[[#This Row],[product_fraction]]*CropLCAs[[#This Row],[value_fraction]],"")</f>
        <v/>
      </c>
      <c r="AK30" s="23">
        <v>0.5</v>
      </c>
      <c r="AL30" s="5" t="s">
        <v>109</v>
      </c>
      <c r="AM30" s="5" t="s">
        <v>110</v>
      </c>
      <c r="AN30" s="5"/>
      <c r="AO30" s="5"/>
      <c r="AP30" s="5"/>
      <c r="AQ30" s="5"/>
      <c r="AR30" s="5"/>
      <c r="AS30" s="5"/>
      <c r="AT30" s="5"/>
      <c r="AU30" s="5"/>
    </row>
    <row r="31" spans="1:47" ht="44.1" customHeight="1" x14ac:dyDescent="0.2">
      <c r="A31" s="5" t="s">
        <v>99</v>
      </c>
      <c r="B31" s="5" t="s">
        <v>1436</v>
      </c>
      <c r="C31" s="5">
        <v>2015</v>
      </c>
      <c r="D31" s="6" t="s">
        <v>100</v>
      </c>
      <c r="E31" s="6" t="s">
        <v>1316</v>
      </c>
      <c r="F31" s="5" t="s">
        <v>31</v>
      </c>
      <c r="G31" s="5" t="str">
        <f>IF(CropLCAs[[#This Row],[fbs_item]]="Insects","insect_ghg","plant_ghg")</f>
        <v>plant_ghg</v>
      </c>
      <c r="H31" s="49" t="s">
        <v>77</v>
      </c>
      <c r="I31" s="49"/>
      <c r="J31" s="49"/>
      <c r="K31" s="5" t="s">
        <v>111</v>
      </c>
      <c r="L31" s="5"/>
      <c r="M31" s="5" t="s">
        <v>102</v>
      </c>
      <c r="N31" s="5" t="s">
        <v>103</v>
      </c>
      <c r="O31" s="5" t="s">
        <v>104</v>
      </c>
      <c r="P31" s="5" t="s">
        <v>102</v>
      </c>
      <c r="Q31" s="5" t="s">
        <v>102</v>
      </c>
      <c r="R31" s="5" t="s">
        <v>105</v>
      </c>
      <c r="S31" s="5" t="s">
        <v>102</v>
      </c>
      <c r="T31" s="5" t="s">
        <v>105</v>
      </c>
      <c r="U31" s="5">
        <v>100</v>
      </c>
      <c r="V31" s="5">
        <v>1</v>
      </c>
      <c r="W31" s="5" t="s">
        <v>106</v>
      </c>
      <c r="X31" s="24">
        <v>145</v>
      </c>
      <c r="Y31" s="5" t="s">
        <v>107</v>
      </c>
      <c r="Z31" s="5"/>
      <c r="AA31" s="5"/>
      <c r="AB31" s="24">
        <v>1E-3</v>
      </c>
      <c r="AC31" s="5" t="s">
        <v>108</v>
      </c>
      <c r="AD31" s="5" t="str">
        <f t="shared" si="0"/>
        <v>kg_co2e_excl_luc</v>
      </c>
      <c r="AE31" s="24">
        <f>IF(CropLCAs[[#This Row],[Product fraction]]="",CropLCAs[[#This Row],[CO2e (value)]]*CropLCAs[[#This Row],[Conversion factor (value)]],CropLCAs[[#This Row],[CO2e (value)]]*CropLCAs[[#This Row],[Conversion factor (value)]]/CropLCAs[[#This Row],[Product fraction]]*CropLCAs[[#This Row],[Value fraction]])</f>
        <v>0.14499999999999999</v>
      </c>
      <c r="AF31" s="5"/>
      <c r="AG31" s="5" t="str">
        <f t="shared" si="1"/>
        <v>processed_ghg</v>
      </c>
      <c r="AH31" s="5"/>
      <c r="AI31" s="5"/>
      <c r="AJ31" s="8" t="str">
        <f>IF(CropLCAs[[#This Row],[product_fraction]]&gt;0,CropLCAs[[#This Row],[footprint]]/CropLCAs[[#This Row],[product_fraction]]*CropLCAs[[#This Row],[value_fraction]],"")</f>
        <v/>
      </c>
      <c r="AK31" s="23">
        <v>0.5</v>
      </c>
      <c r="AL31" s="5" t="s">
        <v>109</v>
      </c>
      <c r="AM31" s="5" t="s">
        <v>110</v>
      </c>
      <c r="AN31" s="5"/>
      <c r="AO31" s="5"/>
      <c r="AP31" s="5"/>
      <c r="AQ31" s="5"/>
      <c r="AR31" s="5"/>
      <c r="AS31" s="5"/>
      <c r="AT31" s="5"/>
      <c r="AU31" s="5"/>
    </row>
    <row r="32" spans="1:47" ht="44.1" customHeight="1" x14ac:dyDescent="0.2">
      <c r="A32" s="5" t="s">
        <v>99</v>
      </c>
      <c r="B32" s="5" t="s">
        <v>1436</v>
      </c>
      <c r="C32" s="5">
        <v>2015</v>
      </c>
      <c r="D32" s="6" t="s">
        <v>100</v>
      </c>
      <c r="E32" s="6" t="s">
        <v>1316</v>
      </c>
      <c r="F32" s="5" t="s">
        <v>34</v>
      </c>
      <c r="G32" s="5" t="str">
        <f>IF(CropLCAs[[#This Row],[fbs_item]]="Insects","insect_ghg","plant_ghg")</f>
        <v>plant_ghg</v>
      </c>
      <c r="H32" s="49" t="s">
        <v>77</v>
      </c>
      <c r="I32" s="49"/>
      <c r="J32" s="49"/>
      <c r="K32" s="5" t="s">
        <v>101</v>
      </c>
      <c r="L32" s="5"/>
      <c r="M32" s="5" t="s">
        <v>102</v>
      </c>
      <c r="N32" s="5" t="s">
        <v>103</v>
      </c>
      <c r="O32" s="5" t="s">
        <v>104</v>
      </c>
      <c r="P32" s="5" t="s">
        <v>102</v>
      </c>
      <c r="Q32" s="5" t="s">
        <v>102</v>
      </c>
      <c r="R32" s="5" t="s">
        <v>105</v>
      </c>
      <c r="S32" s="5" t="s">
        <v>102</v>
      </c>
      <c r="T32" s="5" t="s">
        <v>105</v>
      </c>
      <c r="U32" s="5">
        <v>100</v>
      </c>
      <c r="V32" s="5">
        <v>1</v>
      </c>
      <c r="W32" s="5" t="s">
        <v>106</v>
      </c>
      <c r="X32" s="24">
        <v>227</v>
      </c>
      <c r="Y32" s="5" t="s">
        <v>107</v>
      </c>
      <c r="Z32" s="5"/>
      <c r="AA32" s="5"/>
      <c r="AB32" s="24">
        <v>1E-3</v>
      </c>
      <c r="AC32" s="5" t="s">
        <v>108</v>
      </c>
      <c r="AD32" s="5" t="str">
        <f t="shared" si="0"/>
        <v>kg_co2e_excl_luc</v>
      </c>
      <c r="AE32" s="24">
        <f>IF(CropLCAs[[#This Row],[Product fraction]]="",CropLCAs[[#This Row],[CO2e (value)]]*CropLCAs[[#This Row],[Conversion factor (value)]],CropLCAs[[#This Row],[CO2e (value)]]*CropLCAs[[#This Row],[Conversion factor (value)]]/CropLCAs[[#This Row],[Product fraction]]*CropLCAs[[#This Row],[Value fraction]])</f>
        <v>0.22700000000000001</v>
      </c>
      <c r="AF32" s="5"/>
      <c r="AG32" s="5" t="str">
        <f t="shared" si="1"/>
        <v>processed_ghg</v>
      </c>
      <c r="AH32" s="5"/>
      <c r="AI32" s="5"/>
      <c r="AJ32" s="8" t="str">
        <f>IF(CropLCAs[[#This Row],[product_fraction]]&gt;0,CropLCAs[[#This Row],[footprint]]/CropLCAs[[#This Row],[product_fraction]]*CropLCAs[[#This Row],[value_fraction]],"")</f>
        <v/>
      </c>
      <c r="AK32" s="23">
        <v>0.5</v>
      </c>
      <c r="AL32" s="5" t="s">
        <v>109</v>
      </c>
      <c r="AM32" s="5" t="s">
        <v>110</v>
      </c>
      <c r="AN32" s="5"/>
      <c r="AO32" s="5"/>
      <c r="AP32" s="5"/>
      <c r="AQ32" s="5"/>
      <c r="AR32" s="5"/>
      <c r="AS32" s="5"/>
      <c r="AT32" s="5"/>
      <c r="AU32" s="5"/>
    </row>
    <row r="33" spans="1:47" ht="44.1" customHeight="1" x14ac:dyDescent="0.2">
      <c r="A33" s="5" t="s">
        <v>99</v>
      </c>
      <c r="B33" s="5" t="s">
        <v>1436</v>
      </c>
      <c r="C33" s="5">
        <v>2015</v>
      </c>
      <c r="D33" s="6" t="s">
        <v>100</v>
      </c>
      <c r="E33" s="6" t="s">
        <v>1316</v>
      </c>
      <c r="F33" s="5" t="s">
        <v>34</v>
      </c>
      <c r="G33" s="5" t="str">
        <f>IF(CropLCAs[[#This Row],[fbs_item]]="Insects","insect_ghg","plant_ghg")</f>
        <v>plant_ghg</v>
      </c>
      <c r="H33" s="49" t="s">
        <v>77</v>
      </c>
      <c r="I33" s="49"/>
      <c r="J33" s="49"/>
      <c r="K33" s="5" t="s">
        <v>111</v>
      </c>
      <c r="L33" s="5"/>
      <c r="M33" s="5" t="s">
        <v>102</v>
      </c>
      <c r="N33" s="5" t="s">
        <v>103</v>
      </c>
      <c r="O33" s="5" t="s">
        <v>104</v>
      </c>
      <c r="P33" s="5" t="s">
        <v>102</v>
      </c>
      <c r="Q33" s="5" t="s">
        <v>102</v>
      </c>
      <c r="R33" s="5" t="s">
        <v>105</v>
      </c>
      <c r="S33" s="5" t="s">
        <v>102</v>
      </c>
      <c r="T33" s="5" t="s">
        <v>105</v>
      </c>
      <c r="U33" s="5">
        <v>100</v>
      </c>
      <c r="V33" s="5">
        <v>1</v>
      </c>
      <c r="W33" s="5" t="s">
        <v>106</v>
      </c>
      <c r="X33" s="24">
        <v>145</v>
      </c>
      <c r="Y33" s="5" t="s">
        <v>107</v>
      </c>
      <c r="Z33" s="5"/>
      <c r="AA33" s="5"/>
      <c r="AB33" s="24">
        <v>1E-3</v>
      </c>
      <c r="AC33" s="5" t="s">
        <v>108</v>
      </c>
      <c r="AD33" s="5" t="str">
        <f t="shared" si="0"/>
        <v>kg_co2e_excl_luc</v>
      </c>
      <c r="AE33" s="24">
        <f>IF(CropLCAs[[#This Row],[Product fraction]]="",CropLCAs[[#This Row],[CO2e (value)]]*CropLCAs[[#This Row],[Conversion factor (value)]],CropLCAs[[#This Row],[CO2e (value)]]*CropLCAs[[#This Row],[Conversion factor (value)]]/CropLCAs[[#This Row],[Product fraction]]*CropLCAs[[#This Row],[Value fraction]])</f>
        <v>0.14499999999999999</v>
      </c>
      <c r="AF33" s="5"/>
      <c r="AG33" s="5" t="str">
        <f t="shared" si="1"/>
        <v>processed_ghg</v>
      </c>
      <c r="AH33" s="5"/>
      <c r="AI33" s="5"/>
      <c r="AJ33" s="8" t="str">
        <f>IF(CropLCAs[[#This Row],[product_fraction]]&gt;0,CropLCAs[[#This Row],[footprint]]/CropLCAs[[#This Row],[product_fraction]]*CropLCAs[[#This Row],[value_fraction]],"")</f>
        <v/>
      </c>
      <c r="AK33" s="23">
        <v>0.5</v>
      </c>
      <c r="AL33" s="5" t="s">
        <v>109</v>
      </c>
      <c r="AM33" s="5" t="s">
        <v>110</v>
      </c>
      <c r="AN33" s="5"/>
      <c r="AO33" s="5"/>
      <c r="AP33" s="5"/>
      <c r="AQ33" s="5"/>
      <c r="AR33" s="5"/>
      <c r="AS33" s="5"/>
      <c r="AT33" s="5"/>
      <c r="AU33" s="5"/>
    </row>
    <row r="34" spans="1:47" ht="44.1" customHeight="1" x14ac:dyDescent="0.2">
      <c r="A34" s="5" t="s">
        <v>99</v>
      </c>
      <c r="B34" s="5" t="s">
        <v>1436</v>
      </c>
      <c r="C34" s="5">
        <v>2015</v>
      </c>
      <c r="D34" s="6" t="s">
        <v>100</v>
      </c>
      <c r="E34" s="6" t="s">
        <v>1317</v>
      </c>
      <c r="F34" s="5" t="s">
        <v>29</v>
      </c>
      <c r="G34" s="5" t="str">
        <f>IF(CropLCAs[[#This Row],[fbs_item]]="Insects","insect_ghg","plant_ghg")</f>
        <v>plant_ghg</v>
      </c>
      <c r="H34" s="49" t="s">
        <v>77</v>
      </c>
      <c r="I34" s="49"/>
      <c r="J34" s="49"/>
      <c r="K34" s="5" t="s">
        <v>101</v>
      </c>
      <c r="L34" s="5"/>
      <c r="M34" s="5" t="s">
        <v>102</v>
      </c>
      <c r="N34" s="5" t="s">
        <v>103</v>
      </c>
      <c r="O34" s="5" t="s">
        <v>104</v>
      </c>
      <c r="P34" s="5" t="s">
        <v>102</v>
      </c>
      <c r="Q34" s="5" t="s">
        <v>102</v>
      </c>
      <c r="R34" s="5" t="s">
        <v>105</v>
      </c>
      <c r="S34" s="5" t="s">
        <v>102</v>
      </c>
      <c r="T34" s="5" t="s">
        <v>105</v>
      </c>
      <c r="U34" s="5">
        <v>100</v>
      </c>
      <c r="V34" s="5">
        <v>1</v>
      </c>
      <c r="W34" s="5" t="s">
        <v>106</v>
      </c>
      <c r="X34" s="24">
        <v>150</v>
      </c>
      <c r="Y34" s="5" t="s">
        <v>107</v>
      </c>
      <c r="Z34" s="5"/>
      <c r="AA34" s="5"/>
      <c r="AB34" s="24">
        <v>1E-3</v>
      </c>
      <c r="AC34" s="5" t="s">
        <v>108</v>
      </c>
      <c r="AD34" s="5" t="str">
        <f t="shared" si="0"/>
        <v>kg_co2e_excl_luc</v>
      </c>
      <c r="AE34" s="24">
        <f>IF(CropLCAs[[#This Row],[Product fraction]]="",CropLCAs[[#This Row],[CO2e (value)]]*CropLCAs[[#This Row],[Conversion factor (value)]],CropLCAs[[#This Row],[CO2e (value)]]*CropLCAs[[#This Row],[Conversion factor (value)]]/CropLCAs[[#This Row],[Product fraction]]*CropLCAs[[#This Row],[Value fraction]])</f>
        <v>0.15</v>
      </c>
      <c r="AF34" s="5"/>
      <c r="AG34" s="5" t="str">
        <f t="shared" si="1"/>
        <v>processed_ghg</v>
      </c>
      <c r="AH34" s="5"/>
      <c r="AI34" s="5"/>
      <c r="AJ34" s="8" t="str">
        <f>IF(CropLCAs[[#This Row],[product_fraction]]&gt;0,CropLCAs[[#This Row],[footprint]]/CropLCAs[[#This Row],[product_fraction]]*CropLCAs[[#This Row],[value_fraction]],"")</f>
        <v/>
      </c>
      <c r="AK34" s="23">
        <v>0.5</v>
      </c>
      <c r="AL34" s="5" t="s">
        <v>109</v>
      </c>
      <c r="AM34" s="5" t="s">
        <v>110</v>
      </c>
      <c r="AN34" s="5"/>
      <c r="AO34" s="5"/>
      <c r="AP34" s="5"/>
      <c r="AQ34" s="5"/>
      <c r="AR34" s="5"/>
      <c r="AS34" s="5"/>
      <c r="AT34" s="5"/>
      <c r="AU34" s="5"/>
    </row>
    <row r="35" spans="1:47" ht="44.1" customHeight="1" x14ac:dyDescent="0.2">
      <c r="A35" s="5" t="s">
        <v>99</v>
      </c>
      <c r="B35" s="5" t="s">
        <v>1436</v>
      </c>
      <c r="C35" s="5">
        <v>2015</v>
      </c>
      <c r="D35" s="6" t="s">
        <v>100</v>
      </c>
      <c r="E35" s="6" t="s">
        <v>1317</v>
      </c>
      <c r="F35" s="5" t="s">
        <v>29</v>
      </c>
      <c r="G35" s="5" t="str">
        <f>IF(CropLCAs[[#This Row],[fbs_item]]="Insects","insect_ghg","plant_ghg")</f>
        <v>plant_ghg</v>
      </c>
      <c r="H35" s="49" t="s">
        <v>77</v>
      </c>
      <c r="I35" s="49"/>
      <c r="J35" s="49"/>
      <c r="K35" s="5" t="s">
        <v>111</v>
      </c>
      <c r="L35" s="5"/>
      <c r="M35" s="5" t="s">
        <v>102</v>
      </c>
      <c r="N35" s="5" t="s">
        <v>103</v>
      </c>
      <c r="O35" s="5" t="s">
        <v>104</v>
      </c>
      <c r="P35" s="5" t="s">
        <v>102</v>
      </c>
      <c r="Q35" s="5" t="s">
        <v>102</v>
      </c>
      <c r="R35" s="5" t="s">
        <v>105</v>
      </c>
      <c r="S35" s="5" t="s">
        <v>102</v>
      </c>
      <c r="T35" s="5" t="s">
        <v>105</v>
      </c>
      <c r="U35" s="5">
        <v>100</v>
      </c>
      <c r="V35" s="5">
        <v>1</v>
      </c>
      <c r="W35" s="5" t="s">
        <v>106</v>
      </c>
      <c r="X35" s="24">
        <v>296</v>
      </c>
      <c r="Y35" s="5" t="s">
        <v>107</v>
      </c>
      <c r="Z35" s="5"/>
      <c r="AA35" s="5"/>
      <c r="AB35" s="24">
        <v>1E-3</v>
      </c>
      <c r="AC35" s="5" t="s">
        <v>108</v>
      </c>
      <c r="AD35" s="5" t="str">
        <f t="shared" si="0"/>
        <v>kg_co2e_excl_luc</v>
      </c>
      <c r="AE35" s="24">
        <f>IF(CropLCAs[[#This Row],[Product fraction]]="",CropLCAs[[#This Row],[CO2e (value)]]*CropLCAs[[#This Row],[Conversion factor (value)]],CropLCAs[[#This Row],[CO2e (value)]]*CropLCAs[[#This Row],[Conversion factor (value)]]/CropLCAs[[#This Row],[Product fraction]]*CropLCAs[[#This Row],[Value fraction]])</f>
        <v>0.29599999999999999</v>
      </c>
      <c r="AF35" s="5"/>
      <c r="AG35" s="5" t="str">
        <f t="shared" si="1"/>
        <v>processed_ghg</v>
      </c>
      <c r="AH35" s="5"/>
      <c r="AI35" s="5"/>
      <c r="AJ35" s="8" t="str">
        <f>IF(CropLCAs[[#This Row],[product_fraction]]&gt;0,CropLCAs[[#This Row],[footprint]]/CropLCAs[[#This Row],[product_fraction]]*CropLCAs[[#This Row],[value_fraction]],"")</f>
        <v/>
      </c>
      <c r="AK35" s="23">
        <v>0.5</v>
      </c>
      <c r="AL35" s="5" t="s">
        <v>109</v>
      </c>
      <c r="AM35" s="5" t="s">
        <v>110</v>
      </c>
      <c r="AN35" s="5"/>
      <c r="AO35" s="5"/>
      <c r="AP35" s="5"/>
      <c r="AQ35" s="5"/>
      <c r="AR35" s="5"/>
      <c r="AS35" s="5"/>
      <c r="AT35" s="5"/>
      <c r="AU35" s="5"/>
    </row>
    <row r="36" spans="1:47" ht="44.1" customHeight="1" x14ac:dyDescent="0.2">
      <c r="A36" s="5" t="s">
        <v>99</v>
      </c>
      <c r="B36" s="5" t="s">
        <v>1436</v>
      </c>
      <c r="C36" s="5">
        <v>2015</v>
      </c>
      <c r="D36" s="6" t="s">
        <v>100</v>
      </c>
      <c r="E36" s="6" t="s">
        <v>1317</v>
      </c>
      <c r="F36" s="5" t="s">
        <v>31</v>
      </c>
      <c r="G36" s="5" t="str">
        <f>IF(CropLCAs[[#This Row],[fbs_item]]="Insects","insect_ghg","plant_ghg")</f>
        <v>plant_ghg</v>
      </c>
      <c r="H36" s="49" t="s">
        <v>77</v>
      </c>
      <c r="I36" s="49"/>
      <c r="J36" s="49"/>
      <c r="K36" s="5" t="s">
        <v>101</v>
      </c>
      <c r="L36" s="5"/>
      <c r="M36" s="5" t="s">
        <v>102</v>
      </c>
      <c r="N36" s="5" t="s">
        <v>103</v>
      </c>
      <c r="O36" s="5" t="s">
        <v>104</v>
      </c>
      <c r="P36" s="5" t="s">
        <v>102</v>
      </c>
      <c r="Q36" s="5" t="s">
        <v>102</v>
      </c>
      <c r="R36" s="5" t="s">
        <v>105</v>
      </c>
      <c r="S36" s="5" t="s">
        <v>102</v>
      </c>
      <c r="T36" s="5" t="s">
        <v>105</v>
      </c>
      <c r="U36" s="5">
        <v>100</v>
      </c>
      <c r="V36" s="5">
        <v>1</v>
      </c>
      <c r="W36" s="5" t="s">
        <v>106</v>
      </c>
      <c r="X36" s="24">
        <v>150</v>
      </c>
      <c r="Y36" s="5" t="s">
        <v>107</v>
      </c>
      <c r="Z36" s="5"/>
      <c r="AA36" s="5"/>
      <c r="AB36" s="24">
        <v>1E-3</v>
      </c>
      <c r="AC36" s="5" t="s">
        <v>108</v>
      </c>
      <c r="AD36" s="5" t="str">
        <f t="shared" si="0"/>
        <v>kg_co2e_excl_luc</v>
      </c>
      <c r="AE36" s="24">
        <f>IF(CropLCAs[[#This Row],[Product fraction]]="",CropLCAs[[#This Row],[CO2e (value)]]*CropLCAs[[#This Row],[Conversion factor (value)]],CropLCAs[[#This Row],[CO2e (value)]]*CropLCAs[[#This Row],[Conversion factor (value)]]/CropLCAs[[#This Row],[Product fraction]]*CropLCAs[[#This Row],[Value fraction]])</f>
        <v>0.15</v>
      </c>
      <c r="AF36" s="5"/>
      <c r="AG36" s="5" t="str">
        <f t="shared" si="1"/>
        <v>processed_ghg</v>
      </c>
      <c r="AH36" s="5"/>
      <c r="AI36" s="5"/>
      <c r="AJ36" s="8" t="str">
        <f>IF(CropLCAs[[#This Row],[product_fraction]]&gt;0,CropLCAs[[#This Row],[footprint]]/CropLCAs[[#This Row],[product_fraction]]*CropLCAs[[#This Row],[value_fraction]],"")</f>
        <v/>
      </c>
      <c r="AK36" s="23">
        <v>0.5</v>
      </c>
      <c r="AL36" s="5" t="s">
        <v>109</v>
      </c>
      <c r="AM36" s="5" t="s">
        <v>110</v>
      </c>
      <c r="AN36" s="5"/>
      <c r="AO36" s="5"/>
      <c r="AP36" s="5"/>
      <c r="AQ36" s="5"/>
      <c r="AR36" s="5"/>
      <c r="AS36" s="5"/>
      <c r="AT36" s="5"/>
      <c r="AU36" s="5"/>
    </row>
    <row r="37" spans="1:47" ht="44.1" customHeight="1" x14ac:dyDescent="0.2">
      <c r="A37" s="5" t="s">
        <v>99</v>
      </c>
      <c r="B37" s="5" t="s">
        <v>1436</v>
      </c>
      <c r="C37" s="5">
        <v>2015</v>
      </c>
      <c r="D37" s="6" t="s">
        <v>100</v>
      </c>
      <c r="E37" s="6" t="s">
        <v>1317</v>
      </c>
      <c r="F37" s="5" t="s">
        <v>31</v>
      </c>
      <c r="G37" s="5" t="str">
        <f>IF(CropLCAs[[#This Row],[fbs_item]]="Insects","insect_ghg","plant_ghg")</f>
        <v>plant_ghg</v>
      </c>
      <c r="H37" s="49" t="s">
        <v>77</v>
      </c>
      <c r="I37" s="49"/>
      <c r="J37" s="49"/>
      <c r="K37" s="5" t="s">
        <v>111</v>
      </c>
      <c r="L37" s="5"/>
      <c r="M37" s="5" t="s">
        <v>102</v>
      </c>
      <c r="N37" s="5" t="s">
        <v>103</v>
      </c>
      <c r="O37" s="5" t="s">
        <v>104</v>
      </c>
      <c r="P37" s="5" t="s">
        <v>102</v>
      </c>
      <c r="Q37" s="5" t="s">
        <v>102</v>
      </c>
      <c r="R37" s="5" t="s">
        <v>105</v>
      </c>
      <c r="S37" s="5" t="s">
        <v>102</v>
      </c>
      <c r="T37" s="5" t="s">
        <v>105</v>
      </c>
      <c r="U37" s="5">
        <v>100</v>
      </c>
      <c r="V37" s="5">
        <v>1</v>
      </c>
      <c r="W37" s="5" t="s">
        <v>106</v>
      </c>
      <c r="X37" s="24">
        <v>296</v>
      </c>
      <c r="Y37" s="5" t="s">
        <v>107</v>
      </c>
      <c r="Z37" s="5"/>
      <c r="AA37" s="5"/>
      <c r="AB37" s="24">
        <v>1E-3</v>
      </c>
      <c r="AC37" s="5" t="s">
        <v>108</v>
      </c>
      <c r="AD37" s="5" t="str">
        <f t="shared" si="0"/>
        <v>kg_co2e_excl_luc</v>
      </c>
      <c r="AE37" s="24">
        <f>IF(CropLCAs[[#This Row],[Product fraction]]="",CropLCAs[[#This Row],[CO2e (value)]]*CropLCAs[[#This Row],[Conversion factor (value)]],CropLCAs[[#This Row],[CO2e (value)]]*CropLCAs[[#This Row],[Conversion factor (value)]]/CropLCAs[[#This Row],[Product fraction]]*CropLCAs[[#This Row],[Value fraction]])</f>
        <v>0.29599999999999999</v>
      </c>
      <c r="AF37" s="5"/>
      <c r="AG37" s="5" t="str">
        <f t="shared" si="1"/>
        <v>processed_ghg</v>
      </c>
      <c r="AH37" s="5"/>
      <c r="AI37" s="5"/>
      <c r="AJ37" s="8" t="str">
        <f>IF(CropLCAs[[#This Row],[product_fraction]]&gt;0,CropLCAs[[#This Row],[footprint]]/CropLCAs[[#This Row],[product_fraction]]*CropLCAs[[#This Row],[value_fraction]],"")</f>
        <v/>
      </c>
      <c r="AK37" s="23">
        <v>0.5</v>
      </c>
      <c r="AL37" s="5" t="s">
        <v>109</v>
      </c>
      <c r="AM37" s="5" t="s">
        <v>110</v>
      </c>
      <c r="AN37" s="5"/>
      <c r="AO37" s="5"/>
      <c r="AP37" s="5"/>
      <c r="AQ37" s="5"/>
      <c r="AR37" s="5"/>
      <c r="AS37" s="5"/>
      <c r="AT37" s="5"/>
      <c r="AU37" s="5"/>
    </row>
    <row r="38" spans="1:47" ht="44.1" customHeight="1" x14ac:dyDescent="0.2">
      <c r="A38" s="5" t="s">
        <v>99</v>
      </c>
      <c r="B38" s="5" t="s">
        <v>1436</v>
      </c>
      <c r="C38" s="5">
        <v>2015</v>
      </c>
      <c r="D38" s="6" t="s">
        <v>100</v>
      </c>
      <c r="E38" s="6" t="s">
        <v>1318</v>
      </c>
      <c r="F38" s="5" t="s">
        <v>27</v>
      </c>
      <c r="G38" s="5" t="str">
        <f>IF(CropLCAs[[#This Row],[fbs_item]]="Insects","insect_ghg","plant_ghg")</f>
        <v>plant_ghg</v>
      </c>
      <c r="H38" s="49" t="s">
        <v>77</v>
      </c>
      <c r="I38" s="49"/>
      <c r="J38" s="49"/>
      <c r="K38" s="5" t="s">
        <v>115</v>
      </c>
      <c r="L38" s="5"/>
      <c r="M38" s="5" t="s">
        <v>102</v>
      </c>
      <c r="N38" s="5" t="s">
        <v>103</v>
      </c>
      <c r="O38" s="5" t="s">
        <v>104</v>
      </c>
      <c r="P38" s="5" t="s">
        <v>102</v>
      </c>
      <c r="Q38" s="5" t="s">
        <v>102</v>
      </c>
      <c r="R38" s="5" t="s">
        <v>105</v>
      </c>
      <c r="S38" s="5" t="s">
        <v>102</v>
      </c>
      <c r="T38" s="5" t="s">
        <v>105</v>
      </c>
      <c r="U38" s="5">
        <v>100</v>
      </c>
      <c r="V38" s="5">
        <v>1</v>
      </c>
      <c r="W38" s="5" t="s">
        <v>106</v>
      </c>
      <c r="X38" s="24">
        <v>154</v>
      </c>
      <c r="Y38" s="5" t="s">
        <v>107</v>
      </c>
      <c r="Z38" s="5"/>
      <c r="AA38" s="5"/>
      <c r="AB38" s="24">
        <v>1E-3</v>
      </c>
      <c r="AC38" s="5" t="s">
        <v>108</v>
      </c>
      <c r="AD38" s="5" t="str">
        <f t="shared" si="0"/>
        <v>kg_co2e_excl_luc</v>
      </c>
      <c r="AE38" s="24">
        <f>IF(CropLCAs[[#This Row],[Product fraction]]="",CropLCAs[[#This Row],[CO2e (value)]]*CropLCAs[[#This Row],[Conversion factor (value)]],CropLCAs[[#This Row],[CO2e (value)]]*CropLCAs[[#This Row],[Conversion factor (value)]]/CropLCAs[[#This Row],[Product fraction]]*CropLCAs[[#This Row],[Value fraction]])</f>
        <v>0.154</v>
      </c>
      <c r="AF38" s="5"/>
      <c r="AG38" s="5" t="str">
        <f t="shared" si="1"/>
        <v>processed_ghg</v>
      </c>
      <c r="AH38" s="5"/>
      <c r="AI38" s="5"/>
      <c r="AJ38" s="8" t="str">
        <f>IF(CropLCAs[[#This Row],[product_fraction]]&gt;0,CropLCAs[[#This Row],[footprint]]/CropLCAs[[#This Row],[product_fraction]]*CropLCAs[[#This Row],[value_fraction]],"")</f>
        <v/>
      </c>
      <c r="AK38" s="23">
        <v>0.5</v>
      </c>
      <c r="AL38" s="5" t="s">
        <v>109</v>
      </c>
      <c r="AM38" s="5" t="s">
        <v>110</v>
      </c>
      <c r="AN38" s="5"/>
      <c r="AO38" s="5"/>
      <c r="AP38" s="5"/>
      <c r="AQ38" s="5"/>
      <c r="AR38" s="5"/>
      <c r="AS38" s="5"/>
      <c r="AT38" s="5"/>
      <c r="AU38" s="5"/>
    </row>
    <row r="39" spans="1:47" ht="44.1" customHeight="1" x14ac:dyDescent="0.2">
      <c r="A39" s="5" t="s">
        <v>99</v>
      </c>
      <c r="B39" s="5" t="s">
        <v>1436</v>
      </c>
      <c r="C39" s="5">
        <v>2015</v>
      </c>
      <c r="D39" s="6" t="s">
        <v>100</v>
      </c>
      <c r="E39" s="6" t="s">
        <v>1318</v>
      </c>
      <c r="F39" s="5" t="s">
        <v>27</v>
      </c>
      <c r="G39" s="5" t="str">
        <f>IF(CropLCAs[[#This Row],[fbs_item]]="Insects","insect_ghg","plant_ghg")</f>
        <v>plant_ghg</v>
      </c>
      <c r="H39" s="49" t="s">
        <v>77</v>
      </c>
      <c r="I39" s="49"/>
      <c r="J39" s="49"/>
      <c r="K39" s="5" t="s">
        <v>111</v>
      </c>
      <c r="L39" s="5"/>
      <c r="M39" s="5" t="s">
        <v>102</v>
      </c>
      <c r="N39" s="5" t="s">
        <v>103</v>
      </c>
      <c r="O39" s="5" t="s">
        <v>104</v>
      </c>
      <c r="P39" s="5" t="s">
        <v>102</v>
      </c>
      <c r="Q39" s="5" t="s">
        <v>102</v>
      </c>
      <c r="R39" s="5" t="s">
        <v>105</v>
      </c>
      <c r="S39" s="5" t="s">
        <v>102</v>
      </c>
      <c r="T39" s="5" t="s">
        <v>105</v>
      </c>
      <c r="U39" s="5">
        <v>100</v>
      </c>
      <c r="V39" s="5">
        <v>1</v>
      </c>
      <c r="W39" s="5" t="s">
        <v>106</v>
      </c>
      <c r="X39" s="24">
        <v>152</v>
      </c>
      <c r="Y39" s="5" t="s">
        <v>107</v>
      </c>
      <c r="Z39" s="5"/>
      <c r="AA39" s="5"/>
      <c r="AB39" s="24">
        <v>1E-3</v>
      </c>
      <c r="AC39" s="5" t="s">
        <v>108</v>
      </c>
      <c r="AD39" s="5" t="str">
        <f t="shared" si="0"/>
        <v>kg_co2e_excl_luc</v>
      </c>
      <c r="AE39" s="24">
        <f>IF(CropLCAs[[#This Row],[Product fraction]]="",CropLCAs[[#This Row],[CO2e (value)]]*CropLCAs[[#This Row],[Conversion factor (value)]],CropLCAs[[#This Row],[CO2e (value)]]*CropLCAs[[#This Row],[Conversion factor (value)]]/CropLCAs[[#This Row],[Product fraction]]*CropLCAs[[#This Row],[Value fraction]])</f>
        <v>0.152</v>
      </c>
      <c r="AF39" s="5"/>
      <c r="AG39" s="5" t="str">
        <f t="shared" si="1"/>
        <v>processed_ghg</v>
      </c>
      <c r="AH39" s="5"/>
      <c r="AI39" s="5"/>
      <c r="AJ39" s="8" t="str">
        <f>IF(CropLCAs[[#This Row],[product_fraction]]&gt;0,CropLCAs[[#This Row],[footprint]]/CropLCAs[[#This Row],[product_fraction]]*CropLCAs[[#This Row],[value_fraction]],"")</f>
        <v/>
      </c>
      <c r="AK39" s="23">
        <v>0.5</v>
      </c>
      <c r="AL39" s="5" t="s">
        <v>109</v>
      </c>
      <c r="AM39" s="5" t="s">
        <v>110</v>
      </c>
      <c r="AN39" s="5"/>
      <c r="AO39" s="5"/>
      <c r="AP39" s="5"/>
      <c r="AQ39" s="5"/>
      <c r="AR39" s="5"/>
      <c r="AS39" s="5"/>
      <c r="AT39" s="5"/>
      <c r="AU39" s="5"/>
    </row>
    <row r="40" spans="1:47" ht="44.1" customHeight="1" x14ac:dyDescent="0.2">
      <c r="A40" s="5" t="s">
        <v>99</v>
      </c>
      <c r="B40" s="5" t="s">
        <v>1436</v>
      </c>
      <c r="C40" s="5">
        <v>2015</v>
      </c>
      <c r="D40" s="6" t="s">
        <v>100</v>
      </c>
      <c r="E40" s="6" t="s">
        <v>1319</v>
      </c>
      <c r="F40" s="5" t="s">
        <v>8</v>
      </c>
      <c r="G40" s="5" t="str">
        <f>IF(CropLCAs[[#This Row],[fbs_item]]="Insects","insect_ghg","plant_ghg")</f>
        <v>plant_ghg</v>
      </c>
      <c r="H40" s="49" t="s">
        <v>77</v>
      </c>
      <c r="I40" s="49"/>
      <c r="J40" s="49"/>
      <c r="K40" s="5" t="s">
        <v>101</v>
      </c>
      <c r="L40" s="5"/>
      <c r="M40" s="5" t="s">
        <v>102</v>
      </c>
      <c r="N40" s="5" t="s">
        <v>103</v>
      </c>
      <c r="O40" s="5" t="s">
        <v>104</v>
      </c>
      <c r="P40" s="5" t="s">
        <v>102</v>
      </c>
      <c r="Q40" s="5" t="s">
        <v>102</v>
      </c>
      <c r="R40" s="5" t="s">
        <v>105</v>
      </c>
      <c r="S40" s="5" t="s">
        <v>102</v>
      </c>
      <c r="T40" s="5" t="s">
        <v>105</v>
      </c>
      <c r="U40" s="5">
        <v>100</v>
      </c>
      <c r="V40" s="5">
        <v>1</v>
      </c>
      <c r="W40" s="5" t="s">
        <v>1277</v>
      </c>
      <c r="X40" s="24">
        <v>968</v>
      </c>
      <c r="Y40" s="5" t="s">
        <v>107</v>
      </c>
      <c r="Z40" s="5"/>
      <c r="AA40" s="5"/>
      <c r="AB40" s="24">
        <v>1E-3</v>
      </c>
      <c r="AC40" s="5" t="s">
        <v>108</v>
      </c>
      <c r="AD40" s="5" t="str">
        <f t="shared" si="0"/>
        <v>kg_co2e_excl_luc</v>
      </c>
      <c r="AE40" s="24">
        <f>IF(CropLCAs[[#This Row],[Product fraction]]="",CropLCAs[[#This Row],[CO2e (value)]]*CropLCAs[[#This Row],[Conversion factor (value)]],CropLCAs[[#This Row],[CO2e (value)]]*CropLCAs[[#This Row],[Conversion factor (value)]]/CropLCAs[[#This Row],[Product fraction]]*CropLCAs[[#This Row],[Value fraction]])</f>
        <v>0.96799999999999997</v>
      </c>
      <c r="AF40" s="5"/>
      <c r="AG40" s="5" t="str">
        <f t="shared" si="1"/>
        <v>processed_ghg</v>
      </c>
      <c r="AH40" s="5"/>
      <c r="AI40" s="5"/>
      <c r="AJ40" s="8" t="str">
        <f>IF(CropLCAs[[#This Row],[product_fraction]]&gt;0,CropLCAs[[#This Row],[footprint]]/CropLCAs[[#This Row],[product_fraction]]*CropLCAs[[#This Row],[value_fraction]],"")</f>
        <v/>
      </c>
      <c r="AK40" s="23">
        <v>0.5</v>
      </c>
      <c r="AL40" s="5" t="s">
        <v>109</v>
      </c>
      <c r="AM40" s="5" t="s">
        <v>110</v>
      </c>
      <c r="AN40" s="5"/>
      <c r="AO40" s="5"/>
      <c r="AP40" s="5"/>
      <c r="AQ40" s="5"/>
      <c r="AR40" s="5"/>
      <c r="AS40" s="5"/>
      <c r="AT40" s="5"/>
      <c r="AU40" s="5"/>
    </row>
    <row r="41" spans="1:47" ht="44.1" customHeight="1" x14ac:dyDescent="0.2">
      <c r="A41" s="5" t="s">
        <v>99</v>
      </c>
      <c r="B41" s="5" t="s">
        <v>1436</v>
      </c>
      <c r="C41" s="5">
        <v>2015</v>
      </c>
      <c r="D41" s="6" t="s">
        <v>100</v>
      </c>
      <c r="E41" s="6" t="s">
        <v>1319</v>
      </c>
      <c r="F41" s="5" t="s">
        <v>8</v>
      </c>
      <c r="G41" s="5" t="str">
        <f>IF(CropLCAs[[#This Row],[fbs_item]]="Insects","insect_ghg","plant_ghg")</f>
        <v>plant_ghg</v>
      </c>
      <c r="H41" s="49" t="s">
        <v>77</v>
      </c>
      <c r="I41" s="49"/>
      <c r="J41" s="49"/>
      <c r="K41" s="5" t="s">
        <v>111</v>
      </c>
      <c r="L41" s="5"/>
      <c r="M41" s="5" t="s">
        <v>102</v>
      </c>
      <c r="N41" s="5" t="s">
        <v>103</v>
      </c>
      <c r="O41" s="5" t="s">
        <v>104</v>
      </c>
      <c r="P41" s="5" t="s">
        <v>102</v>
      </c>
      <c r="Q41" s="5" t="s">
        <v>102</v>
      </c>
      <c r="R41" s="5" t="s">
        <v>105</v>
      </c>
      <c r="S41" s="5" t="s">
        <v>102</v>
      </c>
      <c r="T41" s="5" t="s">
        <v>105</v>
      </c>
      <c r="U41" s="5">
        <v>100</v>
      </c>
      <c r="V41" s="5">
        <v>1</v>
      </c>
      <c r="W41" s="5" t="s">
        <v>1277</v>
      </c>
      <c r="X41" s="24">
        <v>936</v>
      </c>
      <c r="Y41" s="5" t="s">
        <v>107</v>
      </c>
      <c r="Z41" s="5"/>
      <c r="AA41" s="5"/>
      <c r="AB41" s="24">
        <v>1E-3</v>
      </c>
      <c r="AC41" s="5" t="s">
        <v>108</v>
      </c>
      <c r="AD41" s="5" t="str">
        <f t="shared" si="0"/>
        <v>kg_co2e_excl_luc</v>
      </c>
      <c r="AE41" s="24">
        <f>IF(CropLCAs[[#This Row],[Product fraction]]="",CropLCAs[[#This Row],[CO2e (value)]]*CropLCAs[[#This Row],[Conversion factor (value)]],CropLCAs[[#This Row],[CO2e (value)]]*CropLCAs[[#This Row],[Conversion factor (value)]]/CropLCAs[[#This Row],[Product fraction]]*CropLCAs[[#This Row],[Value fraction]])</f>
        <v>0.93600000000000005</v>
      </c>
      <c r="AF41" s="5"/>
      <c r="AG41" s="5" t="str">
        <f t="shared" si="1"/>
        <v>processed_ghg</v>
      </c>
      <c r="AH41" s="5"/>
      <c r="AI41" s="5"/>
      <c r="AJ41" s="8" t="str">
        <f>IF(CropLCAs[[#This Row],[product_fraction]]&gt;0,CropLCAs[[#This Row],[footprint]]/CropLCAs[[#This Row],[product_fraction]]*CropLCAs[[#This Row],[value_fraction]],"")</f>
        <v/>
      </c>
      <c r="AK41" s="23">
        <v>0.5</v>
      </c>
      <c r="AL41" s="5" t="s">
        <v>109</v>
      </c>
      <c r="AM41" s="5" t="s">
        <v>110</v>
      </c>
      <c r="AN41" s="5"/>
      <c r="AO41" s="5"/>
      <c r="AP41" s="5"/>
      <c r="AQ41" s="5"/>
      <c r="AR41" s="5"/>
      <c r="AS41" s="5"/>
      <c r="AT41" s="5"/>
      <c r="AU41" s="5"/>
    </row>
    <row r="42" spans="1:47" ht="44.1" customHeight="1" x14ac:dyDescent="0.2">
      <c r="A42" s="5" t="s">
        <v>99</v>
      </c>
      <c r="B42" s="5" t="s">
        <v>1436</v>
      </c>
      <c r="C42" s="5">
        <v>2015</v>
      </c>
      <c r="D42" s="6" t="s">
        <v>100</v>
      </c>
      <c r="E42" s="6" t="s">
        <v>305</v>
      </c>
      <c r="F42" s="5" t="s">
        <v>25</v>
      </c>
      <c r="G42" s="5" t="str">
        <f>IF(CropLCAs[[#This Row],[fbs_item]]="Insects","insect_ghg","plant_ghg")</f>
        <v>plant_ghg</v>
      </c>
      <c r="H42" s="49" t="s">
        <v>77</v>
      </c>
      <c r="I42" s="49"/>
      <c r="J42" s="49"/>
      <c r="K42" s="5" t="s">
        <v>111</v>
      </c>
      <c r="L42" s="5"/>
      <c r="M42" s="5" t="s">
        <v>102</v>
      </c>
      <c r="N42" s="5" t="s">
        <v>103</v>
      </c>
      <c r="O42" s="5" t="s">
        <v>104</v>
      </c>
      <c r="P42" s="5" t="s">
        <v>102</v>
      </c>
      <c r="Q42" s="5" t="s">
        <v>102</v>
      </c>
      <c r="R42" s="5" t="s">
        <v>105</v>
      </c>
      <c r="S42" s="5" t="s">
        <v>102</v>
      </c>
      <c r="T42" s="5" t="s">
        <v>105</v>
      </c>
      <c r="U42" s="5">
        <v>100</v>
      </c>
      <c r="V42" s="5">
        <v>1</v>
      </c>
      <c r="W42" s="5" t="s">
        <v>106</v>
      </c>
      <c r="X42" s="24">
        <v>325</v>
      </c>
      <c r="Y42" s="5" t="s">
        <v>107</v>
      </c>
      <c r="Z42" s="5"/>
      <c r="AA42" s="5"/>
      <c r="AB42" s="24">
        <v>1E-3</v>
      </c>
      <c r="AC42" s="5" t="s">
        <v>108</v>
      </c>
      <c r="AD42" s="5" t="str">
        <f t="shared" si="0"/>
        <v>kg_co2e_excl_luc</v>
      </c>
      <c r="AE42" s="24">
        <f>IF(CropLCAs[[#This Row],[Product fraction]]="",CropLCAs[[#This Row],[CO2e (value)]]*CropLCAs[[#This Row],[Conversion factor (value)]],CropLCAs[[#This Row],[CO2e (value)]]*CropLCAs[[#This Row],[Conversion factor (value)]]/CropLCAs[[#This Row],[Product fraction]]*CropLCAs[[#This Row],[Value fraction]])</f>
        <v>0.32500000000000001</v>
      </c>
      <c r="AF42" s="5" t="s">
        <v>45</v>
      </c>
      <c r="AG42" s="5" t="str">
        <f t="shared" si="1"/>
        <v>processed_ghg</v>
      </c>
      <c r="AH42" s="9">
        <v>0.2</v>
      </c>
      <c r="AI42" s="9">
        <v>0.96</v>
      </c>
      <c r="AJ42" s="8">
        <f>IF(CropLCAs[[#This Row],[product_fraction]]&gt;0,CropLCAs[[#This Row],[footprint]]/CropLCAs[[#This Row],[product_fraction]]*CropLCAs[[#This Row],[value_fraction]],"")</f>
        <v>1.56</v>
      </c>
      <c r="AK42" s="23">
        <v>0.5</v>
      </c>
      <c r="AL42" s="5" t="s">
        <v>109</v>
      </c>
      <c r="AM42" s="5" t="s">
        <v>110</v>
      </c>
      <c r="AN42" s="5"/>
      <c r="AO42" s="5"/>
      <c r="AP42" s="5"/>
      <c r="AQ42" s="5"/>
      <c r="AR42" s="5"/>
      <c r="AS42" s="5"/>
      <c r="AT42" s="5"/>
      <c r="AU42" s="5"/>
    </row>
    <row r="43" spans="1:47" ht="44.1" customHeight="1" x14ac:dyDescent="0.2">
      <c r="A43" s="5" t="s">
        <v>99</v>
      </c>
      <c r="B43" s="5" t="s">
        <v>1436</v>
      </c>
      <c r="C43" s="5">
        <v>2015</v>
      </c>
      <c r="D43" s="6" t="s">
        <v>100</v>
      </c>
      <c r="E43" s="6" t="s">
        <v>305</v>
      </c>
      <c r="F43" s="5" t="s">
        <v>25</v>
      </c>
      <c r="G43" s="5" t="str">
        <f>IF(CropLCAs[[#This Row],[fbs_item]]="Insects","insect_ghg","plant_ghg")</f>
        <v>plant_ghg</v>
      </c>
      <c r="H43" s="49" t="s">
        <v>77</v>
      </c>
      <c r="I43" s="49"/>
      <c r="J43" s="49"/>
      <c r="K43" s="5" t="s">
        <v>101</v>
      </c>
      <c r="L43" s="5"/>
      <c r="M43" s="5" t="s">
        <v>102</v>
      </c>
      <c r="N43" s="5" t="s">
        <v>103</v>
      </c>
      <c r="O43" s="5" t="s">
        <v>104</v>
      </c>
      <c r="P43" s="5" t="s">
        <v>102</v>
      </c>
      <c r="Q43" s="5" t="s">
        <v>102</v>
      </c>
      <c r="R43" s="5" t="s">
        <v>105</v>
      </c>
      <c r="S43" s="5" t="s">
        <v>102</v>
      </c>
      <c r="T43" s="5" t="s">
        <v>105</v>
      </c>
      <c r="U43" s="5">
        <v>100</v>
      </c>
      <c r="V43" s="5">
        <v>1</v>
      </c>
      <c r="W43" s="5" t="s">
        <v>106</v>
      </c>
      <c r="X43" s="24">
        <v>254</v>
      </c>
      <c r="Y43" s="5" t="s">
        <v>107</v>
      </c>
      <c r="Z43" s="5"/>
      <c r="AA43" s="5"/>
      <c r="AB43" s="24">
        <v>1E-3</v>
      </c>
      <c r="AC43" s="5" t="s">
        <v>108</v>
      </c>
      <c r="AD43" s="5" t="str">
        <f t="shared" si="0"/>
        <v>kg_co2e_excl_luc</v>
      </c>
      <c r="AE43" s="24">
        <f>IF(CropLCAs[[#This Row],[Product fraction]]="",CropLCAs[[#This Row],[CO2e (value)]]*CropLCAs[[#This Row],[Conversion factor (value)]],CropLCAs[[#This Row],[CO2e (value)]]*CropLCAs[[#This Row],[Conversion factor (value)]]/CropLCAs[[#This Row],[Product fraction]]*CropLCAs[[#This Row],[Value fraction]])</f>
        <v>0.254</v>
      </c>
      <c r="AF43" s="5" t="s">
        <v>45</v>
      </c>
      <c r="AG43" s="5" t="str">
        <f t="shared" si="1"/>
        <v>processed_ghg</v>
      </c>
      <c r="AH43" s="9">
        <v>0.2</v>
      </c>
      <c r="AI43" s="9">
        <v>0.96</v>
      </c>
      <c r="AJ43" s="8">
        <f>IF(CropLCAs[[#This Row],[product_fraction]]&gt;0,CropLCAs[[#This Row],[footprint]]/CropLCAs[[#This Row],[product_fraction]]*CropLCAs[[#This Row],[value_fraction]],"")</f>
        <v>1.2192000000000001</v>
      </c>
      <c r="AK43" s="23">
        <v>0.5</v>
      </c>
      <c r="AL43" s="5" t="s">
        <v>109</v>
      </c>
      <c r="AM43" s="5" t="s">
        <v>110</v>
      </c>
      <c r="AN43" s="5"/>
      <c r="AO43" s="5"/>
      <c r="AP43" s="5"/>
      <c r="AQ43" s="5"/>
      <c r="AR43" s="5"/>
      <c r="AS43" s="5"/>
      <c r="AT43" s="5"/>
      <c r="AU43" s="5"/>
    </row>
    <row r="44" spans="1:47" ht="44.1" customHeight="1" x14ac:dyDescent="0.2">
      <c r="A44" s="5" t="s">
        <v>112</v>
      </c>
      <c r="B44" s="7" t="s">
        <v>1437</v>
      </c>
      <c r="C44" s="7">
        <v>2013</v>
      </c>
      <c r="D44" s="5" t="s">
        <v>113</v>
      </c>
      <c r="E44" s="6" t="s">
        <v>1644</v>
      </c>
      <c r="F44" s="7" t="s">
        <v>30</v>
      </c>
      <c r="G44" s="7" t="str">
        <f>IF(CropLCAs[[#This Row],[fbs_item]]="Insects","insect_ghg","plant_ghg")</f>
        <v>plant_ghg</v>
      </c>
      <c r="H44" s="49" t="s">
        <v>114</v>
      </c>
      <c r="I44" s="49"/>
      <c r="J44" s="49"/>
      <c r="K44" s="5" t="s">
        <v>115</v>
      </c>
      <c r="L44" s="5"/>
      <c r="M44" s="5" t="s">
        <v>102</v>
      </c>
      <c r="N44" s="5" t="s">
        <v>116</v>
      </c>
      <c r="O44" s="5" t="s">
        <v>109</v>
      </c>
      <c r="P44" s="5" t="s">
        <v>102</v>
      </c>
      <c r="Q44" s="5" t="s">
        <v>102</v>
      </c>
      <c r="R44" s="5" t="s">
        <v>102</v>
      </c>
      <c r="S44" s="5" t="s">
        <v>102</v>
      </c>
      <c r="T44" s="5" t="s">
        <v>102</v>
      </c>
      <c r="U44" s="5">
        <v>100</v>
      </c>
      <c r="V44" s="5">
        <v>1</v>
      </c>
      <c r="W44" s="5" t="s">
        <v>106</v>
      </c>
      <c r="X44" s="24">
        <v>8.3000000000000004E-2</v>
      </c>
      <c r="Y44" s="5" t="s">
        <v>106</v>
      </c>
      <c r="Z44" s="5"/>
      <c r="AA44" s="5"/>
      <c r="AB44" s="24">
        <v>1</v>
      </c>
      <c r="AC44" s="5"/>
      <c r="AD44" s="5" t="str">
        <f t="shared" si="0"/>
        <v>kg_co2e_excl_luc</v>
      </c>
      <c r="AE44" s="24">
        <f>IF(CropLCAs[[#This Row],[Product fraction]]="",CropLCAs[[#This Row],[CO2e (value)]]*CropLCAs[[#This Row],[Conversion factor (value)]],CropLCAs[[#This Row],[CO2e (value)]]*CropLCAs[[#This Row],[Conversion factor (value)]]/CropLCAs[[#This Row],[Product fraction]]*CropLCAs[[#This Row],[Value fraction]])</f>
        <v>8.3000000000000004E-2</v>
      </c>
      <c r="AF44" s="5"/>
      <c r="AG44" s="5" t="str">
        <f t="shared" si="1"/>
        <v>processed_ghg</v>
      </c>
      <c r="AH44" s="5"/>
      <c r="AI44" s="5"/>
      <c r="AJ44" s="8" t="str">
        <f>IF(CropLCAs[[#This Row],[product_fraction]]&gt;0,CropLCAs[[#This Row],[footprint]]/CropLCAs[[#This Row],[product_fraction]]*CropLCAs[[#This Row],[value_fraction]],"")</f>
        <v/>
      </c>
      <c r="AK44" s="23">
        <f t="shared" ref="AK44:AK52" si="3">1/3</f>
        <v>0.33333333333333331</v>
      </c>
      <c r="AL44" s="5" t="s">
        <v>109</v>
      </c>
      <c r="AM44" s="5"/>
      <c r="AN44" s="5"/>
      <c r="AO44" s="5"/>
      <c r="AP44" s="5"/>
      <c r="AQ44" s="5"/>
      <c r="AR44" s="5"/>
      <c r="AS44" s="5"/>
      <c r="AT44" s="5"/>
      <c r="AU44" s="5"/>
    </row>
    <row r="45" spans="1:47" ht="44.1" customHeight="1" x14ac:dyDescent="0.2">
      <c r="A45" s="5" t="s">
        <v>112</v>
      </c>
      <c r="B45" s="7" t="s">
        <v>1437</v>
      </c>
      <c r="C45" s="7">
        <v>2013</v>
      </c>
      <c r="D45" s="5" t="s">
        <v>113</v>
      </c>
      <c r="E45" s="6" t="s">
        <v>1644</v>
      </c>
      <c r="F45" s="7" t="s">
        <v>30</v>
      </c>
      <c r="G45" s="7" t="str">
        <f>IF(CropLCAs[[#This Row],[fbs_item]]="Insects","insect_ghg","plant_ghg")</f>
        <v>plant_ghg</v>
      </c>
      <c r="H45" s="49" t="s">
        <v>114</v>
      </c>
      <c r="I45" s="49"/>
      <c r="J45" s="49"/>
      <c r="K45" s="5" t="s">
        <v>117</v>
      </c>
      <c r="L45" s="5"/>
      <c r="M45" s="5" t="s">
        <v>102</v>
      </c>
      <c r="N45" s="5" t="s">
        <v>116</v>
      </c>
      <c r="O45" s="5" t="s">
        <v>109</v>
      </c>
      <c r="P45" s="5" t="s">
        <v>102</v>
      </c>
      <c r="Q45" s="5" t="s">
        <v>102</v>
      </c>
      <c r="R45" s="5" t="s">
        <v>102</v>
      </c>
      <c r="S45" s="5" t="s">
        <v>102</v>
      </c>
      <c r="T45" s="5" t="s">
        <v>102</v>
      </c>
      <c r="U45" s="5">
        <v>100</v>
      </c>
      <c r="V45" s="5">
        <v>1</v>
      </c>
      <c r="W45" s="5" t="s">
        <v>106</v>
      </c>
      <c r="X45" s="24">
        <v>4.3999999999999997E-2</v>
      </c>
      <c r="Y45" s="5" t="s">
        <v>106</v>
      </c>
      <c r="Z45" s="5"/>
      <c r="AA45" s="5"/>
      <c r="AB45" s="24">
        <v>1</v>
      </c>
      <c r="AC45" s="5"/>
      <c r="AD45" s="5" t="str">
        <f t="shared" si="0"/>
        <v>kg_co2e_excl_luc</v>
      </c>
      <c r="AE45" s="24">
        <f>IF(CropLCAs[[#This Row],[Product fraction]]="",CropLCAs[[#This Row],[CO2e (value)]]*CropLCAs[[#This Row],[Conversion factor (value)]],CropLCAs[[#This Row],[CO2e (value)]]*CropLCAs[[#This Row],[Conversion factor (value)]]/CropLCAs[[#This Row],[Product fraction]]*CropLCAs[[#This Row],[Value fraction]])</f>
        <v>4.3999999999999997E-2</v>
      </c>
      <c r="AF45" s="5"/>
      <c r="AG45" s="5" t="str">
        <f t="shared" si="1"/>
        <v>processed_ghg</v>
      </c>
      <c r="AH45" s="5"/>
      <c r="AI45" s="5"/>
      <c r="AJ45" s="8" t="str">
        <f>IF(CropLCAs[[#This Row],[product_fraction]]&gt;0,CropLCAs[[#This Row],[footprint]]/CropLCAs[[#This Row],[product_fraction]]*CropLCAs[[#This Row],[value_fraction]],"")</f>
        <v/>
      </c>
      <c r="AK45" s="23">
        <f t="shared" si="3"/>
        <v>0.33333333333333331</v>
      </c>
      <c r="AL45" s="5" t="s">
        <v>109</v>
      </c>
      <c r="AM45" s="5"/>
      <c r="AN45" s="5"/>
      <c r="AO45" s="5"/>
      <c r="AP45" s="5"/>
      <c r="AQ45" s="5"/>
      <c r="AR45" s="5"/>
      <c r="AS45" s="5"/>
      <c r="AT45" s="5"/>
      <c r="AU45" s="5"/>
    </row>
    <row r="46" spans="1:47" ht="44.1" customHeight="1" x14ac:dyDescent="0.2">
      <c r="A46" s="5" t="s">
        <v>112</v>
      </c>
      <c r="B46" s="7" t="s">
        <v>1437</v>
      </c>
      <c r="C46" s="7">
        <v>2013</v>
      </c>
      <c r="D46" s="5" t="s">
        <v>113</v>
      </c>
      <c r="E46" s="6" t="s">
        <v>1644</v>
      </c>
      <c r="F46" s="7" t="s">
        <v>30</v>
      </c>
      <c r="G46" s="7" t="str">
        <f>IF(CropLCAs[[#This Row],[fbs_item]]="Insects","insect_ghg","plant_ghg")</f>
        <v>plant_ghg</v>
      </c>
      <c r="H46" s="49" t="s">
        <v>114</v>
      </c>
      <c r="I46" s="49"/>
      <c r="J46" s="49"/>
      <c r="K46" s="5" t="s">
        <v>111</v>
      </c>
      <c r="L46" s="5"/>
      <c r="M46" s="5" t="s">
        <v>102</v>
      </c>
      <c r="N46" s="5" t="s">
        <v>116</v>
      </c>
      <c r="O46" s="5" t="s">
        <v>109</v>
      </c>
      <c r="P46" s="5" t="s">
        <v>102</v>
      </c>
      <c r="Q46" s="5" t="s">
        <v>102</v>
      </c>
      <c r="R46" s="5" t="s">
        <v>102</v>
      </c>
      <c r="S46" s="5" t="s">
        <v>102</v>
      </c>
      <c r="T46" s="5" t="s">
        <v>102</v>
      </c>
      <c r="U46" s="5">
        <v>100</v>
      </c>
      <c r="V46" s="5">
        <v>1</v>
      </c>
      <c r="W46" s="5" t="s">
        <v>106</v>
      </c>
      <c r="X46" s="24">
        <v>3.7999999999999999E-2</v>
      </c>
      <c r="Y46" s="5" t="s">
        <v>106</v>
      </c>
      <c r="Z46" s="5"/>
      <c r="AA46" s="5"/>
      <c r="AB46" s="24">
        <v>1</v>
      </c>
      <c r="AC46" s="5"/>
      <c r="AD46" s="5" t="str">
        <f t="shared" si="0"/>
        <v>kg_co2e_excl_luc</v>
      </c>
      <c r="AE46" s="24">
        <f>IF(CropLCAs[[#This Row],[Product fraction]]="",CropLCAs[[#This Row],[CO2e (value)]]*CropLCAs[[#This Row],[Conversion factor (value)]],CropLCAs[[#This Row],[CO2e (value)]]*CropLCAs[[#This Row],[Conversion factor (value)]]/CropLCAs[[#This Row],[Product fraction]]*CropLCAs[[#This Row],[Value fraction]])</f>
        <v>3.7999999999999999E-2</v>
      </c>
      <c r="AF46" s="5"/>
      <c r="AG46" s="5" t="str">
        <f t="shared" si="1"/>
        <v>processed_ghg</v>
      </c>
      <c r="AH46" s="5"/>
      <c r="AI46" s="5"/>
      <c r="AJ46" s="8" t="str">
        <f>IF(CropLCAs[[#This Row],[product_fraction]]&gt;0,CropLCAs[[#This Row],[footprint]]/CropLCAs[[#This Row],[product_fraction]]*CropLCAs[[#This Row],[value_fraction]],"")</f>
        <v/>
      </c>
      <c r="AK46" s="23">
        <f t="shared" si="3"/>
        <v>0.33333333333333331</v>
      </c>
      <c r="AL46" s="5" t="s">
        <v>109</v>
      </c>
      <c r="AM46" s="5"/>
      <c r="AN46" s="5"/>
      <c r="AO46" s="5"/>
      <c r="AP46" s="5"/>
      <c r="AQ46" s="5"/>
      <c r="AR46" s="5"/>
      <c r="AS46" s="5"/>
      <c r="AT46" s="5"/>
      <c r="AU46" s="5"/>
    </row>
    <row r="47" spans="1:47" ht="44.1" customHeight="1" x14ac:dyDescent="0.2">
      <c r="A47" s="5" t="s">
        <v>112</v>
      </c>
      <c r="B47" s="7" t="s">
        <v>1437</v>
      </c>
      <c r="C47" s="7">
        <v>2013</v>
      </c>
      <c r="D47" s="5" t="s">
        <v>113</v>
      </c>
      <c r="E47" s="6" t="s">
        <v>1645</v>
      </c>
      <c r="F47" s="7" t="s">
        <v>30</v>
      </c>
      <c r="G47" s="7" t="str">
        <f>IF(CropLCAs[[#This Row],[fbs_item]]="Insects","insect_ghg","plant_ghg")</f>
        <v>plant_ghg</v>
      </c>
      <c r="H47" s="49" t="s">
        <v>114</v>
      </c>
      <c r="I47" s="49"/>
      <c r="J47" s="49"/>
      <c r="K47" s="5" t="s">
        <v>115</v>
      </c>
      <c r="L47" s="5"/>
      <c r="M47" s="5" t="s">
        <v>102</v>
      </c>
      <c r="N47" s="5" t="s">
        <v>116</v>
      </c>
      <c r="O47" s="5" t="s">
        <v>109</v>
      </c>
      <c r="P47" s="5" t="s">
        <v>102</v>
      </c>
      <c r="Q47" s="5" t="s">
        <v>102</v>
      </c>
      <c r="R47" s="5" t="s">
        <v>102</v>
      </c>
      <c r="S47" s="5" t="s">
        <v>102</v>
      </c>
      <c r="T47" s="5" t="s">
        <v>102</v>
      </c>
      <c r="U47" s="5">
        <v>100</v>
      </c>
      <c r="V47" s="5">
        <v>1</v>
      </c>
      <c r="W47" s="5" t="s">
        <v>106</v>
      </c>
      <c r="X47" s="24">
        <v>8.4000000000000005E-2</v>
      </c>
      <c r="Y47" s="5" t="s">
        <v>106</v>
      </c>
      <c r="Z47" s="5"/>
      <c r="AA47" s="5"/>
      <c r="AB47" s="24">
        <v>1</v>
      </c>
      <c r="AC47" s="5"/>
      <c r="AD47" s="5" t="str">
        <f t="shared" si="0"/>
        <v>kg_co2e_excl_luc</v>
      </c>
      <c r="AE47" s="24">
        <f>IF(CropLCAs[[#This Row],[Product fraction]]="",CropLCAs[[#This Row],[CO2e (value)]]*CropLCAs[[#This Row],[Conversion factor (value)]],CropLCAs[[#This Row],[CO2e (value)]]*CropLCAs[[#This Row],[Conversion factor (value)]]/CropLCAs[[#This Row],[Product fraction]]*CropLCAs[[#This Row],[Value fraction]])</f>
        <v>8.4000000000000005E-2</v>
      </c>
      <c r="AF47" s="5"/>
      <c r="AG47" s="5" t="str">
        <f t="shared" si="1"/>
        <v>processed_ghg</v>
      </c>
      <c r="AH47" s="5"/>
      <c r="AI47" s="5"/>
      <c r="AJ47" s="8" t="str">
        <f>IF(CropLCAs[[#This Row],[product_fraction]]&gt;0,CropLCAs[[#This Row],[footprint]]/CropLCAs[[#This Row],[product_fraction]]*CropLCAs[[#This Row],[value_fraction]],"")</f>
        <v/>
      </c>
      <c r="AK47" s="23">
        <f t="shared" si="3"/>
        <v>0.33333333333333331</v>
      </c>
      <c r="AL47" s="5" t="s">
        <v>109</v>
      </c>
      <c r="AM47" s="5"/>
      <c r="AN47" s="5"/>
      <c r="AO47" s="5"/>
      <c r="AP47" s="5"/>
      <c r="AQ47" s="5"/>
      <c r="AR47" s="5"/>
      <c r="AS47" s="5"/>
      <c r="AT47" s="5"/>
      <c r="AU47" s="5"/>
    </row>
    <row r="48" spans="1:47" ht="44.1" customHeight="1" x14ac:dyDescent="0.2">
      <c r="A48" s="5" t="s">
        <v>112</v>
      </c>
      <c r="B48" s="7" t="s">
        <v>1437</v>
      </c>
      <c r="C48" s="7">
        <v>2013</v>
      </c>
      <c r="D48" s="5" t="s">
        <v>113</v>
      </c>
      <c r="E48" s="6" t="s">
        <v>1645</v>
      </c>
      <c r="F48" s="7" t="s">
        <v>30</v>
      </c>
      <c r="G48" s="7" t="str">
        <f>IF(CropLCAs[[#This Row],[fbs_item]]="Insects","insect_ghg","plant_ghg")</f>
        <v>plant_ghg</v>
      </c>
      <c r="H48" s="49" t="s">
        <v>114</v>
      </c>
      <c r="I48" s="49"/>
      <c r="J48" s="49"/>
      <c r="K48" s="5" t="s">
        <v>117</v>
      </c>
      <c r="L48" s="5"/>
      <c r="M48" s="5" t="s">
        <v>102</v>
      </c>
      <c r="N48" s="5" t="s">
        <v>116</v>
      </c>
      <c r="O48" s="5" t="s">
        <v>109</v>
      </c>
      <c r="P48" s="5" t="s">
        <v>102</v>
      </c>
      <c r="Q48" s="5" t="s">
        <v>102</v>
      </c>
      <c r="R48" s="5" t="s">
        <v>102</v>
      </c>
      <c r="S48" s="5" t="s">
        <v>102</v>
      </c>
      <c r="T48" s="5" t="s">
        <v>102</v>
      </c>
      <c r="U48" s="5">
        <v>100</v>
      </c>
      <c r="V48" s="5">
        <v>1</v>
      </c>
      <c r="W48" s="5" t="s">
        <v>106</v>
      </c>
      <c r="X48" s="24">
        <v>3.5999999999999997E-2</v>
      </c>
      <c r="Y48" s="5" t="s">
        <v>106</v>
      </c>
      <c r="Z48" s="5"/>
      <c r="AA48" s="5"/>
      <c r="AB48" s="24">
        <v>1</v>
      </c>
      <c r="AC48" s="5"/>
      <c r="AD48" s="5" t="str">
        <f t="shared" si="0"/>
        <v>kg_co2e_excl_luc</v>
      </c>
      <c r="AE48" s="24">
        <f>IF(CropLCAs[[#This Row],[Product fraction]]="",CropLCAs[[#This Row],[CO2e (value)]]*CropLCAs[[#This Row],[Conversion factor (value)]],CropLCAs[[#This Row],[CO2e (value)]]*CropLCAs[[#This Row],[Conversion factor (value)]]/CropLCAs[[#This Row],[Product fraction]]*CropLCAs[[#This Row],[Value fraction]])</f>
        <v>3.5999999999999997E-2</v>
      </c>
      <c r="AF48" s="5"/>
      <c r="AG48" s="5" t="str">
        <f t="shared" si="1"/>
        <v>processed_ghg</v>
      </c>
      <c r="AH48" s="5"/>
      <c r="AI48" s="5"/>
      <c r="AJ48" s="8" t="str">
        <f>IF(CropLCAs[[#This Row],[product_fraction]]&gt;0,CropLCAs[[#This Row],[footprint]]/CropLCAs[[#This Row],[product_fraction]]*CropLCAs[[#This Row],[value_fraction]],"")</f>
        <v/>
      </c>
      <c r="AK48" s="23">
        <f t="shared" si="3"/>
        <v>0.33333333333333331</v>
      </c>
      <c r="AL48" s="5" t="s">
        <v>109</v>
      </c>
      <c r="AM48" s="5"/>
      <c r="AN48" s="5"/>
      <c r="AO48" s="5"/>
      <c r="AP48" s="5"/>
      <c r="AQ48" s="5"/>
      <c r="AR48" s="5"/>
      <c r="AS48" s="5"/>
      <c r="AT48" s="5"/>
      <c r="AU48" s="5"/>
    </row>
    <row r="49" spans="1:47" ht="44.1" customHeight="1" x14ac:dyDescent="0.2">
      <c r="A49" s="5" t="s">
        <v>112</v>
      </c>
      <c r="B49" s="7" t="s">
        <v>1437</v>
      </c>
      <c r="C49" s="7">
        <v>2013</v>
      </c>
      <c r="D49" s="5" t="s">
        <v>113</v>
      </c>
      <c r="E49" s="6" t="s">
        <v>1645</v>
      </c>
      <c r="F49" s="7" t="s">
        <v>30</v>
      </c>
      <c r="G49" s="7" t="str">
        <f>IF(CropLCAs[[#This Row],[fbs_item]]="Insects","insect_ghg","plant_ghg")</f>
        <v>plant_ghg</v>
      </c>
      <c r="H49" s="49" t="s">
        <v>114</v>
      </c>
      <c r="I49" s="49"/>
      <c r="J49" s="49"/>
      <c r="K49" s="5" t="s">
        <v>111</v>
      </c>
      <c r="L49" s="5"/>
      <c r="M49" s="5" t="s">
        <v>102</v>
      </c>
      <c r="N49" s="5" t="s">
        <v>116</v>
      </c>
      <c r="O49" s="5" t="s">
        <v>109</v>
      </c>
      <c r="P49" s="5" t="s">
        <v>102</v>
      </c>
      <c r="Q49" s="5" t="s">
        <v>102</v>
      </c>
      <c r="R49" s="5" t="s">
        <v>102</v>
      </c>
      <c r="S49" s="5" t="s">
        <v>102</v>
      </c>
      <c r="T49" s="5" t="s">
        <v>102</v>
      </c>
      <c r="U49" s="5">
        <v>100</v>
      </c>
      <c r="V49" s="5">
        <v>1</v>
      </c>
      <c r="W49" s="5" t="s">
        <v>106</v>
      </c>
      <c r="X49" s="24">
        <v>3.2000000000000001E-2</v>
      </c>
      <c r="Y49" s="5" t="s">
        <v>106</v>
      </c>
      <c r="Z49" s="5"/>
      <c r="AA49" s="5"/>
      <c r="AB49" s="24">
        <v>1</v>
      </c>
      <c r="AC49" s="5"/>
      <c r="AD49" s="5" t="str">
        <f t="shared" si="0"/>
        <v>kg_co2e_excl_luc</v>
      </c>
      <c r="AE49" s="24">
        <f>IF(CropLCAs[[#This Row],[Product fraction]]="",CropLCAs[[#This Row],[CO2e (value)]]*CropLCAs[[#This Row],[Conversion factor (value)]],CropLCAs[[#This Row],[CO2e (value)]]*CropLCAs[[#This Row],[Conversion factor (value)]]/CropLCAs[[#This Row],[Product fraction]]*CropLCAs[[#This Row],[Value fraction]])</f>
        <v>3.2000000000000001E-2</v>
      </c>
      <c r="AF49" s="5"/>
      <c r="AG49" s="5" t="str">
        <f t="shared" si="1"/>
        <v>processed_ghg</v>
      </c>
      <c r="AH49" s="5"/>
      <c r="AI49" s="5"/>
      <c r="AJ49" s="8" t="str">
        <f>IF(CropLCAs[[#This Row],[product_fraction]]&gt;0,CropLCAs[[#This Row],[footprint]]/CropLCAs[[#This Row],[product_fraction]]*CropLCAs[[#This Row],[value_fraction]],"")</f>
        <v/>
      </c>
      <c r="AK49" s="23">
        <f t="shared" si="3"/>
        <v>0.33333333333333331</v>
      </c>
      <c r="AL49" s="5" t="s">
        <v>109</v>
      </c>
      <c r="AM49" s="5"/>
      <c r="AN49" s="5"/>
      <c r="AO49" s="5"/>
      <c r="AP49" s="5"/>
      <c r="AQ49" s="5"/>
      <c r="AR49" s="5"/>
      <c r="AS49" s="5"/>
      <c r="AT49" s="5"/>
      <c r="AU49" s="5"/>
    </row>
    <row r="50" spans="1:47" ht="44.1" customHeight="1" x14ac:dyDescent="0.2">
      <c r="A50" s="5" t="s">
        <v>112</v>
      </c>
      <c r="B50" s="7" t="s">
        <v>1437</v>
      </c>
      <c r="C50" s="7">
        <v>2013</v>
      </c>
      <c r="D50" s="5" t="s">
        <v>113</v>
      </c>
      <c r="E50" s="6" t="s">
        <v>1648</v>
      </c>
      <c r="F50" s="7" t="s">
        <v>30</v>
      </c>
      <c r="G50" s="7" t="str">
        <f>IF(CropLCAs[[#This Row],[fbs_item]]="Insects","insect_ghg","plant_ghg")</f>
        <v>plant_ghg</v>
      </c>
      <c r="H50" s="49" t="s">
        <v>114</v>
      </c>
      <c r="I50" s="49"/>
      <c r="J50" s="49"/>
      <c r="K50" s="5" t="s">
        <v>115</v>
      </c>
      <c r="L50" s="5"/>
      <c r="M50" s="5" t="s">
        <v>102</v>
      </c>
      <c r="N50" s="5" t="s">
        <v>116</v>
      </c>
      <c r="O50" s="5" t="s">
        <v>109</v>
      </c>
      <c r="P50" s="5" t="s">
        <v>102</v>
      </c>
      <c r="Q50" s="5" t="s">
        <v>102</v>
      </c>
      <c r="R50" s="5" t="s">
        <v>102</v>
      </c>
      <c r="S50" s="5" t="s">
        <v>102</v>
      </c>
      <c r="T50" s="5" t="s">
        <v>102</v>
      </c>
      <c r="U50" s="5">
        <v>100</v>
      </c>
      <c r="V50" s="5">
        <v>1</v>
      </c>
      <c r="W50" s="5" t="s">
        <v>106</v>
      </c>
      <c r="X50" s="24">
        <v>0.05</v>
      </c>
      <c r="Y50" s="5" t="s">
        <v>106</v>
      </c>
      <c r="Z50" s="5"/>
      <c r="AA50" s="5"/>
      <c r="AB50" s="24">
        <v>1</v>
      </c>
      <c r="AC50" s="5"/>
      <c r="AD50" s="5" t="str">
        <f t="shared" si="0"/>
        <v>kg_co2e_excl_luc</v>
      </c>
      <c r="AE50" s="24">
        <f>IF(CropLCAs[[#This Row],[Product fraction]]="",CropLCAs[[#This Row],[CO2e (value)]]*CropLCAs[[#This Row],[Conversion factor (value)]],CropLCAs[[#This Row],[CO2e (value)]]*CropLCAs[[#This Row],[Conversion factor (value)]]/CropLCAs[[#This Row],[Product fraction]]*CropLCAs[[#This Row],[Value fraction]])</f>
        <v>0.05</v>
      </c>
      <c r="AF50" s="5"/>
      <c r="AG50" s="5" t="str">
        <f t="shared" si="1"/>
        <v>processed_ghg</v>
      </c>
      <c r="AH50" s="5"/>
      <c r="AI50" s="5"/>
      <c r="AJ50" s="8" t="str">
        <f>IF(CropLCAs[[#This Row],[product_fraction]]&gt;0,CropLCAs[[#This Row],[footprint]]/CropLCAs[[#This Row],[product_fraction]]*CropLCAs[[#This Row],[value_fraction]],"")</f>
        <v/>
      </c>
      <c r="AK50" s="23">
        <f t="shared" si="3"/>
        <v>0.33333333333333331</v>
      </c>
      <c r="AL50" s="5" t="s">
        <v>109</v>
      </c>
      <c r="AM50" s="5"/>
      <c r="AN50" s="5"/>
      <c r="AO50" s="5"/>
      <c r="AP50" s="5"/>
      <c r="AQ50" s="5"/>
      <c r="AR50" s="5"/>
      <c r="AS50" s="5"/>
      <c r="AT50" s="5"/>
      <c r="AU50" s="5"/>
    </row>
    <row r="51" spans="1:47" ht="44.1" customHeight="1" x14ac:dyDescent="0.2">
      <c r="A51" s="5" t="s">
        <v>112</v>
      </c>
      <c r="B51" s="7" t="s">
        <v>1437</v>
      </c>
      <c r="C51" s="7">
        <v>2013</v>
      </c>
      <c r="D51" s="5" t="s">
        <v>113</v>
      </c>
      <c r="E51" s="6" t="s">
        <v>1648</v>
      </c>
      <c r="F51" s="7" t="s">
        <v>30</v>
      </c>
      <c r="G51" s="7" t="str">
        <f>IF(CropLCAs[[#This Row],[fbs_item]]="Insects","insect_ghg","plant_ghg")</f>
        <v>plant_ghg</v>
      </c>
      <c r="H51" s="49" t="s">
        <v>114</v>
      </c>
      <c r="I51" s="49"/>
      <c r="J51" s="49"/>
      <c r="K51" s="5" t="s">
        <v>117</v>
      </c>
      <c r="L51" s="5"/>
      <c r="M51" s="5" t="s">
        <v>102</v>
      </c>
      <c r="N51" s="5" t="s">
        <v>116</v>
      </c>
      <c r="O51" s="5" t="s">
        <v>109</v>
      </c>
      <c r="P51" s="5" t="s">
        <v>102</v>
      </c>
      <c r="Q51" s="5" t="s">
        <v>102</v>
      </c>
      <c r="R51" s="5" t="s">
        <v>102</v>
      </c>
      <c r="S51" s="5" t="s">
        <v>102</v>
      </c>
      <c r="T51" s="5" t="s">
        <v>102</v>
      </c>
      <c r="U51" s="5">
        <v>100</v>
      </c>
      <c r="V51" s="5">
        <v>1</v>
      </c>
      <c r="W51" s="5" t="s">
        <v>106</v>
      </c>
      <c r="X51" s="24">
        <v>2.8000000000000001E-2</v>
      </c>
      <c r="Y51" s="5" t="s">
        <v>106</v>
      </c>
      <c r="Z51" s="5"/>
      <c r="AA51" s="5"/>
      <c r="AB51" s="24">
        <v>1</v>
      </c>
      <c r="AC51" s="5"/>
      <c r="AD51" s="5" t="str">
        <f t="shared" si="0"/>
        <v>kg_co2e_excl_luc</v>
      </c>
      <c r="AE51" s="24">
        <f>IF(CropLCAs[[#This Row],[Product fraction]]="",CropLCAs[[#This Row],[CO2e (value)]]*CropLCAs[[#This Row],[Conversion factor (value)]],CropLCAs[[#This Row],[CO2e (value)]]*CropLCAs[[#This Row],[Conversion factor (value)]]/CropLCAs[[#This Row],[Product fraction]]*CropLCAs[[#This Row],[Value fraction]])</f>
        <v>2.8000000000000001E-2</v>
      </c>
      <c r="AF51" s="5"/>
      <c r="AG51" s="5" t="str">
        <f t="shared" si="1"/>
        <v>processed_ghg</v>
      </c>
      <c r="AH51" s="5"/>
      <c r="AI51" s="5"/>
      <c r="AJ51" s="8" t="str">
        <f>IF(CropLCAs[[#This Row],[product_fraction]]&gt;0,CropLCAs[[#This Row],[footprint]]/CropLCAs[[#This Row],[product_fraction]]*CropLCAs[[#This Row],[value_fraction]],"")</f>
        <v/>
      </c>
      <c r="AK51" s="23">
        <f t="shared" si="3"/>
        <v>0.33333333333333331</v>
      </c>
      <c r="AL51" s="5" t="s">
        <v>109</v>
      </c>
      <c r="AM51" s="5"/>
      <c r="AN51" s="5"/>
      <c r="AO51" s="5"/>
      <c r="AP51" s="5"/>
      <c r="AQ51" s="5"/>
      <c r="AR51" s="5"/>
      <c r="AS51" s="5"/>
      <c r="AT51" s="5"/>
      <c r="AU51" s="5"/>
    </row>
    <row r="52" spans="1:47" ht="44.1" customHeight="1" x14ac:dyDescent="0.2">
      <c r="A52" s="5" t="s">
        <v>112</v>
      </c>
      <c r="B52" s="7" t="s">
        <v>1437</v>
      </c>
      <c r="C52" s="7">
        <v>2013</v>
      </c>
      <c r="D52" s="5" t="s">
        <v>113</v>
      </c>
      <c r="E52" s="6" t="s">
        <v>1648</v>
      </c>
      <c r="F52" s="7" t="s">
        <v>30</v>
      </c>
      <c r="G52" s="7" t="str">
        <f>IF(CropLCAs[[#This Row],[fbs_item]]="Insects","insect_ghg","plant_ghg")</f>
        <v>plant_ghg</v>
      </c>
      <c r="H52" s="49" t="s">
        <v>114</v>
      </c>
      <c r="I52" s="49"/>
      <c r="J52" s="49"/>
      <c r="K52" s="5" t="s">
        <v>111</v>
      </c>
      <c r="L52" s="5"/>
      <c r="M52" s="5" t="s">
        <v>102</v>
      </c>
      <c r="N52" s="5" t="s">
        <v>116</v>
      </c>
      <c r="O52" s="5" t="s">
        <v>109</v>
      </c>
      <c r="P52" s="5" t="s">
        <v>102</v>
      </c>
      <c r="Q52" s="5" t="s">
        <v>102</v>
      </c>
      <c r="R52" s="5" t="s">
        <v>102</v>
      </c>
      <c r="S52" s="5" t="s">
        <v>102</v>
      </c>
      <c r="T52" s="5" t="s">
        <v>102</v>
      </c>
      <c r="U52" s="5">
        <v>100</v>
      </c>
      <c r="V52" s="5">
        <v>1</v>
      </c>
      <c r="W52" s="5" t="s">
        <v>106</v>
      </c>
      <c r="X52" s="24">
        <v>3.4000000000000002E-2</v>
      </c>
      <c r="Y52" s="5" t="s">
        <v>106</v>
      </c>
      <c r="Z52" s="5"/>
      <c r="AA52" s="5"/>
      <c r="AB52" s="24">
        <v>1</v>
      </c>
      <c r="AC52" s="5"/>
      <c r="AD52" s="5" t="str">
        <f t="shared" si="0"/>
        <v>kg_co2e_excl_luc</v>
      </c>
      <c r="AE52" s="24">
        <f>IF(CropLCAs[[#This Row],[Product fraction]]="",CropLCAs[[#This Row],[CO2e (value)]]*CropLCAs[[#This Row],[Conversion factor (value)]],CropLCAs[[#This Row],[CO2e (value)]]*CropLCAs[[#This Row],[Conversion factor (value)]]/CropLCAs[[#This Row],[Product fraction]]*CropLCAs[[#This Row],[Value fraction]])</f>
        <v>3.4000000000000002E-2</v>
      </c>
      <c r="AF52" s="5"/>
      <c r="AG52" s="5" t="str">
        <f t="shared" si="1"/>
        <v>processed_ghg</v>
      </c>
      <c r="AH52" s="5"/>
      <c r="AI52" s="5"/>
      <c r="AJ52" s="8" t="str">
        <f>IF(CropLCAs[[#This Row],[product_fraction]]&gt;0,CropLCAs[[#This Row],[footprint]]/CropLCAs[[#This Row],[product_fraction]]*CropLCAs[[#This Row],[value_fraction]],"")</f>
        <v/>
      </c>
      <c r="AK52" s="23">
        <f t="shared" si="3"/>
        <v>0.33333333333333331</v>
      </c>
      <c r="AL52" s="5" t="s">
        <v>109</v>
      </c>
      <c r="AM52" s="5"/>
      <c r="AN52" s="5"/>
      <c r="AO52" s="5"/>
      <c r="AP52" s="5"/>
      <c r="AQ52" s="5"/>
      <c r="AR52" s="5"/>
      <c r="AS52" s="5"/>
      <c r="AT52" s="5"/>
      <c r="AU52" s="5"/>
    </row>
    <row r="53" spans="1:47" ht="44.1" customHeight="1" x14ac:dyDescent="0.2">
      <c r="A53" s="5" t="s">
        <v>123</v>
      </c>
      <c r="B53" s="5" t="s">
        <v>1438</v>
      </c>
      <c r="C53" s="5">
        <v>2015</v>
      </c>
      <c r="D53" s="7" t="s">
        <v>597</v>
      </c>
      <c r="E53" s="6" t="s">
        <v>1320</v>
      </c>
      <c r="F53" s="5" t="s">
        <v>5</v>
      </c>
      <c r="G53" s="5" t="str">
        <f>IF(CropLCAs[[#This Row],[fbs_item]]="Insects","insect_ghg","plant_ghg")</f>
        <v>plant_ghg</v>
      </c>
      <c r="H53" s="49" t="s">
        <v>314</v>
      </c>
      <c r="I53" s="49"/>
      <c r="J53" s="49"/>
      <c r="K53" s="5" t="s">
        <v>598</v>
      </c>
      <c r="L53" s="5" t="s">
        <v>599</v>
      </c>
      <c r="M53" s="5" t="s">
        <v>102</v>
      </c>
      <c r="N53" s="5" t="s">
        <v>600</v>
      </c>
      <c r="O53" s="5" t="s">
        <v>109</v>
      </c>
      <c r="P53" s="5" t="s">
        <v>102</v>
      </c>
      <c r="Q53" s="5" t="s">
        <v>102</v>
      </c>
      <c r="R53" s="5" t="s">
        <v>102</v>
      </c>
      <c r="S53" s="5" t="s">
        <v>102</v>
      </c>
      <c r="T53" s="5" t="s">
        <v>102</v>
      </c>
      <c r="U53" s="5">
        <v>100</v>
      </c>
      <c r="V53" s="5">
        <v>1</v>
      </c>
      <c r="W53" s="5" t="s">
        <v>106</v>
      </c>
      <c r="X53" s="24">
        <v>8.5999999999999993E-2</v>
      </c>
      <c r="Y53" s="5" t="s">
        <v>106</v>
      </c>
      <c r="Z53" s="5"/>
      <c r="AA53" s="5"/>
      <c r="AB53" s="24">
        <v>1</v>
      </c>
      <c r="AC53" s="5"/>
      <c r="AD53" s="5" t="str">
        <f t="shared" si="0"/>
        <v>kg_co2e_excl_luc</v>
      </c>
      <c r="AE53" s="24">
        <f>IF(CropLCAs[[#This Row],[Product fraction]]="",CropLCAs[[#This Row],[CO2e (value)]]*CropLCAs[[#This Row],[Conversion factor (value)]],CropLCAs[[#This Row],[CO2e (value)]]*CropLCAs[[#This Row],[Conversion factor (value)]]/CropLCAs[[#This Row],[Product fraction]]*CropLCAs[[#This Row],[Value fraction]])</f>
        <v>8.5999999999999993E-2</v>
      </c>
      <c r="AF53" s="5"/>
      <c r="AG53" s="5" t="str">
        <f t="shared" si="1"/>
        <v>processed_ghg</v>
      </c>
      <c r="AH53" s="5"/>
      <c r="AI53" s="5"/>
      <c r="AJ53" s="8" t="str">
        <f>IF(CropLCAs[[#This Row],[product_fraction]]&gt;0,CropLCAs[[#This Row],[footprint]]/CropLCAs[[#This Row],[product_fraction]]*CropLCAs[[#This Row],[value_fraction]],"")</f>
        <v/>
      </c>
      <c r="AK53" s="23">
        <f t="shared" ref="AK53:AK64" si="4">1/12</f>
        <v>8.3333333333333329E-2</v>
      </c>
      <c r="AL53" s="5" t="s">
        <v>109</v>
      </c>
      <c r="AM53" s="5" t="s">
        <v>601</v>
      </c>
      <c r="AN53" s="5"/>
      <c r="AO53" s="5"/>
      <c r="AP53" s="5"/>
      <c r="AQ53" s="5"/>
      <c r="AR53" s="5"/>
      <c r="AS53" s="5"/>
      <c r="AT53" s="5"/>
      <c r="AU53" s="5"/>
    </row>
    <row r="54" spans="1:47" ht="44.1" customHeight="1" x14ac:dyDescent="0.2">
      <c r="A54" s="5" t="s">
        <v>123</v>
      </c>
      <c r="B54" s="5" t="s">
        <v>1438</v>
      </c>
      <c r="C54" s="5">
        <v>2015</v>
      </c>
      <c r="D54" s="7" t="s">
        <v>597</v>
      </c>
      <c r="E54" s="6" t="s">
        <v>1320</v>
      </c>
      <c r="F54" s="5" t="s">
        <v>5</v>
      </c>
      <c r="G54" s="5" t="str">
        <f>IF(CropLCAs[[#This Row],[fbs_item]]="Insects","insect_ghg","plant_ghg")</f>
        <v>plant_ghg</v>
      </c>
      <c r="H54" s="49" t="s">
        <v>314</v>
      </c>
      <c r="I54" s="49"/>
      <c r="J54" s="49"/>
      <c r="K54" s="5" t="s">
        <v>602</v>
      </c>
      <c r="L54" s="5" t="s">
        <v>603</v>
      </c>
      <c r="M54" s="5" t="s">
        <v>102</v>
      </c>
      <c r="N54" s="5" t="s">
        <v>600</v>
      </c>
      <c r="O54" s="5" t="s">
        <v>109</v>
      </c>
      <c r="P54" s="5" t="s">
        <v>102</v>
      </c>
      <c r="Q54" s="5" t="s">
        <v>102</v>
      </c>
      <c r="R54" s="5" t="s">
        <v>102</v>
      </c>
      <c r="S54" s="5" t="s">
        <v>102</v>
      </c>
      <c r="T54" s="5" t="s">
        <v>102</v>
      </c>
      <c r="U54" s="5">
        <v>100</v>
      </c>
      <c r="V54" s="5">
        <v>1</v>
      </c>
      <c r="W54" s="5" t="s">
        <v>106</v>
      </c>
      <c r="X54" s="24">
        <v>0.13200000000000001</v>
      </c>
      <c r="Y54" s="5" t="s">
        <v>106</v>
      </c>
      <c r="Z54" s="5"/>
      <c r="AA54" s="5"/>
      <c r="AB54" s="24">
        <v>1</v>
      </c>
      <c r="AC54" s="5"/>
      <c r="AD54" s="5" t="str">
        <f t="shared" si="0"/>
        <v>kg_co2e_excl_luc</v>
      </c>
      <c r="AE54" s="24">
        <f>IF(CropLCAs[[#This Row],[Product fraction]]="",CropLCAs[[#This Row],[CO2e (value)]]*CropLCAs[[#This Row],[Conversion factor (value)]],CropLCAs[[#This Row],[CO2e (value)]]*CropLCAs[[#This Row],[Conversion factor (value)]]/CropLCAs[[#This Row],[Product fraction]]*CropLCAs[[#This Row],[Value fraction]])</f>
        <v>0.13200000000000001</v>
      </c>
      <c r="AF54" s="5"/>
      <c r="AG54" s="5" t="str">
        <f t="shared" si="1"/>
        <v>processed_ghg</v>
      </c>
      <c r="AH54" s="5"/>
      <c r="AI54" s="5"/>
      <c r="AJ54" s="8" t="str">
        <f>IF(CropLCAs[[#This Row],[product_fraction]]&gt;0,CropLCAs[[#This Row],[footprint]]/CropLCAs[[#This Row],[product_fraction]]*CropLCAs[[#This Row],[value_fraction]],"")</f>
        <v/>
      </c>
      <c r="AK54" s="23">
        <f t="shared" si="4"/>
        <v>8.3333333333333329E-2</v>
      </c>
      <c r="AL54" s="5" t="s">
        <v>109</v>
      </c>
      <c r="AM54" s="5" t="s">
        <v>601</v>
      </c>
      <c r="AN54" s="5"/>
      <c r="AO54" s="5"/>
      <c r="AP54" s="5"/>
      <c r="AQ54" s="5"/>
      <c r="AR54" s="5"/>
      <c r="AS54" s="5"/>
      <c r="AT54" s="5"/>
      <c r="AU54" s="5"/>
    </row>
    <row r="55" spans="1:47" ht="44.1" customHeight="1" x14ac:dyDescent="0.2">
      <c r="A55" s="5" t="s">
        <v>123</v>
      </c>
      <c r="B55" s="5" t="s">
        <v>1438</v>
      </c>
      <c r="C55" s="5">
        <v>2015</v>
      </c>
      <c r="D55" s="7" t="s">
        <v>597</v>
      </c>
      <c r="E55" s="6" t="s">
        <v>1320</v>
      </c>
      <c r="F55" s="5" t="s">
        <v>5</v>
      </c>
      <c r="G55" s="5" t="str">
        <f>IF(CropLCAs[[#This Row],[fbs_item]]="Insects","insect_ghg","plant_ghg")</f>
        <v>plant_ghg</v>
      </c>
      <c r="H55" s="49" t="s">
        <v>314</v>
      </c>
      <c r="I55" s="49"/>
      <c r="J55" s="49"/>
      <c r="K55" s="5" t="s">
        <v>598</v>
      </c>
      <c r="L55" s="5" t="s">
        <v>604</v>
      </c>
      <c r="M55" s="5" t="s">
        <v>102</v>
      </c>
      <c r="N55" s="5" t="s">
        <v>600</v>
      </c>
      <c r="O55" s="5" t="s">
        <v>109</v>
      </c>
      <c r="P55" s="5" t="s">
        <v>102</v>
      </c>
      <c r="Q55" s="5" t="s">
        <v>102</v>
      </c>
      <c r="R55" s="5" t="s">
        <v>102</v>
      </c>
      <c r="S55" s="5" t="s">
        <v>102</v>
      </c>
      <c r="T55" s="5" t="s">
        <v>102</v>
      </c>
      <c r="U55" s="5">
        <v>100</v>
      </c>
      <c r="V55" s="5">
        <v>1</v>
      </c>
      <c r="W55" s="5" t="s">
        <v>106</v>
      </c>
      <c r="X55" s="24">
        <v>0.16900000000000001</v>
      </c>
      <c r="Y55" s="5" t="s">
        <v>106</v>
      </c>
      <c r="Z55" s="5"/>
      <c r="AA55" s="5"/>
      <c r="AB55" s="24">
        <v>1</v>
      </c>
      <c r="AC55" s="5"/>
      <c r="AD55" s="5" t="str">
        <f t="shared" si="0"/>
        <v>kg_co2e_excl_luc</v>
      </c>
      <c r="AE55" s="24">
        <f>IF(CropLCAs[[#This Row],[Product fraction]]="",CropLCAs[[#This Row],[CO2e (value)]]*CropLCAs[[#This Row],[Conversion factor (value)]],CropLCAs[[#This Row],[CO2e (value)]]*CropLCAs[[#This Row],[Conversion factor (value)]]/CropLCAs[[#This Row],[Product fraction]]*CropLCAs[[#This Row],[Value fraction]])</f>
        <v>0.16900000000000001</v>
      </c>
      <c r="AF55" s="5"/>
      <c r="AG55" s="5" t="str">
        <f t="shared" si="1"/>
        <v>processed_ghg</v>
      </c>
      <c r="AH55" s="5"/>
      <c r="AI55" s="5"/>
      <c r="AJ55" s="8" t="str">
        <f>IF(CropLCAs[[#This Row],[product_fraction]]&gt;0,CropLCAs[[#This Row],[footprint]]/CropLCAs[[#This Row],[product_fraction]]*CropLCAs[[#This Row],[value_fraction]],"")</f>
        <v/>
      </c>
      <c r="AK55" s="23">
        <f t="shared" si="4"/>
        <v>8.3333333333333329E-2</v>
      </c>
      <c r="AL55" s="5" t="s">
        <v>109</v>
      </c>
      <c r="AM55" s="5" t="s">
        <v>601</v>
      </c>
      <c r="AN55" s="5"/>
      <c r="AO55" s="5"/>
      <c r="AP55" s="5"/>
      <c r="AQ55" s="5"/>
      <c r="AR55" s="5"/>
      <c r="AS55" s="5"/>
      <c r="AT55" s="5"/>
      <c r="AU55" s="5"/>
    </row>
    <row r="56" spans="1:47" ht="44.1" customHeight="1" x14ac:dyDescent="0.2">
      <c r="A56" s="5" t="s">
        <v>123</v>
      </c>
      <c r="B56" s="5" t="s">
        <v>1438</v>
      </c>
      <c r="C56" s="5">
        <v>2015</v>
      </c>
      <c r="D56" s="7" t="s">
        <v>597</v>
      </c>
      <c r="E56" s="6" t="s">
        <v>1320</v>
      </c>
      <c r="F56" s="5" t="s">
        <v>5</v>
      </c>
      <c r="G56" s="5" t="str">
        <f>IF(CropLCAs[[#This Row],[fbs_item]]="Insects","insect_ghg","plant_ghg")</f>
        <v>plant_ghg</v>
      </c>
      <c r="H56" s="49" t="s">
        <v>314</v>
      </c>
      <c r="I56" s="49"/>
      <c r="J56" s="49"/>
      <c r="K56" s="5" t="s">
        <v>598</v>
      </c>
      <c r="L56" s="5" t="s">
        <v>605</v>
      </c>
      <c r="M56" s="5" t="s">
        <v>102</v>
      </c>
      <c r="N56" s="5" t="s">
        <v>600</v>
      </c>
      <c r="O56" s="5" t="s">
        <v>109</v>
      </c>
      <c r="P56" s="5" t="s">
        <v>102</v>
      </c>
      <c r="Q56" s="5" t="s">
        <v>102</v>
      </c>
      <c r="R56" s="5" t="s">
        <v>102</v>
      </c>
      <c r="S56" s="5" t="s">
        <v>102</v>
      </c>
      <c r="T56" s="5" t="s">
        <v>102</v>
      </c>
      <c r="U56" s="5">
        <v>100</v>
      </c>
      <c r="V56" s="5">
        <v>1</v>
      </c>
      <c r="W56" s="5" t="s">
        <v>106</v>
      </c>
      <c r="X56" s="24">
        <v>0.20300000000000001</v>
      </c>
      <c r="Y56" s="5" t="s">
        <v>106</v>
      </c>
      <c r="Z56" s="5"/>
      <c r="AA56" s="5"/>
      <c r="AB56" s="24">
        <v>1</v>
      </c>
      <c r="AC56" s="5"/>
      <c r="AD56" s="5" t="str">
        <f t="shared" si="0"/>
        <v>kg_co2e_excl_luc</v>
      </c>
      <c r="AE56" s="24">
        <f>IF(CropLCAs[[#This Row],[Product fraction]]="",CropLCAs[[#This Row],[CO2e (value)]]*CropLCAs[[#This Row],[Conversion factor (value)]],CropLCAs[[#This Row],[CO2e (value)]]*CropLCAs[[#This Row],[Conversion factor (value)]]/CropLCAs[[#This Row],[Product fraction]]*CropLCAs[[#This Row],[Value fraction]])</f>
        <v>0.20300000000000001</v>
      </c>
      <c r="AF56" s="5"/>
      <c r="AG56" s="5" t="str">
        <f t="shared" si="1"/>
        <v>processed_ghg</v>
      </c>
      <c r="AH56" s="5"/>
      <c r="AI56" s="5"/>
      <c r="AJ56" s="8" t="str">
        <f>IF(CropLCAs[[#This Row],[product_fraction]]&gt;0,CropLCAs[[#This Row],[footprint]]/CropLCAs[[#This Row],[product_fraction]]*CropLCAs[[#This Row],[value_fraction]],"")</f>
        <v/>
      </c>
      <c r="AK56" s="23">
        <f t="shared" si="4"/>
        <v>8.3333333333333329E-2</v>
      </c>
      <c r="AL56" s="5" t="s">
        <v>109</v>
      </c>
      <c r="AM56" s="5" t="s">
        <v>601</v>
      </c>
      <c r="AN56" s="5"/>
      <c r="AO56" s="5"/>
      <c r="AP56" s="5"/>
      <c r="AQ56" s="5"/>
      <c r="AR56" s="5"/>
      <c r="AS56" s="5"/>
      <c r="AT56" s="5"/>
      <c r="AU56" s="5"/>
    </row>
    <row r="57" spans="1:47" ht="44.1" customHeight="1" x14ac:dyDescent="0.2">
      <c r="A57" s="5" t="s">
        <v>123</v>
      </c>
      <c r="B57" s="5" t="s">
        <v>1438</v>
      </c>
      <c r="C57" s="5">
        <v>2015</v>
      </c>
      <c r="D57" s="7" t="s">
        <v>597</v>
      </c>
      <c r="E57" s="6" t="s">
        <v>1320</v>
      </c>
      <c r="F57" s="5" t="s">
        <v>5</v>
      </c>
      <c r="G57" s="5" t="str">
        <f>IF(CropLCAs[[#This Row],[fbs_item]]="Insects","insect_ghg","plant_ghg")</f>
        <v>plant_ghg</v>
      </c>
      <c r="H57" s="49" t="s">
        <v>314</v>
      </c>
      <c r="I57" s="49"/>
      <c r="J57" s="49"/>
      <c r="K57" s="5" t="s">
        <v>205</v>
      </c>
      <c r="L57" s="5" t="s">
        <v>606</v>
      </c>
      <c r="M57" s="5" t="s">
        <v>102</v>
      </c>
      <c r="N57" s="5" t="s">
        <v>600</v>
      </c>
      <c r="O57" s="5" t="s">
        <v>109</v>
      </c>
      <c r="P57" s="5" t="s">
        <v>102</v>
      </c>
      <c r="Q57" s="5" t="s">
        <v>102</v>
      </c>
      <c r="R57" s="5" t="s">
        <v>102</v>
      </c>
      <c r="S57" s="5" t="s">
        <v>102</v>
      </c>
      <c r="T57" s="5" t="s">
        <v>102</v>
      </c>
      <c r="U57" s="5">
        <v>100</v>
      </c>
      <c r="V57" s="5">
        <v>1</v>
      </c>
      <c r="W57" s="5" t="s">
        <v>106</v>
      </c>
      <c r="X57" s="24">
        <v>0.157</v>
      </c>
      <c r="Y57" s="5" t="s">
        <v>106</v>
      </c>
      <c r="Z57" s="5"/>
      <c r="AA57" s="5"/>
      <c r="AB57" s="24">
        <v>1</v>
      </c>
      <c r="AC57" s="5"/>
      <c r="AD57" s="5" t="str">
        <f t="shared" si="0"/>
        <v>kg_co2e_excl_luc</v>
      </c>
      <c r="AE57" s="24">
        <f>IF(CropLCAs[[#This Row],[Product fraction]]="",CropLCAs[[#This Row],[CO2e (value)]]*CropLCAs[[#This Row],[Conversion factor (value)]],CropLCAs[[#This Row],[CO2e (value)]]*CropLCAs[[#This Row],[Conversion factor (value)]]/CropLCAs[[#This Row],[Product fraction]]*CropLCAs[[#This Row],[Value fraction]])</f>
        <v>0.157</v>
      </c>
      <c r="AF57" s="5"/>
      <c r="AG57" s="5" t="str">
        <f t="shared" si="1"/>
        <v>processed_ghg</v>
      </c>
      <c r="AH57" s="5"/>
      <c r="AI57" s="5"/>
      <c r="AJ57" s="8" t="str">
        <f>IF(CropLCAs[[#This Row],[product_fraction]]&gt;0,CropLCAs[[#This Row],[footprint]]/CropLCAs[[#This Row],[product_fraction]]*CropLCAs[[#This Row],[value_fraction]],"")</f>
        <v/>
      </c>
      <c r="AK57" s="23">
        <f t="shared" si="4"/>
        <v>8.3333333333333329E-2</v>
      </c>
      <c r="AL57" s="5" t="s">
        <v>109</v>
      </c>
      <c r="AM57" s="5" t="s">
        <v>601</v>
      </c>
      <c r="AN57" s="5"/>
      <c r="AO57" s="5"/>
      <c r="AP57" s="5"/>
      <c r="AQ57" s="5"/>
      <c r="AR57" s="5"/>
      <c r="AS57" s="5"/>
      <c r="AT57" s="5"/>
      <c r="AU57" s="5"/>
    </row>
    <row r="58" spans="1:47" ht="44.1" customHeight="1" x14ac:dyDescent="0.2">
      <c r="A58" s="5" t="s">
        <v>123</v>
      </c>
      <c r="B58" s="5" t="s">
        <v>1438</v>
      </c>
      <c r="C58" s="5">
        <v>2015</v>
      </c>
      <c r="D58" s="7" t="s">
        <v>597</v>
      </c>
      <c r="E58" s="6" t="s">
        <v>1320</v>
      </c>
      <c r="F58" s="5" t="s">
        <v>5</v>
      </c>
      <c r="G58" s="5" t="str">
        <f>IF(CropLCAs[[#This Row],[fbs_item]]="Insects","insect_ghg","plant_ghg")</f>
        <v>plant_ghg</v>
      </c>
      <c r="H58" s="49" t="s">
        <v>314</v>
      </c>
      <c r="I58" s="49"/>
      <c r="J58" s="49"/>
      <c r="K58" s="5" t="s">
        <v>205</v>
      </c>
      <c r="L58" s="5" t="s">
        <v>607</v>
      </c>
      <c r="M58" s="5" t="s">
        <v>102</v>
      </c>
      <c r="N58" s="5" t="s">
        <v>600</v>
      </c>
      <c r="O58" s="5" t="s">
        <v>109</v>
      </c>
      <c r="P58" s="5" t="s">
        <v>102</v>
      </c>
      <c r="Q58" s="5" t="s">
        <v>102</v>
      </c>
      <c r="R58" s="5" t="s">
        <v>102</v>
      </c>
      <c r="S58" s="5" t="s">
        <v>102</v>
      </c>
      <c r="T58" s="5" t="s">
        <v>102</v>
      </c>
      <c r="U58" s="5">
        <v>100</v>
      </c>
      <c r="V58" s="5">
        <v>1</v>
      </c>
      <c r="W58" s="5" t="s">
        <v>106</v>
      </c>
      <c r="X58" s="24">
        <v>0.25900000000000001</v>
      </c>
      <c r="Y58" s="5" t="s">
        <v>106</v>
      </c>
      <c r="Z58" s="5"/>
      <c r="AA58" s="5"/>
      <c r="AB58" s="24">
        <v>1</v>
      </c>
      <c r="AC58" s="5"/>
      <c r="AD58" s="5" t="str">
        <f t="shared" si="0"/>
        <v>kg_co2e_excl_luc</v>
      </c>
      <c r="AE58" s="24">
        <f>IF(CropLCAs[[#This Row],[Product fraction]]="",CropLCAs[[#This Row],[CO2e (value)]]*CropLCAs[[#This Row],[Conversion factor (value)]],CropLCAs[[#This Row],[CO2e (value)]]*CropLCAs[[#This Row],[Conversion factor (value)]]/CropLCAs[[#This Row],[Product fraction]]*CropLCAs[[#This Row],[Value fraction]])</f>
        <v>0.25900000000000001</v>
      </c>
      <c r="AF58" s="5"/>
      <c r="AG58" s="5" t="str">
        <f t="shared" si="1"/>
        <v>processed_ghg</v>
      </c>
      <c r="AH58" s="5"/>
      <c r="AI58" s="5"/>
      <c r="AJ58" s="8" t="str">
        <f>IF(CropLCAs[[#This Row],[product_fraction]]&gt;0,CropLCAs[[#This Row],[footprint]]/CropLCAs[[#This Row],[product_fraction]]*CropLCAs[[#This Row],[value_fraction]],"")</f>
        <v/>
      </c>
      <c r="AK58" s="23">
        <f t="shared" si="4"/>
        <v>8.3333333333333329E-2</v>
      </c>
      <c r="AL58" s="5" t="s">
        <v>109</v>
      </c>
      <c r="AM58" s="5" t="s">
        <v>601</v>
      </c>
      <c r="AN58" s="5"/>
      <c r="AO58" s="5"/>
      <c r="AP58" s="5"/>
      <c r="AQ58" s="5"/>
      <c r="AR58" s="5"/>
      <c r="AS58" s="5"/>
      <c r="AT58" s="5"/>
      <c r="AU58" s="5"/>
    </row>
    <row r="59" spans="1:47" ht="44.1" customHeight="1" x14ac:dyDescent="0.2">
      <c r="A59" s="5" t="s">
        <v>123</v>
      </c>
      <c r="B59" s="5" t="s">
        <v>1438</v>
      </c>
      <c r="C59" s="5">
        <v>2015</v>
      </c>
      <c r="D59" s="7" t="s">
        <v>597</v>
      </c>
      <c r="E59" s="6" t="s">
        <v>1320</v>
      </c>
      <c r="F59" s="5" t="s">
        <v>5</v>
      </c>
      <c r="G59" s="5" t="str">
        <f>IF(CropLCAs[[#This Row],[fbs_item]]="Insects","insect_ghg","plant_ghg")</f>
        <v>plant_ghg</v>
      </c>
      <c r="H59" s="49" t="s">
        <v>314</v>
      </c>
      <c r="I59" s="49"/>
      <c r="J59" s="49"/>
      <c r="K59" s="5" t="s">
        <v>205</v>
      </c>
      <c r="L59" s="5" t="s">
        <v>608</v>
      </c>
      <c r="M59" s="5" t="s">
        <v>102</v>
      </c>
      <c r="N59" s="5" t="s">
        <v>600</v>
      </c>
      <c r="O59" s="5" t="s">
        <v>109</v>
      </c>
      <c r="P59" s="5" t="s">
        <v>102</v>
      </c>
      <c r="Q59" s="5" t="s">
        <v>102</v>
      </c>
      <c r="R59" s="5" t="s">
        <v>102</v>
      </c>
      <c r="S59" s="5" t="s">
        <v>102</v>
      </c>
      <c r="T59" s="5" t="s">
        <v>102</v>
      </c>
      <c r="U59" s="5">
        <v>100</v>
      </c>
      <c r="V59" s="5">
        <v>1</v>
      </c>
      <c r="W59" s="5" t="s">
        <v>106</v>
      </c>
      <c r="X59" s="24">
        <v>0.308</v>
      </c>
      <c r="Y59" s="5" t="s">
        <v>106</v>
      </c>
      <c r="Z59" s="5"/>
      <c r="AA59" s="5"/>
      <c r="AB59" s="24">
        <v>1</v>
      </c>
      <c r="AC59" s="5"/>
      <c r="AD59" s="5" t="str">
        <f t="shared" si="0"/>
        <v>kg_co2e_excl_luc</v>
      </c>
      <c r="AE59" s="24">
        <f>IF(CropLCAs[[#This Row],[Product fraction]]="",CropLCAs[[#This Row],[CO2e (value)]]*CropLCAs[[#This Row],[Conversion factor (value)]],CropLCAs[[#This Row],[CO2e (value)]]*CropLCAs[[#This Row],[Conversion factor (value)]]/CropLCAs[[#This Row],[Product fraction]]*CropLCAs[[#This Row],[Value fraction]])</f>
        <v>0.308</v>
      </c>
      <c r="AF59" s="5"/>
      <c r="AG59" s="5" t="str">
        <f t="shared" si="1"/>
        <v>processed_ghg</v>
      </c>
      <c r="AH59" s="5"/>
      <c r="AI59" s="5"/>
      <c r="AJ59" s="8" t="str">
        <f>IF(CropLCAs[[#This Row],[product_fraction]]&gt;0,CropLCAs[[#This Row],[footprint]]/CropLCAs[[#This Row],[product_fraction]]*CropLCAs[[#This Row],[value_fraction]],"")</f>
        <v/>
      </c>
      <c r="AK59" s="23">
        <f t="shared" si="4"/>
        <v>8.3333333333333329E-2</v>
      </c>
      <c r="AL59" s="5" t="s">
        <v>109</v>
      </c>
      <c r="AM59" s="5" t="s">
        <v>601</v>
      </c>
      <c r="AN59" s="5"/>
      <c r="AO59" s="5"/>
      <c r="AP59" s="5"/>
      <c r="AQ59" s="5"/>
      <c r="AR59" s="5"/>
      <c r="AS59" s="5"/>
      <c r="AT59" s="5"/>
      <c r="AU59" s="5"/>
    </row>
    <row r="60" spans="1:47" ht="44.1" customHeight="1" x14ac:dyDescent="0.2">
      <c r="A60" s="5" t="s">
        <v>123</v>
      </c>
      <c r="B60" s="5" t="s">
        <v>1438</v>
      </c>
      <c r="C60" s="5">
        <v>2015</v>
      </c>
      <c r="D60" s="7" t="s">
        <v>597</v>
      </c>
      <c r="E60" s="6" t="s">
        <v>1320</v>
      </c>
      <c r="F60" s="5" t="s">
        <v>5</v>
      </c>
      <c r="G60" s="5" t="str">
        <f>IF(CropLCAs[[#This Row],[fbs_item]]="Insects","insect_ghg","plant_ghg")</f>
        <v>plant_ghg</v>
      </c>
      <c r="H60" s="49" t="s">
        <v>314</v>
      </c>
      <c r="I60" s="49"/>
      <c r="J60" s="49"/>
      <c r="K60" s="5" t="s">
        <v>205</v>
      </c>
      <c r="L60" s="5" t="s">
        <v>609</v>
      </c>
      <c r="M60" s="5" t="s">
        <v>102</v>
      </c>
      <c r="N60" s="5" t="s">
        <v>600</v>
      </c>
      <c r="O60" s="5" t="s">
        <v>109</v>
      </c>
      <c r="P60" s="5" t="s">
        <v>102</v>
      </c>
      <c r="Q60" s="5" t="s">
        <v>102</v>
      </c>
      <c r="R60" s="5" t="s">
        <v>102</v>
      </c>
      <c r="S60" s="5" t="s">
        <v>102</v>
      </c>
      <c r="T60" s="5" t="s">
        <v>102</v>
      </c>
      <c r="U60" s="5">
        <v>100</v>
      </c>
      <c r="V60" s="5">
        <v>1</v>
      </c>
      <c r="W60" s="5" t="s">
        <v>106</v>
      </c>
      <c r="X60" s="24">
        <v>0.39</v>
      </c>
      <c r="Y60" s="5" t="s">
        <v>106</v>
      </c>
      <c r="Z60" s="5"/>
      <c r="AA60" s="5"/>
      <c r="AB60" s="24">
        <v>1</v>
      </c>
      <c r="AC60" s="5"/>
      <c r="AD60" s="5" t="str">
        <f t="shared" si="0"/>
        <v>kg_co2e_excl_luc</v>
      </c>
      <c r="AE60" s="24">
        <f>IF(CropLCAs[[#This Row],[Product fraction]]="",CropLCAs[[#This Row],[CO2e (value)]]*CropLCAs[[#This Row],[Conversion factor (value)]],CropLCAs[[#This Row],[CO2e (value)]]*CropLCAs[[#This Row],[Conversion factor (value)]]/CropLCAs[[#This Row],[Product fraction]]*CropLCAs[[#This Row],[Value fraction]])</f>
        <v>0.39</v>
      </c>
      <c r="AF60" s="5"/>
      <c r="AG60" s="5" t="str">
        <f t="shared" si="1"/>
        <v>processed_ghg</v>
      </c>
      <c r="AH60" s="5"/>
      <c r="AI60" s="5"/>
      <c r="AJ60" s="8" t="str">
        <f>IF(CropLCAs[[#This Row],[product_fraction]]&gt;0,CropLCAs[[#This Row],[footprint]]/CropLCAs[[#This Row],[product_fraction]]*CropLCAs[[#This Row],[value_fraction]],"")</f>
        <v/>
      </c>
      <c r="AK60" s="23">
        <f t="shared" si="4"/>
        <v>8.3333333333333329E-2</v>
      </c>
      <c r="AL60" s="5" t="s">
        <v>109</v>
      </c>
      <c r="AM60" s="5" t="s">
        <v>601</v>
      </c>
      <c r="AN60" s="5"/>
      <c r="AO60" s="5"/>
      <c r="AP60" s="5"/>
      <c r="AQ60" s="5"/>
      <c r="AR60" s="5"/>
      <c r="AS60" s="5"/>
      <c r="AT60" s="5"/>
      <c r="AU60" s="5"/>
    </row>
    <row r="61" spans="1:47" ht="44.1" customHeight="1" x14ac:dyDescent="0.2">
      <c r="A61" s="5" t="s">
        <v>123</v>
      </c>
      <c r="B61" s="5" t="s">
        <v>1438</v>
      </c>
      <c r="C61" s="5">
        <v>2015</v>
      </c>
      <c r="D61" s="7" t="s">
        <v>597</v>
      </c>
      <c r="E61" s="6" t="s">
        <v>1320</v>
      </c>
      <c r="F61" s="5" t="s">
        <v>5</v>
      </c>
      <c r="G61" s="5" t="str">
        <f>IF(CropLCAs[[#This Row],[fbs_item]]="Insects","insect_ghg","plant_ghg")</f>
        <v>plant_ghg</v>
      </c>
      <c r="H61" s="49" t="s">
        <v>314</v>
      </c>
      <c r="I61" s="49"/>
      <c r="J61" s="49"/>
      <c r="K61" s="5" t="s">
        <v>610</v>
      </c>
      <c r="L61" s="5" t="s">
        <v>611</v>
      </c>
      <c r="M61" s="5" t="s">
        <v>102</v>
      </c>
      <c r="N61" s="5" t="s">
        <v>600</v>
      </c>
      <c r="O61" s="5" t="s">
        <v>109</v>
      </c>
      <c r="P61" s="5" t="s">
        <v>102</v>
      </c>
      <c r="Q61" s="5" t="s">
        <v>102</v>
      </c>
      <c r="R61" s="5" t="s">
        <v>102</v>
      </c>
      <c r="S61" s="5" t="s">
        <v>102</v>
      </c>
      <c r="T61" s="5" t="s">
        <v>102</v>
      </c>
      <c r="U61" s="5">
        <v>100</v>
      </c>
      <c r="V61" s="5">
        <v>1</v>
      </c>
      <c r="W61" s="5" t="s">
        <v>106</v>
      </c>
      <c r="X61" s="24">
        <v>0.159</v>
      </c>
      <c r="Y61" s="5" t="s">
        <v>106</v>
      </c>
      <c r="Z61" s="5"/>
      <c r="AA61" s="5"/>
      <c r="AB61" s="24">
        <v>1</v>
      </c>
      <c r="AC61" s="5"/>
      <c r="AD61" s="5" t="str">
        <f t="shared" si="0"/>
        <v>kg_co2e_excl_luc</v>
      </c>
      <c r="AE61" s="24">
        <f>IF(CropLCAs[[#This Row],[Product fraction]]="",CropLCAs[[#This Row],[CO2e (value)]]*CropLCAs[[#This Row],[Conversion factor (value)]],CropLCAs[[#This Row],[CO2e (value)]]*CropLCAs[[#This Row],[Conversion factor (value)]]/CropLCAs[[#This Row],[Product fraction]]*CropLCAs[[#This Row],[Value fraction]])</f>
        <v>0.159</v>
      </c>
      <c r="AF61" s="5"/>
      <c r="AG61" s="5" t="str">
        <f t="shared" si="1"/>
        <v>processed_ghg</v>
      </c>
      <c r="AH61" s="5"/>
      <c r="AI61" s="5"/>
      <c r="AJ61" s="8" t="str">
        <f>IF(CropLCAs[[#This Row],[product_fraction]]&gt;0,CropLCAs[[#This Row],[footprint]]/CropLCAs[[#This Row],[product_fraction]]*CropLCAs[[#This Row],[value_fraction]],"")</f>
        <v/>
      </c>
      <c r="AK61" s="23">
        <f t="shared" si="4"/>
        <v>8.3333333333333329E-2</v>
      </c>
      <c r="AL61" s="5" t="s">
        <v>109</v>
      </c>
      <c r="AM61" s="5" t="s">
        <v>601</v>
      </c>
      <c r="AN61" s="5"/>
      <c r="AO61" s="5"/>
      <c r="AP61" s="5"/>
      <c r="AQ61" s="5"/>
      <c r="AR61" s="5"/>
      <c r="AS61" s="5"/>
      <c r="AT61" s="5"/>
      <c r="AU61" s="5"/>
    </row>
    <row r="62" spans="1:47" ht="44.1" customHeight="1" x14ac:dyDescent="0.2">
      <c r="A62" s="5" t="s">
        <v>123</v>
      </c>
      <c r="B62" s="5" t="s">
        <v>1438</v>
      </c>
      <c r="C62" s="5">
        <v>2015</v>
      </c>
      <c r="D62" s="7" t="s">
        <v>597</v>
      </c>
      <c r="E62" s="6" t="s">
        <v>1320</v>
      </c>
      <c r="F62" s="5" t="s">
        <v>5</v>
      </c>
      <c r="G62" s="5" t="str">
        <f>IF(CropLCAs[[#This Row],[fbs_item]]="Insects","insect_ghg","plant_ghg")</f>
        <v>plant_ghg</v>
      </c>
      <c r="H62" s="49" t="s">
        <v>314</v>
      </c>
      <c r="I62" s="49"/>
      <c r="J62" s="49"/>
      <c r="K62" s="5" t="s">
        <v>610</v>
      </c>
      <c r="L62" s="5" t="s">
        <v>612</v>
      </c>
      <c r="M62" s="5" t="s">
        <v>102</v>
      </c>
      <c r="N62" s="5" t="s">
        <v>600</v>
      </c>
      <c r="O62" s="5" t="s">
        <v>109</v>
      </c>
      <c r="P62" s="5" t="s">
        <v>102</v>
      </c>
      <c r="Q62" s="5" t="s">
        <v>102</v>
      </c>
      <c r="R62" s="5" t="s">
        <v>102</v>
      </c>
      <c r="S62" s="5" t="s">
        <v>102</v>
      </c>
      <c r="T62" s="5" t="s">
        <v>102</v>
      </c>
      <c r="U62" s="5">
        <v>100</v>
      </c>
      <c r="V62" s="5">
        <v>1</v>
      </c>
      <c r="W62" s="5" t="s">
        <v>106</v>
      </c>
      <c r="X62" s="24">
        <v>0.215</v>
      </c>
      <c r="Y62" s="5" t="s">
        <v>106</v>
      </c>
      <c r="Z62" s="5"/>
      <c r="AA62" s="5"/>
      <c r="AB62" s="24">
        <v>1</v>
      </c>
      <c r="AC62" s="5"/>
      <c r="AD62" s="5" t="str">
        <f t="shared" si="0"/>
        <v>kg_co2e_excl_luc</v>
      </c>
      <c r="AE62" s="24">
        <f>IF(CropLCAs[[#This Row],[Product fraction]]="",CropLCAs[[#This Row],[CO2e (value)]]*CropLCAs[[#This Row],[Conversion factor (value)]],CropLCAs[[#This Row],[CO2e (value)]]*CropLCAs[[#This Row],[Conversion factor (value)]]/CropLCAs[[#This Row],[Product fraction]]*CropLCAs[[#This Row],[Value fraction]])</f>
        <v>0.215</v>
      </c>
      <c r="AF62" s="5"/>
      <c r="AG62" s="5" t="str">
        <f t="shared" si="1"/>
        <v>processed_ghg</v>
      </c>
      <c r="AH62" s="5"/>
      <c r="AI62" s="5"/>
      <c r="AJ62" s="8" t="str">
        <f>IF(CropLCAs[[#This Row],[product_fraction]]&gt;0,CropLCAs[[#This Row],[footprint]]/CropLCAs[[#This Row],[product_fraction]]*CropLCAs[[#This Row],[value_fraction]],"")</f>
        <v/>
      </c>
      <c r="AK62" s="23">
        <f t="shared" si="4"/>
        <v>8.3333333333333329E-2</v>
      </c>
      <c r="AL62" s="5" t="s">
        <v>109</v>
      </c>
      <c r="AM62" s="5" t="s">
        <v>601</v>
      </c>
      <c r="AN62" s="5"/>
      <c r="AO62" s="5"/>
      <c r="AP62" s="5"/>
      <c r="AQ62" s="5"/>
      <c r="AR62" s="5"/>
      <c r="AS62" s="5"/>
      <c r="AT62" s="5"/>
      <c r="AU62" s="5"/>
    </row>
    <row r="63" spans="1:47" ht="44.1" customHeight="1" x14ac:dyDescent="0.2">
      <c r="A63" s="5" t="s">
        <v>123</v>
      </c>
      <c r="B63" s="5" t="s">
        <v>1438</v>
      </c>
      <c r="C63" s="5">
        <v>2015</v>
      </c>
      <c r="D63" s="7" t="s">
        <v>597</v>
      </c>
      <c r="E63" s="6" t="s">
        <v>1320</v>
      </c>
      <c r="F63" s="5" t="s">
        <v>5</v>
      </c>
      <c r="G63" s="5" t="str">
        <f>IF(CropLCAs[[#This Row],[fbs_item]]="Insects","insect_ghg","plant_ghg")</f>
        <v>plant_ghg</v>
      </c>
      <c r="H63" s="49" t="s">
        <v>314</v>
      </c>
      <c r="I63" s="49"/>
      <c r="J63" s="49"/>
      <c r="K63" s="5" t="s">
        <v>610</v>
      </c>
      <c r="L63" s="5" t="s">
        <v>613</v>
      </c>
      <c r="M63" s="5" t="s">
        <v>102</v>
      </c>
      <c r="N63" s="5" t="s">
        <v>600</v>
      </c>
      <c r="O63" s="5" t="s">
        <v>109</v>
      </c>
      <c r="P63" s="5" t="s">
        <v>102</v>
      </c>
      <c r="Q63" s="5" t="s">
        <v>102</v>
      </c>
      <c r="R63" s="5" t="s">
        <v>102</v>
      </c>
      <c r="S63" s="5" t="s">
        <v>102</v>
      </c>
      <c r="T63" s="5" t="s">
        <v>102</v>
      </c>
      <c r="U63" s="5">
        <v>100</v>
      </c>
      <c r="V63" s="5">
        <v>1</v>
      </c>
      <c r="W63" s="5" t="s">
        <v>106</v>
      </c>
      <c r="X63" s="24">
        <v>0.26900000000000002</v>
      </c>
      <c r="Y63" s="5" t="s">
        <v>106</v>
      </c>
      <c r="Z63" s="5"/>
      <c r="AA63" s="5"/>
      <c r="AB63" s="24">
        <v>1</v>
      </c>
      <c r="AC63" s="5"/>
      <c r="AD63" s="5" t="str">
        <f t="shared" si="0"/>
        <v>kg_co2e_excl_luc</v>
      </c>
      <c r="AE63" s="24">
        <f>IF(CropLCAs[[#This Row],[Product fraction]]="",CropLCAs[[#This Row],[CO2e (value)]]*CropLCAs[[#This Row],[Conversion factor (value)]],CropLCAs[[#This Row],[CO2e (value)]]*CropLCAs[[#This Row],[Conversion factor (value)]]/CropLCAs[[#This Row],[Product fraction]]*CropLCAs[[#This Row],[Value fraction]])</f>
        <v>0.26900000000000002</v>
      </c>
      <c r="AF63" s="5"/>
      <c r="AG63" s="5" t="str">
        <f t="shared" si="1"/>
        <v>processed_ghg</v>
      </c>
      <c r="AH63" s="5"/>
      <c r="AI63" s="5"/>
      <c r="AJ63" s="8" t="str">
        <f>IF(CropLCAs[[#This Row],[product_fraction]]&gt;0,CropLCAs[[#This Row],[footprint]]/CropLCAs[[#This Row],[product_fraction]]*CropLCAs[[#This Row],[value_fraction]],"")</f>
        <v/>
      </c>
      <c r="AK63" s="23">
        <f t="shared" si="4"/>
        <v>8.3333333333333329E-2</v>
      </c>
      <c r="AL63" s="5" t="s">
        <v>109</v>
      </c>
      <c r="AM63" s="5" t="s">
        <v>601</v>
      </c>
      <c r="AN63" s="5"/>
      <c r="AO63" s="5"/>
      <c r="AP63" s="5"/>
      <c r="AQ63" s="5"/>
      <c r="AR63" s="5"/>
      <c r="AS63" s="5"/>
      <c r="AT63" s="5"/>
      <c r="AU63" s="5"/>
    </row>
    <row r="64" spans="1:47" ht="44.1" customHeight="1" x14ac:dyDescent="0.2">
      <c r="A64" s="5" t="s">
        <v>123</v>
      </c>
      <c r="B64" s="5" t="s">
        <v>1438</v>
      </c>
      <c r="C64" s="5">
        <v>2015</v>
      </c>
      <c r="D64" s="7" t="s">
        <v>597</v>
      </c>
      <c r="E64" s="6" t="s">
        <v>1320</v>
      </c>
      <c r="F64" s="5" t="s">
        <v>5</v>
      </c>
      <c r="G64" s="5" t="str">
        <f>IF(CropLCAs[[#This Row],[fbs_item]]="Insects","insect_ghg","plant_ghg")</f>
        <v>plant_ghg</v>
      </c>
      <c r="H64" s="49" t="s">
        <v>314</v>
      </c>
      <c r="I64" s="49"/>
      <c r="J64" s="49"/>
      <c r="K64" s="5" t="s">
        <v>610</v>
      </c>
      <c r="L64" s="5" t="s">
        <v>614</v>
      </c>
      <c r="M64" s="5" t="s">
        <v>102</v>
      </c>
      <c r="N64" s="5" t="s">
        <v>600</v>
      </c>
      <c r="O64" s="5" t="s">
        <v>109</v>
      </c>
      <c r="P64" s="5" t="s">
        <v>102</v>
      </c>
      <c r="Q64" s="5" t="s">
        <v>102</v>
      </c>
      <c r="R64" s="5" t="s">
        <v>102</v>
      </c>
      <c r="S64" s="5" t="s">
        <v>102</v>
      </c>
      <c r="T64" s="5" t="s">
        <v>102</v>
      </c>
      <c r="U64" s="5">
        <v>100</v>
      </c>
      <c r="V64" s="5">
        <v>1</v>
      </c>
      <c r="W64" s="5" t="s">
        <v>106</v>
      </c>
      <c r="X64" s="24">
        <v>0.33300000000000002</v>
      </c>
      <c r="Y64" s="5" t="s">
        <v>106</v>
      </c>
      <c r="Z64" s="5"/>
      <c r="AA64" s="5"/>
      <c r="AB64" s="24">
        <v>1</v>
      </c>
      <c r="AC64" s="5"/>
      <c r="AD64" s="5" t="str">
        <f t="shared" si="0"/>
        <v>kg_co2e_excl_luc</v>
      </c>
      <c r="AE64" s="24">
        <f>IF(CropLCAs[[#This Row],[Product fraction]]="",CropLCAs[[#This Row],[CO2e (value)]]*CropLCAs[[#This Row],[Conversion factor (value)]],CropLCAs[[#This Row],[CO2e (value)]]*CropLCAs[[#This Row],[Conversion factor (value)]]/CropLCAs[[#This Row],[Product fraction]]*CropLCAs[[#This Row],[Value fraction]])</f>
        <v>0.33300000000000002</v>
      </c>
      <c r="AF64" s="5"/>
      <c r="AG64" s="5" t="str">
        <f t="shared" si="1"/>
        <v>processed_ghg</v>
      </c>
      <c r="AH64" s="5"/>
      <c r="AI64" s="5"/>
      <c r="AJ64" s="8" t="str">
        <f>IF(CropLCAs[[#This Row],[product_fraction]]&gt;0,CropLCAs[[#This Row],[footprint]]/CropLCAs[[#This Row],[product_fraction]]*CropLCAs[[#This Row],[value_fraction]],"")</f>
        <v/>
      </c>
      <c r="AK64" s="23">
        <f t="shared" si="4"/>
        <v>8.3333333333333329E-2</v>
      </c>
      <c r="AL64" s="5" t="s">
        <v>109</v>
      </c>
      <c r="AM64" s="5" t="s">
        <v>601</v>
      </c>
      <c r="AN64" s="5"/>
      <c r="AO64" s="5"/>
      <c r="AP64" s="5"/>
      <c r="AQ64" s="5"/>
      <c r="AR64" s="5"/>
      <c r="AS64" s="5"/>
      <c r="AT64" s="5"/>
      <c r="AU64" s="5"/>
    </row>
    <row r="65" spans="1:47" ht="44.1" customHeight="1" x14ac:dyDescent="0.2">
      <c r="A65" s="17" t="s">
        <v>112</v>
      </c>
      <c r="B65" s="17" t="s">
        <v>844</v>
      </c>
      <c r="C65" s="17"/>
      <c r="D65" s="17" t="s">
        <v>845</v>
      </c>
      <c r="E65" s="19" t="s">
        <v>777</v>
      </c>
      <c r="F65" s="17" t="s">
        <v>13</v>
      </c>
      <c r="G65" s="17" t="str">
        <f>IF(CropLCAs[[#This Row],[fbs_item]]="Insects","insect_ghg","plant_ghg")</f>
        <v>plant_ghg</v>
      </c>
      <c r="H65" s="50" t="s">
        <v>253</v>
      </c>
      <c r="I65" s="50"/>
      <c r="J65" s="50"/>
      <c r="K65" s="17" t="s">
        <v>846</v>
      </c>
      <c r="L65" s="17"/>
      <c r="M65" s="17" t="s">
        <v>102</v>
      </c>
      <c r="N65" s="17" t="s">
        <v>102</v>
      </c>
      <c r="O65" s="17" t="s">
        <v>102</v>
      </c>
      <c r="P65" s="17" t="s">
        <v>102</v>
      </c>
      <c r="Q65" s="17" t="s">
        <v>102</v>
      </c>
      <c r="R65" s="17" t="s">
        <v>109</v>
      </c>
      <c r="S65" s="17" t="s">
        <v>102</v>
      </c>
      <c r="T65" s="17" t="s">
        <v>102</v>
      </c>
      <c r="U65" s="17" t="s">
        <v>126</v>
      </c>
      <c r="V65" s="17">
        <v>1</v>
      </c>
      <c r="W65" s="17" t="s">
        <v>847</v>
      </c>
      <c r="X65" s="30">
        <v>108</v>
      </c>
      <c r="Y65" s="17" t="s">
        <v>106</v>
      </c>
      <c r="Z65" s="17"/>
      <c r="AA65" s="17"/>
      <c r="AB65" s="30">
        <v>1000</v>
      </c>
      <c r="AC65" s="17" t="s">
        <v>848</v>
      </c>
      <c r="AD65" s="17" t="str">
        <f t="shared" si="0"/>
        <v>kg_co2e_excl_luc</v>
      </c>
      <c r="AE65" s="30">
        <f>IF(CropLCAs[[#This Row],[Product fraction]]="",CropLCAs[[#This Row],[CO2e (value)]]*CropLCAs[[#This Row],[Conversion factor (value)]],CropLCAs[[#This Row],[CO2e (value)]]*CropLCAs[[#This Row],[Conversion factor (value)]]/CropLCAs[[#This Row],[Product fraction]]*CropLCAs[[#This Row],[Value fraction]])</f>
        <v>108000</v>
      </c>
      <c r="AF65" s="17" t="s">
        <v>47</v>
      </c>
      <c r="AG65" s="17" t="str">
        <f t="shared" si="1"/>
        <v>processed_ghg</v>
      </c>
      <c r="AH65" s="17">
        <f t="shared" ref="AH65:AH72" si="5">0.06*0.45</f>
        <v>2.7E-2</v>
      </c>
      <c r="AI65" s="17"/>
      <c r="AJ65" s="18">
        <f>IF(CropLCAs[[#This Row],[product_fraction]]&gt;0,CropLCAs[[#This Row],[footprint]]/CropLCAs[[#This Row],[product_fraction]]*CropLCAs[[#This Row],[value_fraction]],"")</f>
        <v>0</v>
      </c>
      <c r="AK65" s="29"/>
      <c r="AL65" s="19" t="s">
        <v>849</v>
      </c>
      <c r="AM65" s="17"/>
      <c r="AN65" s="17"/>
      <c r="AO65" s="17"/>
      <c r="AP65" s="17"/>
      <c r="AQ65" s="5"/>
      <c r="AR65" s="5"/>
      <c r="AS65" s="5"/>
      <c r="AT65" s="5"/>
      <c r="AU65" s="5"/>
    </row>
    <row r="66" spans="1:47" ht="44.1" customHeight="1" x14ac:dyDescent="0.2">
      <c r="A66" s="17" t="s">
        <v>112</v>
      </c>
      <c r="B66" s="17" t="s">
        <v>844</v>
      </c>
      <c r="C66" s="17"/>
      <c r="D66" s="17" t="s">
        <v>845</v>
      </c>
      <c r="E66" s="19" t="s">
        <v>777</v>
      </c>
      <c r="F66" s="17" t="s">
        <v>13</v>
      </c>
      <c r="G66" s="17" t="str">
        <f>IF(CropLCAs[[#This Row],[fbs_item]]="Insects","insect_ghg","plant_ghg")</f>
        <v>plant_ghg</v>
      </c>
      <c r="H66" s="50" t="s">
        <v>253</v>
      </c>
      <c r="I66" s="50"/>
      <c r="J66" s="50"/>
      <c r="K66" s="17" t="s">
        <v>850</v>
      </c>
      <c r="L66" s="17"/>
      <c r="M66" s="17" t="s">
        <v>102</v>
      </c>
      <c r="N66" s="17" t="s">
        <v>102</v>
      </c>
      <c r="O66" s="17" t="s">
        <v>102</v>
      </c>
      <c r="P66" s="17" t="s">
        <v>102</v>
      </c>
      <c r="Q66" s="17" t="s">
        <v>102</v>
      </c>
      <c r="R66" s="17" t="s">
        <v>109</v>
      </c>
      <c r="S66" s="17" t="s">
        <v>102</v>
      </c>
      <c r="T66" s="17" t="s">
        <v>102</v>
      </c>
      <c r="U66" s="17" t="s">
        <v>126</v>
      </c>
      <c r="V66" s="17">
        <v>1</v>
      </c>
      <c r="W66" s="17" t="s">
        <v>847</v>
      </c>
      <c r="X66" s="30">
        <v>136</v>
      </c>
      <c r="Y66" s="17" t="s">
        <v>106</v>
      </c>
      <c r="Z66" s="17"/>
      <c r="AA66" s="17"/>
      <c r="AB66" s="30">
        <v>1000</v>
      </c>
      <c r="AC66" s="17" t="s">
        <v>848</v>
      </c>
      <c r="AD66" s="17" t="str">
        <f t="shared" si="0"/>
        <v>kg_co2e_excl_luc</v>
      </c>
      <c r="AE66" s="30">
        <f>IF(CropLCAs[[#This Row],[Product fraction]]="",CropLCAs[[#This Row],[CO2e (value)]]*CropLCAs[[#This Row],[Conversion factor (value)]],CropLCAs[[#This Row],[CO2e (value)]]*CropLCAs[[#This Row],[Conversion factor (value)]]/CropLCAs[[#This Row],[Product fraction]]*CropLCAs[[#This Row],[Value fraction]])</f>
        <v>136000</v>
      </c>
      <c r="AF66" s="17" t="s">
        <v>47</v>
      </c>
      <c r="AG66" s="17" t="str">
        <f t="shared" si="1"/>
        <v>processed_ghg</v>
      </c>
      <c r="AH66" s="17">
        <f t="shared" si="5"/>
        <v>2.7E-2</v>
      </c>
      <c r="AI66" s="17"/>
      <c r="AJ66" s="18">
        <f>IF(CropLCAs[[#This Row],[product_fraction]]&gt;0,CropLCAs[[#This Row],[footprint]]/CropLCAs[[#This Row],[product_fraction]]*CropLCAs[[#This Row],[value_fraction]],"")</f>
        <v>0</v>
      </c>
      <c r="AK66" s="29"/>
      <c r="AL66" s="19" t="s">
        <v>849</v>
      </c>
      <c r="AM66" s="17"/>
      <c r="AN66" s="17"/>
      <c r="AO66" s="17"/>
      <c r="AP66" s="17"/>
      <c r="AQ66" s="5"/>
      <c r="AR66" s="5"/>
      <c r="AS66" s="5"/>
      <c r="AT66" s="5"/>
      <c r="AU66" s="5"/>
    </row>
    <row r="67" spans="1:47" ht="44.1" customHeight="1" x14ac:dyDescent="0.2">
      <c r="A67" s="17" t="s">
        <v>112</v>
      </c>
      <c r="B67" s="17" t="s">
        <v>844</v>
      </c>
      <c r="C67" s="17"/>
      <c r="D67" s="17" t="s">
        <v>845</v>
      </c>
      <c r="E67" s="19" t="s">
        <v>777</v>
      </c>
      <c r="F67" s="17" t="s">
        <v>13</v>
      </c>
      <c r="G67" s="17" t="str">
        <f>IF(CropLCAs[[#This Row],[fbs_item]]="Insects","insect_ghg","plant_ghg")</f>
        <v>plant_ghg</v>
      </c>
      <c r="H67" s="50" t="s">
        <v>253</v>
      </c>
      <c r="I67" s="50"/>
      <c r="J67" s="50"/>
      <c r="K67" s="17" t="s">
        <v>851</v>
      </c>
      <c r="L67" s="17"/>
      <c r="M67" s="17" t="s">
        <v>102</v>
      </c>
      <c r="N67" s="17" t="s">
        <v>102</v>
      </c>
      <c r="O67" s="17" t="s">
        <v>102</v>
      </c>
      <c r="P67" s="17" t="s">
        <v>102</v>
      </c>
      <c r="Q67" s="17" t="s">
        <v>102</v>
      </c>
      <c r="R67" s="17" t="s">
        <v>109</v>
      </c>
      <c r="S67" s="17" t="s">
        <v>102</v>
      </c>
      <c r="T67" s="17" t="s">
        <v>102</v>
      </c>
      <c r="U67" s="17" t="s">
        <v>126</v>
      </c>
      <c r="V67" s="17">
        <v>1</v>
      </c>
      <c r="W67" s="17" t="s">
        <v>847</v>
      </c>
      <c r="X67" s="30">
        <v>185</v>
      </c>
      <c r="Y67" s="17" t="s">
        <v>106</v>
      </c>
      <c r="Z67" s="17"/>
      <c r="AA67" s="17"/>
      <c r="AB67" s="30">
        <v>1000</v>
      </c>
      <c r="AC67" s="17" t="s">
        <v>848</v>
      </c>
      <c r="AD67" s="17" t="str">
        <f t="shared" si="0"/>
        <v>kg_co2e_excl_luc</v>
      </c>
      <c r="AE67" s="30">
        <f>IF(CropLCAs[[#This Row],[Product fraction]]="",CropLCAs[[#This Row],[CO2e (value)]]*CropLCAs[[#This Row],[Conversion factor (value)]],CropLCAs[[#This Row],[CO2e (value)]]*CropLCAs[[#This Row],[Conversion factor (value)]]/CropLCAs[[#This Row],[Product fraction]]*CropLCAs[[#This Row],[Value fraction]])</f>
        <v>185000</v>
      </c>
      <c r="AF67" s="17" t="s">
        <v>47</v>
      </c>
      <c r="AG67" s="17" t="str">
        <f t="shared" si="1"/>
        <v>processed_ghg</v>
      </c>
      <c r="AH67" s="17">
        <f t="shared" si="5"/>
        <v>2.7E-2</v>
      </c>
      <c r="AI67" s="17"/>
      <c r="AJ67" s="18">
        <f>IF(CropLCAs[[#This Row],[product_fraction]]&gt;0,CropLCAs[[#This Row],[footprint]]/CropLCAs[[#This Row],[product_fraction]]*CropLCAs[[#This Row],[value_fraction]],"")</f>
        <v>0</v>
      </c>
      <c r="AK67" s="29"/>
      <c r="AL67" s="19" t="s">
        <v>849</v>
      </c>
      <c r="AM67" s="17"/>
      <c r="AN67" s="17"/>
      <c r="AO67" s="17"/>
      <c r="AP67" s="17"/>
      <c r="AQ67" s="5"/>
      <c r="AR67" s="5"/>
      <c r="AS67" s="5"/>
      <c r="AT67" s="5"/>
      <c r="AU67" s="5"/>
    </row>
    <row r="68" spans="1:47" ht="44.1" customHeight="1" x14ac:dyDescent="0.2">
      <c r="A68" s="17" t="s">
        <v>112</v>
      </c>
      <c r="B68" s="17" t="s">
        <v>844</v>
      </c>
      <c r="C68" s="17"/>
      <c r="D68" s="17" t="s">
        <v>845</v>
      </c>
      <c r="E68" s="19" t="s">
        <v>777</v>
      </c>
      <c r="F68" s="17" t="s">
        <v>13</v>
      </c>
      <c r="G68" s="17" t="str">
        <f>IF(CropLCAs[[#This Row],[fbs_item]]="Insects","insect_ghg","plant_ghg")</f>
        <v>plant_ghg</v>
      </c>
      <c r="H68" s="50" t="s">
        <v>253</v>
      </c>
      <c r="I68" s="50"/>
      <c r="J68" s="50"/>
      <c r="K68" s="17" t="s">
        <v>852</v>
      </c>
      <c r="L68" s="17"/>
      <c r="M68" s="17" t="s">
        <v>102</v>
      </c>
      <c r="N68" s="17" t="s">
        <v>102</v>
      </c>
      <c r="O68" s="17" t="s">
        <v>102</v>
      </c>
      <c r="P68" s="17" t="s">
        <v>102</v>
      </c>
      <c r="Q68" s="17" t="s">
        <v>102</v>
      </c>
      <c r="R68" s="17" t="s">
        <v>109</v>
      </c>
      <c r="S68" s="17" t="s">
        <v>102</v>
      </c>
      <c r="T68" s="17" t="s">
        <v>102</v>
      </c>
      <c r="U68" s="17" t="s">
        <v>126</v>
      </c>
      <c r="V68" s="17">
        <v>1</v>
      </c>
      <c r="W68" s="17" t="s">
        <v>847</v>
      </c>
      <c r="X68" s="30">
        <v>46</v>
      </c>
      <c r="Y68" s="17" t="s">
        <v>106</v>
      </c>
      <c r="Z68" s="17"/>
      <c r="AA68" s="17"/>
      <c r="AB68" s="30">
        <v>1000</v>
      </c>
      <c r="AC68" s="17" t="s">
        <v>848</v>
      </c>
      <c r="AD68" s="17" t="str">
        <f t="shared" si="0"/>
        <v>kg_co2e_excl_luc</v>
      </c>
      <c r="AE68" s="30">
        <f>IF(CropLCAs[[#This Row],[Product fraction]]="",CropLCAs[[#This Row],[CO2e (value)]]*CropLCAs[[#This Row],[Conversion factor (value)]],CropLCAs[[#This Row],[CO2e (value)]]*CropLCAs[[#This Row],[Conversion factor (value)]]/CropLCAs[[#This Row],[Product fraction]]*CropLCAs[[#This Row],[Value fraction]])</f>
        <v>46000</v>
      </c>
      <c r="AF68" s="17" t="s">
        <v>47</v>
      </c>
      <c r="AG68" s="17" t="str">
        <f t="shared" si="1"/>
        <v>processed_ghg</v>
      </c>
      <c r="AH68" s="17">
        <f t="shared" si="5"/>
        <v>2.7E-2</v>
      </c>
      <c r="AI68" s="17"/>
      <c r="AJ68" s="18">
        <f>IF(CropLCAs[[#This Row],[product_fraction]]&gt;0,CropLCAs[[#This Row],[footprint]]/CropLCAs[[#This Row],[product_fraction]]*CropLCAs[[#This Row],[value_fraction]],"")</f>
        <v>0</v>
      </c>
      <c r="AK68" s="29"/>
      <c r="AL68" s="19" t="s">
        <v>849</v>
      </c>
      <c r="AM68" s="17"/>
      <c r="AN68" s="17"/>
      <c r="AO68" s="17"/>
      <c r="AP68" s="17"/>
      <c r="AQ68" s="5"/>
      <c r="AR68" s="5"/>
      <c r="AS68" s="5"/>
      <c r="AT68" s="5"/>
      <c r="AU68" s="5"/>
    </row>
    <row r="69" spans="1:47" ht="44.1" customHeight="1" x14ac:dyDescent="0.2">
      <c r="A69" s="17" t="s">
        <v>112</v>
      </c>
      <c r="B69" s="17" t="s">
        <v>844</v>
      </c>
      <c r="C69" s="17"/>
      <c r="D69" s="17" t="s">
        <v>845</v>
      </c>
      <c r="E69" s="19" t="s">
        <v>777</v>
      </c>
      <c r="F69" s="17" t="s">
        <v>13</v>
      </c>
      <c r="G69" s="17" t="str">
        <f>IF(CropLCAs[[#This Row],[fbs_item]]="Insects","insect_ghg","plant_ghg")</f>
        <v>plant_ghg</v>
      </c>
      <c r="H69" s="50" t="s">
        <v>253</v>
      </c>
      <c r="I69" s="50"/>
      <c r="J69" s="50"/>
      <c r="K69" s="17" t="s">
        <v>853</v>
      </c>
      <c r="L69" s="17"/>
      <c r="M69" s="17" t="s">
        <v>102</v>
      </c>
      <c r="N69" s="17" t="s">
        <v>102</v>
      </c>
      <c r="O69" s="17" t="s">
        <v>102</v>
      </c>
      <c r="P69" s="17" t="s">
        <v>102</v>
      </c>
      <c r="Q69" s="17" t="s">
        <v>102</v>
      </c>
      <c r="R69" s="17" t="s">
        <v>109</v>
      </c>
      <c r="S69" s="17" t="s">
        <v>102</v>
      </c>
      <c r="T69" s="17" t="s">
        <v>102</v>
      </c>
      <c r="U69" s="17" t="s">
        <v>126</v>
      </c>
      <c r="V69" s="17">
        <v>1</v>
      </c>
      <c r="W69" s="17" t="s">
        <v>847</v>
      </c>
      <c r="X69" s="30">
        <v>-47</v>
      </c>
      <c r="Y69" s="17" t="s">
        <v>106</v>
      </c>
      <c r="Z69" s="17"/>
      <c r="AA69" s="17"/>
      <c r="AB69" s="30">
        <v>1000</v>
      </c>
      <c r="AC69" s="17" t="s">
        <v>848</v>
      </c>
      <c r="AD69" s="17" t="str">
        <f t="shared" ref="AD69:AD132" si="6">"kg_co2e_excl_luc"</f>
        <v>kg_co2e_excl_luc</v>
      </c>
      <c r="AE69" s="30">
        <f>IF(CropLCAs[[#This Row],[Product fraction]]="",CropLCAs[[#This Row],[CO2e (value)]]*CropLCAs[[#This Row],[Conversion factor (value)]],CropLCAs[[#This Row],[CO2e (value)]]*CropLCAs[[#This Row],[Conversion factor (value)]]/CropLCAs[[#This Row],[Product fraction]]*CropLCAs[[#This Row],[Value fraction]])</f>
        <v>-47000</v>
      </c>
      <c r="AF69" s="17" t="s">
        <v>47</v>
      </c>
      <c r="AG69" s="17" t="str">
        <f t="shared" ref="AG69:AG132" si="7">"processed_ghg"</f>
        <v>processed_ghg</v>
      </c>
      <c r="AH69" s="17">
        <f t="shared" si="5"/>
        <v>2.7E-2</v>
      </c>
      <c r="AI69" s="17"/>
      <c r="AJ69" s="18">
        <f>IF(CropLCAs[[#This Row],[product_fraction]]&gt;0,CropLCAs[[#This Row],[footprint]]/CropLCAs[[#This Row],[product_fraction]]*CropLCAs[[#This Row],[value_fraction]],"")</f>
        <v>0</v>
      </c>
      <c r="AK69" s="29"/>
      <c r="AL69" s="19" t="s">
        <v>849</v>
      </c>
      <c r="AM69" s="17"/>
      <c r="AN69" s="17"/>
      <c r="AO69" s="17"/>
      <c r="AP69" s="17"/>
      <c r="AQ69" s="5"/>
      <c r="AR69" s="5"/>
      <c r="AS69" s="5"/>
      <c r="AT69" s="5"/>
      <c r="AU69" s="5"/>
    </row>
    <row r="70" spans="1:47" ht="44.1" customHeight="1" x14ac:dyDescent="0.2">
      <c r="A70" s="17" t="s">
        <v>112</v>
      </c>
      <c r="B70" s="17" t="s">
        <v>844</v>
      </c>
      <c r="C70" s="17"/>
      <c r="D70" s="17" t="s">
        <v>845</v>
      </c>
      <c r="E70" s="19" t="s">
        <v>777</v>
      </c>
      <c r="F70" s="17" t="s">
        <v>13</v>
      </c>
      <c r="G70" s="17" t="str">
        <f>IF(CropLCAs[[#This Row],[fbs_item]]="Insects","insect_ghg","plant_ghg")</f>
        <v>plant_ghg</v>
      </c>
      <c r="H70" s="50" t="s">
        <v>253</v>
      </c>
      <c r="I70" s="50"/>
      <c r="J70" s="50"/>
      <c r="K70" s="17" t="s">
        <v>854</v>
      </c>
      <c r="L70" s="17"/>
      <c r="M70" s="17" t="s">
        <v>102</v>
      </c>
      <c r="N70" s="17" t="s">
        <v>102</v>
      </c>
      <c r="O70" s="17" t="s">
        <v>102</v>
      </c>
      <c r="P70" s="17" t="s">
        <v>102</v>
      </c>
      <c r="Q70" s="17" t="s">
        <v>102</v>
      </c>
      <c r="R70" s="17" t="s">
        <v>109</v>
      </c>
      <c r="S70" s="17" t="s">
        <v>102</v>
      </c>
      <c r="T70" s="17" t="s">
        <v>102</v>
      </c>
      <c r="U70" s="17" t="s">
        <v>126</v>
      </c>
      <c r="V70" s="17">
        <v>1</v>
      </c>
      <c r="W70" s="17" t="s">
        <v>847</v>
      </c>
      <c r="X70" s="30">
        <v>19</v>
      </c>
      <c r="Y70" s="17" t="s">
        <v>106</v>
      </c>
      <c r="Z70" s="17"/>
      <c r="AA70" s="17"/>
      <c r="AB70" s="30">
        <v>1000</v>
      </c>
      <c r="AC70" s="17" t="s">
        <v>848</v>
      </c>
      <c r="AD70" s="17" t="str">
        <f t="shared" si="6"/>
        <v>kg_co2e_excl_luc</v>
      </c>
      <c r="AE70" s="30">
        <f>IF(CropLCAs[[#This Row],[Product fraction]]="",CropLCAs[[#This Row],[CO2e (value)]]*CropLCAs[[#This Row],[Conversion factor (value)]],CropLCAs[[#This Row],[CO2e (value)]]*CropLCAs[[#This Row],[Conversion factor (value)]]/CropLCAs[[#This Row],[Product fraction]]*CropLCAs[[#This Row],[Value fraction]])</f>
        <v>19000</v>
      </c>
      <c r="AF70" s="17" t="s">
        <v>47</v>
      </c>
      <c r="AG70" s="17" t="str">
        <f t="shared" si="7"/>
        <v>processed_ghg</v>
      </c>
      <c r="AH70" s="17">
        <f t="shared" si="5"/>
        <v>2.7E-2</v>
      </c>
      <c r="AI70" s="17"/>
      <c r="AJ70" s="18">
        <f>IF(CropLCAs[[#This Row],[product_fraction]]&gt;0,CropLCAs[[#This Row],[footprint]]/CropLCAs[[#This Row],[product_fraction]]*CropLCAs[[#This Row],[value_fraction]],"")</f>
        <v>0</v>
      </c>
      <c r="AK70" s="29"/>
      <c r="AL70" s="19" t="s">
        <v>849</v>
      </c>
      <c r="AM70" s="17"/>
      <c r="AN70" s="17"/>
      <c r="AO70" s="17"/>
      <c r="AP70" s="17"/>
      <c r="AQ70" s="5"/>
      <c r="AR70" s="5"/>
      <c r="AS70" s="5"/>
      <c r="AT70" s="5"/>
      <c r="AU70" s="5"/>
    </row>
    <row r="71" spans="1:47" ht="44.1" customHeight="1" x14ac:dyDescent="0.2">
      <c r="A71" s="17" t="s">
        <v>112</v>
      </c>
      <c r="B71" s="17" t="s">
        <v>844</v>
      </c>
      <c r="C71" s="17"/>
      <c r="D71" s="17" t="s">
        <v>845</v>
      </c>
      <c r="E71" s="19" t="s">
        <v>777</v>
      </c>
      <c r="F71" s="17" t="s">
        <v>13</v>
      </c>
      <c r="G71" s="17" t="str">
        <f>IF(CropLCAs[[#This Row],[fbs_item]]="Insects","insect_ghg","plant_ghg")</f>
        <v>plant_ghg</v>
      </c>
      <c r="H71" s="50" t="s">
        <v>253</v>
      </c>
      <c r="I71" s="50"/>
      <c r="J71" s="50"/>
      <c r="K71" s="17" t="s">
        <v>855</v>
      </c>
      <c r="L71" s="17"/>
      <c r="M71" s="17" t="s">
        <v>102</v>
      </c>
      <c r="N71" s="17" t="s">
        <v>102</v>
      </c>
      <c r="O71" s="17" t="s">
        <v>102</v>
      </c>
      <c r="P71" s="17" t="s">
        <v>102</v>
      </c>
      <c r="Q71" s="17" t="s">
        <v>102</v>
      </c>
      <c r="R71" s="17" t="s">
        <v>109</v>
      </c>
      <c r="S71" s="17" t="s">
        <v>102</v>
      </c>
      <c r="T71" s="17" t="s">
        <v>102</v>
      </c>
      <c r="U71" s="17" t="s">
        <v>126</v>
      </c>
      <c r="V71" s="17">
        <v>1</v>
      </c>
      <c r="W71" s="17" t="s">
        <v>847</v>
      </c>
      <c r="X71" s="30">
        <v>6</v>
      </c>
      <c r="Y71" s="17" t="s">
        <v>106</v>
      </c>
      <c r="Z71" s="17"/>
      <c r="AA71" s="17"/>
      <c r="AB71" s="30">
        <v>1000</v>
      </c>
      <c r="AC71" s="17" t="s">
        <v>848</v>
      </c>
      <c r="AD71" s="17" t="str">
        <f t="shared" si="6"/>
        <v>kg_co2e_excl_luc</v>
      </c>
      <c r="AE71" s="30">
        <f>IF(CropLCAs[[#This Row],[Product fraction]]="",CropLCAs[[#This Row],[CO2e (value)]]*CropLCAs[[#This Row],[Conversion factor (value)]],CropLCAs[[#This Row],[CO2e (value)]]*CropLCAs[[#This Row],[Conversion factor (value)]]/CropLCAs[[#This Row],[Product fraction]]*CropLCAs[[#This Row],[Value fraction]])</f>
        <v>6000</v>
      </c>
      <c r="AF71" s="17" t="s">
        <v>47</v>
      </c>
      <c r="AG71" s="17" t="str">
        <f t="shared" si="7"/>
        <v>processed_ghg</v>
      </c>
      <c r="AH71" s="17">
        <f t="shared" si="5"/>
        <v>2.7E-2</v>
      </c>
      <c r="AI71" s="17"/>
      <c r="AJ71" s="18">
        <f>IF(CropLCAs[[#This Row],[product_fraction]]&gt;0,CropLCAs[[#This Row],[footprint]]/CropLCAs[[#This Row],[product_fraction]]*CropLCAs[[#This Row],[value_fraction]],"")</f>
        <v>0</v>
      </c>
      <c r="AK71" s="29"/>
      <c r="AL71" s="19" t="s">
        <v>849</v>
      </c>
      <c r="AM71" s="17"/>
      <c r="AN71" s="17"/>
      <c r="AO71" s="17"/>
      <c r="AP71" s="17"/>
      <c r="AQ71" s="5"/>
      <c r="AR71" s="5"/>
      <c r="AS71" s="5"/>
      <c r="AT71" s="5"/>
      <c r="AU71" s="5"/>
    </row>
    <row r="72" spans="1:47" ht="44.1" customHeight="1" x14ac:dyDescent="0.2">
      <c r="A72" s="17" t="s">
        <v>112</v>
      </c>
      <c r="B72" s="17" t="s">
        <v>844</v>
      </c>
      <c r="C72" s="17"/>
      <c r="D72" s="17" t="s">
        <v>845</v>
      </c>
      <c r="E72" s="19" t="s">
        <v>777</v>
      </c>
      <c r="F72" s="17" t="s">
        <v>13</v>
      </c>
      <c r="G72" s="17" t="str">
        <f>IF(CropLCAs[[#This Row],[fbs_item]]="Insects","insect_ghg","plant_ghg")</f>
        <v>plant_ghg</v>
      </c>
      <c r="H72" s="50" t="s">
        <v>253</v>
      </c>
      <c r="I72" s="50"/>
      <c r="J72" s="50"/>
      <c r="K72" s="17" t="s">
        <v>856</v>
      </c>
      <c r="L72" s="17"/>
      <c r="M72" s="17" t="s">
        <v>102</v>
      </c>
      <c r="N72" s="17" t="s">
        <v>102</v>
      </c>
      <c r="O72" s="17" t="s">
        <v>102</v>
      </c>
      <c r="P72" s="17" t="s">
        <v>102</v>
      </c>
      <c r="Q72" s="17" t="s">
        <v>102</v>
      </c>
      <c r="R72" s="17" t="s">
        <v>109</v>
      </c>
      <c r="S72" s="17" t="s">
        <v>102</v>
      </c>
      <c r="T72" s="17" t="s">
        <v>102</v>
      </c>
      <c r="U72" s="17" t="s">
        <v>126</v>
      </c>
      <c r="V72" s="17">
        <v>1</v>
      </c>
      <c r="W72" s="17" t="s">
        <v>847</v>
      </c>
      <c r="X72" s="30">
        <v>113</v>
      </c>
      <c r="Y72" s="17" t="s">
        <v>106</v>
      </c>
      <c r="Z72" s="17"/>
      <c r="AA72" s="17"/>
      <c r="AB72" s="30">
        <v>1000</v>
      </c>
      <c r="AC72" s="17" t="s">
        <v>848</v>
      </c>
      <c r="AD72" s="17" t="str">
        <f t="shared" si="6"/>
        <v>kg_co2e_excl_luc</v>
      </c>
      <c r="AE72" s="30">
        <f>IF(CropLCAs[[#This Row],[Product fraction]]="",CropLCAs[[#This Row],[CO2e (value)]]*CropLCAs[[#This Row],[Conversion factor (value)]],CropLCAs[[#This Row],[CO2e (value)]]*CropLCAs[[#This Row],[Conversion factor (value)]]/CropLCAs[[#This Row],[Product fraction]]*CropLCAs[[#This Row],[Value fraction]])</f>
        <v>113000</v>
      </c>
      <c r="AF72" s="17" t="s">
        <v>47</v>
      </c>
      <c r="AG72" s="17" t="str">
        <f t="shared" si="7"/>
        <v>processed_ghg</v>
      </c>
      <c r="AH72" s="17">
        <f t="shared" si="5"/>
        <v>2.7E-2</v>
      </c>
      <c r="AI72" s="17"/>
      <c r="AJ72" s="18">
        <f>IF(CropLCAs[[#This Row],[product_fraction]]&gt;0,CropLCAs[[#This Row],[footprint]]/CropLCAs[[#This Row],[product_fraction]]*CropLCAs[[#This Row],[value_fraction]],"")</f>
        <v>0</v>
      </c>
      <c r="AK72" s="29"/>
      <c r="AL72" s="19" t="s">
        <v>849</v>
      </c>
      <c r="AM72" s="17"/>
      <c r="AN72" s="17"/>
      <c r="AO72" s="17"/>
      <c r="AP72" s="17"/>
      <c r="AQ72" s="5"/>
      <c r="AR72" s="5"/>
      <c r="AS72" s="5"/>
      <c r="AT72" s="5"/>
      <c r="AU72" s="5"/>
    </row>
    <row r="73" spans="1:47" ht="44.1" customHeight="1" x14ac:dyDescent="0.2">
      <c r="A73" s="5" t="s">
        <v>99</v>
      </c>
      <c r="B73" s="5" t="s">
        <v>1439</v>
      </c>
      <c r="C73" s="5">
        <v>2012</v>
      </c>
      <c r="D73" s="10" t="s">
        <v>118</v>
      </c>
      <c r="E73" s="6" t="s">
        <v>119</v>
      </c>
      <c r="F73" s="5" t="s">
        <v>30</v>
      </c>
      <c r="G73" s="5" t="str">
        <f>IF(CropLCAs[[#This Row],[fbs_item]]="Insects","insect_ghg","plant_ghg")</f>
        <v>plant_ghg</v>
      </c>
      <c r="H73" s="49" t="s">
        <v>120</v>
      </c>
      <c r="I73" s="49"/>
      <c r="J73" s="49"/>
      <c r="K73" s="5" t="s">
        <v>111</v>
      </c>
      <c r="L73" s="5"/>
      <c r="M73" s="5" t="s">
        <v>102</v>
      </c>
      <c r="N73" s="5" t="s">
        <v>102</v>
      </c>
      <c r="O73" s="5" t="s">
        <v>109</v>
      </c>
      <c r="P73" s="5" t="s">
        <v>102</v>
      </c>
      <c r="Q73" s="5" t="s">
        <v>102</v>
      </c>
      <c r="R73" s="5" t="s">
        <v>121</v>
      </c>
      <c r="S73" s="5" t="s">
        <v>102</v>
      </c>
      <c r="T73" s="5" t="s">
        <v>102</v>
      </c>
      <c r="U73" s="5">
        <v>100</v>
      </c>
      <c r="V73" s="5">
        <v>1</v>
      </c>
      <c r="W73" s="5" t="s">
        <v>106</v>
      </c>
      <c r="X73" s="24">
        <v>0.26900000000000002</v>
      </c>
      <c r="Y73" s="5" t="s">
        <v>106</v>
      </c>
      <c r="Z73" s="5"/>
      <c r="AA73" s="5"/>
      <c r="AB73" s="24">
        <v>1</v>
      </c>
      <c r="AC73" s="5"/>
      <c r="AD73" s="5" t="str">
        <f t="shared" si="6"/>
        <v>kg_co2e_excl_luc</v>
      </c>
      <c r="AE73" s="24">
        <f>IF(CropLCAs[[#This Row],[Product fraction]]="",CropLCAs[[#This Row],[CO2e (value)]]*CropLCAs[[#This Row],[Conversion factor (value)]],CropLCAs[[#This Row],[CO2e (value)]]*CropLCAs[[#This Row],[Conversion factor (value)]]/CropLCAs[[#This Row],[Product fraction]]*CropLCAs[[#This Row],[Value fraction]])</f>
        <v>0.26900000000000002</v>
      </c>
      <c r="AF73" s="5"/>
      <c r="AG73" s="5" t="str">
        <f t="shared" si="7"/>
        <v>processed_ghg</v>
      </c>
      <c r="AH73" s="5"/>
      <c r="AI73" s="5"/>
      <c r="AJ73" s="8" t="str">
        <f>IF(CropLCAs[[#This Row],[product_fraction]]&gt;0,CropLCAs[[#This Row],[footprint]]/CropLCAs[[#This Row],[product_fraction]]*CropLCAs[[#This Row],[value_fraction]],"")</f>
        <v/>
      </c>
      <c r="AK73" s="23">
        <v>1</v>
      </c>
      <c r="AL73" s="5" t="s">
        <v>109</v>
      </c>
      <c r="AM73" s="5" t="s">
        <v>122</v>
      </c>
      <c r="AN73" s="5"/>
      <c r="AO73" s="5"/>
      <c r="AP73" s="5"/>
      <c r="AQ73" s="5"/>
      <c r="AR73" s="5"/>
      <c r="AS73" s="5"/>
      <c r="AT73" s="5"/>
      <c r="AU73" s="5"/>
    </row>
    <row r="74" spans="1:47" ht="44.1" customHeight="1" x14ac:dyDescent="0.2">
      <c r="A74" s="5" t="s">
        <v>99</v>
      </c>
      <c r="B74" s="5" t="s">
        <v>1439</v>
      </c>
      <c r="C74" s="5">
        <v>2012</v>
      </c>
      <c r="D74" s="10" t="s">
        <v>118</v>
      </c>
      <c r="E74" s="6" t="s">
        <v>563</v>
      </c>
      <c r="F74" s="5" t="s">
        <v>3</v>
      </c>
      <c r="G74" s="5" t="str">
        <f>IF(CropLCAs[[#This Row],[fbs_item]]="Insects","insect_ghg","plant_ghg")</f>
        <v>plant_ghg</v>
      </c>
      <c r="H74" s="49" t="s">
        <v>120</v>
      </c>
      <c r="I74" s="49"/>
      <c r="J74" s="49"/>
      <c r="K74" s="5" t="s">
        <v>111</v>
      </c>
      <c r="L74" s="5"/>
      <c r="M74" s="5" t="s">
        <v>102</v>
      </c>
      <c r="N74" s="5" t="s">
        <v>102</v>
      </c>
      <c r="O74" s="5" t="s">
        <v>109</v>
      </c>
      <c r="P74" s="5" t="s">
        <v>102</v>
      </c>
      <c r="Q74" s="5" t="s">
        <v>102</v>
      </c>
      <c r="R74" s="5" t="s">
        <v>121</v>
      </c>
      <c r="S74" s="5" t="s">
        <v>102</v>
      </c>
      <c r="T74" s="5" t="s">
        <v>102</v>
      </c>
      <c r="U74" s="5">
        <v>100</v>
      </c>
      <c r="V74" s="5">
        <v>1</v>
      </c>
      <c r="W74" s="5" t="s">
        <v>106</v>
      </c>
      <c r="X74" s="24">
        <v>0.65500000000000003</v>
      </c>
      <c r="Y74" s="14" t="s">
        <v>106</v>
      </c>
      <c r="Z74" s="5"/>
      <c r="AA74" s="5"/>
      <c r="AB74" s="24">
        <v>1</v>
      </c>
      <c r="AC74" s="5"/>
      <c r="AD74" s="5" t="str">
        <f t="shared" si="6"/>
        <v>kg_co2e_excl_luc</v>
      </c>
      <c r="AE74" s="24">
        <f>IF(CropLCAs[[#This Row],[Product fraction]]="",CropLCAs[[#This Row],[CO2e (value)]]*CropLCAs[[#This Row],[Conversion factor (value)]],CropLCAs[[#This Row],[CO2e (value)]]*CropLCAs[[#This Row],[Conversion factor (value)]]/CropLCAs[[#This Row],[Product fraction]]*CropLCAs[[#This Row],[Value fraction]])</f>
        <v>0.65500000000000003</v>
      </c>
      <c r="AF74" s="5"/>
      <c r="AG74" s="5" t="str">
        <f t="shared" si="7"/>
        <v>processed_ghg</v>
      </c>
      <c r="AH74" s="5"/>
      <c r="AI74" s="5"/>
      <c r="AJ74" s="8" t="str">
        <f>IF(CropLCAs[[#This Row],[product_fraction]]&gt;0,CropLCAs[[#This Row],[footprint]]/CropLCAs[[#This Row],[product_fraction]]*CropLCAs[[#This Row],[value_fraction]],"")</f>
        <v/>
      </c>
      <c r="AK74" s="23">
        <v>1</v>
      </c>
      <c r="AL74" s="5" t="s">
        <v>109</v>
      </c>
      <c r="AM74" s="5" t="s">
        <v>122</v>
      </c>
      <c r="AN74" s="5"/>
      <c r="AO74" s="5"/>
      <c r="AP74" s="5"/>
      <c r="AQ74" s="5"/>
      <c r="AR74" s="5"/>
      <c r="AS74" s="5"/>
      <c r="AT74" s="5"/>
      <c r="AU74" s="5"/>
    </row>
    <row r="75" spans="1:47" ht="44.1" customHeight="1" x14ac:dyDescent="0.2">
      <c r="A75" s="5" t="s">
        <v>99</v>
      </c>
      <c r="B75" s="5" t="s">
        <v>1439</v>
      </c>
      <c r="C75" s="5">
        <v>2012</v>
      </c>
      <c r="D75" s="10" t="s">
        <v>118</v>
      </c>
      <c r="E75" s="6" t="s">
        <v>212</v>
      </c>
      <c r="F75" s="5" t="s">
        <v>31</v>
      </c>
      <c r="G75" s="5" t="str">
        <f>IF(CropLCAs[[#This Row],[fbs_item]]="Insects","insect_ghg","plant_ghg")</f>
        <v>plant_ghg</v>
      </c>
      <c r="H75" s="49" t="s">
        <v>120</v>
      </c>
      <c r="I75" s="49"/>
      <c r="J75" s="49"/>
      <c r="K75" s="5" t="s">
        <v>111</v>
      </c>
      <c r="L75" s="5"/>
      <c r="M75" s="5" t="s">
        <v>102</v>
      </c>
      <c r="N75" s="5" t="s">
        <v>102</v>
      </c>
      <c r="O75" s="5" t="s">
        <v>109</v>
      </c>
      <c r="P75" s="5" t="s">
        <v>102</v>
      </c>
      <c r="Q75" s="5" t="s">
        <v>102</v>
      </c>
      <c r="R75" s="5" t="s">
        <v>121</v>
      </c>
      <c r="S75" s="5" t="s">
        <v>102</v>
      </c>
      <c r="T75" s="5" t="s">
        <v>102</v>
      </c>
      <c r="U75" s="5">
        <v>100</v>
      </c>
      <c r="V75" s="5">
        <v>1</v>
      </c>
      <c r="W75" s="5" t="s">
        <v>106</v>
      </c>
      <c r="X75" s="24">
        <v>0.36099999999999999</v>
      </c>
      <c r="Y75" s="5" t="s">
        <v>106</v>
      </c>
      <c r="Z75" s="5"/>
      <c r="AA75" s="5"/>
      <c r="AB75" s="24">
        <v>1</v>
      </c>
      <c r="AC75" s="5"/>
      <c r="AD75" s="5" t="str">
        <f t="shared" si="6"/>
        <v>kg_co2e_excl_luc</v>
      </c>
      <c r="AE75" s="24">
        <f>IF(CropLCAs[[#This Row],[Product fraction]]="",CropLCAs[[#This Row],[CO2e (value)]]*CropLCAs[[#This Row],[Conversion factor (value)]],CropLCAs[[#This Row],[CO2e (value)]]*CropLCAs[[#This Row],[Conversion factor (value)]]/CropLCAs[[#This Row],[Product fraction]]*CropLCAs[[#This Row],[Value fraction]])</f>
        <v>0.36099999999999999</v>
      </c>
      <c r="AF75" s="5"/>
      <c r="AG75" s="5" t="str">
        <f t="shared" si="7"/>
        <v>processed_ghg</v>
      </c>
      <c r="AH75" s="5"/>
      <c r="AI75" s="5"/>
      <c r="AJ75" s="8" t="str">
        <f>IF(CropLCAs[[#This Row],[product_fraction]]&gt;0,CropLCAs[[#This Row],[footprint]]/CropLCAs[[#This Row],[product_fraction]]*CropLCAs[[#This Row],[value_fraction]],"")</f>
        <v/>
      </c>
      <c r="AK75" s="23">
        <v>1</v>
      </c>
      <c r="AL75" s="5" t="s">
        <v>109</v>
      </c>
      <c r="AM75" s="5" t="s">
        <v>122</v>
      </c>
      <c r="AN75" s="5"/>
      <c r="AO75" s="5"/>
      <c r="AP75" s="5"/>
      <c r="AQ75" s="5"/>
      <c r="AR75" s="5"/>
      <c r="AS75" s="5"/>
      <c r="AT75" s="5"/>
      <c r="AU75" s="5"/>
    </row>
    <row r="76" spans="1:47" ht="44.1" customHeight="1" x14ac:dyDescent="0.2">
      <c r="A76" s="5" t="s">
        <v>99</v>
      </c>
      <c r="B76" s="5" t="s">
        <v>1439</v>
      </c>
      <c r="C76" s="5">
        <v>2012</v>
      </c>
      <c r="D76" s="10" t="s">
        <v>118</v>
      </c>
      <c r="E76" s="6" t="s">
        <v>284</v>
      </c>
      <c r="F76" s="5" t="s">
        <v>13</v>
      </c>
      <c r="G76" s="5" t="str">
        <f>IF(CropLCAs[[#This Row],[fbs_item]]="Insects","insect_ghg","plant_ghg")</f>
        <v>plant_ghg</v>
      </c>
      <c r="H76" s="49" t="s">
        <v>120</v>
      </c>
      <c r="I76" s="49"/>
      <c r="J76" s="49"/>
      <c r="K76" s="5" t="s">
        <v>111</v>
      </c>
      <c r="L76" s="5"/>
      <c r="M76" s="5" t="s">
        <v>102</v>
      </c>
      <c r="N76" s="5" t="s">
        <v>102</v>
      </c>
      <c r="O76" s="5" t="s">
        <v>109</v>
      </c>
      <c r="P76" s="5" t="s">
        <v>102</v>
      </c>
      <c r="Q76" s="5" t="s">
        <v>102</v>
      </c>
      <c r="R76" s="5" t="s">
        <v>121</v>
      </c>
      <c r="S76" s="5" t="s">
        <v>102</v>
      </c>
      <c r="T76" s="5" t="s">
        <v>102</v>
      </c>
      <c r="U76" s="5">
        <v>100</v>
      </c>
      <c r="V76" s="5">
        <v>1</v>
      </c>
      <c r="W76" s="5" t="s">
        <v>106</v>
      </c>
      <c r="X76" s="24">
        <v>0.46700000000000003</v>
      </c>
      <c r="Y76" s="5" t="s">
        <v>106</v>
      </c>
      <c r="Z76" s="5"/>
      <c r="AA76" s="5"/>
      <c r="AB76" s="24">
        <v>1</v>
      </c>
      <c r="AC76" s="5"/>
      <c r="AD76" s="5" t="str">
        <f t="shared" si="6"/>
        <v>kg_co2e_excl_luc</v>
      </c>
      <c r="AE76" s="24">
        <f>IF(CropLCAs[[#This Row],[Product fraction]]="",CropLCAs[[#This Row],[CO2e (value)]]*CropLCAs[[#This Row],[Conversion factor (value)]],CropLCAs[[#This Row],[CO2e (value)]]*CropLCAs[[#This Row],[Conversion factor (value)]]/CropLCAs[[#This Row],[Product fraction]]*CropLCAs[[#This Row],[Value fraction]])</f>
        <v>0.46700000000000003</v>
      </c>
      <c r="AF76" s="5" t="s">
        <v>47</v>
      </c>
      <c r="AG76" s="5" t="str">
        <f t="shared" si="7"/>
        <v>processed_ghg</v>
      </c>
      <c r="AH76" s="5">
        <f>0.06*0.45</f>
        <v>2.7E-2</v>
      </c>
      <c r="AI76" s="5">
        <v>0.06</v>
      </c>
      <c r="AJ76" s="8">
        <f>IF(CropLCAs[[#This Row],[product_fraction]]&gt;0,CropLCAs[[#This Row],[footprint]]/CropLCAs[[#This Row],[product_fraction]]*CropLCAs[[#This Row],[value_fraction]],"")</f>
        <v>1.0377777777777779</v>
      </c>
      <c r="AK76" s="23">
        <v>1</v>
      </c>
      <c r="AL76" s="5" t="s">
        <v>109</v>
      </c>
      <c r="AM76" s="5" t="s">
        <v>122</v>
      </c>
      <c r="AN76" s="5"/>
      <c r="AO76" s="5"/>
      <c r="AP76" s="5"/>
      <c r="AQ76" s="5"/>
      <c r="AR76" s="5"/>
      <c r="AS76" s="5"/>
      <c r="AT76" s="5"/>
      <c r="AU76" s="5"/>
    </row>
    <row r="77" spans="1:47" ht="44.1" customHeight="1" x14ac:dyDescent="0.2">
      <c r="A77" s="5" t="s">
        <v>99</v>
      </c>
      <c r="B77" s="5" t="s">
        <v>1439</v>
      </c>
      <c r="C77" s="5">
        <v>2012</v>
      </c>
      <c r="D77" s="10" t="s">
        <v>118</v>
      </c>
      <c r="E77" s="6" t="s">
        <v>348</v>
      </c>
      <c r="F77" s="5" t="s">
        <v>27</v>
      </c>
      <c r="G77" s="5" t="str">
        <f>IF(CropLCAs[[#This Row],[fbs_item]]="Insects","insect_ghg","plant_ghg")</f>
        <v>plant_ghg</v>
      </c>
      <c r="H77" s="49" t="s">
        <v>120</v>
      </c>
      <c r="I77" s="49"/>
      <c r="J77" s="49"/>
      <c r="K77" s="5" t="s">
        <v>111</v>
      </c>
      <c r="L77" s="5"/>
      <c r="M77" s="5" t="s">
        <v>102</v>
      </c>
      <c r="N77" s="5" t="s">
        <v>102</v>
      </c>
      <c r="O77" s="5" t="s">
        <v>109</v>
      </c>
      <c r="P77" s="5" t="s">
        <v>102</v>
      </c>
      <c r="Q77" s="5" t="s">
        <v>102</v>
      </c>
      <c r="R77" s="5" t="s">
        <v>121</v>
      </c>
      <c r="S77" s="5" t="s">
        <v>102</v>
      </c>
      <c r="T77" s="5" t="s">
        <v>102</v>
      </c>
      <c r="U77" s="5">
        <v>100</v>
      </c>
      <c r="V77" s="5">
        <v>1</v>
      </c>
      <c r="W77" s="5" t="s">
        <v>106</v>
      </c>
      <c r="X77" s="24">
        <v>0.50700000000000001</v>
      </c>
      <c r="Y77" s="5" t="s">
        <v>106</v>
      </c>
      <c r="Z77" s="5"/>
      <c r="AA77" s="5"/>
      <c r="AB77" s="24">
        <v>1</v>
      </c>
      <c r="AC77" s="5"/>
      <c r="AD77" s="5" t="str">
        <f t="shared" si="6"/>
        <v>kg_co2e_excl_luc</v>
      </c>
      <c r="AE77" s="24">
        <f>IF(CropLCAs[[#This Row],[Product fraction]]="",CropLCAs[[#This Row],[CO2e (value)]]*CropLCAs[[#This Row],[Conversion factor (value)]],CropLCAs[[#This Row],[CO2e (value)]]*CropLCAs[[#This Row],[Conversion factor (value)]]/CropLCAs[[#This Row],[Product fraction]]*CropLCAs[[#This Row],[Value fraction]])</f>
        <v>0.50700000000000001</v>
      </c>
      <c r="AF77" s="5"/>
      <c r="AG77" s="5" t="str">
        <f t="shared" si="7"/>
        <v>processed_ghg</v>
      </c>
      <c r="AH77" s="5"/>
      <c r="AI77" s="5"/>
      <c r="AJ77" s="8" t="str">
        <f>IF(CropLCAs[[#This Row],[product_fraction]]&gt;0,CropLCAs[[#This Row],[footprint]]/CropLCAs[[#This Row],[product_fraction]]*CropLCAs[[#This Row],[value_fraction]],"")</f>
        <v/>
      </c>
      <c r="AK77" s="23">
        <v>1</v>
      </c>
      <c r="AL77" s="5" t="s">
        <v>109</v>
      </c>
      <c r="AM77" s="5" t="s">
        <v>122</v>
      </c>
      <c r="AN77" s="5"/>
      <c r="AO77" s="5"/>
      <c r="AP77" s="5"/>
      <c r="AQ77" s="5"/>
      <c r="AR77" s="5"/>
      <c r="AS77" s="5"/>
      <c r="AT77" s="5"/>
      <c r="AU77" s="5"/>
    </row>
    <row r="78" spans="1:47" ht="44.1" customHeight="1" x14ac:dyDescent="0.2">
      <c r="A78" s="5" t="s">
        <v>99</v>
      </c>
      <c r="B78" s="5" t="s">
        <v>1439</v>
      </c>
      <c r="C78" s="5">
        <v>2012</v>
      </c>
      <c r="D78" s="10" t="s">
        <v>118</v>
      </c>
      <c r="E78" s="6" t="s">
        <v>213</v>
      </c>
      <c r="F78" s="5" t="s">
        <v>31</v>
      </c>
      <c r="G78" s="5" t="str">
        <f>IF(CropLCAs[[#This Row],[fbs_item]]="Insects","insect_ghg","plant_ghg")</f>
        <v>plant_ghg</v>
      </c>
      <c r="H78" s="49" t="s">
        <v>120</v>
      </c>
      <c r="I78" s="49"/>
      <c r="J78" s="49"/>
      <c r="K78" s="5" t="s">
        <v>111</v>
      </c>
      <c r="L78" s="5"/>
      <c r="M78" s="5" t="s">
        <v>102</v>
      </c>
      <c r="N78" s="5" t="s">
        <v>102</v>
      </c>
      <c r="O78" s="5" t="s">
        <v>109</v>
      </c>
      <c r="P78" s="5" t="s">
        <v>102</v>
      </c>
      <c r="Q78" s="5" t="s">
        <v>102</v>
      </c>
      <c r="R78" s="5" t="s">
        <v>121</v>
      </c>
      <c r="S78" s="5" t="s">
        <v>102</v>
      </c>
      <c r="T78" s="5" t="s">
        <v>102</v>
      </c>
      <c r="U78" s="5">
        <v>100</v>
      </c>
      <c r="V78" s="5">
        <v>1</v>
      </c>
      <c r="W78" s="5" t="s">
        <v>106</v>
      </c>
      <c r="X78" s="24">
        <v>0.41599999999999998</v>
      </c>
      <c r="Y78" s="5" t="s">
        <v>106</v>
      </c>
      <c r="Z78" s="5"/>
      <c r="AA78" s="5"/>
      <c r="AB78" s="24">
        <v>1</v>
      </c>
      <c r="AC78" s="5"/>
      <c r="AD78" s="5" t="str">
        <f t="shared" si="6"/>
        <v>kg_co2e_excl_luc</v>
      </c>
      <c r="AE78" s="24">
        <f>IF(CropLCAs[[#This Row],[Product fraction]]="",CropLCAs[[#This Row],[CO2e (value)]]*CropLCAs[[#This Row],[Conversion factor (value)]],CropLCAs[[#This Row],[CO2e (value)]]*CropLCAs[[#This Row],[Conversion factor (value)]]/CropLCAs[[#This Row],[Product fraction]]*CropLCAs[[#This Row],[Value fraction]])</f>
        <v>0.41599999999999998</v>
      </c>
      <c r="AF78" s="5"/>
      <c r="AG78" s="5" t="str">
        <f t="shared" si="7"/>
        <v>processed_ghg</v>
      </c>
      <c r="AH78" s="5"/>
      <c r="AI78" s="5"/>
      <c r="AJ78" s="8" t="str">
        <f>IF(CropLCAs[[#This Row],[product_fraction]]&gt;0,CropLCAs[[#This Row],[footprint]]/CropLCAs[[#This Row],[product_fraction]]*CropLCAs[[#This Row],[value_fraction]],"")</f>
        <v/>
      </c>
      <c r="AK78" s="23">
        <v>1</v>
      </c>
      <c r="AL78" s="5" t="s">
        <v>109</v>
      </c>
      <c r="AM78" s="5" t="s">
        <v>122</v>
      </c>
      <c r="AN78" s="5"/>
      <c r="AO78" s="5"/>
      <c r="AP78" s="5"/>
      <c r="AQ78" s="5"/>
      <c r="AR78" s="5"/>
      <c r="AS78" s="5"/>
      <c r="AT78" s="5"/>
      <c r="AU78" s="5"/>
    </row>
    <row r="79" spans="1:47" ht="44.1" customHeight="1" x14ac:dyDescent="0.2">
      <c r="A79" s="5" t="s">
        <v>99</v>
      </c>
      <c r="B79" s="5" t="s">
        <v>1439</v>
      </c>
      <c r="C79" s="5">
        <v>2012</v>
      </c>
      <c r="D79" s="10" t="s">
        <v>118</v>
      </c>
      <c r="E79" s="6" t="s">
        <v>376</v>
      </c>
      <c r="F79" s="5" t="s">
        <v>16</v>
      </c>
      <c r="G79" s="5" t="str">
        <f>IF(CropLCAs[[#This Row],[fbs_item]]="Insects","insect_ghg","plant_ghg")</f>
        <v>plant_ghg</v>
      </c>
      <c r="H79" s="49" t="s">
        <v>120</v>
      </c>
      <c r="I79" s="49"/>
      <c r="J79" s="49"/>
      <c r="K79" s="5" t="s">
        <v>111</v>
      </c>
      <c r="L79" s="5"/>
      <c r="M79" s="5" t="s">
        <v>102</v>
      </c>
      <c r="N79" s="5" t="s">
        <v>102</v>
      </c>
      <c r="O79" s="5" t="s">
        <v>109</v>
      </c>
      <c r="P79" s="5" t="s">
        <v>102</v>
      </c>
      <c r="Q79" s="5" t="s">
        <v>102</v>
      </c>
      <c r="R79" s="5" t="s">
        <v>121</v>
      </c>
      <c r="S79" s="5" t="s">
        <v>102</v>
      </c>
      <c r="T79" s="5" t="s">
        <v>102</v>
      </c>
      <c r="U79" s="5">
        <v>100</v>
      </c>
      <c r="V79" s="5">
        <v>1</v>
      </c>
      <c r="W79" s="5" t="s">
        <v>106</v>
      </c>
      <c r="X79" s="24">
        <v>0.442</v>
      </c>
      <c r="Y79" s="5" t="s">
        <v>106</v>
      </c>
      <c r="Z79" s="5"/>
      <c r="AA79" s="5"/>
      <c r="AB79" s="24">
        <v>1</v>
      </c>
      <c r="AC79" s="5"/>
      <c r="AD79" s="5" t="str">
        <f t="shared" si="6"/>
        <v>kg_co2e_excl_luc</v>
      </c>
      <c r="AE79" s="24">
        <f>IF(CropLCAs[[#This Row],[Product fraction]]="",CropLCAs[[#This Row],[CO2e (value)]]*CropLCAs[[#This Row],[Conversion factor (value)]],CropLCAs[[#This Row],[CO2e (value)]]*CropLCAs[[#This Row],[Conversion factor (value)]]/CropLCAs[[#This Row],[Product fraction]]*CropLCAs[[#This Row],[Value fraction]])</f>
        <v>0.442</v>
      </c>
      <c r="AF79" s="5"/>
      <c r="AG79" s="5" t="str">
        <f t="shared" si="7"/>
        <v>processed_ghg</v>
      </c>
      <c r="AH79" s="5"/>
      <c r="AI79" s="5"/>
      <c r="AJ79" s="8" t="str">
        <f>IF(CropLCAs[[#This Row],[product_fraction]]&gt;0,CropLCAs[[#This Row],[footprint]]/CropLCAs[[#This Row],[product_fraction]]*CropLCAs[[#This Row],[value_fraction]],"")</f>
        <v/>
      </c>
      <c r="AK79" s="23">
        <v>1</v>
      </c>
      <c r="AL79" s="5" t="s">
        <v>109</v>
      </c>
      <c r="AM79" s="5" t="s">
        <v>122</v>
      </c>
      <c r="AN79" s="5"/>
      <c r="AO79" s="5"/>
      <c r="AP79" s="5"/>
      <c r="AQ79" s="5"/>
      <c r="AR79" s="5"/>
      <c r="AS79" s="5"/>
      <c r="AT79" s="5"/>
      <c r="AU79" s="5"/>
    </row>
    <row r="80" spans="1:47" ht="44.1" customHeight="1" x14ac:dyDescent="0.2">
      <c r="A80" s="5" t="s">
        <v>99</v>
      </c>
      <c r="B80" s="5" t="s">
        <v>1439</v>
      </c>
      <c r="C80" s="5">
        <v>2012</v>
      </c>
      <c r="D80" s="10" t="s">
        <v>118</v>
      </c>
      <c r="E80" s="6" t="s">
        <v>214</v>
      </c>
      <c r="F80" s="5" t="s">
        <v>31</v>
      </c>
      <c r="G80" s="5" t="str">
        <f>IF(CropLCAs[[#This Row],[fbs_item]]="Insects","insect_ghg","plant_ghg")</f>
        <v>plant_ghg</v>
      </c>
      <c r="H80" s="49" t="s">
        <v>120</v>
      </c>
      <c r="I80" s="49"/>
      <c r="J80" s="49"/>
      <c r="K80" s="5" t="s">
        <v>111</v>
      </c>
      <c r="L80" s="5"/>
      <c r="M80" s="5" t="s">
        <v>102</v>
      </c>
      <c r="N80" s="5" t="s">
        <v>102</v>
      </c>
      <c r="O80" s="5" t="s">
        <v>109</v>
      </c>
      <c r="P80" s="5" t="s">
        <v>102</v>
      </c>
      <c r="Q80" s="5" t="s">
        <v>102</v>
      </c>
      <c r="R80" s="5" t="s">
        <v>121</v>
      </c>
      <c r="S80" s="5" t="s">
        <v>102</v>
      </c>
      <c r="T80" s="5" t="s">
        <v>102</v>
      </c>
      <c r="U80" s="5">
        <v>100</v>
      </c>
      <c r="V80" s="5">
        <v>1</v>
      </c>
      <c r="W80" s="5" t="s">
        <v>106</v>
      </c>
      <c r="X80" s="24">
        <v>0.20399999999999999</v>
      </c>
      <c r="Y80" s="5" t="s">
        <v>106</v>
      </c>
      <c r="Z80" s="5"/>
      <c r="AA80" s="5"/>
      <c r="AB80" s="24">
        <v>1</v>
      </c>
      <c r="AC80" s="5"/>
      <c r="AD80" s="5" t="str">
        <f t="shared" si="6"/>
        <v>kg_co2e_excl_luc</v>
      </c>
      <c r="AE80" s="24">
        <f>IF(CropLCAs[[#This Row],[Product fraction]]="",CropLCAs[[#This Row],[CO2e (value)]]*CropLCAs[[#This Row],[Conversion factor (value)]],CropLCAs[[#This Row],[CO2e (value)]]*CropLCAs[[#This Row],[Conversion factor (value)]]/CropLCAs[[#This Row],[Product fraction]]*CropLCAs[[#This Row],[Value fraction]])</f>
        <v>0.20399999999999999</v>
      </c>
      <c r="AF80" s="5"/>
      <c r="AG80" s="5" t="str">
        <f t="shared" si="7"/>
        <v>processed_ghg</v>
      </c>
      <c r="AH80" s="5"/>
      <c r="AI80" s="5"/>
      <c r="AJ80" s="8" t="str">
        <f>IF(CropLCAs[[#This Row],[product_fraction]]&gt;0,CropLCAs[[#This Row],[footprint]]/CropLCAs[[#This Row],[product_fraction]]*CropLCAs[[#This Row],[value_fraction]],"")</f>
        <v/>
      </c>
      <c r="AK80" s="23">
        <v>1</v>
      </c>
      <c r="AL80" s="5" t="s">
        <v>109</v>
      </c>
      <c r="AM80" s="5" t="s">
        <v>122</v>
      </c>
      <c r="AN80" s="5"/>
      <c r="AO80" s="5"/>
      <c r="AP80" s="5"/>
      <c r="AQ80" s="5"/>
      <c r="AR80" s="5"/>
      <c r="AS80" s="5"/>
      <c r="AT80" s="5"/>
      <c r="AU80" s="5"/>
    </row>
    <row r="81" spans="1:47" ht="44.1" customHeight="1" x14ac:dyDescent="0.2">
      <c r="A81" s="5" t="s">
        <v>123</v>
      </c>
      <c r="B81" s="5" t="s">
        <v>1440</v>
      </c>
      <c r="C81" s="5">
        <v>2010</v>
      </c>
      <c r="D81" s="7" t="s">
        <v>616</v>
      </c>
      <c r="E81" s="6" t="s">
        <v>1321</v>
      </c>
      <c r="F81" s="5" t="s">
        <v>5</v>
      </c>
      <c r="G81" s="5" t="str">
        <f>IF(CropLCAs[[#This Row],[fbs_item]]="Insects","insect_ghg","plant_ghg")</f>
        <v>plant_ghg</v>
      </c>
      <c r="H81" s="49" t="s">
        <v>1296</v>
      </c>
      <c r="I81" s="49"/>
      <c r="J81" s="49"/>
      <c r="K81" s="5" t="s">
        <v>778</v>
      </c>
      <c r="L81" s="5" t="s">
        <v>619</v>
      </c>
      <c r="M81" s="5" t="s">
        <v>102</v>
      </c>
      <c r="N81" s="5" t="s">
        <v>102</v>
      </c>
      <c r="O81" s="5" t="s">
        <v>109</v>
      </c>
      <c r="P81" s="5" t="s">
        <v>102</v>
      </c>
      <c r="Q81" s="5" t="s">
        <v>102</v>
      </c>
      <c r="R81" s="5" t="s">
        <v>164</v>
      </c>
      <c r="S81" s="5" t="s">
        <v>102</v>
      </c>
      <c r="T81" s="5" t="s">
        <v>109</v>
      </c>
      <c r="U81" s="5">
        <v>100</v>
      </c>
      <c r="V81" s="5">
        <v>1</v>
      </c>
      <c r="W81" s="5" t="s">
        <v>165</v>
      </c>
      <c r="X81" s="24">
        <v>552</v>
      </c>
      <c r="Y81" s="5" t="s">
        <v>106</v>
      </c>
      <c r="Z81" s="5"/>
      <c r="AA81" s="5"/>
      <c r="AB81" s="24">
        <v>1E-3</v>
      </c>
      <c r="AC81" s="5" t="s">
        <v>274</v>
      </c>
      <c r="AD81" s="5" t="str">
        <f t="shared" si="6"/>
        <v>kg_co2e_excl_luc</v>
      </c>
      <c r="AE81" s="24">
        <f>IF(CropLCAs[[#This Row],[Product fraction]]="",CropLCAs[[#This Row],[CO2e (value)]]*CropLCAs[[#This Row],[Conversion factor (value)]],CropLCAs[[#This Row],[CO2e (value)]]*CropLCAs[[#This Row],[Conversion factor (value)]]/CropLCAs[[#This Row],[Product fraction]]*CropLCAs[[#This Row],[Value fraction]])</f>
        <v>0.55200000000000005</v>
      </c>
      <c r="AF81" s="5"/>
      <c r="AG81" s="5" t="str">
        <f t="shared" si="7"/>
        <v>processed_ghg</v>
      </c>
      <c r="AH81" s="5"/>
      <c r="AI81" s="5"/>
      <c r="AJ81" s="8" t="str">
        <f>IF(CropLCAs[[#This Row],[product_fraction]]&gt;0,CropLCAs[[#This Row],[footprint]]/CropLCAs[[#This Row],[product_fraction]]*CropLCAs[[#This Row],[value_fraction]],"")</f>
        <v/>
      </c>
      <c r="AK81" s="23">
        <f t="shared" ref="AK81:AK107" si="8">1/27</f>
        <v>3.7037037037037035E-2</v>
      </c>
      <c r="AL81" s="5" t="s">
        <v>109</v>
      </c>
      <c r="AM81" s="5" t="s">
        <v>620</v>
      </c>
      <c r="AN81" s="5"/>
      <c r="AO81" s="5"/>
      <c r="AP81" s="5"/>
      <c r="AQ81" s="5"/>
      <c r="AR81" s="5"/>
      <c r="AS81" s="5"/>
      <c r="AT81" s="5"/>
      <c r="AU81" s="5"/>
    </row>
    <row r="82" spans="1:47" ht="44.1" customHeight="1" x14ac:dyDescent="0.2">
      <c r="A82" s="5" t="s">
        <v>123</v>
      </c>
      <c r="B82" s="5" t="s">
        <v>1440</v>
      </c>
      <c r="C82" s="5">
        <v>2010</v>
      </c>
      <c r="D82" s="7" t="s">
        <v>616</v>
      </c>
      <c r="E82" s="6" t="s">
        <v>1321</v>
      </c>
      <c r="F82" s="5" t="s">
        <v>5</v>
      </c>
      <c r="G82" s="5" t="str">
        <f>IF(CropLCAs[[#This Row],[fbs_item]]="Insects","insect_ghg","plant_ghg")</f>
        <v>plant_ghg</v>
      </c>
      <c r="H82" s="49" t="s">
        <v>1296</v>
      </c>
      <c r="I82" s="49"/>
      <c r="J82" s="49"/>
      <c r="K82" s="5" t="s">
        <v>778</v>
      </c>
      <c r="L82" s="5" t="s">
        <v>621</v>
      </c>
      <c r="M82" s="5" t="s">
        <v>102</v>
      </c>
      <c r="N82" s="5" t="s">
        <v>102</v>
      </c>
      <c r="O82" s="5" t="s">
        <v>109</v>
      </c>
      <c r="P82" s="5" t="s">
        <v>102</v>
      </c>
      <c r="Q82" s="5" t="s">
        <v>102</v>
      </c>
      <c r="R82" s="5" t="s">
        <v>164</v>
      </c>
      <c r="S82" s="5" t="s">
        <v>102</v>
      </c>
      <c r="T82" s="5" t="s">
        <v>109</v>
      </c>
      <c r="U82" s="5">
        <v>100</v>
      </c>
      <c r="V82" s="5">
        <v>1</v>
      </c>
      <c r="W82" s="5" t="s">
        <v>165</v>
      </c>
      <c r="X82" s="24">
        <v>551</v>
      </c>
      <c r="Y82" s="5" t="s">
        <v>106</v>
      </c>
      <c r="Z82" s="5"/>
      <c r="AA82" s="5"/>
      <c r="AB82" s="24">
        <v>1E-3</v>
      </c>
      <c r="AC82" s="5" t="s">
        <v>274</v>
      </c>
      <c r="AD82" s="5" t="str">
        <f t="shared" si="6"/>
        <v>kg_co2e_excl_luc</v>
      </c>
      <c r="AE82" s="24">
        <f>IF(CropLCAs[[#This Row],[Product fraction]]="",CropLCAs[[#This Row],[CO2e (value)]]*CropLCAs[[#This Row],[Conversion factor (value)]],CropLCAs[[#This Row],[CO2e (value)]]*CropLCAs[[#This Row],[Conversion factor (value)]]/CropLCAs[[#This Row],[Product fraction]]*CropLCAs[[#This Row],[Value fraction]])</f>
        <v>0.55100000000000005</v>
      </c>
      <c r="AF82" s="5"/>
      <c r="AG82" s="5" t="str">
        <f t="shared" si="7"/>
        <v>processed_ghg</v>
      </c>
      <c r="AH82" s="5"/>
      <c r="AI82" s="5"/>
      <c r="AJ82" s="8" t="str">
        <f>IF(CropLCAs[[#This Row],[product_fraction]]&gt;0,CropLCAs[[#This Row],[footprint]]/CropLCAs[[#This Row],[product_fraction]]*CropLCAs[[#This Row],[value_fraction]],"")</f>
        <v/>
      </c>
      <c r="AK82" s="23">
        <f t="shared" si="8"/>
        <v>3.7037037037037035E-2</v>
      </c>
      <c r="AL82" s="5" t="s">
        <v>109</v>
      </c>
      <c r="AM82" s="5" t="s">
        <v>620</v>
      </c>
      <c r="AN82" s="5"/>
      <c r="AO82" s="5"/>
      <c r="AP82" s="5"/>
      <c r="AQ82" s="5"/>
      <c r="AR82" s="5"/>
      <c r="AS82" s="5"/>
      <c r="AT82" s="5"/>
      <c r="AU82" s="5"/>
    </row>
    <row r="83" spans="1:47" ht="44.1" customHeight="1" x14ac:dyDescent="0.2">
      <c r="A83" s="5" t="s">
        <v>123</v>
      </c>
      <c r="B83" s="5" t="s">
        <v>1440</v>
      </c>
      <c r="C83" s="5">
        <v>2010</v>
      </c>
      <c r="D83" s="7" t="s">
        <v>616</v>
      </c>
      <c r="E83" s="6" t="s">
        <v>1321</v>
      </c>
      <c r="F83" s="5" t="s">
        <v>5</v>
      </c>
      <c r="G83" s="5" t="str">
        <f>IF(CropLCAs[[#This Row],[fbs_item]]="Insects","insect_ghg","plant_ghg")</f>
        <v>plant_ghg</v>
      </c>
      <c r="H83" s="49" t="s">
        <v>1296</v>
      </c>
      <c r="I83" s="49"/>
      <c r="J83" s="49"/>
      <c r="K83" s="5" t="s">
        <v>778</v>
      </c>
      <c r="L83" s="5" t="s">
        <v>622</v>
      </c>
      <c r="M83" s="5" t="s">
        <v>102</v>
      </c>
      <c r="N83" s="5" t="s">
        <v>102</v>
      </c>
      <c r="O83" s="5" t="s">
        <v>109</v>
      </c>
      <c r="P83" s="5" t="s">
        <v>102</v>
      </c>
      <c r="Q83" s="5" t="s">
        <v>102</v>
      </c>
      <c r="R83" s="5" t="s">
        <v>164</v>
      </c>
      <c r="S83" s="5" t="s">
        <v>102</v>
      </c>
      <c r="T83" s="5" t="s">
        <v>109</v>
      </c>
      <c r="U83" s="5">
        <v>100</v>
      </c>
      <c r="V83" s="5">
        <v>1</v>
      </c>
      <c r="W83" s="5" t="s">
        <v>165</v>
      </c>
      <c r="X83" s="24">
        <v>332</v>
      </c>
      <c r="Y83" s="5" t="s">
        <v>106</v>
      </c>
      <c r="Z83" s="5"/>
      <c r="AA83" s="5"/>
      <c r="AB83" s="24">
        <v>1E-3</v>
      </c>
      <c r="AC83" s="5" t="s">
        <v>274</v>
      </c>
      <c r="AD83" s="5" t="str">
        <f t="shared" si="6"/>
        <v>kg_co2e_excl_luc</v>
      </c>
      <c r="AE83" s="24">
        <f>IF(CropLCAs[[#This Row],[Product fraction]]="",CropLCAs[[#This Row],[CO2e (value)]]*CropLCAs[[#This Row],[Conversion factor (value)]],CropLCAs[[#This Row],[CO2e (value)]]*CropLCAs[[#This Row],[Conversion factor (value)]]/CropLCAs[[#This Row],[Product fraction]]*CropLCAs[[#This Row],[Value fraction]])</f>
        <v>0.33200000000000002</v>
      </c>
      <c r="AF83" s="5"/>
      <c r="AG83" s="5" t="str">
        <f t="shared" si="7"/>
        <v>processed_ghg</v>
      </c>
      <c r="AH83" s="5"/>
      <c r="AI83" s="5"/>
      <c r="AJ83" s="8" t="str">
        <f>IF(CropLCAs[[#This Row],[product_fraction]]&gt;0,CropLCAs[[#This Row],[footprint]]/CropLCAs[[#This Row],[product_fraction]]*CropLCAs[[#This Row],[value_fraction]],"")</f>
        <v/>
      </c>
      <c r="AK83" s="23">
        <f t="shared" si="8"/>
        <v>3.7037037037037035E-2</v>
      </c>
      <c r="AL83" s="5" t="s">
        <v>109</v>
      </c>
      <c r="AM83" s="5" t="s">
        <v>620</v>
      </c>
      <c r="AN83" s="5"/>
      <c r="AO83" s="5"/>
      <c r="AP83" s="5"/>
      <c r="AQ83" s="5"/>
      <c r="AR83" s="5"/>
      <c r="AS83" s="5"/>
      <c r="AT83" s="5"/>
      <c r="AU83" s="5"/>
    </row>
    <row r="84" spans="1:47" ht="44.1" customHeight="1" x14ac:dyDescent="0.2">
      <c r="A84" s="5" t="s">
        <v>123</v>
      </c>
      <c r="B84" s="5" t="s">
        <v>1440</v>
      </c>
      <c r="C84" s="5">
        <v>2010</v>
      </c>
      <c r="D84" s="7" t="s">
        <v>616</v>
      </c>
      <c r="E84" s="6" t="s">
        <v>1321</v>
      </c>
      <c r="F84" s="5" t="s">
        <v>5</v>
      </c>
      <c r="G84" s="5" t="str">
        <f>IF(CropLCAs[[#This Row],[fbs_item]]="Insects","insect_ghg","plant_ghg")</f>
        <v>plant_ghg</v>
      </c>
      <c r="H84" s="49" t="s">
        <v>1296</v>
      </c>
      <c r="I84" s="49"/>
      <c r="J84" s="49"/>
      <c r="K84" s="5" t="s">
        <v>778</v>
      </c>
      <c r="L84" s="5" t="s">
        <v>623</v>
      </c>
      <c r="M84" s="5" t="s">
        <v>102</v>
      </c>
      <c r="N84" s="5" t="s">
        <v>102</v>
      </c>
      <c r="O84" s="5" t="s">
        <v>109</v>
      </c>
      <c r="P84" s="5" t="s">
        <v>102</v>
      </c>
      <c r="Q84" s="5" t="s">
        <v>102</v>
      </c>
      <c r="R84" s="5" t="s">
        <v>164</v>
      </c>
      <c r="S84" s="5" t="s">
        <v>102</v>
      </c>
      <c r="T84" s="5" t="s">
        <v>109</v>
      </c>
      <c r="U84" s="5">
        <v>100</v>
      </c>
      <c r="V84" s="5">
        <v>1</v>
      </c>
      <c r="W84" s="5" t="s">
        <v>165</v>
      </c>
      <c r="X84" s="24">
        <v>392</v>
      </c>
      <c r="Y84" s="5" t="s">
        <v>106</v>
      </c>
      <c r="Z84" s="5"/>
      <c r="AA84" s="5"/>
      <c r="AB84" s="24">
        <v>1E-3</v>
      </c>
      <c r="AC84" s="5" t="s">
        <v>274</v>
      </c>
      <c r="AD84" s="5" t="str">
        <f t="shared" si="6"/>
        <v>kg_co2e_excl_luc</v>
      </c>
      <c r="AE84" s="24">
        <f>IF(CropLCAs[[#This Row],[Product fraction]]="",CropLCAs[[#This Row],[CO2e (value)]]*CropLCAs[[#This Row],[Conversion factor (value)]],CropLCAs[[#This Row],[CO2e (value)]]*CropLCAs[[#This Row],[Conversion factor (value)]]/CropLCAs[[#This Row],[Product fraction]]*CropLCAs[[#This Row],[Value fraction]])</f>
        <v>0.39200000000000002</v>
      </c>
      <c r="AF84" s="5"/>
      <c r="AG84" s="5" t="str">
        <f t="shared" si="7"/>
        <v>processed_ghg</v>
      </c>
      <c r="AH84" s="5"/>
      <c r="AI84" s="5"/>
      <c r="AJ84" s="8" t="str">
        <f>IF(CropLCAs[[#This Row],[product_fraction]]&gt;0,CropLCAs[[#This Row],[footprint]]/CropLCAs[[#This Row],[product_fraction]]*CropLCAs[[#This Row],[value_fraction]],"")</f>
        <v/>
      </c>
      <c r="AK84" s="23">
        <f t="shared" si="8"/>
        <v>3.7037037037037035E-2</v>
      </c>
      <c r="AL84" s="5" t="s">
        <v>109</v>
      </c>
      <c r="AM84" s="5" t="s">
        <v>620</v>
      </c>
      <c r="AN84" s="5"/>
      <c r="AO84" s="5"/>
      <c r="AP84" s="5"/>
      <c r="AQ84" s="5"/>
      <c r="AR84" s="5"/>
      <c r="AS84" s="5"/>
      <c r="AT84" s="5"/>
      <c r="AU84" s="5"/>
    </row>
    <row r="85" spans="1:47" ht="44.1" customHeight="1" x14ac:dyDescent="0.2">
      <c r="A85" s="5" t="s">
        <v>123</v>
      </c>
      <c r="B85" s="5" t="s">
        <v>1440</v>
      </c>
      <c r="C85" s="5">
        <v>2010</v>
      </c>
      <c r="D85" s="7" t="s">
        <v>616</v>
      </c>
      <c r="E85" s="6" t="s">
        <v>1321</v>
      </c>
      <c r="F85" s="5" t="s">
        <v>5</v>
      </c>
      <c r="G85" s="5" t="str">
        <f>IF(CropLCAs[[#This Row],[fbs_item]]="Insects","insect_ghg","plant_ghg")</f>
        <v>plant_ghg</v>
      </c>
      <c r="H85" s="49" t="s">
        <v>1296</v>
      </c>
      <c r="I85" s="49"/>
      <c r="J85" s="49"/>
      <c r="K85" s="5" t="s">
        <v>778</v>
      </c>
      <c r="L85" s="5" t="s">
        <v>624</v>
      </c>
      <c r="M85" s="5" t="s">
        <v>102</v>
      </c>
      <c r="N85" s="5" t="s">
        <v>102</v>
      </c>
      <c r="O85" s="5" t="s">
        <v>109</v>
      </c>
      <c r="P85" s="5" t="s">
        <v>102</v>
      </c>
      <c r="Q85" s="5" t="s">
        <v>102</v>
      </c>
      <c r="R85" s="5" t="s">
        <v>164</v>
      </c>
      <c r="S85" s="5" t="s">
        <v>102</v>
      </c>
      <c r="T85" s="5" t="s">
        <v>109</v>
      </c>
      <c r="U85" s="5">
        <v>100</v>
      </c>
      <c r="V85" s="5">
        <v>1</v>
      </c>
      <c r="W85" s="5" t="s">
        <v>165</v>
      </c>
      <c r="X85" s="28">
        <v>582</v>
      </c>
      <c r="Y85" s="5" t="s">
        <v>106</v>
      </c>
      <c r="Z85" s="5"/>
      <c r="AA85" s="5"/>
      <c r="AB85" s="28">
        <v>1E-3</v>
      </c>
      <c r="AC85" s="5" t="s">
        <v>274</v>
      </c>
      <c r="AD85" s="5" t="str">
        <f t="shared" si="6"/>
        <v>kg_co2e_excl_luc</v>
      </c>
      <c r="AE85" s="28">
        <f>IF(CropLCAs[[#This Row],[Product fraction]]="",CropLCAs[[#This Row],[CO2e (value)]]*CropLCAs[[#This Row],[Conversion factor (value)]],CropLCAs[[#This Row],[CO2e (value)]]*CropLCAs[[#This Row],[Conversion factor (value)]]/CropLCAs[[#This Row],[Product fraction]]*CropLCAs[[#This Row],[Value fraction]])</f>
        <v>0.58199999999999996</v>
      </c>
      <c r="AF85" s="5"/>
      <c r="AG85" s="5" t="str">
        <f t="shared" si="7"/>
        <v>processed_ghg</v>
      </c>
      <c r="AH85" s="5"/>
      <c r="AI85" s="5"/>
      <c r="AJ85" s="8" t="str">
        <f>IF(CropLCAs[[#This Row],[product_fraction]]&gt;0,CropLCAs[[#This Row],[footprint]]/CropLCAs[[#This Row],[product_fraction]]*CropLCAs[[#This Row],[value_fraction]],"")</f>
        <v/>
      </c>
      <c r="AK85" s="27">
        <f t="shared" si="8"/>
        <v>3.7037037037037035E-2</v>
      </c>
      <c r="AL85" s="5" t="s">
        <v>109</v>
      </c>
      <c r="AM85" s="5" t="s">
        <v>620</v>
      </c>
      <c r="AN85" s="5"/>
      <c r="AO85" s="5"/>
      <c r="AP85" s="5"/>
      <c r="AQ85" s="5"/>
      <c r="AR85" s="5"/>
      <c r="AS85" s="5"/>
      <c r="AT85" s="5"/>
      <c r="AU85" s="5"/>
    </row>
    <row r="86" spans="1:47" ht="44.1" customHeight="1" x14ac:dyDescent="0.2">
      <c r="A86" s="5" t="s">
        <v>123</v>
      </c>
      <c r="B86" s="5" t="s">
        <v>1440</v>
      </c>
      <c r="C86" s="5">
        <v>2010</v>
      </c>
      <c r="D86" s="7" t="s">
        <v>616</v>
      </c>
      <c r="E86" s="6" t="s">
        <v>1321</v>
      </c>
      <c r="F86" s="5" t="s">
        <v>5</v>
      </c>
      <c r="G86" s="5" t="str">
        <f>IF(CropLCAs[[#This Row],[fbs_item]]="Insects","insect_ghg","plant_ghg")</f>
        <v>plant_ghg</v>
      </c>
      <c r="H86" s="49" t="s">
        <v>1296</v>
      </c>
      <c r="I86" s="49"/>
      <c r="J86" s="49"/>
      <c r="K86" s="5" t="s">
        <v>778</v>
      </c>
      <c r="L86" s="5" t="s">
        <v>625</v>
      </c>
      <c r="M86" s="5" t="s">
        <v>102</v>
      </c>
      <c r="N86" s="5" t="s">
        <v>102</v>
      </c>
      <c r="O86" s="5" t="s">
        <v>109</v>
      </c>
      <c r="P86" s="5" t="s">
        <v>102</v>
      </c>
      <c r="Q86" s="5" t="s">
        <v>102</v>
      </c>
      <c r="R86" s="5" t="s">
        <v>164</v>
      </c>
      <c r="S86" s="5" t="s">
        <v>102</v>
      </c>
      <c r="T86" s="5" t="s">
        <v>109</v>
      </c>
      <c r="U86" s="5">
        <v>100</v>
      </c>
      <c r="V86" s="5">
        <v>1</v>
      </c>
      <c r="W86" s="5" t="s">
        <v>165</v>
      </c>
      <c r="X86" s="28">
        <v>567</v>
      </c>
      <c r="Y86" s="5" t="s">
        <v>106</v>
      </c>
      <c r="Z86" s="5"/>
      <c r="AA86" s="5"/>
      <c r="AB86" s="28">
        <v>1E-3</v>
      </c>
      <c r="AC86" s="5" t="s">
        <v>274</v>
      </c>
      <c r="AD86" s="5" t="str">
        <f t="shared" si="6"/>
        <v>kg_co2e_excl_luc</v>
      </c>
      <c r="AE86" s="28">
        <f>IF(CropLCAs[[#This Row],[Product fraction]]="",CropLCAs[[#This Row],[CO2e (value)]]*CropLCAs[[#This Row],[Conversion factor (value)]],CropLCAs[[#This Row],[CO2e (value)]]*CropLCAs[[#This Row],[Conversion factor (value)]]/CropLCAs[[#This Row],[Product fraction]]*CropLCAs[[#This Row],[Value fraction]])</f>
        <v>0.56700000000000006</v>
      </c>
      <c r="AF86" s="5"/>
      <c r="AG86" s="5" t="str">
        <f t="shared" si="7"/>
        <v>processed_ghg</v>
      </c>
      <c r="AH86" s="5"/>
      <c r="AI86" s="5"/>
      <c r="AJ86" s="8" t="str">
        <f>IF(CropLCAs[[#This Row],[product_fraction]]&gt;0,CropLCAs[[#This Row],[footprint]]/CropLCAs[[#This Row],[product_fraction]]*CropLCAs[[#This Row],[value_fraction]],"")</f>
        <v/>
      </c>
      <c r="AK86" s="27">
        <f t="shared" si="8"/>
        <v>3.7037037037037035E-2</v>
      </c>
      <c r="AL86" s="5" t="s">
        <v>109</v>
      </c>
      <c r="AM86" s="5" t="s">
        <v>620</v>
      </c>
      <c r="AN86" s="5"/>
      <c r="AO86" s="5"/>
      <c r="AP86" s="5"/>
      <c r="AQ86" s="5"/>
      <c r="AR86" s="5"/>
      <c r="AS86" s="5"/>
      <c r="AT86" s="5"/>
      <c r="AU86" s="5"/>
    </row>
    <row r="87" spans="1:47" ht="44.1" customHeight="1" x14ac:dyDescent="0.2">
      <c r="A87" s="5" t="s">
        <v>123</v>
      </c>
      <c r="B87" s="5" t="s">
        <v>1440</v>
      </c>
      <c r="C87" s="5">
        <v>2010</v>
      </c>
      <c r="D87" s="7" t="s">
        <v>616</v>
      </c>
      <c r="E87" s="6" t="s">
        <v>1321</v>
      </c>
      <c r="F87" s="5" t="s">
        <v>5</v>
      </c>
      <c r="G87" s="5" t="str">
        <f>IF(CropLCAs[[#This Row],[fbs_item]]="Insects","insect_ghg","plant_ghg")</f>
        <v>plant_ghg</v>
      </c>
      <c r="H87" s="49" t="s">
        <v>1296</v>
      </c>
      <c r="I87" s="49"/>
      <c r="J87" s="49"/>
      <c r="K87" s="5" t="s">
        <v>778</v>
      </c>
      <c r="L87" s="5" t="s">
        <v>626</v>
      </c>
      <c r="M87" s="5" t="s">
        <v>102</v>
      </c>
      <c r="N87" s="5" t="s">
        <v>102</v>
      </c>
      <c r="O87" s="5" t="s">
        <v>109</v>
      </c>
      <c r="P87" s="5" t="s">
        <v>102</v>
      </c>
      <c r="Q87" s="5" t="s">
        <v>102</v>
      </c>
      <c r="R87" s="5" t="s">
        <v>164</v>
      </c>
      <c r="S87" s="5" t="s">
        <v>102</v>
      </c>
      <c r="T87" s="5" t="s">
        <v>109</v>
      </c>
      <c r="U87" s="5">
        <v>100</v>
      </c>
      <c r="V87" s="5">
        <v>1</v>
      </c>
      <c r="W87" s="5" t="s">
        <v>165</v>
      </c>
      <c r="X87" s="28">
        <v>606</v>
      </c>
      <c r="Y87" s="5" t="s">
        <v>106</v>
      </c>
      <c r="Z87" s="5"/>
      <c r="AA87" s="5"/>
      <c r="AB87" s="28">
        <v>1E-3</v>
      </c>
      <c r="AC87" s="5" t="s">
        <v>274</v>
      </c>
      <c r="AD87" s="5" t="str">
        <f t="shared" si="6"/>
        <v>kg_co2e_excl_luc</v>
      </c>
      <c r="AE87" s="28">
        <f>IF(CropLCAs[[#This Row],[Product fraction]]="",CropLCAs[[#This Row],[CO2e (value)]]*CropLCAs[[#This Row],[Conversion factor (value)]],CropLCAs[[#This Row],[CO2e (value)]]*CropLCAs[[#This Row],[Conversion factor (value)]]/CropLCAs[[#This Row],[Product fraction]]*CropLCAs[[#This Row],[Value fraction]])</f>
        <v>0.60599999999999998</v>
      </c>
      <c r="AF87" s="5"/>
      <c r="AG87" s="5" t="str">
        <f t="shared" si="7"/>
        <v>processed_ghg</v>
      </c>
      <c r="AH87" s="5"/>
      <c r="AI87" s="5"/>
      <c r="AJ87" s="8" t="str">
        <f>IF(CropLCAs[[#This Row],[product_fraction]]&gt;0,CropLCAs[[#This Row],[footprint]]/CropLCAs[[#This Row],[product_fraction]]*CropLCAs[[#This Row],[value_fraction]],"")</f>
        <v/>
      </c>
      <c r="AK87" s="27">
        <f t="shared" si="8"/>
        <v>3.7037037037037035E-2</v>
      </c>
      <c r="AL87" s="5" t="s">
        <v>109</v>
      </c>
      <c r="AM87" s="5" t="s">
        <v>620</v>
      </c>
      <c r="AN87" s="5"/>
      <c r="AO87" s="5"/>
      <c r="AP87" s="5"/>
      <c r="AQ87" s="5"/>
      <c r="AR87" s="5"/>
      <c r="AS87" s="5"/>
      <c r="AT87" s="5"/>
      <c r="AU87" s="5"/>
    </row>
    <row r="88" spans="1:47" ht="44.1" customHeight="1" x14ac:dyDescent="0.2">
      <c r="A88" s="5" t="s">
        <v>123</v>
      </c>
      <c r="B88" s="5" t="s">
        <v>1440</v>
      </c>
      <c r="C88" s="5">
        <v>2010</v>
      </c>
      <c r="D88" s="7" t="s">
        <v>616</v>
      </c>
      <c r="E88" s="6" t="s">
        <v>1321</v>
      </c>
      <c r="F88" s="5" t="s">
        <v>5</v>
      </c>
      <c r="G88" s="5" t="str">
        <f>IF(CropLCAs[[#This Row],[fbs_item]]="Insects","insect_ghg","plant_ghg")</f>
        <v>plant_ghg</v>
      </c>
      <c r="H88" s="49" t="s">
        <v>1296</v>
      </c>
      <c r="I88" s="49"/>
      <c r="J88" s="49"/>
      <c r="K88" s="5" t="s">
        <v>778</v>
      </c>
      <c r="L88" s="5" t="s">
        <v>627</v>
      </c>
      <c r="M88" s="5" t="s">
        <v>102</v>
      </c>
      <c r="N88" s="5" t="s">
        <v>102</v>
      </c>
      <c r="O88" s="5" t="s">
        <v>109</v>
      </c>
      <c r="P88" s="5" t="s">
        <v>102</v>
      </c>
      <c r="Q88" s="5" t="s">
        <v>102</v>
      </c>
      <c r="R88" s="5" t="s">
        <v>164</v>
      </c>
      <c r="S88" s="5" t="s">
        <v>102</v>
      </c>
      <c r="T88" s="5" t="s">
        <v>109</v>
      </c>
      <c r="U88" s="5">
        <v>100</v>
      </c>
      <c r="V88" s="5">
        <v>1</v>
      </c>
      <c r="W88" s="5" t="s">
        <v>165</v>
      </c>
      <c r="X88" s="28">
        <v>693</v>
      </c>
      <c r="Y88" s="5" t="s">
        <v>106</v>
      </c>
      <c r="Z88" s="5"/>
      <c r="AA88" s="5"/>
      <c r="AB88" s="28">
        <v>1E-3</v>
      </c>
      <c r="AC88" s="5" t="s">
        <v>274</v>
      </c>
      <c r="AD88" s="5" t="str">
        <f t="shared" si="6"/>
        <v>kg_co2e_excl_luc</v>
      </c>
      <c r="AE88" s="28">
        <f>IF(CropLCAs[[#This Row],[Product fraction]]="",CropLCAs[[#This Row],[CO2e (value)]]*CropLCAs[[#This Row],[Conversion factor (value)]],CropLCAs[[#This Row],[CO2e (value)]]*CropLCAs[[#This Row],[Conversion factor (value)]]/CropLCAs[[#This Row],[Product fraction]]*CropLCAs[[#This Row],[Value fraction]])</f>
        <v>0.69300000000000006</v>
      </c>
      <c r="AF88" s="5"/>
      <c r="AG88" s="5" t="str">
        <f t="shared" si="7"/>
        <v>processed_ghg</v>
      </c>
      <c r="AH88" s="5"/>
      <c r="AI88" s="5"/>
      <c r="AJ88" s="8" t="str">
        <f>IF(CropLCAs[[#This Row],[product_fraction]]&gt;0,CropLCAs[[#This Row],[footprint]]/CropLCAs[[#This Row],[product_fraction]]*CropLCAs[[#This Row],[value_fraction]],"")</f>
        <v/>
      </c>
      <c r="AK88" s="27">
        <f t="shared" si="8"/>
        <v>3.7037037037037035E-2</v>
      </c>
      <c r="AL88" s="5" t="s">
        <v>109</v>
      </c>
      <c r="AM88" s="5" t="s">
        <v>620</v>
      </c>
      <c r="AN88" s="5"/>
      <c r="AO88" s="5"/>
      <c r="AP88" s="5"/>
      <c r="AQ88" s="5"/>
      <c r="AR88" s="5"/>
      <c r="AS88" s="5"/>
      <c r="AT88" s="5"/>
      <c r="AU88" s="5"/>
    </row>
    <row r="89" spans="1:47" ht="44.1" customHeight="1" x14ac:dyDescent="0.2">
      <c r="A89" s="5" t="s">
        <v>123</v>
      </c>
      <c r="B89" s="5" t="s">
        <v>1440</v>
      </c>
      <c r="C89" s="5">
        <v>2010</v>
      </c>
      <c r="D89" s="7" t="s">
        <v>616</v>
      </c>
      <c r="E89" s="6" t="s">
        <v>1321</v>
      </c>
      <c r="F89" s="5" t="s">
        <v>5</v>
      </c>
      <c r="G89" s="5" t="str">
        <f>IF(CropLCAs[[#This Row],[fbs_item]]="Insects","insect_ghg","plant_ghg")</f>
        <v>plant_ghg</v>
      </c>
      <c r="H89" s="49" t="s">
        <v>1296</v>
      </c>
      <c r="I89" s="49"/>
      <c r="J89" s="49"/>
      <c r="K89" s="5" t="s">
        <v>778</v>
      </c>
      <c r="L89" s="5" t="s">
        <v>628</v>
      </c>
      <c r="M89" s="5" t="s">
        <v>102</v>
      </c>
      <c r="N89" s="5" t="s">
        <v>102</v>
      </c>
      <c r="O89" s="5" t="s">
        <v>109</v>
      </c>
      <c r="P89" s="5" t="s">
        <v>102</v>
      </c>
      <c r="Q89" s="5" t="s">
        <v>102</v>
      </c>
      <c r="R89" s="5" t="s">
        <v>164</v>
      </c>
      <c r="S89" s="5" t="s">
        <v>102</v>
      </c>
      <c r="T89" s="5" t="s">
        <v>109</v>
      </c>
      <c r="U89" s="5">
        <v>100</v>
      </c>
      <c r="V89" s="5">
        <v>1</v>
      </c>
      <c r="W89" s="5" t="s">
        <v>165</v>
      </c>
      <c r="X89" s="24">
        <v>639</v>
      </c>
      <c r="Y89" s="5" t="s">
        <v>106</v>
      </c>
      <c r="Z89" s="5"/>
      <c r="AA89" s="5"/>
      <c r="AB89" s="24">
        <v>1E-3</v>
      </c>
      <c r="AC89" s="5" t="s">
        <v>274</v>
      </c>
      <c r="AD89" s="5" t="str">
        <f t="shared" si="6"/>
        <v>kg_co2e_excl_luc</v>
      </c>
      <c r="AE89" s="24">
        <f>IF(CropLCAs[[#This Row],[Product fraction]]="",CropLCAs[[#This Row],[CO2e (value)]]*CropLCAs[[#This Row],[Conversion factor (value)]],CropLCAs[[#This Row],[CO2e (value)]]*CropLCAs[[#This Row],[Conversion factor (value)]]/CropLCAs[[#This Row],[Product fraction]]*CropLCAs[[#This Row],[Value fraction]])</f>
        <v>0.63900000000000001</v>
      </c>
      <c r="AF89" s="5"/>
      <c r="AG89" s="5" t="str">
        <f t="shared" si="7"/>
        <v>processed_ghg</v>
      </c>
      <c r="AH89" s="5"/>
      <c r="AI89" s="5"/>
      <c r="AJ89" s="8" t="str">
        <f>IF(CropLCAs[[#This Row],[product_fraction]]&gt;0,CropLCAs[[#This Row],[footprint]]/CropLCAs[[#This Row],[product_fraction]]*CropLCAs[[#This Row],[value_fraction]],"")</f>
        <v/>
      </c>
      <c r="AK89" s="23">
        <f t="shared" si="8"/>
        <v>3.7037037037037035E-2</v>
      </c>
      <c r="AL89" s="5" t="s">
        <v>109</v>
      </c>
      <c r="AM89" s="5" t="s">
        <v>620</v>
      </c>
      <c r="AN89" s="5"/>
      <c r="AO89" s="5"/>
      <c r="AP89" s="5"/>
      <c r="AQ89" s="5"/>
      <c r="AR89" s="5"/>
      <c r="AS89" s="5"/>
      <c r="AT89" s="5"/>
      <c r="AU89" s="5"/>
    </row>
    <row r="90" spans="1:47" ht="44.1" customHeight="1" x14ac:dyDescent="0.2">
      <c r="A90" s="5" t="s">
        <v>123</v>
      </c>
      <c r="B90" s="5" t="s">
        <v>1440</v>
      </c>
      <c r="C90" s="5">
        <v>2010</v>
      </c>
      <c r="D90" s="7" t="s">
        <v>616</v>
      </c>
      <c r="E90" s="6" t="s">
        <v>1321</v>
      </c>
      <c r="F90" s="5" t="s">
        <v>5</v>
      </c>
      <c r="G90" s="5" t="str">
        <f>IF(CropLCAs[[#This Row],[fbs_item]]="Insects","insect_ghg","plant_ghg")</f>
        <v>plant_ghg</v>
      </c>
      <c r="H90" s="49" t="s">
        <v>1296</v>
      </c>
      <c r="I90" s="49"/>
      <c r="J90" s="49"/>
      <c r="K90" s="5" t="s">
        <v>778</v>
      </c>
      <c r="L90" s="5" t="s">
        <v>619</v>
      </c>
      <c r="M90" s="5" t="s">
        <v>102</v>
      </c>
      <c r="N90" s="5" t="s">
        <v>102</v>
      </c>
      <c r="O90" s="5" t="s">
        <v>109</v>
      </c>
      <c r="P90" s="5" t="s">
        <v>102</v>
      </c>
      <c r="Q90" s="5" t="s">
        <v>102</v>
      </c>
      <c r="R90" s="5" t="s">
        <v>164</v>
      </c>
      <c r="S90" s="5" t="s">
        <v>102</v>
      </c>
      <c r="T90" s="5" t="s">
        <v>109</v>
      </c>
      <c r="U90" s="5">
        <v>100</v>
      </c>
      <c r="V90" s="5">
        <v>1</v>
      </c>
      <c r="W90" s="5" t="s">
        <v>165</v>
      </c>
      <c r="X90" s="24">
        <v>353</v>
      </c>
      <c r="Y90" s="5" t="s">
        <v>106</v>
      </c>
      <c r="Z90" s="5"/>
      <c r="AA90" s="5"/>
      <c r="AB90" s="24">
        <v>1E-3</v>
      </c>
      <c r="AC90" s="5" t="s">
        <v>274</v>
      </c>
      <c r="AD90" s="5" t="str">
        <f t="shared" si="6"/>
        <v>kg_co2e_excl_luc</v>
      </c>
      <c r="AE90" s="24">
        <f>IF(CropLCAs[[#This Row],[Product fraction]]="",CropLCAs[[#This Row],[CO2e (value)]]*CropLCAs[[#This Row],[Conversion factor (value)]],CropLCAs[[#This Row],[CO2e (value)]]*CropLCAs[[#This Row],[Conversion factor (value)]]/CropLCAs[[#This Row],[Product fraction]]*CropLCAs[[#This Row],[Value fraction]])</f>
        <v>0.35299999999999998</v>
      </c>
      <c r="AF90" s="5"/>
      <c r="AG90" s="5" t="str">
        <f t="shared" si="7"/>
        <v>processed_ghg</v>
      </c>
      <c r="AH90" s="5"/>
      <c r="AI90" s="5"/>
      <c r="AJ90" s="8" t="str">
        <f>IF(CropLCAs[[#This Row],[product_fraction]]&gt;0,CropLCAs[[#This Row],[footprint]]/CropLCAs[[#This Row],[product_fraction]]*CropLCAs[[#This Row],[value_fraction]],"")</f>
        <v/>
      </c>
      <c r="AK90" s="23">
        <f t="shared" si="8"/>
        <v>3.7037037037037035E-2</v>
      </c>
      <c r="AL90" s="5" t="s">
        <v>109</v>
      </c>
      <c r="AM90" s="5" t="s">
        <v>620</v>
      </c>
      <c r="AN90" s="5"/>
      <c r="AO90" s="5"/>
      <c r="AP90" s="5"/>
      <c r="AQ90" s="5"/>
      <c r="AR90" s="5"/>
      <c r="AS90" s="5"/>
      <c r="AT90" s="5"/>
      <c r="AU90" s="5"/>
    </row>
    <row r="91" spans="1:47" ht="44.1" customHeight="1" x14ac:dyDescent="0.2">
      <c r="A91" s="5" t="s">
        <v>123</v>
      </c>
      <c r="B91" s="5" t="s">
        <v>1440</v>
      </c>
      <c r="C91" s="5">
        <v>2010</v>
      </c>
      <c r="D91" s="7" t="s">
        <v>616</v>
      </c>
      <c r="E91" s="6" t="s">
        <v>1321</v>
      </c>
      <c r="F91" s="5" t="s">
        <v>5</v>
      </c>
      <c r="G91" s="5" t="str">
        <f>IF(CropLCAs[[#This Row],[fbs_item]]="Insects","insect_ghg","plant_ghg")</f>
        <v>plant_ghg</v>
      </c>
      <c r="H91" s="49" t="s">
        <v>1296</v>
      </c>
      <c r="I91" s="49"/>
      <c r="J91" s="49"/>
      <c r="K91" s="5" t="s">
        <v>778</v>
      </c>
      <c r="L91" s="5" t="s">
        <v>621</v>
      </c>
      <c r="M91" s="5" t="s">
        <v>102</v>
      </c>
      <c r="N91" s="5" t="s">
        <v>102</v>
      </c>
      <c r="O91" s="5" t="s">
        <v>109</v>
      </c>
      <c r="P91" s="5" t="s">
        <v>102</v>
      </c>
      <c r="Q91" s="5" t="s">
        <v>102</v>
      </c>
      <c r="R91" s="5" t="s">
        <v>164</v>
      </c>
      <c r="S91" s="5" t="s">
        <v>102</v>
      </c>
      <c r="T91" s="5" t="s">
        <v>109</v>
      </c>
      <c r="U91" s="5">
        <v>100</v>
      </c>
      <c r="V91" s="5">
        <v>1</v>
      </c>
      <c r="W91" s="5" t="s">
        <v>165</v>
      </c>
      <c r="X91" s="24">
        <v>279</v>
      </c>
      <c r="Y91" s="5" t="s">
        <v>106</v>
      </c>
      <c r="Z91" s="5"/>
      <c r="AA91" s="5"/>
      <c r="AB91" s="24">
        <v>1E-3</v>
      </c>
      <c r="AC91" s="5" t="s">
        <v>274</v>
      </c>
      <c r="AD91" s="5" t="str">
        <f t="shared" si="6"/>
        <v>kg_co2e_excl_luc</v>
      </c>
      <c r="AE91" s="24">
        <f>IF(CropLCAs[[#This Row],[Product fraction]]="",CropLCAs[[#This Row],[CO2e (value)]]*CropLCAs[[#This Row],[Conversion factor (value)]],CropLCAs[[#This Row],[CO2e (value)]]*CropLCAs[[#This Row],[Conversion factor (value)]]/CropLCAs[[#This Row],[Product fraction]]*CropLCAs[[#This Row],[Value fraction]])</f>
        <v>0.27900000000000003</v>
      </c>
      <c r="AF91" s="5"/>
      <c r="AG91" s="5" t="str">
        <f t="shared" si="7"/>
        <v>processed_ghg</v>
      </c>
      <c r="AH91" s="5"/>
      <c r="AI91" s="5"/>
      <c r="AJ91" s="8" t="str">
        <f>IF(CropLCAs[[#This Row],[product_fraction]]&gt;0,CropLCAs[[#This Row],[footprint]]/CropLCAs[[#This Row],[product_fraction]]*CropLCAs[[#This Row],[value_fraction]],"")</f>
        <v/>
      </c>
      <c r="AK91" s="23">
        <f t="shared" si="8"/>
        <v>3.7037037037037035E-2</v>
      </c>
      <c r="AL91" s="5" t="s">
        <v>109</v>
      </c>
      <c r="AM91" s="5" t="s">
        <v>620</v>
      </c>
      <c r="AN91" s="5"/>
      <c r="AO91" s="5"/>
      <c r="AP91" s="5"/>
      <c r="AQ91" s="5"/>
      <c r="AR91" s="5"/>
      <c r="AS91" s="5"/>
      <c r="AT91" s="5"/>
      <c r="AU91" s="5"/>
    </row>
    <row r="92" spans="1:47" ht="44.1" customHeight="1" x14ac:dyDescent="0.2">
      <c r="A92" s="5" t="s">
        <v>123</v>
      </c>
      <c r="B92" s="5" t="s">
        <v>1440</v>
      </c>
      <c r="C92" s="5">
        <v>2010</v>
      </c>
      <c r="D92" s="7" t="s">
        <v>616</v>
      </c>
      <c r="E92" s="6" t="s">
        <v>1321</v>
      </c>
      <c r="F92" s="5" t="s">
        <v>5</v>
      </c>
      <c r="G92" s="5" t="str">
        <f>IF(CropLCAs[[#This Row],[fbs_item]]="Insects","insect_ghg","plant_ghg")</f>
        <v>plant_ghg</v>
      </c>
      <c r="H92" s="49" t="s">
        <v>1296</v>
      </c>
      <c r="I92" s="49"/>
      <c r="J92" s="49"/>
      <c r="K92" s="5" t="s">
        <v>778</v>
      </c>
      <c r="L92" s="5" t="s">
        <v>622</v>
      </c>
      <c r="M92" s="5" t="s">
        <v>102</v>
      </c>
      <c r="N92" s="5" t="s">
        <v>102</v>
      </c>
      <c r="O92" s="5" t="s">
        <v>109</v>
      </c>
      <c r="P92" s="5" t="s">
        <v>102</v>
      </c>
      <c r="Q92" s="5" t="s">
        <v>102</v>
      </c>
      <c r="R92" s="5" t="s">
        <v>164</v>
      </c>
      <c r="S92" s="5" t="s">
        <v>102</v>
      </c>
      <c r="T92" s="5" t="s">
        <v>109</v>
      </c>
      <c r="U92" s="5">
        <v>100</v>
      </c>
      <c r="V92" s="5">
        <v>1</v>
      </c>
      <c r="W92" s="5" t="s">
        <v>165</v>
      </c>
      <c r="X92" s="24">
        <v>332</v>
      </c>
      <c r="Y92" s="5" t="s">
        <v>106</v>
      </c>
      <c r="Z92" s="5"/>
      <c r="AA92" s="5"/>
      <c r="AB92" s="24">
        <v>1E-3</v>
      </c>
      <c r="AC92" s="5" t="s">
        <v>274</v>
      </c>
      <c r="AD92" s="5" t="str">
        <f t="shared" si="6"/>
        <v>kg_co2e_excl_luc</v>
      </c>
      <c r="AE92" s="24">
        <f>IF(CropLCAs[[#This Row],[Product fraction]]="",CropLCAs[[#This Row],[CO2e (value)]]*CropLCAs[[#This Row],[Conversion factor (value)]],CropLCAs[[#This Row],[CO2e (value)]]*CropLCAs[[#This Row],[Conversion factor (value)]]/CropLCAs[[#This Row],[Product fraction]]*CropLCAs[[#This Row],[Value fraction]])</f>
        <v>0.33200000000000002</v>
      </c>
      <c r="AF92" s="5"/>
      <c r="AG92" s="5" t="str">
        <f t="shared" si="7"/>
        <v>processed_ghg</v>
      </c>
      <c r="AH92" s="5"/>
      <c r="AI92" s="5"/>
      <c r="AJ92" s="8" t="str">
        <f>IF(CropLCAs[[#This Row],[product_fraction]]&gt;0,CropLCAs[[#This Row],[footprint]]/CropLCAs[[#This Row],[product_fraction]]*CropLCAs[[#This Row],[value_fraction]],"")</f>
        <v/>
      </c>
      <c r="AK92" s="23">
        <f t="shared" si="8"/>
        <v>3.7037037037037035E-2</v>
      </c>
      <c r="AL92" s="5" t="s">
        <v>109</v>
      </c>
      <c r="AM92" s="5" t="s">
        <v>620</v>
      </c>
      <c r="AN92" s="5"/>
      <c r="AO92" s="5"/>
      <c r="AP92" s="5"/>
      <c r="AQ92" s="5"/>
      <c r="AR92" s="5"/>
      <c r="AS92" s="5"/>
      <c r="AT92" s="5"/>
      <c r="AU92" s="5"/>
    </row>
    <row r="93" spans="1:47" ht="44.1" customHeight="1" x14ac:dyDescent="0.2">
      <c r="A93" s="5" t="s">
        <v>123</v>
      </c>
      <c r="B93" s="5" t="s">
        <v>1440</v>
      </c>
      <c r="C93" s="5">
        <v>2010</v>
      </c>
      <c r="D93" s="7" t="s">
        <v>616</v>
      </c>
      <c r="E93" s="6" t="s">
        <v>1321</v>
      </c>
      <c r="F93" s="5" t="s">
        <v>5</v>
      </c>
      <c r="G93" s="5" t="str">
        <f>IF(CropLCAs[[#This Row],[fbs_item]]="Insects","insect_ghg","plant_ghg")</f>
        <v>plant_ghg</v>
      </c>
      <c r="H93" s="49" t="s">
        <v>1296</v>
      </c>
      <c r="I93" s="49"/>
      <c r="J93" s="49"/>
      <c r="K93" s="5" t="s">
        <v>778</v>
      </c>
      <c r="L93" s="5" t="s">
        <v>623</v>
      </c>
      <c r="M93" s="5" t="s">
        <v>102</v>
      </c>
      <c r="N93" s="5" t="s">
        <v>102</v>
      </c>
      <c r="O93" s="5" t="s">
        <v>109</v>
      </c>
      <c r="P93" s="5" t="s">
        <v>102</v>
      </c>
      <c r="Q93" s="5" t="s">
        <v>102</v>
      </c>
      <c r="R93" s="5" t="s">
        <v>164</v>
      </c>
      <c r="S93" s="5" t="s">
        <v>102</v>
      </c>
      <c r="T93" s="5" t="s">
        <v>109</v>
      </c>
      <c r="U93" s="5">
        <v>100</v>
      </c>
      <c r="V93" s="5">
        <v>1</v>
      </c>
      <c r="W93" s="5" t="s">
        <v>165</v>
      </c>
      <c r="X93" s="24">
        <v>351</v>
      </c>
      <c r="Y93" s="5" t="s">
        <v>106</v>
      </c>
      <c r="Z93" s="5"/>
      <c r="AA93" s="5"/>
      <c r="AB93" s="24">
        <v>1E-3</v>
      </c>
      <c r="AC93" s="5" t="s">
        <v>274</v>
      </c>
      <c r="AD93" s="5" t="str">
        <f t="shared" si="6"/>
        <v>kg_co2e_excl_luc</v>
      </c>
      <c r="AE93" s="24">
        <f>IF(CropLCAs[[#This Row],[Product fraction]]="",CropLCAs[[#This Row],[CO2e (value)]]*CropLCAs[[#This Row],[Conversion factor (value)]],CropLCAs[[#This Row],[CO2e (value)]]*CropLCAs[[#This Row],[Conversion factor (value)]]/CropLCAs[[#This Row],[Product fraction]]*CropLCAs[[#This Row],[Value fraction]])</f>
        <v>0.35100000000000003</v>
      </c>
      <c r="AF93" s="5"/>
      <c r="AG93" s="5" t="str">
        <f t="shared" si="7"/>
        <v>processed_ghg</v>
      </c>
      <c r="AH93" s="5"/>
      <c r="AI93" s="5"/>
      <c r="AJ93" s="8" t="str">
        <f>IF(CropLCAs[[#This Row],[product_fraction]]&gt;0,CropLCAs[[#This Row],[footprint]]/CropLCAs[[#This Row],[product_fraction]]*CropLCAs[[#This Row],[value_fraction]],"")</f>
        <v/>
      </c>
      <c r="AK93" s="23">
        <f t="shared" si="8"/>
        <v>3.7037037037037035E-2</v>
      </c>
      <c r="AL93" s="5" t="s">
        <v>109</v>
      </c>
      <c r="AM93" s="5" t="s">
        <v>620</v>
      </c>
      <c r="AN93" s="5"/>
      <c r="AO93" s="5"/>
      <c r="AP93" s="5"/>
      <c r="AQ93" s="5"/>
      <c r="AR93" s="5"/>
      <c r="AS93" s="5"/>
      <c r="AT93" s="5"/>
      <c r="AU93" s="5"/>
    </row>
    <row r="94" spans="1:47" ht="44.1" customHeight="1" x14ac:dyDescent="0.2">
      <c r="A94" s="5" t="s">
        <v>123</v>
      </c>
      <c r="B94" s="5" t="s">
        <v>1440</v>
      </c>
      <c r="C94" s="5">
        <v>2010</v>
      </c>
      <c r="D94" s="7" t="s">
        <v>616</v>
      </c>
      <c r="E94" s="6" t="s">
        <v>1321</v>
      </c>
      <c r="F94" s="5" t="s">
        <v>5</v>
      </c>
      <c r="G94" s="5" t="str">
        <f>IF(CropLCAs[[#This Row],[fbs_item]]="Insects","insect_ghg","plant_ghg")</f>
        <v>plant_ghg</v>
      </c>
      <c r="H94" s="49" t="s">
        <v>1296</v>
      </c>
      <c r="I94" s="49"/>
      <c r="J94" s="49"/>
      <c r="K94" s="5" t="s">
        <v>778</v>
      </c>
      <c r="L94" s="5" t="s">
        <v>624</v>
      </c>
      <c r="M94" s="5" t="s">
        <v>102</v>
      </c>
      <c r="N94" s="5" t="s">
        <v>102</v>
      </c>
      <c r="O94" s="5" t="s">
        <v>109</v>
      </c>
      <c r="P94" s="5" t="s">
        <v>102</v>
      </c>
      <c r="Q94" s="5" t="s">
        <v>102</v>
      </c>
      <c r="R94" s="5" t="s">
        <v>164</v>
      </c>
      <c r="S94" s="5" t="s">
        <v>102</v>
      </c>
      <c r="T94" s="5" t="s">
        <v>109</v>
      </c>
      <c r="U94" s="5">
        <v>100</v>
      </c>
      <c r="V94" s="5">
        <v>1</v>
      </c>
      <c r="W94" s="5" t="s">
        <v>165</v>
      </c>
      <c r="X94" s="24">
        <v>444</v>
      </c>
      <c r="Y94" s="5" t="s">
        <v>106</v>
      </c>
      <c r="Z94" s="5"/>
      <c r="AA94" s="5"/>
      <c r="AB94" s="24">
        <v>1E-3</v>
      </c>
      <c r="AC94" s="5" t="s">
        <v>274</v>
      </c>
      <c r="AD94" s="5" t="str">
        <f t="shared" si="6"/>
        <v>kg_co2e_excl_luc</v>
      </c>
      <c r="AE94" s="24">
        <f>IF(CropLCAs[[#This Row],[Product fraction]]="",CropLCAs[[#This Row],[CO2e (value)]]*CropLCAs[[#This Row],[Conversion factor (value)]],CropLCAs[[#This Row],[CO2e (value)]]*CropLCAs[[#This Row],[Conversion factor (value)]]/CropLCAs[[#This Row],[Product fraction]]*CropLCAs[[#This Row],[Value fraction]])</f>
        <v>0.44400000000000001</v>
      </c>
      <c r="AF94" s="5"/>
      <c r="AG94" s="5" t="str">
        <f t="shared" si="7"/>
        <v>processed_ghg</v>
      </c>
      <c r="AH94" s="5"/>
      <c r="AI94" s="5"/>
      <c r="AJ94" s="8" t="str">
        <f>IF(CropLCAs[[#This Row],[product_fraction]]&gt;0,CropLCAs[[#This Row],[footprint]]/CropLCAs[[#This Row],[product_fraction]]*CropLCAs[[#This Row],[value_fraction]],"")</f>
        <v/>
      </c>
      <c r="AK94" s="23">
        <f t="shared" si="8"/>
        <v>3.7037037037037035E-2</v>
      </c>
      <c r="AL94" s="5" t="s">
        <v>109</v>
      </c>
      <c r="AM94" s="5" t="s">
        <v>620</v>
      </c>
      <c r="AN94" s="5"/>
      <c r="AO94" s="5"/>
      <c r="AP94" s="5"/>
      <c r="AQ94" s="5"/>
      <c r="AR94" s="5"/>
      <c r="AS94" s="5"/>
      <c r="AT94" s="5"/>
      <c r="AU94" s="5"/>
    </row>
    <row r="95" spans="1:47" ht="44.1" customHeight="1" x14ac:dyDescent="0.2">
      <c r="A95" s="5" t="s">
        <v>123</v>
      </c>
      <c r="B95" s="5" t="s">
        <v>1440</v>
      </c>
      <c r="C95" s="5">
        <v>2010</v>
      </c>
      <c r="D95" s="7" t="s">
        <v>616</v>
      </c>
      <c r="E95" s="6" t="s">
        <v>1321</v>
      </c>
      <c r="F95" s="5" t="s">
        <v>5</v>
      </c>
      <c r="G95" s="5" t="str">
        <f>IF(CropLCAs[[#This Row],[fbs_item]]="Insects","insect_ghg","plant_ghg")</f>
        <v>plant_ghg</v>
      </c>
      <c r="H95" s="49" t="s">
        <v>1296</v>
      </c>
      <c r="I95" s="49"/>
      <c r="J95" s="49"/>
      <c r="K95" s="5" t="s">
        <v>778</v>
      </c>
      <c r="L95" s="5" t="s">
        <v>625</v>
      </c>
      <c r="M95" s="5" t="s">
        <v>102</v>
      </c>
      <c r="N95" s="5" t="s">
        <v>102</v>
      </c>
      <c r="O95" s="5" t="s">
        <v>109</v>
      </c>
      <c r="P95" s="5" t="s">
        <v>102</v>
      </c>
      <c r="Q95" s="5" t="s">
        <v>102</v>
      </c>
      <c r="R95" s="5" t="s">
        <v>164</v>
      </c>
      <c r="S95" s="5" t="s">
        <v>102</v>
      </c>
      <c r="T95" s="5" t="s">
        <v>109</v>
      </c>
      <c r="U95" s="5">
        <v>100</v>
      </c>
      <c r="V95" s="5">
        <v>1</v>
      </c>
      <c r="W95" s="5" t="s">
        <v>165</v>
      </c>
      <c r="X95" s="24">
        <v>389</v>
      </c>
      <c r="Y95" s="5" t="s">
        <v>106</v>
      </c>
      <c r="Z95" s="5"/>
      <c r="AA95" s="5"/>
      <c r="AB95" s="24">
        <v>1E-3</v>
      </c>
      <c r="AC95" s="5" t="s">
        <v>274</v>
      </c>
      <c r="AD95" s="5" t="str">
        <f t="shared" si="6"/>
        <v>kg_co2e_excl_luc</v>
      </c>
      <c r="AE95" s="24">
        <f>IF(CropLCAs[[#This Row],[Product fraction]]="",CropLCAs[[#This Row],[CO2e (value)]]*CropLCAs[[#This Row],[Conversion factor (value)]],CropLCAs[[#This Row],[CO2e (value)]]*CropLCAs[[#This Row],[Conversion factor (value)]]/CropLCAs[[#This Row],[Product fraction]]*CropLCAs[[#This Row],[Value fraction]])</f>
        <v>0.38900000000000001</v>
      </c>
      <c r="AF95" s="5"/>
      <c r="AG95" s="5" t="str">
        <f t="shared" si="7"/>
        <v>processed_ghg</v>
      </c>
      <c r="AH95" s="5"/>
      <c r="AI95" s="5"/>
      <c r="AJ95" s="8" t="str">
        <f>IF(CropLCAs[[#This Row],[product_fraction]]&gt;0,CropLCAs[[#This Row],[footprint]]/CropLCAs[[#This Row],[product_fraction]]*CropLCAs[[#This Row],[value_fraction]],"")</f>
        <v/>
      </c>
      <c r="AK95" s="23">
        <f t="shared" si="8"/>
        <v>3.7037037037037035E-2</v>
      </c>
      <c r="AL95" s="5" t="s">
        <v>109</v>
      </c>
      <c r="AM95" s="5" t="s">
        <v>620</v>
      </c>
      <c r="AN95" s="5"/>
      <c r="AO95" s="5"/>
      <c r="AP95" s="5"/>
      <c r="AQ95" s="5"/>
      <c r="AR95" s="5"/>
      <c r="AS95" s="5"/>
      <c r="AT95" s="5"/>
      <c r="AU95" s="5"/>
    </row>
    <row r="96" spans="1:47" ht="44.1" customHeight="1" x14ac:dyDescent="0.2">
      <c r="A96" s="5" t="s">
        <v>123</v>
      </c>
      <c r="B96" s="5" t="s">
        <v>1440</v>
      </c>
      <c r="C96" s="5">
        <v>2010</v>
      </c>
      <c r="D96" s="7" t="s">
        <v>616</v>
      </c>
      <c r="E96" s="6" t="s">
        <v>1321</v>
      </c>
      <c r="F96" s="5" t="s">
        <v>5</v>
      </c>
      <c r="G96" s="5" t="str">
        <f>IF(CropLCAs[[#This Row],[fbs_item]]="Insects","insect_ghg","plant_ghg")</f>
        <v>plant_ghg</v>
      </c>
      <c r="H96" s="49" t="s">
        <v>1296</v>
      </c>
      <c r="I96" s="49"/>
      <c r="J96" s="49"/>
      <c r="K96" s="5" t="s">
        <v>778</v>
      </c>
      <c r="L96" s="5" t="s">
        <v>626</v>
      </c>
      <c r="M96" s="5" t="s">
        <v>102</v>
      </c>
      <c r="N96" s="5" t="s">
        <v>102</v>
      </c>
      <c r="O96" s="5" t="s">
        <v>109</v>
      </c>
      <c r="P96" s="5" t="s">
        <v>102</v>
      </c>
      <c r="Q96" s="5" t="s">
        <v>102</v>
      </c>
      <c r="R96" s="5" t="s">
        <v>164</v>
      </c>
      <c r="S96" s="5" t="s">
        <v>102</v>
      </c>
      <c r="T96" s="5" t="s">
        <v>109</v>
      </c>
      <c r="U96" s="5">
        <v>100</v>
      </c>
      <c r="V96" s="5">
        <v>1</v>
      </c>
      <c r="W96" s="5" t="s">
        <v>165</v>
      </c>
      <c r="X96" s="24">
        <v>528</v>
      </c>
      <c r="Y96" s="5" t="s">
        <v>106</v>
      </c>
      <c r="Z96" s="5"/>
      <c r="AA96" s="5"/>
      <c r="AB96" s="24">
        <v>1E-3</v>
      </c>
      <c r="AC96" s="5" t="s">
        <v>274</v>
      </c>
      <c r="AD96" s="5" t="str">
        <f t="shared" si="6"/>
        <v>kg_co2e_excl_luc</v>
      </c>
      <c r="AE96" s="24">
        <f>IF(CropLCAs[[#This Row],[Product fraction]]="",CropLCAs[[#This Row],[CO2e (value)]]*CropLCAs[[#This Row],[Conversion factor (value)]],CropLCAs[[#This Row],[CO2e (value)]]*CropLCAs[[#This Row],[Conversion factor (value)]]/CropLCAs[[#This Row],[Product fraction]]*CropLCAs[[#This Row],[Value fraction]])</f>
        <v>0.52800000000000002</v>
      </c>
      <c r="AF96" s="5"/>
      <c r="AG96" s="5" t="str">
        <f t="shared" si="7"/>
        <v>processed_ghg</v>
      </c>
      <c r="AH96" s="5"/>
      <c r="AI96" s="5"/>
      <c r="AJ96" s="8" t="str">
        <f>IF(CropLCAs[[#This Row],[product_fraction]]&gt;0,CropLCAs[[#This Row],[footprint]]/CropLCAs[[#This Row],[product_fraction]]*CropLCAs[[#This Row],[value_fraction]],"")</f>
        <v/>
      </c>
      <c r="AK96" s="23">
        <f t="shared" si="8"/>
        <v>3.7037037037037035E-2</v>
      </c>
      <c r="AL96" s="5" t="s">
        <v>109</v>
      </c>
      <c r="AM96" s="5" t="s">
        <v>620</v>
      </c>
      <c r="AN96" s="5"/>
      <c r="AO96" s="5"/>
      <c r="AP96" s="5"/>
      <c r="AQ96" s="5"/>
      <c r="AR96" s="5"/>
      <c r="AS96" s="5"/>
      <c r="AT96" s="5"/>
      <c r="AU96" s="5"/>
    </row>
    <row r="97" spans="1:47" ht="44.1" customHeight="1" x14ac:dyDescent="0.2">
      <c r="A97" s="5" t="s">
        <v>123</v>
      </c>
      <c r="B97" s="5" t="s">
        <v>1440</v>
      </c>
      <c r="C97" s="5">
        <v>2010</v>
      </c>
      <c r="D97" s="7" t="s">
        <v>616</v>
      </c>
      <c r="E97" s="6" t="s">
        <v>1321</v>
      </c>
      <c r="F97" s="5" t="s">
        <v>5</v>
      </c>
      <c r="G97" s="5" t="str">
        <f>IF(CropLCAs[[#This Row],[fbs_item]]="Insects","insect_ghg","plant_ghg")</f>
        <v>plant_ghg</v>
      </c>
      <c r="H97" s="49" t="s">
        <v>1296</v>
      </c>
      <c r="I97" s="49"/>
      <c r="J97" s="49"/>
      <c r="K97" s="5" t="s">
        <v>778</v>
      </c>
      <c r="L97" s="5" t="s">
        <v>627</v>
      </c>
      <c r="M97" s="5" t="s">
        <v>102</v>
      </c>
      <c r="N97" s="5" t="s">
        <v>102</v>
      </c>
      <c r="O97" s="5" t="s">
        <v>109</v>
      </c>
      <c r="P97" s="5" t="s">
        <v>102</v>
      </c>
      <c r="Q97" s="5" t="s">
        <v>102</v>
      </c>
      <c r="R97" s="5" t="s">
        <v>164</v>
      </c>
      <c r="S97" s="5" t="s">
        <v>102</v>
      </c>
      <c r="T97" s="5" t="s">
        <v>109</v>
      </c>
      <c r="U97" s="5">
        <v>100</v>
      </c>
      <c r="V97" s="5">
        <v>1</v>
      </c>
      <c r="W97" s="5" t="s">
        <v>165</v>
      </c>
      <c r="X97" s="24">
        <v>620</v>
      </c>
      <c r="Y97" s="5" t="s">
        <v>106</v>
      </c>
      <c r="Z97" s="5"/>
      <c r="AA97" s="5"/>
      <c r="AB97" s="24">
        <v>1E-3</v>
      </c>
      <c r="AC97" s="5" t="s">
        <v>274</v>
      </c>
      <c r="AD97" s="5" t="str">
        <f t="shared" si="6"/>
        <v>kg_co2e_excl_luc</v>
      </c>
      <c r="AE97" s="24">
        <f>IF(CropLCAs[[#This Row],[Product fraction]]="",CropLCAs[[#This Row],[CO2e (value)]]*CropLCAs[[#This Row],[Conversion factor (value)]],CropLCAs[[#This Row],[CO2e (value)]]*CropLCAs[[#This Row],[Conversion factor (value)]]/CropLCAs[[#This Row],[Product fraction]]*CropLCAs[[#This Row],[Value fraction]])</f>
        <v>0.62</v>
      </c>
      <c r="AF97" s="5"/>
      <c r="AG97" s="5" t="str">
        <f t="shared" si="7"/>
        <v>processed_ghg</v>
      </c>
      <c r="AH97" s="5"/>
      <c r="AI97" s="5"/>
      <c r="AJ97" s="8" t="str">
        <f>IF(CropLCAs[[#This Row],[product_fraction]]&gt;0,CropLCAs[[#This Row],[footprint]]/CropLCAs[[#This Row],[product_fraction]]*CropLCAs[[#This Row],[value_fraction]],"")</f>
        <v/>
      </c>
      <c r="AK97" s="23">
        <f t="shared" si="8"/>
        <v>3.7037037037037035E-2</v>
      </c>
      <c r="AL97" s="5" t="s">
        <v>109</v>
      </c>
      <c r="AM97" s="5" t="s">
        <v>620</v>
      </c>
      <c r="AN97" s="5"/>
      <c r="AO97" s="5"/>
      <c r="AP97" s="5"/>
      <c r="AQ97" s="5"/>
      <c r="AR97" s="5"/>
      <c r="AS97" s="5"/>
      <c r="AT97" s="5"/>
      <c r="AU97" s="5"/>
    </row>
    <row r="98" spans="1:47" ht="44.1" customHeight="1" x14ac:dyDescent="0.2">
      <c r="A98" s="5" t="s">
        <v>123</v>
      </c>
      <c r="B98" s="5" t="s">
        <v>1440</v>
      </c>
      <c r="C98" s="5">
        <v>2010</v>
      </c>
      <c r="D98" s="7" t="s">
        <v>616</v>
      </c>
      <c r="E98" s="6" t="s">
        <v>1321</v>
      </c>
      <c r="F98" s="5" t="s">
        <v>5</v>
      </c>
      <c r="G98" s="5" t="str">
        <f>IF(CropLCAs[[#This Row],[fbs_item]]="Insects","insect_ghg","plant_ghg")</f>
        <v>plant_ghg</v>
      </c>
      <c r="H98" s="49" t="s">
        <v>1296</v>
      </c>
      <c r="I98" s="49"/>
      <c r="J98" s="49"/>
      <c r="K98" s="5" t="s">
        <v>778</v>
      </c>
      <c r="L98" s="5" t="s">
        <v>628</v>
      </c>
      <c r="M98" s="5" t="s">
        <v>102</v>
      </c>
      <c r="N98" s="5" t="s">
        <v>102</v>
      </c>
      <c r="O98" s="5" t="s">
        <v>109</v>
      </c>
      <c r="P98" s="5" t="s">
        <v>102</v>
      </c>
      <c r="Q98" s="5" t="s">
        <v>102</v>
      </c>
      <c r="R98" s="5" t="s">
        <v>164</v>
      </c>
      <c r="S98" s="5" t="s">
        <v>102</v>
      </c>
      <c r="T98" s="5" t="s">
        <v>109</v>
      </c>
      <c r="U98" s="5">
        <v>100</v>
      </c>
      <c r="V98" s="5">
        <v>1</v>
      </c>
      <c r="W98" s="5" t="s">
        <v>165</v>
      </c>
      <c r="X98" s="24">
        <v>572</v>
      </c>
      <c r="Y98" s="5" t="s">
        <v>106</v>
      </c>
      <c r="Z98" s="5"/>
      <c r="AA98" s="5"/>
      <c r="AB98" s="24">
        <v>1E-3</v>
      </c>
      <c r="AC98" s="5" t="s">
        <v>274</v>
      </c>
      <c r="AD98" s="5" t="str">
        <f t="shared" si="6"/>
        <v>kg_co2e_excl_luc</v>
      </c>
      <c r="AE98" s="24">
        <f>IF(CropLCAs[[#This Row],[Product fraction]]="",CropLCAs[[#This Row],[CO2e (value)]]*CropLCAs[[#This Row],[Conversion factor (value)]],CropLCAs[[#This Row],[CO2e (value)]]*CropLCAs[[#This Row],[Conversion factor (value)]]/CropLCAs[[#This Row],[Product fraction]]*CropLCAs[[#This Row],[Value fraction]])</f>
        <v>0.57200000000000006</v>
      </c>
      <c r="AF98" s="5"/>
      <c r="AG98" s="5" t="str">
        <f t="shared" si="7"/>
        <v>processed_ghg</v>
      </c>
      <c r="AH98" s="5"/>
      <c r="AI98" s="5"/>
      <c r="AJ98" s="8" t="str">
        <f>IF(CropLCAs[[#This Row],[product_fraction]]&gt;0,CropLCAs[[#This Row],[footprint]]/CropLCAs[[#This Row],[product_fraction]]*CropLCAs[[#This Row],[value_fraction]],"")</f>
        <v/>
      </c>
      <c r="AK98" s="23">
        <f t="shared" si="8"/>
        <v>3.7037037037037035E-2</v>
      </c>
      <c r="AL98" s="5" t="s">
        <v>109</v>
      </c>
      <c r="AM98" s="5" t="s">
        <v>620</v>
      </c>
      <c r="AN98" s="5"/>
      <c r="AO98" s="5"/>
      <c r="AP98" s="5"/>
      <c r="AQ98" s="5"/>
      <c r="AR98" s="5"/>
      <c r="AS98" s="5"/>
      <c r="AT98" s="5"/>
      <c r="AU98" s="5"/>
    </row>
    <row r="99" spans="1:47" ht="44.1" customHeight="1" x14ac:dyDescent="0.2">
      <c r="A99" s="5" t="s">
        <v>123</v>
      </c>
      <c r="B99" s="5" t="s">
        <v>1440</v>
      </c>
      <c r="C99" s="5">
        <v>2010</v>
      </c>
      <c r="D99" s="7" t="s">
        <v>616</v>
      </c>
      <c r="E99" s="6" t="s">
        <v>1321</v>
      </c>
      <c r="F99" s="5" t="s">
        <v>5</v>
      </c>
      <c r="G99" s="5" t="str">
        <f>IF(CropLCAs[[#This Row],[fbs_item]]="Insects","insect_ghg","plant_ghg")</f>
        <v>plant_ghg</v>
      </c>
      <c r="H99" s="49" t="s">
        <v>1296</v>
      </c>
      <c r="I99" s="49"/>
      <c r="J99" s="49"/>
      <c r="K99" s="5" t="s">
        <v>778</v>
      </c>
      <c r="L99" s="5" t="s">
        <v>619</v>
      </c>
      <c r="M99" s="5" t="s">
        <v>102</v>
      </c>
      <c r="N99" s="5" t="s">
        <v>102</v>
      </c>
      <c r="O99" s="5" t="s">
        <v>109</v>
      </c>
      <c r="P99" s="5" t="s">
        <v>102</v>
      </c>
      <c r="Q99" s="5" t="s">
        <v>102</v>
      </c>
      <c r="R99" s="5" t="s">
        <v>164</v>
      </c>
      <c r="S99" s="5" t="s">
        <v>102</v>
      </c>
      <c r="T99" s="5" t="s">
        <v>109</v>
      </c>
      <c r="U99" s="5">
        <v>100</v>
      </c>
      <c r="V99" s="5">
        <v>1</v>
      </c>
      <c r="W99" s="5" t="s">
        <v>165</v>
      </c>
      <c r="X99" s="24">
        <v>328</v>
      </c>
      <c r="Y99" s="5" t="s">
        <v>106</v>
      </c>
      <c r="Z99" s="5"/>
      <c r="AA99" s="5"/>
      <c r="AB99" s="24">
        <v>1E-3</v>
      </c>
      <c r="AC99" s="5" t="s">
        <v>274</v>
      </c>
      <c r="AD99" s="5" t="str">
        <f t="shared" si="6"/>
        <v>kg_co2e_excl_luc</v>
      </c>
      <c r="AE99" s="24">
        <f>IF(CropLCAs[[#This Row],[Product fraction]]="",CropLCAs[[#This Row],[CO2e (value)]]*CropLCAs[[#This Row],[Conversion factor (value)]],CropLCAs[[#This Row],[CO2e (value)]]*CropLCAs[[#This Row],[Conversion factor (value)]]/CropLCAs[[#This Row],[Product fraction]]*CropLCAs[[#This Row],[Value fraction]])</f>
        <v>0.32800000000000001</v>
      </c>
      <c r="AF99" s="5"/>
      <c r="AG99" s="5" t="str">
        <f t="shared" si="7"/>
        <v>processed_ghg</v>
      </c>
      <c r="AH99" s="5"/>
      <c r="AI99" s="5"/>
      <c r="AJ99" s="8" t="str">
        <f>IF(CropLCAs[[#This Row],[product_fraction]]&gt;0,CropLCAs[[#This Row],[footprint]]/CropLCAs[[#This Row],[product_fraction]]*CropLCAs[[#This Row],[value_fraction]],"")</f>
        <v/>
      </c>
      <c r="AK99" s="23">
        <f t="shared" si="8"/>
        <v>3.7037037037037035E-2</v>
      </c>
      <c r="AL99" s="5" t="s">
        <v>109</v>
      </c>
      <c r="AM99" s="5" t="s">
        <v>620</v>
      </c>
      <c r="AN99" s="5"/>
      <c r="AO99" s="5"/>
      <c r="AP99" s="5"/>
      <c r="AQ99" s="5"/>
      <c r="AR99" s="5"/>
      <c r="AS99" s="5"/>
      <c r="AT99" s="5"/>
      <c r="AU99" s="5"/>
    </row>
    <row r="100" spans="1:47" ht="44.1" customHeight="1" x14ac:dyDescent="0.2">
      <c r="A100" s="5" t="s">
        <v>123</v>
      </c>
      <c r="B100" s="5" t="s">
        <v>1440</v>
      </c>
      <c r="C100" s="5">
        <v>2010</v>
      </c>
      <c r="D100" s="7" t="s">
        <v>616</v>
      </c>
      <c r="E100" s="6" t="s">
        <v>1321</v>
      </c>
      <c r="F100" s="5" t="s">
        <v>5</v>
      </c>
      <c r="G100" s="5" t="str">
        <f>IF(CropLCAs[[#This Row],[fbs_item]]="Insects","insect_ghg","plant_ghg")</f>
        <v>plant_ghg</v>
      </c>
      <c r="H100" s="49" t="s">
        <v>1296</v>
      </c>
      <c r="I100" s="49"/>
      <c r="J100" s="49"/>
      <c r="K100" s="5" t="s">
        <v>778</v>
      </c>
      <c r="L100" s="5" t="s">
        <v>621</v>
      </c>
      <c r="M100" s="5" t="s">
        <v>102</v>
      </c>
      <c r="N100" s="5" t="s">
        <v>102</v>
      </c>
      <c r="O100" s="5" t="s">
        <v>109</v>
      </c>
      <c r="P100" s="5" t="s">
        <v>102</v>
      </c>
      <c r="Q100" s="5" t="s">
        <v>102</v>
      </c>
      <c r="R100" s="5" t="s">
        <v>164</v>
      </c>
      <c r="S100" s="5" t="s">
        <v>102</v>
      </c>
      <c r="T100" s="5" t="s">
        <v>109</v>
      </c>
      <c r="U100" s="5">
        <v>100</v>
      </c>
      <c r="V100" s="5">
        <v>1</v>
      </c>
      <c r="W100" s="5" t="s">
        <v>165</v>
      </c>
      <c r="X100" s="24">
        <v>297</v>
      </c>
      <c r="Y100" s="5" t="s">
        <v>106</v>
      </c>
      <c r="Z100" s="5"/>
      <c r="AA100" s="5"/>
      <c r="AB100" s="24">
        <v>1E-3</v>
      </c>
      <c r="AC100" s="5" t="s">
        <v>274</v>
      </c>
      <c r="AD100" s="5" t="str">
        <f t="shared" si="6"/>
        <v>kg_co2e_excl_luc</v>
      </c>
      <c r="AE100" s="24">
        <f>IF(CropLCAs[[#This Row],[Product fraction]]="",CropLCAs[[#This Row],[CO2e (value)]]*CropLCAs[[#This Row],[Conversion factor (value)]],CropLCAs[[#This Row],[CO2e (value)]]*CropLCAs[[#This Row],[Conversion factor (value)]]/CropLCAs[[#This Row],[Product fraction]]*CropLCAs[[#This Row],[Value fraction]])</f>
        <v>0.29699999999999999</v>
      </c>
      <c r="AF100" s="5"/>
      <c r="AG100" s="5" t="str">
        <f t="shared" si="7"/>
        <v>processed_ghg</v>
      </c>
      <c r="AH100" s="5"/>
      <c r="AI100" s="5"/>
      <c r="AJ100" s="8" t="str">
        <f>IF(CropLCAs[[#This Row],[product_fraction]]&gt;0,CropLCAs[[#This Row],[footprint]]/CropLCAs[[#This Row],[product_fraction]]*CropLCAs[[#This Row],[value_fraction]],"")</f>
        <v/>
      </c>
      <c r="AK100" s="23">
        <f t="shared" si="8"/>
        <v>3.7037037037037035E-2</v>
      </c>
      <c r="AL100" s="5" t="s">
        <v>109</v>
      </c>
      <c r="AM100" s="5" t="s">
        <v>620</v>
      </c>
      <c r="AN100" s="5"/>
      <c r="AO100" s="5"/>
      <c r="AP100" s="5"/>
      <c r="AQ100" s="5"/>
      <c r="AR100" s="5"/>
      <c r="AS100" s="5"/>
      <c r="AT100" s="5"/>
      <c r="AU100" s="5"/>
    </row>
    <row r="101" spans="1:47" ht="44.1" customHeight="1" x14ac:dyDescent="0.2">
      <c r="A101" s="5" t="s">
        <v>123</v>
      </c>
      <c r="B101" s="5" t="s">
        <v>1440</v>
      </c>
      <c r="C101" s="5">
        <v>2010</v>
      </c>
      <c r="D101" s="7" t="s">
        <v>616</v>
      </c>
      <c r="E101" s="6" t="s">
        <v>1321</v>
      </c>
      <c r="F101" s="5" t="s">
        <v>5</v>
      </c>
      <c r="G101" s="5" t="str">
        <f>IF(CropLCAs[[#This Row],[fbs_item]]="Insects","insect_ghg","plant_ghg")</f>
        <v>plant_ghg</v>
      </c>
      <c r="H101" s="49" t="s">
        <v>1296</v>
      </c>
      <c r="I101" s="49"/>
      <c r="J101" s="49"/>
      <c r="K101" s="5" t="s">
        <v>778</v>
      </c>
      <c r="L101" s="5" t="s">
        <v>622</v>
      </c>
      <c r="M101" s="5" t="s">
        <v>102</v>
      </c>
      <c r="N101" s="5" t="s">
        <v>102</v>
      </c>
      <c r="O101" s="5" t="s">
        <v>109</v>
      </c>
      <c r="P101" s="5" t="s">
        <v>102</v>
      </c>
      <c r="Q101" s="5" t="s">
        <v>102</v>
      </c>
      <c r="R101" s="5" t="s">
        <v>164</v>
      </c>
      <c r="S101" s="5" t="s">
        <v>102</v>
      </c>
      <c r="T101" s="5" t="s">
        <v>109</v>
      </c>
      <c r="U101" s="5">
        <v>100</v>
      </c>
      <c r="V101" s="5">
        <v>1</v>
      </c>
      <c r="W101" s="5" t="s">
        <v>165</v>
      </c>
      <c r="X101" s="24">
        <v>298</v>
      </c>
      <c r="Y101" s="5" t="s">
        <v>106</v>
      </c>
      <c r="Z101" s="5"/>
      <c r="AA101" s="5"/>
      <c r="AB101" s="24">
        <v>1E-3</v>
      </c>
      <c r="AC101" s="5" t="s">
        <v>274</v>
      </c>
      <c r="AD101" s="5" t="str">
        <f t="shared" si="6"/>
        <v>kg_co2e_excl_luc</v>
      </c>
      <c r="AE101" s="24">
        <f>IF(CropLCAs[[#This Row],[Product fraction]]="",CropLCAs[[#This Row],[CO2e (value)]]*CropLCAs[[#This Row],[Conversion factor (value)]],CropLCAs[[#This Row],[CO2e (value)]]*CropLCAs[[#This Row],[Conversion factor (value)]]/CropLCAs[[#This Row],[Product fraction]]*CropLCAs[[#This Row],[Value fraction]])</f>
        <v>0.29799999999999999</v>
      </c>
      <c r="AF101" s="5"/>
      <c r="AG101" s="5" t="str">
        <f t="shared" si="7"/>
        <v>processed_ghg</v>
      </c>
      <c r="AH101" s="5"/>
      <c r="AI101" s="5"/>
      <c r="AJ101" s="8" t="str">
        <f>IF(CropLCAs[[#This Row],[product_fraction]]&gt;0,CropLCAs[[#This Row],[footprint]]/CropLCAs[[#This Row],[product_fraction]]*CropLCAs[[#This Row],[value_fraction]],"")</f>
        <v/>
      </c>
      <c r="AK101" s="23">
        <f t="shared" si="8"/>
        <v>3.7037037037037035E-2</v>
      </c>
      <c r="AL101" s="5" t="s">
        <v>109</v>
      </c>
      <c r="AM101" s="5" t="s">
        <v>620</v>
      </c>
      <c r="AN101" s="5"/>
      <c r="AO101" s="5"/>
      <c r="AP101" s="5"/>
      <c r="AQ101" s="5"/>
      <c r="AR101" s="5"/>
      <c r="AS101" s="5"/>
      <c r="AT101" s="5"/>
      <c r="AU101" s="5"/>
    </row>
    <row r="102" spans="1:47" ht="44.1" customHeight="1" x14ac:dyDescent="0.2">
      <c r="A102" s="5" t="s">
        <v>123</v>
      </c>
      <c r="B102" s="5" t="s">
        <v>1440</v>
      </c>
      <c r="C102" s="5">
        <v>2010</v>
      </c>
      <c r="D102" s="7" t="s">
        <v>616</v>
      </c>
      <c r="E102" s="6" t="s">
        <v>1321</v>
      </c>
      <c r="F102" s="5" t="s">
        <v>5</v>
      </c>
      <c r="G102" s="5" t="str">
        <f>IF(CropLCAs[[#This Row],[fbs_item]]="Insects","insect_ghg","plant_ghg")</f>
        <v>plant_ghg</v>
      </c>
      <c r="H102" s="49" t="s">
        <v>1296</v>
      </c>
      <c r="I102" s="49"/>
      <c r="J102" s="49"/>
      <c r="K102" s="5" t="s">
        <v>778</v>
      </c>
      <c r="L102" s="5" t="s">
        <v>623</v>
      </c>
      <c r="M102" s="5" t="s">
        <v>102</v>
      </c>
      <c r="N102" s="5" t="s">
        <v>102</v>
      </c>
      <c r="O102" s="5" t="s">
        <v>109</v>
      </c>
      <c r="P102" s="5" t="s">
        <v>102</v>
      </c>
      <c r="Q102" s="5" t="s">
        <v>102</v>
      </c>
      <c r="R102" s="5" t="s">
        <v>164</v>
      </c>
      <c r="S102" s="5" t="s">
        <v>102</v>
      </c>
      <c r="T102" s="5" t="s">
        <v>109</v>
      </c>
      <c r="U102" s="5">
        <v>100</v>
      </c>
      <c r="V102" s="5">
        <v>1</v>
      </c>
      <c r="W102" s="5" t="s">
        <v>165</v>
      </c>
      <c r="X102" s="24">
        <v>347</v>
      </c>
      <c r="Y102" s="5" t="s">
        <v>106</v>
      </c>
      <c r="Z102" s="5"/>
      <c r="AA102" s="5"/>
      <c r="AB102" s="24">
        <v>1E-3</v>
      </c>
      <c r="AC102" s="5" t="s">
        <v>274</v>
      </c>
      <c r="AD102" s="5" t="str">
        <f t="shared" si="6"/>
        <v>kg_co2e_excl_luc</v>
      </c>
      <c r="AE102" s="24">
        <f>IF(CropLCAs[[#This Row],[Product fraction]]="",CropLCAs[[#This Row],[CO2e (value)]]*CropLCAs[[#This Row],[Conversion factor (value)]],CropLCAs[[#This Row],[CO2e (value)]]*CropLCAs[[#This Row],[Conversion factor (value)]]/CropLCAs[[#This Row],[Product fraction]]*CropLCAs[[#This Row],[Value fraction]])</f>
        <v>0.34700000000000003</v>
      </c>
      <c r="AF102" s="5"/>
      <c r="AG102" s="5" t="str">
        <f t="shared" si="7"/>
        <v>processed_ghg</v>
      </c>
      <c r="AH102" s="5"/>
      <c r="AI102" s="5"/>
      <c r="AJ102" s="8" t="str">
        <f>IF(CropLCAs[[#This Row],[product_fraction]]&gt;0,CropLCAs[[#This Row],[footprint]]/CropLCAs[[#This Row],[product_fraction]]*CropLCAs[[#This Row],[value_fraction]],"")</f>
        <v/>
      </c>
      <c r="AK102" s="23">
        <f t="shared" si="8"/>
        <v>3.7037037037037035E-2</v>
      </c>
      <c r="AL102" s="5" t="s">
        <v>109</v>
      </c>
      <c r="AM102" s="5" t="s">
        <v>620</v>
      </c>
      <c r="AN102" s="5"/>
      <c r="AO102" s="5"/>
      <c r="AP102" s="5"/>
      <c r="AQ102" s="5"/>
      <c r="AR102" s="5"/>
      <c r="AS102" s="5"/>
      <c r="AT102" s="5"/>
      <c r="AU102" s="5"/>
    </row>
    <row r="103" spans="1:47" ht="44.1" customHeight="1" x14ac:dyDescent="0.2">
      <c r="A103" s="5" t="s">
        <v>123</v>
      </c>
      <c r="B103" s="5" t="s">
        <v>1440</v>
      </c>
      <c r="C103" s="5">
        <v>2010</v>
      </c>
      <c r="D103" s="7" t="s">
        <v>616</v>
      </c>
      <c r="E103" s="6" t="s">
        <v>1321</v>
      </c>
      <c r="F103" s="5" t="s">
        <v>5</v>
      </c>
      <c r="G103" s="5" t="str">
        <f>IF(CropLCAs[[#This Row],[fbs_item]]="Insects","insect_ghg","plant_ghg")</f>
        <v>plant_ghg</v>
      </c>
      <c r="H103" s="49" t="s">
        <v>1296</v>
      </c>
      <c r="I103" s="49"/>
      <c r="J103" s="49"/>
      <c r="K103" s="5" t="s">
        <v>778</v>
      </c>
      <c r="L103" s="5" t="s">
        <v>624</v>
      </c>
      <c r="M103" s="5" t="s">
        <v>102</v>
      </c>
      <c r="N103" s="5" t="s">
        <v>102</v>
      </c>
      <c r="O103" s="5" t="s">
        <v>109</v>
      </c>
      <c r="P103" s="5" t="s">
        <v>102</v>
      </c>
      <c r="Q103" s="5" t="s">
        <v>102</v>
      </c>
      <c r="R103" s="5" t="s">
        <v>164</v>
      </c>
      <c r="S103" s="5" t="s">
        <v>102</v>
      </c>
      <c r="T103" s="5" t="s">
        <v>109</v>
      </c>
      <c r="U103" s="5">
        <v>100</v>
      </c>
      <c r="V103" s="5">
        <v>1</v>
      </c>
      <c r="W103" s="5" t="s">
        <v>165</v>
      </c>
      <c r="X103" s="24">
        <v>363</v>
      </c>
      <c r="Y103" s="5" t="s">
        <v>106</v>
      </c>
      <c r="Z103" s="5"/>
      <c r="AA103" s="5"/>
      <c r="AB103" s="24">
        <v>1E-3</v>
      </c>
      <c r="AC103" s="5" t="s">
        <v>274</v>
      </c>
      <c r="AD103" s="5" t="str">
        <f t="shared" si="6"/>
        <v>kg_co2e_excl_luc</v>
      </c>
      <c r="AE103" s="24">
        <f>IF(CropLCAs[[#This Row],[Product fraction]]="",CropLCAs[[#This Row],[CO2e (value)]]*CropLCAs[[#This Row],[Conversion factor (value)]],CropLCAs[[#This Row],[CO2e (value)]]*CropLCAs[[#This Row],[Conversion factor (value)]]/CropLCAs[[#This Row],[Product fraction]]*CropLCAs[[#This Row],[Value fraction]])</f>
        <v>0.36299999999999999</v>
      </c>
      <c r="AF103" s="5"/>
      <c r="AG103" s="5" t="str">
        <f t="shared" si="7"/>
        <v>processed_ghg</v>
      </c>
      <c r="AH103" s="5"/>
      <c r="AI103" s="5"/>
      <c r="AJ103" s="8" t="str">
        <f>IF(CropLCAs[[#This Row],[product_fraction]]&gt;0,CropLCAs[[#This Row],[footprint]]/CropLCAs[[#This Row],[product_fraction]]*CropLCAs[[#This Row],[value_fraction]],"")</f>
        <v/>
      </c>
      <c r="AK103" s="23">
        <f t="shared" si="8"/>
        <v>3.7037037037037035E-2</v>
      </c>
      <c r="AL103" s="5" t="s">
        <v>109</v>
      </c>
      <c r="AM103" s="5" t="s">
        <v>620</v>
      </c>
      <c r="AN103" s="5"/>
      <c r="AO103" s="5"/>
      <c r="AP103" s="5"/>
      <c r="AQ103" s="5"/>
      <c r="AR103" s="5"/>
      <c r="AS103" s="5"/>
      <c r="AT103" s="5"/>
      <c r="AU103" s="5"/>
    </row>
    <row r="104" spans="1:47" ht="44.1" customHeight="1" x14ac:dyDescent="0.2">
      <c r="A104" s="5" t="s">
        <v>123</v>
      </c>
      <c r="B104" s="5" t="s">
        <v>1440</v>
      </c>
      <c r="C104" s="5">
        <v>2010</v>
      </c>
      <c r="D104" s="7" t="s">
        <v>616</v>
      </c>
      <c r="E104" s="6" t="s">
        <v>1321</v>
      </c>
      <c r="F104" s="5" t="s">
        <v>5</v>
      </c>
      <c r="G104" s="5" t="str">
        <f>IF(CropLCAs[[#This Row],[fbs_item]]="Insects","insect_ghg","plant_ghg")</f>
        <v>plant_ghg</v>
      </c>
      <c r="H104" s="49" t="s">
        <v>1296</v>
      </c>
      <c r="I104" s="49"/>
      <c r="J104" s="49"/>
      <c r="K104" s="5" t="s">
        <v>778</v>
      </c>
      <c r="L104" s="5" t="s">
        <v>625</v>
      </c>
      <c r="M104" s="5" t="s">
        <v>102</v>
      </c>
      <c r="N104" s="5" t="s">
        <v>102</v>
      </c>
      <c r="O104" s="5" t="s">
        <v>109</v>
      </c>
      <c r="P104" s="5" t="s">
        <v>102</v>
      </c>
      <c r="Q104" s="5" t="s">
        <v>102</v>
      </c>
      <c r="R104" s="5" t="s">
        <v>164</v>
      </c>
      <c r="S104" s="5" t="s">
        <v>102</v>
      </c>
      <c r="T104" s="5" t="s">
        <v>109</v>
      </c>
      <c r="U104" s="5">
        <v>100</v>
      </c>
      <c r="V104" s="5">
        <v>1</v>
      </c>
      <c r="W104" s="5" t="s">
        <v>165</v>
      </c>
      <c r="X104" s="24">
        <v>359</v>
      </c>
      <c r="Y104" s="5" t="s">
        <v>106</v>
      </c>
      <c r="Z104" s="5"/>
      <c r="AA104" s="5"/>
      <c r="AB104" s="24">
        <v>1E-3</v>
      </c>
      <c r="AC104" s="5" t="s">
        <v>274</v>
      </c>
      <c r="AD104" s="5" t="str">
        <f t="shared" si="6"/>
        <v>kg_co2e_excl_luc</v>
      </c>
      <c r="AE104" s="24">
        <f>IF(CropLCAs[[#This Row],[Product fraction]]="",CropLCAs[[#This Row],[CO2e (value)]]*CropLCAs[[#This Row],[Conversion factor (value)]],CropLCAs[[#This Row],[CO2e (value)]]*CropLCAs[[#This Row],[Conversion factor (value)]]/CropLCAs[[#This Row],[Product fraction]]*CropLCAs[[#This Row],[Value fraction]])</f>
        <v>0.35899999999999999</v>
      </c>
      <c r="AF104" s="5"/>
      <c r="AG104" s="5" t="str">
        <f t="shared" si="7"/>
        <v>processed_ghg</v>
      </c>
      <c r="AH104" s="5"/>
      <c r="AI104" s="5"/>
      <c r="AJ104" s="8" t="str">
        <f>IF(CropLCAs[[#This Row],[product_fraction]]&gt;0,CropLCAs[[#This Row],[footprint]]/CropLCAs[[#This Row],[product_fraction]]*CropLCAs[[#This Row],[value_fraction]],"")</f>
        <v/>
      </c>
      <c r="AK104" s="23">
        <f t="shared" si="8"/>
        <v>3.7037037037037035E-2</v>
      </c>
      <c r="AL104" s="5" t="s">
        <v>109</v>
      </c>
      <c r="AM104" s="5" t="s">
        <v>620</v>
      </c>
      <c r="AN104" s="5"/>
      <c r="AO104" s="5"/>
      <c r="AP104" s="5"/>
      <c r="AQ104" s="5"/>
      <c r="AR104" s="5"/>
      <c r="AS104" s="5"/>
      <c r="AT104" s="5"/>
      <c r="AU104" s="5"/>
    </row>
    <row r="105" spans="1:47" ht="44.1" customHeight="1" x14ac:dyDescent="0.2">
      <c r="A105" s="5" t="s">
        <v>123</v>
      </c>
      <c r="B105" s="5" t="s">
        <v>1440</v>
      </c>
      <c r="C105" s="5">
        <v>2010</v>
      </c>
      <c r="D105" s="7" t="s">
        <v>616</v>
      </c>
      <c r="E105" s="6" t="s">
        <v>1321</v>
      </c>
      <c r="F105" s="5" t="s">
        <v>5</v>
      </c>
      <c r="G105" s="5" t="str">
        <f>IF(CropLCAs[[#This Row],[fbs_item]]="Insects","insect_ghg","plant_ghg")</f>
        <v>plant_ghg</v>
      </c>
      <c r="H105" s="49" t="s">
        <v>1296</v>
      </c>
      <c r="I105" s="49"/>
      <c r="J105" s="49"/>
      <c r="K105" s="5" t="s">
        <v>778</v>
      </c>
      <c r="L105" s="5" t="s">
        <v>626</v>
      </c>
      <c r="M105" s="5" t="s">
        <v>102</v>
      </c>
      <c r="N105" s="5" t="s">
        <v>102</v>
      </c>
      <c r="O105" s="5" t="s">
        <v>109</v>
      </c>
      <c r="P105" s="5" t="s">
        <v>102</v>
      </c>
      <c r="Q105" s="5" t="s">
        <v>102</v>
      </c>
      <c r="R105" s="5" t="s">
        <v>164</v>
      </c>
      <c r="S105" s="5" t="s">
        <v>102</v>
      </c>
      <c r="T105" s="5" t="s">
        <v>109</v>
      </c>
      <c r="U105" s="5">
        <v>100</v>
      </c>
      <c r="V105" s="5">
        <v>1</v>
      </c>
      <c r="W105" s="5" t="s">
        <v>165</v>
      </c>
      <c r="X105" s="24">
        <v>562</v>
      </c>
      <c r="Y105" s="5" t="s">
        <v>106</v>
      </c>
      <c r="Z105" s="5"/>
      <c r="AA105" s="5"/>
      <c r="AB105" s="24">
        <v>1E-3</v>
      </c>
      <c r="AC105" s="5" t="s">
        <v>274</v>
      </c>
      <c r="AD105" s="5" t="str">
        <f t="shared" si="6"/>
        <v>kg_co2e_excl_luc</v>
      </c>
      <c r="AE105" s="24">
        <f>IF(CropLCAs[[#This Row],[Product fraction]]="",CropLCAs[[#This Row],[CO2e (value)]]*CropLCAs[[#This Row],[Conversion factor (value)]],CropLCAs[[#This Row],[CO2e (value)]]*CropLCAs[[#This Row],[Conversion factor (value)]]/CropLCAs[[#This Row],[Product fraction]]*CropLCAs[[#This Row],[Value fraction]])</f>
        <v>0.56200000000000006</v>
      </c>
      <c r="AF105" s="5"/>
      <c r="AG105" s="5" t="str">
        <f t="shared" si="7"/>
        <v>processed_ghg</v>
      </c>
      <c r="AH105" s="5"/>
      <c r="AI105" s="5"/>
      <c r="AJ105" s="8" t="str">
        <f>IF(CropLCAs[[#This Row],[product_fraction]]&gt;0,CropLCAs[[#This Row],[footprint]]/CropLCAs[[#This Row],[product_fraction]]*CropLCAs[[#This Row],[value_fraction]],"")</f>
        <v/>
      </c>
      <c r="AK105" s="23">
        <f t="shared" si="8"/>
        <v>3.7037037037037035E-2</v>
      </c>
      <c r="AL105" s="5" t="s">
        <v>109</v>
      </c>
      <c r="AM105" s="5" t="s">
        <v>620</v>
      </c>
      <c r="AN105" s="5"/>
      <c r="AO105" s="5"/>
      <c r="AP105" s="5"/>
      <c r="AQ105" s="5"/>
      <c r="AR105" s="5"/>
      <c r="AS105" s="5"/>
      <c r="AT105" s="5"/>
      <c r="AU105" s="5"/>
    </row>
    <row r="106" spans="1:47" ht="44.1" customHeight="1" x14ac:dyDescent="0.2">
      <c r="A106" s="5" t="s">
        <v>123</v>
      </c>
      <c r="B106" s="5" t="s">
        <v>1440</v>
      </c>
      <c r="C106" s="5">
        <v>2010</v>
      </c>
      <c r="D106" s="7" t="s">
        <v>616</v>
      </c>
      <c r="E106" s="6" t="s">
        <v>1321</v>
      </c>
      <c r="F106" s="5" t="s">
        <v>5</v>
      </c>
      <c r="G106" s="5" t="str">
        <f>IF(CropLCAs[[#This Row],[fbs_item]]="Insects","insect_ghg","plant_ghg")</f>
        <v>plant_ghg</v>
      </c>
      <c r="H106" s="49" t="s">
        <v>1296</v>
      </c>
      <c r="I106" s="49"/>
      <c r="J106" s="49"/>
      <c r="K106" s="5" t="s">
        <v>778</v>
      </c>
      <c r="L106" s="5" t="s">
        <v>627</v>
      </c>
      <c r="M106" s="5" t="s">
        <v>102</v>
      </c>
      <c r="N106" s="5" t="s">
        <v>102</v>
      </c>
      <c r="O106" s="5" t="s">
        <v>109</v>
      </c>
      <c r="P106" s="5" t="s">
        <v>102</v>
      </c>
      <c r="Q106" s="5" t="s">
        <v>102</v>
      </c>
      <c r="R106" s="5" t="s">
        <v>164</v>
      </c>
      <c r="S106" s="5" t="s">
        <v>102</v>
      </c>
      <c r="T106" s="5" t="s">
        <v>109</v>
      </c>
      <c r="U106" s="5">
        <v>100</v>
      </c>
      <c r="V106" s="5">
        <v>1</v>
      </c>
      <c r="W106" s="5" t="s">
        <v>165</v>
      </c>
      <c r="X106" s="24">
        <v>611</v>
      </c>
      <c r="Y106" s="5" t="s">
        <v>106</v>
      </c>
      <c r="Z106" s="5"/>
      <c r="AA106" s="5"/>
      <c r="AB106" s="24">
        <v>1E-3</v>
      </c>
      <c r="AC106" s="5" t="s">
        <v>274</v>
      </c>
      <c r="AD106" s="5" t="str">
        <f t="shared" si="6"/>
        <v>kg_co2e_excl_luc</v>
      </c>
      <c r="AE106" s="24">
        <f>IF(CropLCAs[[#This Row],[Product fraction]]="",CropLCAs[[#This Row],[CO2e (value)]]*CropLCAs[[#This Row],[Conversion factor (value)]],CropLCAs[[#This Row],[CO2e (value)]]*CropLCAs[[#This Row],[Conversion factor (value)]]/CropLCAs[[#This Row],[Product fraction]]*CropLCAs[[#This Row],[Value fraction]])</f>
        <v>0.61099999999999999</v>
      </c>
      <c r="AF106" s="5"/>
      <c r="AG106" s="5" t="str">
        <f t="shared" si="7"/>
        <v>processed_ghg</v>
      </c>
      <c r="AH106" s="5"/>
      <c r="AI106" s="5"/>
      <c r="AJ106" s="8" t="str">
        <f>IF(CropLCAs[[#This Row],[product_fraction]]&gt;0,CropLCAs[[#This Row],[footprint]]/CropLCAs[[#This Row],[product_fraction]]*CropLCAs[[#This Row],[value_fraction]],"")</f>
        <v/>
      </c>
      <c r="AK106" s="23">
        <f t="shared" si="8"/>
        <v>3.7037037037037035E-2</v>
      </c>
      <c r="AL106" s="5" t="s">
        <v>109</v>
      </c>
      <c r="AM106" s="5" t="s">
        <v>620</v>
      </c>
      <c r="AN106" s="5"/>
      <c r="AO106" s="5"/>
      <c r="AP106" s="5"/>
      <c r="AQ106" s="5"/>
      <c r="AR106" s="5"/>
      <c r="AS106" s="5"/>
      <c r="AT106" s="5"/>
      <c r="AU106" s="5"/>
    </row>
    <row r="107" spans="1:47" ht="44.1" customHeight="1" x14ac:dyDescent="0.2">
      <c r="A107" s="5" t="s">
        <v>123</v>
      </c>
      <c r="B107" s="5" t="s">
        <v>1440</v>
      </c>
      <c r="C107" s="5">
        <v>2010</v>
      </c>
      <c r="D107" s="7" t="s">
        <v>616</v>
      </c>
      <c r="E107" s="6" t="s">
        <v>1321</v>
      </c>
      <c r="F107" s="5" t="s">
        <v>5</v>
      </c>
      <c r="G107" s="5" t="str">
        <f>IF(CropLCAs[[#This Row],[fbs_item]]="Insects","insect_ghg","plant_ghg")</f>
        <v>plant_ghg</v>
      </c>
      <c r="H107" s="49" t="s">
        <v>1296</v>
      </c>
      <c r="I107" s="49"/>
      <c r="J107" s="49"/>
      <c r="K107" s="5" t="s">
        <v>778</v>
      </c>
      <c r="L107" s="5" t="s">
        <v>628</v>
      </c>
      <c r="M107" s="5" t="s">
        <v>102</v>
      </c>
      <c r="N107" s="5" t="s">
        <v>102</v>
      </c>
      <c r="O107" s="5" t="s">
        <v>109</v>
      </c>
      <c r="P107" s="5" t="s">
        <v>102</v>
      </c>
      <c r="Q107" s="5" t="s">
        <v>102</v>
      </c>
      <c r="R107" s="5" t="s">
        <v>164</v>
      </c>
      <c r="S107" s="5" t="s">
        <v>102</v>
      </c>
      <c r="T107" s="5" t="s">
        <v>109</v>
      </c>
      <c r="U107" s="5">
        <v>100</v>
      </c>
      <c r="V107" s="5">
        <v>1</v>
      </c>
      <c r="W107" s="5" t="s">
        <v>165</v>
      </c>
      <c r="X107" s="24">
        <v>589</v>
      </c>
      <c r="Y107" s="5" t="s">
        <v>106</v>
      </c>
      <c r="Z107" s="5"/>
      <c r="AA107" s="5"/>
      <c r="AB107" s="24">
        <v>1E-3</v>
      </c>
      <c r="AC107" s="5" t="s">
        <v>274</v>
      </c>
      <c r="AD107" s="5" t="str">
        <f t="shared" si="6"/>
        <v>kg_co2e_excl_luc</v>
      </c>
      <c r="AE107" s="24">
        <f>IF(CropLCAs[[#This Row],[Product fraction]]="",CropLCAs[[#This Row],[CO2e (value)]]*CropLCAs[[#This Row],[Conversion factor (value)]],CropLCAs[[#This Row],[CO2e (value)]]*CropLCAs[[#This Row],[Conversion factor (value)]]/CropLCAs[[#This Row],[Product fraction]]*CropLCAs[[#This Row],[Value fraction]])</f>
        <v>0.58899999999999997</v>
      </c>
      <c r="AF107" s="5"/>
      <c r="AG107" s="5" t="str">
        <f t="shared" si="7"/>
        <v>processed_ghg</v>
      </c>
      <c r="AH107" s="5"/>
      <c r="AI107" s="5"/>
      <c r="AJ107" s="8" t="str">
        <f>IF(CropLCAs[[#This Row],[product_fraction]]&gt;0,CropLCAs[[#This Row],[footprint]]/CropLCAs[[#This Row],[product_fraction]]*CropLCAs[[#This Row],[value_fraction]],"")</f>
        <v/>
      </c>
      <c r="AK107" s="23">
        <f t="shared" si="8"/>
        <v>3.7037037037037035E-2</v>
      </c>
      <c r="AL107" s="5" t="s">
        <v>109</v>
      </c>
      <c r="AM107" s="5" t="s">
        <v>620</v>
      </c>
      <c r="AN107" s="5"/>
      <c r="AO107" s="5"/>
      <c r="AP107" s="5"/>
      <c r="AQ107" s="5"/>
      <c r="AR107" s="5"/>
      <c r="AS107" s="5"/>
      <c r="AT107" s="5"/>
      <c r="AU107" s="5"/>
    </row>
    <row r="108" spans="1:47" ht="44.1" customHeight="1" x14ac:dyDescent="0.2">
      <c r="A108" s="17" t="s">
        <v>123</v>
      </c>
      <c r="B108" s="17" t="s">
        <v>615</v>
      </c>
      <c r="C108" s="17"/>
      <c r="D108" s="17" t="s">
        <v>616</v>
      </c>
      <c r="E108" s="19" t="s">
        <v>617</v>
      </c>
      <c r="F108" s="17" t="s">
        <v>5</v>
      </c>
      <c r="G108" s="17" t="str">
        <f>IF(CropLCAs[[#This Row],[fbs_item]]="Insects","insect_ghg","plant_ghg")</f>
        <v>plant_ghg</v>
      </c>
      <c r="H108" s="50" t="s">
        <v>618</v>
      </c>
      <c r="I108" s="50"/>
      <c r="J108" s="50"/>
      <c r="K108" s="17" t="s">
        <v>833</v>
      </c>
      <c r="L108" s="17" t="s">
        <v>619</v>
      </c>
      <c r="M108" s="17" t="s">
        <v>102</v>
      </c>
      <c r="N108" s="17" t="s">
        <v>102</v>
      </c>
      <c r="O108" s="17" t="s">
        <v>109</v>
      </c>
      <c r="P108" s="17" t="s">
        <v>834</v>
      </c>
      <c r="Q108" s="17" t="s">
        <v>102</v>
      </c>
      <c r="R108" s="17" t="s">
        <v>164</v>
      </c>
      <c r="S108" s="17" t="s">
        <v>102</v>
      </c>
      <c r="T108" s="17" t="s">
        <v>109</v>
      </c>
      <c r="U108" s="17">
        <v>100</v>
      </c>
      <c r="V108" s="17">
        <v>1</v>
      </c>
      <c r="W108" s="17" t="s">
        <v>835</v>
      </c>
      <c r="X108" s="30"/>
      <c r="Y108" s="17" t="s">
        <v>106</v>
      </c>
      <c r="Z108" s="17"/>
      <c r="AA108" s="17"/>
      <c r="AB108" s="30">
        <v>1E-3</v>
      </c>
      <c r="AC108" s="17" t="s">
        <v>274</v>
      </c>
      <c r="AD108" s="17" t="str">
        <f t="shared" si="6"/>
        <v>kg_co2e_excl_luc</v>
      </c>
      <c r="AE108" s="30">
        <f>IF(CropLCAs[[#This Row],[Product fraction]]="",CropLCAs[[#This Row],[CO2e (value)]]*CropLCAs[[#This Row],[Conversion factor (value)]],CropLCAs[[#This Row],[CO2e (value)]]*CropLCAs[[#This Row],[Conversion factor (value)]]/CropLCAs[[#This Row],[Product fraction]]*CropLCAs[[#This Row],[Value fraction]])</f>
        <v>0</v>
      </c>
      <c r="AF108" s="22"/>
      <c r="AG108" s="22" t="str">
        <f t="shared" si="7"/>
        <v>processed_ghg</v>
      </c>
      <c r="AH108" s="22"/>
      <c r="AI108" s="22"/>
      <c r="AJ108" s="18" t="str">
        <f>IF(CropLCAs[[#This Row],[product_fraction]]&gt;0,CropLCAs[[#This Row],[footprint]]/CropLCAs[[#This Row],[product_fraction]]*CropLCAs[[#This Row],[value_fraction]],"")</f>
        <v/>
      </c>
      <c r="AK108" s="29"/>
      <c r="AL108" s="22" t="s">
        <v>832</v>
      </c>
      <c r="AM108" s="17" t="s">
        <v>620</v>
      </c>
      <c r="AN108" s="17"/>
      <c r="AO108" s="17"/>
      <c r="AP108" s="17"/>
      <c r="AQ108" s="5"/>
      <c r="AR108" s="5"/>
      <c r="AS108" s="5"/>
      <c r="AT108" s="5"/>
      <c r="AU108" s="5"/>
    </row>
    <row r="109" spans="1:47" ht="44.1" customHeight="1" x14ac:dyDescent="0.2">
      <c r="A109" s="17" t="s">
        <v>123</v>
      </c>
      <c r="B109" s="17" t="s">
        <v>615</v>
      </c>
      <c r="C109" s="17"/>
      <c r="D109" s="17" t="s">
        <v>616</v>
      </c>
      <c r="E109" s="19" t="s">
        <v>617</v>
      </c>
      <c r="F109" s="17" t="s">
        <v>5</v>
      </c>
      <c r="G109" s="17" t="str">
        <f>IF(CropLCAs[[#This Row],[fbs_item]]="Insects","insect_ghg","plant_ghg")</f>
        <v>plant_ghg</v>
      </c>
      <c r="H109" s="50" t="s">
        <v>618</v>
      </c>
      <c r="I109" s="50"/>
      <c r="J109" s="50"/>
      <c r="K109" s="17" t="s">
        <v>833</v>
      </c>
      <c r="L109" s="17" t="s">
        <v>621</v>
      </c>
      <c r="M109" s="17" t="s">
        <v>102</v>
      </c>
      <c r="N109" s="17" t="s">
        <v>102</v>
      </c>
      <c r="O109" s="17" t="s">
        <v>109</v>
      </c>
      <c r="P109" s="17" t="s">
        <v>834</v>
      </c>
      <c r="Q109" s="17" t="s">
        <v>102</v>
      </c>
      <c r="R109" s="17" t="s">
        <v>164</v>
      </c>
      <c r="S109" s="17" t="s">
        <v>102</v>
      </c>
      <c r="T109" s="17" t="s">
        <v>109</v>
      </c>
      <c r="U109" s="17">
        <v>100</v>
      </c>
      <c r="V109" s="17">
        <v>1</v>
      </c>
      <c r="W109" s="17" t="s">
        <v>835</v>
      </c>
      <c r="X109" s="30"/>
      <c r="Y109" s="17" t="s">
        <v>106</v>
      </c>
      <c r="Z109" s="17"/>
      <c r="AA109" s="17"/>
      <c r="AB109" s="30">
        <v>1E-3</v>
      </c>
      <c r="AC109" s="17" t="s">
        <v>274</v>
      </c>
      <c r="AD109" s="17" t="str">
        <f t="shared" si="6"/>
        <v>kg_co2e_excl_luc</v>
      </c>
      <c r="AE109" s="30">
        <f>IF(CropLCAs[[#This Row],[Product fraction]]="",CropLCAs[[#This Row],[CO2e (value)]]*CropLCAs[[#This Row],[Conversion factor (value)]],CropLCAs[[#This Row],[CO2e (value)]]*CropLCAs[[#This Row],[Conversion factor (value)]]/CropLCAs[[#This Row],[Product fraction]]*CropLCAs[[#This Row],[Value fraction]])</f>
        <v>0</v>
      </c>
      <c r="AF109" s="22"/>
      <c r="AG109" s="22" t="str">
        <f t="shared" si="7"/>
        <v>processed_ghg</v>
      </c>
      <c r="AH109" s="22"/>
      <c r="AI109" s="22"/>
      <c r="AJ109" s="18" t="str">
        <f>IF(CropLCAs[[#This Row],[product_fraction]]&gt;0,CropLCAs[[#This Row],[footprint]]/CropLCAs[[#This Row],[product_fraction]]*CropLCAs[[#This Row],[value_fraction]],"")</f>
        <v/>
      </c>
      <c r="AK109" s="29"/>
      <c r="AL109" s="22" t="s">
        <v>832</v>
      </c>
      <c r="AM109" s="17" t="s">
        <v>620</v>
      </c>
      <c r="AN109" s="17"/>
      <c r="AO109" s="17"/>
      <c r="AP109" s="17"/>
      <c r="AQ109" s="5"/>
      <c r="AR109" s="5"/>
      <c r="AS109" s="5"/>
      <c r="AT109" s="5"/>
      <c r="AU109" s="5"/>
    </row>
    <row r="110" spans="1:47" ht="44.1" customHeight="1" x14ac:dyDescent="0.2">
      <c r="A110" s="17" t="s">
        <v>123</v>
      </c>
      <c r="B110" s="17" t="s">
        <v>615</v>
      </c>
      <c r="C110" s="17"/>
      <c r="D110" s="17" t="s">
        <v>616</v>
      </c>
      <c r="E110" s="19" t="s">
        <v>617</v>
      </c>
      <c r="F110" s="17" t="s">
        <v>5</v>
      </c>
      <c r="G110" s="17" t="str">
        <f>IF(CropLCAs[[#This Row],[fbs_item]]="Insects","insect_ghg","plant_ghg")</f>
        <v>plant_ghg</v>
      </c>
      <c r="H110" s="50" t="s">
        <v>618</v>
      </c>
      <c r="I110" s="50"/>
      <c r="J110" s="50"/>
      <c r="K110" s="17" t="s">
        <v>833</v>
      </c>
      <c r="L110" s="17" t="s">
        <v>622</v>
      </c>
      <c r="M110" s="17" t="s">
        <v>102</v>
      </c>
      <c r="N110" s="17" t="s">
        <v>102</v>
      </c>
      <c r="O110" s="17" t="s">
        <v>109</v>
      </c>
      <c r="P110" s="17" t="s">
        <v>834</v>
      </c>
      <c r="Q110" s="17" t="s">
        <v>102</v>
      </c>
      <c r="R110" s="17" t="s">
        <v>164</v>
      </c>
      <c r="S110" s="17" t="s">
        <v>102</v>
      </c>
      <c r="T110" s="17" t="s">
        <v>109</v>
      </c>
      <c r="U110" s="17">
        <v>100</v>
      </c>
      <c r="V110" s="17">
        <v>1</v>
      </c>
      <c r="W110" s="17" t="s">
        <v>835</v>
      </c>
      <c r="X110" s="30"/>
      <c r="Y110" s="17" t="s">
        <v>106</v>
      </c>
      <c r="Z110" s="17"/>
      <c r="AA110" s="17"/>
      <c r="AB110" s="30">
        <v>1E-3</v>
      </c>
      <c r="AC110" s="17" t="s">
        <v>274</v>
      </c>
      <c r="AD110" s="17" t="str">
        <f t="shared" si="6"/>
        <v>kg_co2e_excl_luc</v>
      </c>
      <c r="AE110" s="30">
        <f>IF(CropLCAs[[#This Row],[Product fraction]]="",CropLCAs[[#This Row],[CO2e (value)]]*CropLCAs[[#This Row],[Conversion factor (value)]],CropLCAs[[#This Row],[CO2e (value)]]*CropLCAs[[#This Row],[Conversion factor (value)]]/CropLCAs[[#This Row],[Product fraction]]*CropLCAs[[#This Row],[Value fraction]])</f>
        <v>0</v>
      </c>
      <c r="AF110" s="22"/>
      <c r="AG110" s="22" t="str">
        <f t="shared" si="7"/>
        <v>processed_ghg</v>
      </c>
      <c r="AH110" s="22"/>
      <c r="AI110" s="22"/>
      <c r="AJ110" s="18" t="str">
        <f>IF(CropLCAs[[#This Row],[product_fraction]]&gt;0,CropLCAs[[#This Row],[footprint]]/CropLCAs[[#This Row],[product_fraction]]*CropLCAs[[#This Row],[value_fraction]],"")</f>
        <v/>
      </c>
      <c r="AK110" s="29"/>
      <c r="AL110" s="22" t="s">
        <v>832</v>
      </c>
      <c r="AM110" s="17" t="s">
        <v>620</v>
      </c>
      <c r="AN110" s="17"/>
      <c r="AO110" s="17"/>
      <c r="AP110" s="17"/>
      <c r="AQ110" s="5"/>
      <c r="AR110" s="5"/>
      <c r="AS110" s="5"/>
      <c r="AT110" s="5"/>
      <c r="AU110" s="5"/>
    </row>
    <row r="111" spans="1:47" ht="44.1" customHeight="1" x14ac:dyDescent="0.2">
      <c r="A111" s="17" t="s">
        <v>123</v>
      </c>
      <c r="B111" s="17" t="s">
        <v>615</v>
      </c>
      <c r="C111" s="17"/>
      <c r="D111" s="17" t="s">
        <v>616</v>
      </c>
      <c r="E111" s="19" t="s">
        <v>617</v>
      </c>
      <c r="F111" s="17" t="s">
        <v>5</v>
      </c>
      <c r="G111" s="17" t="str">
        <f>IF(CropLCAs[[#This Row],[fbs_item]]="Insects","insect_ghg","plant_ghg")</f>
        <v>plant_ghg</v>
      </c>
      <c r="H111" s="50" t="s">
        <v>618</v>
      </c>
      <c r="I111" s="50"/>
      <c r="J111" s="50"/>
      <c r="K111" s="17" t="s">
        <v>833</v>
      </c>
      <c r="L111" s="17" t="s">
        <v>623</v>
      </c>
      <c r="M111" s="17" t="s">
        <v>102</v>
      </c>
      <c r="N111" s="17" t="s">
        <v>102</v>
      </c>
      <c r="O111" s="17" t="s">
        <v>109</v>
      </c>
      <c r="P111" s="17" t="s">
        <v>834</v>
      </c>
      <c r="Q111" s="17" t="s">
        <v>102</v>
      </c>
      <c r="R111" s="17" t="s">
        <v>164</v>
      </c>
      <c r="S111" s="17" t="s">
        <v>102</v>
      </c>
      <c r="T111" s="17" t="s">
        <v>109</v>
      </c>
      <c r="U111" s="17">
        <v>100</v>
      </c>
      <c r="V111" s="17">
        <v>1</v>
      </c>
      <c r="W111" s="17" t="s">
        <v>835</v>
      </c>
      <c r="X111" s="30"/>
      <c r="Y111" s="17" t="s">
        <v>106</v>
      </c>
      <c r="Z111" s="17"/>
      <c r="AA111" s="17"/>
      <c r="AB111" s="30">
        <v>1E-3</v>
      </c>
      <c r="AC111" s="17" t="s">
        <v>274</v>
      </c>
      <c r="AD111" s="17" t="str">
        <f t="shared" si="6"/>
        <v>kg_co2e_excl_luc</v>
      </c>
      <c r="AE111" s="30">
        <f>IF(CropLCAs[[#This Row],[Product fraction]]="",CropLCAs[[#This Row],[CO2e (value)]]*CropLCAs[[#This Row],[Conversion factor (value)]],CropLCAs[[#This Row],[CO2e (value)]]*CropLCAs[[#This Row],[Conversion factor (value)]]/CropLCAs[[#This Row],[Product fraction]]*CropLCAs[[#This Row],[Value fraction]])</f>
        <v>0</v>
      </c>
      <c r="AF111" s="22"/>
      <c r="AG111" s="22" t="str">
        <f t="shared" si="7"/>
        <v>processed_ghg</v>
      </c>
      <c r="AH111" s="22"/>
      <c r="AI111" s="22"/>
      <c r="AJ111" s="18" t="str">
        <f>IF(CropLCAs[[#This Row],[product_fraction]]&gt;0,CropLCAs[[#This Row],[footprint]]/CropLCAs[[#This Row],[product_fraction]]*CropLCAs[[#This Row],[value_fraction]],"")</f>
        <v/>
      </c>
      <c r="AK111" s="29"/>
      <c r="AL111" s="22" t="s">
        <v>832</v>
      </c>
      <c r="AM111" s="17" t="s">
        <v>620</v>
      </c>
      <c r="AN111" s="17"/>
      <c r="AO111" s="17"/>
      <c r="AP111" s="17"/>
      <c r="AQ111" s="5"/>
      <c r="AR111" s="5"/>
      <c r="AS111" s="5"/>
      <c r="AT111" s="5"/>
      <c r="AU111" s="5"/>
    </row>
    <row r="112" spans="1:47" ht="44.1" customHeight="1" x14ac:dyDescent="0.2">
      <c r="A112" s="17" t="s">
        <v>123</v>
      </c>
      <c r="B112" s="17" t="s">
        <v>615</v>
      </c>
      <c r="C112" s="17"/>
      <c r="D112" s="17" t="s">
        <v>616</v>
      </c>
      <c r="E112" s="19" t="s">
        <v>617</v>
      </c>
      <c r="F112" s="17" t="s">
        <v>5</v>
      </c>
      <c r="G112" s="17" t="str">
        <f>IF(CropLCAs[[#This Row],[fbs_item]]="Insects","insect_ghg","plant_ghg")</f>
        <v>plant_ghg</v>
      </c>
      <c r="H112" s="50" t="s">
        <v>618</v>
      </c>
      <c r="I112" s="50"/>
      <c r="J112" s="50"/>
      <c r="K112" s="17" t="s">
        <v>833</v>
      </c>
      <c r="L112" s="17" t="s">
        <v>624</v>
      </c>
      <c r="M112" s="17" t="s">
        <v>102</v>
      </c>
      <c r="N112" s="17" t="s">
        <v>102</v>
      </c>
      <c r="O112" s="17" t="s">
        <v>109</v>
      </c>
      <c r="P112" s="17" t="s">
        <v>834</v>
      </c>
      <c r="Q112" s="17" t="s">
        <v>102</v>
      </c>
      <c r="R112" s="17" t="s">
        <v>164</v>
      </c>
      <c r="S112" s="17" t="s">
        <v>102</v>
      </c>
      <c r="T112" s="17" t="s">
        <v>109</v>
      </c>
      <c r="U112" s="17">
        <v>100</v>
      </c>
      <c r="V112" s="17">
        <v>1</v>
      </c>
      <c r="W112" s="17" t="s">
        <v>835</v>
      </c>
      <c r="X112" s="30"/>
      <c r="Y112" s="17" t="s">
        <v>106</v>
      </c>
      <c r="Z112" s="17"/>
      <c r="AA112" s="17"/>
      <c r="AB112" s="30">
        <v>1E-3</v>
      </c>
      <c r="AC112" s="17" t="s">
        <v>274</v>
      </c>
      <c r="AD112" s="17" t="str">
        <f t="shared" si="6"/>
        <v>kg_co2e_excl_luc</v>
      </c>
      <c r="AE112" s="30">
        <f>IF(CropLCAs[[#This Row],[Product fraction]]="",CropLCAs[[#This Row],[CO2e (value)]]*CropLCAs[[#This Row],[Conversion factor (value)]],CropLCAs[[#This Row],[CO2e (value)]]*CropLCAs[[#This Row],[Conversion factor (value)]]/CropLCAs[[#This Row],[Product fraction]]*CropLCAs[[#This Row],[Value fraction]])</f>
        <v>0</v>
      </c>
      <c r="AF112" s="22"/>
      <c r="AG112" s="22" t="str">
        <f t="shared" si="7"/>
        <v>processed_ghg</v>
      </c>
      <c r="AH112" s="22"/>
      <c r="AI112" s="22"/>
      <c r="AJ112" s="18" t="str">
        <f>IF(CropLCAs[[#This Row],[product_fraction]]&gt;0,CropLCAs[[#This Row],[footprint]]/CropLCAs[[#This Row],[product_fraction]]*CropLCAs[[#This Row],[value_fraction]],"")</f>
        <v/>
      </c>
      <c r="AK112" s="29"/>
      <c r="AL112" s="22" t="s">
        <v>832</v>
      </c>
      <c r="AM112" s="17" t="s">
        <v>620</v>
      </c>
      <c r="AN112" s="17"/>
      <c r="AO112" s="17"/>
      <c r="AP112" s="17"/>
      <c r="AQ112" s="5"/>
      <c r="AR112" s="5"/>
      <c r="AS112" s="5"/>
      <c r="AT112" s="5"/>
      <c r="AU112" s="5"/>
    </row>
    <row r="113" spans="1:47" ht="44.1" customHeight="1" x14ac:dyDescent="0.2">
      <c r="A113" s="17" t="s">
        <v>123</v>
      </c>
      <c r="B113" s="17" t="s">
        <v>615</v>
      </c>
      <c r="C113" s="17"/>
      <c r="D113" s="17" t="s">
        <v>616</v>
      </c>
      <c r="E113" s="19" t="s">
        <v>617</v>
      </c>
      <c r="F113" s="17" t="s">
        <v>5</v>
      </c>
      <c r="G113" s="17" t="str">
        <f>IF(CropLCAs[[#This Row],[fbs_item]]="Insects","insect_ghg","plant_ghg")</f>
        <v>plant_ghg</v>
      </c>
      <c r="H113" s="50" t="s">
        <v>618</v>
      </c>
      <c r="I113" s="50"/>
      <c r="J113" s="50"/>
      <c r="K113" s="17" t="s">
        <v>833</v>
      </c>
      <c r="L113" s="17" t="s">
        <v>625</v>
      </c>
      <c r="M113" s="17" t="s">
        <v>102</v>
      </c>
      <c r="N113" s="17" t="s">
        <v>102</v>
      </c>
      <c r="O113" s="17" t="s">
        <v>109</v>
      </c>
      <c r="P113" s="17" t="s">
        <v>834</v>
      </c>
      <c r="Q113" s="17" t="s">
        <v>102</v>
      </c>
      <c r="R113" s="17" t="s">
        <v>164</v>
      </c>
      <c r="S113" s="17" t="s">
        <v>102</v>
      </c>
      <c r="T113" s="17" t="s">
        <v>109</v>
      </c>
      <c r="U113" s="17">
        <v>100</v>
      </c>
      <c r="V113" s="17">
        <v>1</v>
      </c>
      <c r="W113" s="17" t="s">
        <v>835</v>
      </c>
      <c r="X113" s="30"/>
      <c r="Y113" s="17" t="s">
        <v>106</v>
      </c>
      <c r="Z113" s="17"/>
      <c r="AA113" s="17"/>
      <c r="AB113" s="30">
        <v>1E-3</v>
      </c>
      <c r="AC113" s="17" t="s">
        <v>274</v>
      </c>
      <c r="AD113" s="17" t="str">
        <f t="shared" si="6"/>
        <v>kg_co2e_excl_luc</v>
      </c>
      <c r="AE113" s="30">
        <f>IF(CropLCAs[[#This Row],[Product fraction]]="",CropLCAs[[#This Row],[CO2e (value)]]*CropLCAs[[#This Row],[Conversion factor (value)]],CropLCAs[[#This Row],[CO2e (value)]]*CropLCAs[[#This Row],[Conversion factor (value)]]/CropLCAs[[#This Row],[Product fraction]]*CropLCAs[[#This Row],[Value fraction]])</f>
        <v>0</v>
      </c>
      <c r="AF113" s="22"/>
      <c r="AG113" s="22" t="str">
        <f t="shared" si="7"/>
        <v>processed_ghg</v>
      </c>
      <c r="AH113" s="22"/>
      <c r="AI113" s="22"/>
      <c r="AJ113" s="18" t="str">
        <f>IF(CropLCAs[[#This Row],[product_fraction]]&gt;0,CropLCAs[[#This Row],[footprint]]/CropLCAs[[#This Row],[product_fraction]]*CropLCAs[[#This Row],[value_fraction]],"")</f>
        <v/>
      </c>
      <c r="AK113" s="29"/>
      <c r="AL113" s="22" t="s">
        <v>832</v>
      </c>
      <c r="AM113" s="17" t="s">
        <v>620</v>
      </c>
      <c r="AN113" s="17"/>
      <c r="AO113" s="17"/>
      <c r="AP113" s="17"/>
      <c r="AQ113" s="5"/>
      <c r="AR113" s="5"/>
      <c r="AS113" s="5"/>
      <c r="AT113" s="5"/>
      <c r="AU113" s="5"/>
    </row>
    <row r="114" spans="1:47" ht="44.1" customHeight="1" x14ac:dyDescent="0.2">
      <c r="A114" s="17" t="s">
        <v>123</v>
      </c>
      <c r="B114" s="17" t="s">
        <v>615</v>
      </c>
      <c r="C114" s="17"/>
      <c r="D114" s="17" t="s">
        <v>616</v>
      </c>
      <c r="E114" s="19" t="s">
        <v>617</v>
      </c>
      <c r="F114" s="17" t="s">
        <v>5</v>
      </c>
      <c r="G114" s="17" t="str">
        <f>IF(CropLCAs[[#This Row],[fbs_item]]="Insects","insect_ghg","plant_ghg")</f>
        <v>plant_ghg</v>
      </c>
      <c r="H114" s="50" t="s">
        <v>618</v>
      </c>
      <c r="I114" s="50"/>
      <c r="J114" s="50"/>
      <c r="K114" s="17" t="s">
        <v>833</v>
      </c>
      <c r="L114" s="17" t="s">
        <v>626</v>
      </c>
      <c r="M114" s="17" t="s">
        <v>102</v>
      </c>
      <c r="N114" s="17" t="s">
        <v>102</v>
      </c>
      <c r="O114" s="17" t="s">
        <v>109</v>
      </c>
      <c r="P114" s="17" t="s">
        <v>834</v>
      </c>
      <c r="Q114" s="17" t="s">
        <v>102</v>
      </c>
      <c r="R114" s="17" t="s">
        <v>164</v>
      </c>
      <c r="S114" s="17" t="s">
        <v>102</v>
      </c>
      <c r="T114" s="17" t="s">
        <v>109</v>
      </c>
      <c r="U114" s="17">
        <v>100</v>
      </c>
      <c r="V114" s="17">
        <v>1</v>
      </c>
      <c r="W114" s="17" t="s">
        <v>835</v>
      </c>
      <c r="X114" s="30"/>
      <c r="Y114" s="17" t="s">
        <v>106</v>
      </c>
      <c r="Z114" s="17"/>
      <c r="AA114" s="17"/>
      <c r="AB114" s="30">
        <v>1E-3</v>
      </c>
      <c r="AC114" s="17" t="s">
        <v>274</v>
      </c>
      <c r="AD114" s="17" t="str">
        <f t="shared" si="6"/>
        <v>kg_co2e_excl_luc</v>
      </c>
      <c r="AE114" s="30">
        <f>IF(CropLCAs[[#This Row],[Product fraction]]="",CropLCAs[[#This Row],[CO2e (value)]]*CropLCAs[[#This Row],[Conversion factor (value)]],CropLCAs[[#This Row],[CO2e (value)]]*CropLCAs[[#This Row],[Conversion factor (value)]]/CropLCAs[[#This Row],[Product fraction]]*CropLCAs[[#This Row],[Value fraction]])</f>
        <v>0</v>
      </c>
      <c r="AF114" s="22"/>
      <c r="AG114" s="22" t="str">
        <f t="shared" si="7"/>
        <v>processed_ghg</v>
      </c>
      <c r="AH114" s="22"/>
      <c r="AI114" s="22"/>
      <c r="AJ114" s="18" t="str">
        <f>IF(CropLCAs[[#This Row],[product_fraction]]&gt;0,CropLCAs[[#This Row],[footprint]]/CropLCAs[[#This Row],[product_fraction]]*CropLCAs[[#This Row],[value_fraction]],"")</f>
        <v/>
      </c>
      <c r="AK114" s="29"/>
      <c r="AL114" s="22" t="s">
        <v>832</v>
      </c>
      <c r="AM114" s="17" t="s">
        <v>620</v>
      </c>
      <c r="AN114" s="17"/>
      <c r="AO114" s="17"/>
      <c r="AP114" s="17"/>
      <c r="AQ114" s="5"/>
      <c r="AR114" s="5"/>
      <c r="AS114" s="5"/>
      <c r="AT114" s="5"/>
      <c r="AU114" s="5"/>
    </row>
    <row r="115" spans="1:47" ht="44.1" customHeight="1" x14ac:dyDescent="0.2">
      <c r="A115" s="17" t="s">
        <v>123</v>
      </c>
      <c r="B115" s="17" t="s">
        <v>615</v>
      </c>
      <c r="C115" s="17"/>
      <c r="D115" s="17" t="s">
        <v>616</v>
      </c>
      <c r="E115" s="19" t="s">
        <v>617</v>
      </c>
      <c r="F115" s="17" t="s">
        <v>5</v>
      </c>
      <c r="G115" s="17" t="str">
        <f>IF(CropLCAs[[#This Row],[fbs_item]]="Insects","insect_ghg","plant_ghg")</f>
        <v>plant_ghg</v>
      </c>
      <c r="H115" s="50" t="s">
        <v>618</v>
      </c>
      <c r="I115" s="50"/>
      <c r="J115" s="50"/>
      <c r="K115" s="17" t="s">
        <v>833</v>
      </c>
      <c r="L115" s="17" t="s">
        <v>627</v>
      </c>
      <c r="M115" s="17" t="s">
        <v>102</v>
      </c>
      <c r="N115" s="17" t="s">
        <v>102</v>
      </c>
      <c r="O115" s="17" t="s">
        <v>109</v>
      </c>
      <c r="P115" s="17" t="s">
        <v>834</v>
      </c>
      <c r="Q115" s="17" t="s">
        <v>102</v>
      </c>
      <c r="R115" s="17" t="s">
        <v>164</v>
      </c>
      <c r="S115" s="17" t="s">
        <v>102</v>
      </c>
      <c r="T115" s="17" t="s">
        <v>109</v>
      </c>
      <c r="U115" s="17">
        <v>100</v>
      </c>
      <c r="V115" s="17">
        <v>1</v>
      </c>
      <c r="W115" s="17" t="s">
        <v>835</v>
      </c>
      <c r="X115" s="41"/>
      <c r="Y115" s="17" t="s">
        <v>106</v>
      </c>
      <c r="Z115" s="17"/>
      <c r="AA115" s="17"/>
      <c r="AB115" s="41">
        <v>1E-3</v>
      </c>
      <c r="AC115" s="17" t="s">
        <v>274</v>
      </c>
      <c r="AD115" s="17" t="str">
        <f t="shared" si="6"/>
        <v>kg_co2e_excl_luc</v>
      </c>
      <c r="AE115" s="41">
        <f>IF(CropLCAs[[#This Row],[Product fraction]]="",CropLCAs[[#This Row],[CO2e (value)]]*CropLCAs[[#This Row],[Conversion factor (value)]],CropLCAs[[#This Row],[CO2e (value)]]*CropLCAs[[#This Row],[Conversion factor (value)]]/CropLCAs[[#This Row],[Product fraction]]*CropLCAs[[#This Row],[Value fraction]])</f>
        <v>0</v>
      </c>
      <c r="AF115" s="22"/>
      <c r="AG115" s="22" t="str">
        <f t="shared" si="7"/>
        <v>processed_ghg</v>
      </c>
      <c r="AH115" s="22"/>
      <c r="AI115" s="22"/>
      <c r="AJ115" s="18" t="str">
        <f>IF(CropLCAs[[#This Row],[product_fraction]]&gt;0,CropLCAs[[#This Row],[footprint]]/CropLCAs[[#This Row],[product_fraction]]*CropLCAs[[#This Row],[value_fraction]],"")</f>
        <v/>
      </c>
      <c r="AK115" s="42"/>
      <c r="AL115" s="22" t="s">
        <v>832</v>
      </c>
      <c r="AM115" s="17" t="s">
        <v>620</v>
      </c>
      <c r="AN115" s="17"/>
      <c r="AO115" s="17"/>
      <c r="AP115" s="17"/>
      <c r="AQ115" s="5"/>
      <c r="AR115" s="5"/>
      <c r="AS115" s="5"/>
      <c r="AT115" s="5"/>
      <c r="AU115" s="5"/>
    </row>
    <row r="116" spans="1:47" ht="44.1" customHeight="1" x14ac:dyDescent="0.2">
      <c r="A116" s="17" t="s">
        <v>123</v>
      </c>
      <c r="B116" s="17" t="s">
        <v>615</v>
      </c>
      <c r="C116" s="17"/>
      <c r="D116" s="17" t="s">
        <v>616</v>
      </c>
      <c r="E116" s="19" t="s">
        <v>617</v>
      </c>
      <c r="F116" s="17" t="s">
        <v>5</v>
      </c>
      <c r="G116" s="17" t="str">
        <f>IF(CropLCAs[[#This Row],[fbs_item]]="Insects","insect_ghg","plant_ghg")</f>
        <v>plant_ghg</v>
      </c>
      <c r="H116" s="50" t="s">
        <v>618</v>
      </c>
      <c r="I116" s="50"/>
      <c r="J116" s="50"/>
      <c r="K116" s="17" t="s">
        <v>833</v>
      </c>
      <c r="L116" s="17" t="s">
        <v>628</v>
      </c>
      <c r="M116" s="17" t="s">
        <v>102</v>
      </c>
      <c r="N116" s="17" t="s">
        <v>102</v>
      </c>
      <c r="O116" s="17" t="s">
        <v>109</v>
      </c>
      <c r="P116" s="17" t="s">
        <v>834</v>
      </c>
      <c r="Q116" s="17" t="s">
        <v>102</v>
      </c>
      <c r="R116" s="17" t="s">
        <v>164</v>
      </c>
      <c r="S116" s="17" t="s">
        <v>102</v>
      </c>
      <c r="T116" s="17" t="s">
        <v>109</v>
      </c>
      <c r="U116" s="17">
        <v>100</v>
      </c>
      <c r="V116" s="17">
        <v>1</v>
      </c>
      <c r="W116" s="17" t="s">
        <v>835</v>
      </c>
      <c r="X116" s="30"/>
      <c r="Y116" s="17" t="s">
        <v>106</v>
      </c>
      <c r="Z116" s="17"/>
      <c r="AA116" s="17"/>
      <c r="AB116" s="30">
        <v>1E-3</v>
      </c>
      <c r="AC116" s="17" t="s">
        <v>274</v>
      </c>
      <c r="AD116" s="17" t="str">
        <f t="shared" si="6"/>
        <v>kg_co2e_excl_luc</v>
      </c>
      <c r="AE116" s="30">
        <f>IF(CropLCAs[[#This Row],[Product fraction]]="",CropLCAs[[#This Row],[CO2e (value)]]*CropLCAs[[#This Row],[Conversion factor (value)]],CropLCAs[[#This Row],[CO2e (value)]]*CropLCAs[[#This Row],[Conversion factor (value)]]/CropLCAs[[#This Row],[Product fraction]]*CropLCAs[[#This Row],[Value fraction]])</f>
        <v>0</v>
      </c>
      <c r="AF116" s="22"/>
      <c r="AG116" s="22" t="str">
        <f t="shared" si="7"/>
        <v>processed_ghg</v>
      </c>
      <c r="AH116" s="22"/>
      <c r="AI116" s="22"/>
      <c r="AJ116" s="18" t="str">
        <f>IF(CropLCAs[[#This Row],[product_fraction]]&gt;0,CropLCAs[[#This Row],[footprint]]/CropLCAs[[#This Row],[product_fraction]]*CropLCAs[[#This Row],[value_fraction]],"")</f>
        <v/>
      </c>
      <c r="AK116" s="29"/>
      <c r="AL116" s="22" t="s">
        <v>832</v>
      </c>
      <c r="AM116" s="17" t="s">
        <v>620</v>
      </c>
      <c r="AN116" s="17"/>
      <c r="AO116" s="17"/>
      <c r="AP116" s="17"/>
      <c r="AQ116" s="5"/>
      <c r="AR116" s="5"/>
      <c r="AS116" s="5"/>
      <c r="AT116" s="5"/>
      <c r="AU116" s="5"/>
    </row>
    <row r="117" spans="1:47" ht="44.1" customHeight="1" x14ac:dyDescent="0.2">
      <c r="A117" s="5" t="s">
        <v>123</v>
      </c>
      <c r="B117" s="5" t="s">
        <v>1441</v>
      </c>
      <c r="C117" s="5">
        <v>2008</v>
      </c>
      <c r="D117" s="7" t="s">
        <v>629</v>
      </c>
      <c r="E117" s="6" t="s">
        <v>630</v>
      </c>
      <c r="F117" s="5" t="s">
        <v>5</v>
      </c>
      <c r="G117" s="5" t="str">
        <f>IF(CropLCAs[[#This Row],[fbs_item]]="Insects","insect_ghg","plant_ghg")</f>
        <v>plant_ghg</v>
      </c>
      <c r="H117" s="49" t="s">
        <v>631</v>
      </c>
      <c r="I117" s="49"/>
      <c r="J117" s="49"/>
      <c r="K117" s="5" t="s">
        <v>1364</v>
      </c>
      <c r="L117" s="5" t="s">
        <v>632</v>
      </c>
      <c r="M117" s="5" t="s">
        <v>102</v>
      </c>
      <c r="N117" s="5" t="s">
        <v>102</v>
      </c>
      <c r="O117" s="5" t="s">
        <v>109</v>
      </c>
      <c r="P117" s="5" t="s">
        <v>102</v>
      </c>
      <c r="Q117" s="5" t="s">
        <v>102</v>
      </c>
      <c r="R117" s="5" t="s">
        <v>102</v>
      </c>
      <c r="S117" s="5" t="s">
        <v>102</v>
      </c>
      <c r="T117" s="5" t="s">
        <v>102</v>
      </c>
      <c r="U117" s="5" t="s">
        <v>126</v>
      </c>
      <c r="V117" s="5">
        <v>1</v>
      </c>
      <c r="W117" s="5" t="s">
        <v>127</v>
      </c>
      <c r="X117" s="24">
        <v>269.37</v>
      </c>
      <c r="Y117" s="5" t="s">
        <v>106</v>
      </c>
      <c r="Z117" s="5"/>
      <c r="AA117" s="5"/>
      <c r="AB117" s="24">
        <f>1/1000</f>
        <v>1E-3</v>
      </c>
      <c r="AC117" s="5" t="s">
        <v>128</v>
      </c>
      <c r="AD117" s="5" t="str">
        <f t="shared" si="6"/>
        <v>kg_co2e_excl_luc</v>
      </c>
      <c r="AE117" s="24">
        <f>IF(CropLCAs[[#This Row],[Product fraction]]="",CropLCAs[[#This Row],[CO2e (value)]]*CropLCAs[[#This Row],[Conversion factor (value)]],CropLCAs[[#This Row],[CO2e (value)]]*CropLCAs[[#This Row],[Conversion factor (value)]]/CropLCAs[[#This Row],[Product fraction]]*CropLCAs[[#This Row],[Value fraction]])</f>
        <v>0.26937</v>
      </c>
      <c r="AF117" s="5"/>
      <c r="AG117" s="5" t="str">
        <f t="shared" si="7"/>
        <v>processed_ghg</v>
      </c>
      <c r="AH117" s="5"/>
      <c r="AI117" s="5"/>
      <c r="AJ117" s="8" t="str">
        <f>IF(CropLCAs[[#This Row],[product_fraction]]&gt;0,CropLCAs[[#This Row],[footprint]]/CropLCAs[[#This Row],[product_fraction]]*CropLCAs[[#This Row],[value_fraction]],"")</f>
        <v/>
      </c>
      <c r="AK117" s="23">
        <v>1</v>
      </c>
      <c r="AL117" s="5" t="s">
        <v>109</v>
      </c>
      <c r="AM117" s="5" t="s">
        <v>235</v>
      </c>
      <c r="AN117" s="5"/>
      <c r="AO117" s="5"/>
      <c r="AP117" s="5"/>
      <c r="AQ117" s="5"/>
      <c r="AR117" s="5"/>
      <c r="AS117" s="5"/>
      <c r="AT117" s="5"/>
      <c r="AU117" s="5"/>
    </row>
    <row r="118" spans="1:47" ht="44.1" customHeight="1" x14ac:dyDescent="0.2">
      <c r="A118" s="5" t="s">
        <v>112</v>
      </c>
      <c r="B118" s="5" t="s">
        <v>1442</v>
      </c>
      <c r="C118" s="5">
        <v>2014</v>
      </c>
      <c r="D118" s="5" t="s">
        <v>502</v>
      </c>
      <c r="E118" s="5" t="s">
        <v>503</v>
      </c>
      <c r="F118" s="5" t="s">
        <v>9</v>
      </c>
      <c r="G118" s="5" t="str">
        <f>IF(CropLCAs[[#This Row],[fbs_item]]="Insects","insect_ghg","plant_ghg")</f>
        <v>plant_ghg</v>
      </c>
      <c r="H118" s="49" t="s">
        <v>218</v>
      </c>
      <c r="I118" s="49"/>
      <c r="J118" s="49"/>
      <c r="K118" s="5" t="s">
        <v>230</v>
      </c>
      <c r="L118" s="5" t="s">
        <v>504</v>
      </c>
      <c r="M118" s="5" t="s">
        <v>231</v>
      </c>
      <c r="N118" s="5" t="s">
        <v>109</v>
      </c>
      <c r="O118" s="5" t="s">
        <v>109</v>
      </c>
      <c r="P118" s="5" t="s">
        <v>164</v>
      </c>
      <c r="Q118" s="5" t="s">
        <v>102</v>
      </c>
      <c r="R118" s="5" t="s">
        <v>102</v>
      </c>
      <c r="S118" s="5" t="s">
        <v>102</v>
      </c>
      <c r="T118" s="5" t="s">
        <v>102</v>
      </c>
      <c r="U118" s="5" t="s">
        <v>152</v>
      </c>
      <c r="V118" s="5">
        <v>1</v>
      </c>
      <c r="W118" s="5" t="s">
        <v>505</v>
      </c>
      <c r="X118" s="24">
        <v>74</v>
      </c>
      <c r="Y118" s="5" t="s">
        <v>106</v>
      </c>
      <c r="Z118" s="5"/>
      <c r="AA118" s="5"/>
      <c r="AB118" s="24">
        <f>1/1000</f>
        <v>1E-3</v>
      </c>
      <c r="AC118" s="5" t="s">
        <v>128</v>
      </c>
      <c r="AD118" s="5" t="str">
        <f t="shared" si="6"/>
        <v>kg_co2e_excl_luc</v>
      </c>
      <c r="AE118" s="24">
        <f>IF(CropLCAs[[#This Row],[Product fraction]]="",CropLCAs[[#This Row],[CO2e (value)]]*CropLCAs[[#This Row],[Conversion factor (value)]],CropLCAs[[#This Row],[CO2e (value)]]*CropLCAs[[#This Row],[Conversion factor (value)]]/CropLCAs[[#This Row],[Product fraction]]*CropLCAs[[#This Row],[Value fraction]])</f>
        <v>7.3999999999999996E-2</v>
      </c>
      <c r="AF118" s="5"/>
      <c r="AG118" s="5" t="str">
        <f t="shared" si="7"/>
        <v>processed_ghg</v>
      </c>
      <c r="AH118" s="5"/>
      <c r="AI118" s="5"/>
      <c r="AJ118" s="8" t="str">
        <f>IF(CropLCAs[[#This Row],[product_fraction]]&gt;0,CropLCAs[[#This Row],[footprint]]/CropLCAs[[#This Row],[product_fraction]]*CropLCAs[[#This Row],[value_fraction]],"")</f>
        <v/>
      </c>
      <c r="AK118" s="23">
        <v>1</v>
      </c>
      <c r="AL118" s="5" t="s">
        <v>109</v>
      </c>
      <c r="AM118" s="5" t="s">
        <v>506</v>
      </c>
      <c r="AN118" s="5"/>
      <c r="AO118" s="5"/>
      <c r="AP118" s="5"/>
      <c r="AQ118" s="5"/>
      <c r="AR118" s="5"/>
      <c r="AS118" s="5"/>
      <c r="AT118" s="5"/>
      <c r="AU118" s="5"/>
    </row>
    <row r="119" spans="1:47" ht="44.1" customHeight="1" x14ac:dyDescent="0.2">
      <c r="A119" s="17" t="s">
        <v>123</v>
      </c>
      <c r="B119" s="17" t="s">
        <v>839</v>
      </c>
      <c r="C119" s="17"/>
      <c r="D119" s="19" t="s">
        <v>840</v>
      </c>
      <c r="E119" s="19" t="s">
        <v>503</v>
      </c>
      <c r="F119" s="17" t="s">
        <v>9</v>
      </c>
      <c r="G119" s="17" t="str">
        <f>IF(CropLCAs[[#This Row],[fbs_item]]="Insects","insect_ghg","plant_ghg")</f>
        <v>plant_ghg</v>
      </c>
      <c r="H119" s="50" t="s">
        <v>114</v>
      </c>
      <c r="I119" s="50"/>
      <c r="J119" s="50"/>
      <c r="K119" s="17" t="s">
        <v>841</v>
      </c>
      <c r="L119" s="17"/>
      <c r="M119" s="17" t="s">
        <v>529</v>
      </c>
      <c r="N119" s="17" t="s">
        <v>109</v>
      </c>
      <c r="O119" s="17" t="s">
        <v>109</v>
      </c>
      <c r="P119" s="17" t="s">
        <v>102</v>
      </c>
      <c r="Q119" s="17" t="s">
        <v>102</v>
      </c>
      <c r="R119" s="17" t="s">
        <v>102</v>
      </c>
      <c r="S119" s="17" t="s">
        <v>102</v>
      </c>
      <c r="T119" s="17" t="s">
        <v>109</v>
      </c>
      <c r="U119" s="17">
        <v>20</v>
      </c>
      <c r="V119" s="17">
        <v>1</v>
      </c>
      <c r="W119" s="17" t="s">
        <v>106</v>
      </c>
      <c r="X119" s="30">
        <v>2.02</v>
      </c>
      <c r="Y119" s="17" t="s">
        <v>106</v>
      </c>
      <c r="Z119" s="17"/>
      <c r="AA119" s="17"/>
      <c r="AB119" s="30">
        <v>1</v>
      </c>
      <c r="AC119" s="17"/>
      <c r="AD119" s="17" t="str">
        <f t="shared" si="6"/>
        <v>kg_co2e_excl_luc</v>
      </c>
      <c r="AE119" s="30">
        <f>IF(CropLCAs[[#This Row],[Product fraction]]="",CropLCAs[[#This Row],[CO2e (value)]]*CropLCAs[[#This Row],[Conversion factor (value)]],CropLCAs[[#This Row],[CO2e (value)]]*CropLCAs[[#This Row],[Conversion factor (value)]]/CropLCAs[[#This Row],[Product fraction]]*CropLCAs[[#This Row],[Value fraction]])</f>
        <v>2.02</v>
      </c>
      <c r="AF119" s="17"/>
      <c r="AG119" s="17" t="str">
        <f t="shared" si="7"/>
        <v>processed_ghg</v>
      </c>
      <c r="AH119" s="17"/>
      <c r="AI119" s="17"/>
      <c r="AJ119" s="18" t="str">
        <f>IF(CropLCAs[[#This Row],[product_fraction]]&gt;0,CropLCAs[[#This Row],[footprint]]/CropLCAs[[#This Row],[product_fraction]]*CropLCAs[[#This Row],[value_fraction]],"")</f>
        <v/>
      </c>
      <c r="AK119" s="29"/>
      <c r="AL119" s="17" t="s">
        <v>842</v>
      </c>
      <c r="AM119" s="17"/>
      <c r="AN119" s="17"/>
      <c r="AO119" s="17"/>
      <c r="AP119" s="17"/>
      <c r="AQ119" s="5"/>
      <c r="AR119" s="5"/>
      <c r="AS119" s="5"/>
      <c r="AT119" s="5"/>
      <c r="AU119" s="5"/>
    </row>
    <row r="120" spans="1:47" ht="44.1" customHeight="1" x14ac:dyDescent="0.2">
      <c r="A120" s="17" t="s">
        <v>123</v>
      </c>
      <c r="B120" s="17" t="s">
        <v>839</v>
      </c>
      <c r="C120" s="17"/>
      <c r="D120" s="19" t="s">
        <v>840</v>
      </c>
      <c r="E120" s="19" t="s">
        <v>503</v>
      </c>
      <c r="F120" s="17" t="s">
        <v>9</v>
      </c>
      <c r="G120" s="17" t="str">
        <f>IF(CropLCAs[[#This Row],[fbs_item]]="Insects","insect_ghg","plant_ghg")</f>
        <v>plant_ghg</v>
      </c>
      <c r="H120" s="50" t="s">
        <v>114</v>
      </c>
      <c r="I120" s="50"/>
      <c r="J120" s="50"/>
      <c r="K120" s="17" t="s">
        <v>843</v>
      </c>
      <c r="L120" s="17"/>
      <c r="M120" s="17" t="s">
        <v>231</v>
      </c>
      <c r="N120" s="17" t="s">
        <v>109</v>
      </c>
      <c r="O120" s="17" t="s">
        <v>109</v>
      </c>
      <c r="P120" s="17" t="s">
        <v>102</v>
      </c>
      <c r="Q120" s="17" t="s">
        <v>102</v>
      </c>
      <c r="R120" s="17" t="s">
        <v>102</v>
      </c>
      <c r="S120" s="17" t="s">
        <v>102</v>
      </c>
      <c r="T120" s="17" t="s">
        <v>109</v>
      </c>
      <c r="U120" s="17">
        <v>20</v>
      </c>
      <c r="V120" s="17">
        <v>1</v>
      </c>
      <c r="W120" s="17" t="s">
        <v>106</v>
      </c>
      <c r="X120" s="30">
        <v>0.50800000000000001</v>
      </c>
      <c r="Y120" s="17" t="s">
        <v>106</v>
      </c>
      <c r="Z120" s="17"/>
      <c r="AA120" s="17"/>
      <c r="AB120" s="30">
        <v>1</v>
      </c>
      <c r="AC120" s="17"/>
      <c r="AD120" s="17" t="str">
        <f t="shared" si="6"/>
        <v>kg_co2e_excl_luc</v>
      </c>
      <c r="AE120" s="30">
        <f>IF(CropLCAs[[#This Row],[Product fraction]]="",CropLCAs[[#This Row],[CO2e (value)]]*CropLCAs[[#This Row],[Conversion factor (value)]],CropLCAs[[#This Row],[CO2e (value)]]*CropLCAs[[#This Row],[Conversion factor (value)]]/CropLCAs[[#This Row],[Product fraction]]*CropLCAs[[#This Row],[Value fraction]])</f>
        <v>0.50800000000000001</v>
      </c>
      <c r="AF120" s="17"/>
      <c r="AG120" s="17" t="str">
        <f t="shared" si="7"/>
        <v>processed_ghg</v>
      </c>
      <c r="AH120" s="17"/>
      <c r="AI120" s="17"/>
      <c r="AJ120" s="18" t="str">
        <f>IF(CropLCAs[[#This Row],[product_fraction]]&gt;0,CropLCAs[[#This Row],[footprint]]/CropLCAs[[#This Row],[product_fraction]]*CropLCAs[[#This Row],[value_fraction]],"")</f>
        <v/>
      </c>
      <c r="AK120" s="29"/>
      <c r="AL120" s="17" t="s">
        <v>842</v>
      </c>
      <c r="AM120" s="17"/>
      <c r="AN120" s="17"/>
      <c r="AO120" s="17"/>
      <c r="AP120" s="17"/>
      <c r="AQ120" s="5"/>
      <c r="AR120" s="5"/>
      <c r="AS120" s="5"/>
      <c r="AT120" s="5"/>
      <c r="AU120" s="5"/>
    </row>
    <row r="121" spans="1:47" ht="44.1" customHeight="1" x14ac:dyDescent="0.2">
      <c r="A121" s="5" t="s">
        <v>99</v>
      </c>
      <c r="B121" s="7" t="s">
        <v>1443</v>
      </c>
      <c r="C121" s="7">
        <v>2004</v>
      </c>
      <c r="D121" s="7" t="s">
        <v>633</v>
      </c>
      <c r="E121" s="6" t="s">
        <v>1321</v>
      </c>
      <c r="F121" s="5" t="s">
        <v>5</v>
      </c>
      <c r="G121" s="5" t="str">
        <f>IF(CropLCAs[[#This Row],[fbs_item]]="Insects","insect_ghg","plant_ghg")</f>
        <v>plant_ghg</v>
      </c>
      <c r="H121" s="49" t="s">
        <v>477</v>
      </c>
      <c r="I121" s="49"/>
      <c r="J121" s="49"/>
      <c r="K121" s="5" t="s">
        <v>778</v>
      </c>
      <c r="L121" s="5" t="s">
        <v>399</v>
      </c>
      <c r="M121" s="5" t="s">
        <v>102</v>
      </c>
      <c r="N121" s="5" t="s">
        <v>109</v>
      </c>
      <c r="O121" s="5" t="s">
        <v>109</v>
      </c>
      <c r="P121" s="5" t="s">
        <v>102</v>
      </c>
      <c r="Q121" s="5" t="s">
        <v>102</v>
      </c>
      <c r="R121" s="5" t="s">
        <v>102</v>
      </c>
      <c r="S121" s="5" t="s">
        <v>102</v>
      </c>
      <c r="T121" s="5" t="s">
        <v>102</v>
      </c>
      <c r="U121" s="5">
        <v>100</v>
      </c>
      <c r="V121" s="5">
        <v>1</v>
      </c>
      <c r="W121" s="5" t="s">
        <v>127</v>
      </c>
      <c r="X121" s="24">
        <v>141.68</v>
      </c>
      <c r="Y121" s="5" t="s">
        <v>106</v>
      </c>
      <c r="Z121" s="5"/>
      <c r="AA121" s="5"/>
      <c r="AB121" s="24">
        <v>1E-3</v>
      </c>
      <c r="AC121" s="5" t="s">
        <v>635</v>
      </c>
      <c r="AD121" s="5" t="str">
        <f t="shared" si="6"/>
        <v>kg_co2e_excl_luc</v>
      </c>
      <c r="AE121" s="24">
        <f>IF(CropLCAs[[#This Row],[Product fraction]]="",CropLCAs[[#This Row],[CO2e (value)]]*CropLCAs[[#This Row],[Conversion factor (value)]],CropLCAs[[#This Row],[CO2e (value)]]*CropLCAs[[#This Row],[Conversion factor (value)]]/CropLCAs[[#This Row],[Product fraction]]*CropLCAs[[#This Row],[Value fraction]])</f>
        <v>0.14168</v>
      </c>
      <c r="AF121" s="5"/>
      <c r="AG121" s="5" t="str">
        <f t="shared" si="7"/>
        <v>processed_ghg</v>
      </c>
      <c r="AH121" s="5"/>
      <c r="AI121" s="5"/>
      <c r="AJ121" s="8" t="str">
        <f>IF(CropLCAs[[#This Row],[product_fraction]]&gt;0,CropLCAs[[#This Row],[footprint]]/CropLCAs[[#This Row],[product_fraction]]*CropLCAs[[#This Row],[value_fraction]],"")</f>
        <v/>
      </c>
      <c r="AK121" s="23">
        <f t="shared" ref="AK121:AK127" si="9">1/7</f>
        <v>0.14285714285714285</v>
      </c>
      <c r="AL121" s="5" t="s">
        <v>109</v>
      </c>
      <c r="AM121" s="5" t="s">
        <v>636</v>
      </c>
      <c r="AN121" s="5" t="s">
        <v>637</v>
      </c>
      <c r="AO121" s="5"/>
      <c r="AP121" s="5"/>
      <c r="AQ121" s="5"/>
      <c r="AR121" s="5"/>
      <c r="AS121" s="5"/>
      <c r="AT121" s="5"/>
      <c r="AU121" s="5"/>
    </row>
    <row r="122" spans="1:47" ht="44.1" customHeight="1" x14ac:dyDescent="0.2">
      <c r="A122" s="5" t="s">
        <v>99</v>
      </c>
      <c r="B122" s="7" t="s">
        <v>1443</v>
      </c>
      <c r="C122" s="7">
        <v>2004</v>
      </c>
      <c r="D122" s="7" t="s">
        <v>633</v>
      </c>
      <c r="E122" s="6" t="s">
        <v>1321</v>
      </c>
      <c r="F122" s="5" t="s">
        <v>5</v>
      </c>
      <c r="G122" s="5" t="str">
        <f>IF(CropLCAs[[#This Row],[fbs_item]]="Insects","insect_ghg","plant_ghg")</f>
        <v>plant_ghg</v>
      </c>
      <c r="H122" s="49" t="s">
        <v>477</v>
      </c>
      <c r="I122" s="49"/>
      <c r="J122" s="49"/>
      <c r="K122" s="5" t="s">
        <v>778</v>
      </c>
      <c r="L122" s="5" t="s">
        <v>171</v>
      </c>
      <c r="M122" s="5" t="s">
        <v>102</v>
      </c>
      <c r="N122" s="5" t="s">
        <v>109</v>
      </c>
      <c r="O122" s="5" t="s">
        <v>109</v>
      </c>
      <c r="P122" s="5" t="s">
        <v>102</v>
      </c>
      <c r="Q122" s="5" t="s">
        <v>102</v>
      </c>
      <c r="R122" s="5" t="s">
        <v>102</v>
      </c>
      <c r="S122" s="5" t="s">
        <v>102</v>
      </c>
      <c r="T122" s="5" t="s">
        <v>102</v>
      </c>
      <c r="U122" s="5">
        <v>100</v>
      </c>
      <c r="V122" s="5">
        <v>1</v>
      </c>
      <c r="W122" s="5" t="s">
        <v>127</v>
      </c>
      <c r="X122" s="24">
        <v>198.07</v>
      </c>
      <c r="Y122" s="5" t="s">
        <v>106</v>
      </c>
      <c r="Z122" s="5"/>
      <c r="AA122" s="5"/>
      <c r="AB122" s="24">
        <v>1E-3</v>
      </c>
      <c r="AC122" s="5" t="s">
        <v>635</v>
      </c>
      <c r="AD122" s="5" t="str">
        <f t="shared" si="6"/>
        <v>kg_co2e_excl_luc</v>
      </c>
      <c r="AE122" s="24">
        <f>IF(CropLCAs[[#This Row],[Product fraction]]="",CropLCAs[[#This Row],[CO2e (value)]]*CropLCAs[[#This Row],[Conversion factor (value)]],CropLCAs[[#This Row],[CO2e (value)]]*CropLCAs[[#This Row],[Conversion factor (value)]]/CropLCAs[[#This Row],[Product fraction]]*CropLCAs[[#This Row],[Value fraction]])</f>
        <v>0.19807</v>
      </c>
      <c r="AF122" s="5"/>
      <c r="AG122" s="5" t="str">
        <f t="shared" si="7"/>
        <v>processed_ghg</v>
      </c>
      <c r="AH122" s="5"/>
      <c r="AI122" s="5"/>
      <c r="AJ122" s="8" t="str">
        <f>IF(CropLCAs[[#This Row],[product_fraction]]&gt;0,CropLCAs[[#This Row],[footprint]]/CropLCAs[[#This Row],[product_fraction]]*CropLCAs[[#This Row],[value_fraction]],"")</f>
        <v/>
      </c>
      <c r="AK122" s="23">
        <f t="shared" si="9"/>
        <v>0.14285714285714285</v>
      </c>
      <c r="AL122" s="5" t="s">
        <v>109</v>
      </c>
      <c r="AM122" s="5" t="s">
        <v>636</v>
      </c>
      <c r="AN122" s="5" t="s">
        <v>637</v>
      </c>
      <c r="AO122" s="5"/>
      <c r="AP122" s="5"/>
      <c r="AQ122" s="5"/>
      <c r="AR122" s="5"/>
      <c r="AS122" s="5"/>
      <c r="AT122" s="5"/>
      <c r="AU122" s="5"/>
    </row>
    <row r="123" spans="1:47" ht="44.1" customHeight="1" x14ac:dyDescent="0.2">
      <c r="A123" s="5" t="s">
        <v>99</v>
      </c>
      <c r="B123" s="7" t="s">
        <v>1443</v>
      </c>
      <c r="C123" s="7">
        <v>2004</v>
      </c>
      <c r="D123" s="7" t="s">
        <v>633</v>
      </c>
      <c r="E123" s="6" t="s">
        <v>1321</v>
      </c>
      <c r="F123" s="5" t="s">
        <v>5</v>
      </c>
      <c r="G123" s="5" t="str">
        <f>IF(CropLCAs[[#This Row],[fbs_item]]="Insects","insect_ghg","plant_ghg")</f>
        <v>plant_ghg</v>
      </c>
      <c r="H123" s="49" t="s">
        <v>477</v>
      </c>
      <c r="I123" s="49"/>
      <c r="J123" s="49"/>
      <c r="K123" s="5" t="s">
        <v>778</v>
      </c>
      <c r="L123" s="5" t="s">
        <v>174</v>
      </c>
      <c r="M123" s="5" t="s">
        <v>102</v>
      </c>
      <c r="N123" s="5" t="s">
        <v>109</v>
      </c>
      <c r="O123" s="5" t="s">
        <v>109</v>
      </c>
      <c r="P123" s="5" t="s">
        <v>102</v>
      </c>
      <c r="Q123" s="5" t="s">
        <v>102</v>
      </c>
      <c r="R123" s="5" t="s">
        <v>102</v>
      </c>
      <c r="S123" s="5" t="s">
        <v>102</v>
      </c>
      <c r="T123" s="5" t="s">
        <v>102</v>
      </c>
      <c r="U123" s="5">
        <v>100</v>
      </c>
      <c r="V123" s="5">
        <v>1</v>
      </c>
      <c r="W123" s="5" t="s">
        <v>127</v>
      </c>
      <c r="X123" s="24">
        <v>226.96</v>
      </c>
      <c r="Y123" s="5" t="s">
        <v>106</v>
      </c>
      <c r="Z123" s="5"/>
      <c r="AA123" s="5"/>
      <c r="AB123" s="24">
        <v>1E-3</v>
      </c>
      <c r="AC123" s="5" t="s">
        <v>635</v>
      </c>
      <c r="AD123" s="5" t="str">
        <f t="shared" si="6"/>
        <v>kg_co2e_excl_luc</v>
      </c>
      <c r="AE123" s="24">
        <f>IF(CropLCAs[[#This Row],[Product fraction]]="",CropLCAs[[#This Row],[CO2e (value)]]*CropLCAs[[#This Row],[Conversion factor (value)]],CropLCAs[[#This Row],[CO2e (value)]]*CropLCAs[[#This Row],[Conversion factor (value)]]/CropLCAs[[#This Row],[Product fraction]]*CropLCAs[[#This Row],[Value fraction]])</f>
        <v>0.22696000000000002</v>
      </c>
      <c r="AF123" s="5"/>
      <c r="AG123" s="5" t="str">
        <f t="shared" si="7"/>
        <v>processed_ghg</v>
      </c>
      <c r="AH123" s="5"/>
      <c r="AI123" s="5"/>
      <c r="AJ123" s="8" t="str">
        <f>IF(CropLCAs[[#This Row],[product_fraction]]&gt;0,CropLCAs[[#This Row],[footprint]]/CropLCAs[[#This Row],[product_fraction]]*CropLCAs[[#This Row],[value_fraction]],"")</f>
        <v/>
      </c>
      <c r="AK123" s="23">
        <f t="shared" si="9"/>
        <v>0.14285714285714285</v>
      </c>
      <c r="AL123" s="5" t="s">
        <v>109</v>
      </c>
      <c r="AM123" s="5" t="s">
        <v>636</v>
      </c>
      <c r="AN123" s="5" t="s">
        <v>637</v>
      </c>
      <c r="AO123" s="5"/>
      <c r="AP123" s="5"/>
      <c r="AQ123" s="5"/>
      <c r="AR123" s="5"/>
      <c r="AS123" s="5"/>
      <c r="AT123" s="5"/>
      <c r="AU123" s="5"/>
    </row>
    <row r="124" spans="1:47" ht="44.1" customHeight="1" x14ac:dyDescent="0.2">
      <c r="A124" s="5" t="s">
        <v>99</v>
      </c>
      <c r="B124" s="7" t="s">
        <v>1443</v>
      </c>
      <c r="C124" s="7">
        <v>2004</v>
      </c>
      <c r="D124" s="7" t="s">
        <v>633</v>
      </c>
      <c r="E124" s="6" t="s">
        <v>1321</v>
      </c>
      <c r="F124" s="5" t="s">
        <v>5</v>
      </c>
      <c r="G124" s="5" t="str">
        <f>IF(CropLCAs[[#This Row],[fbs_item]]="Insects","insect_ghg","plant_ghg")</f>
        <v>plant_ghg</v>
      </c>
      <c r="H124" s="49" t="s">
        <v>477</v>
      </c>
      <c r="I124" s="49"/>
      <c r="J124" s="49"/>
      <c r="K124" s="5" t="s">
        <v>778</v>
      </c>
      <c r="L124" s="5" t="s">
        <v>175</v>
      </c>
      <c r="M124" s="5" t="s">
        <v>102</v>
      </c>
      <c r="N124" s="5" t="s">
        <v>109</v>
      </c>
      <c r="O124" s="5" t="s">
        <v>109</v>
      </c>
      <c r="P124" s="5" t="s">
        <v>102</v>
      </c>
      <c r="Q124" s="5" t="s">
        <v>102</v>
      </c>
      <c r="R124" s="5" t="s">
        <v>102</v>
      </c>
      <c r="S124" s="5" t="s">
        <v>102</v>
      </c>
      <c r="T124" s="5" t="s">
        <v>102</v>
      </c>
      <c r="U124" s="5">
        <v>100</v>
      </c>
      <c r="V124" s="5">
        <v>1</v>
      </c>
      <c r="W124" s="5" t="s">
        <v>127</v>
      </c>
      <c r="X124" s="24">
        <v>266.16000000000003</v>
      </c>
      <c r="Y124" s="5" t="s">
        <v>106</v>
      </c>
      <c r="Z124" s="5"/>
      <c r="AA124" s="5"/>
      <c r="AB124" s="24">
        <v>1E-3</v>
      </c>
      <c r="AC124" s="5" t="s">
        <v>635</v>
      </c>
      <c r="AD124" s="5" t="str">
        <f t="shared" si="6"/>
        <v>kg_co2e_excl_luc</v>
      </c>
      <c r="AE124" s="24">
        <f>IF(CropLCAs[[#This Row],[Product fraction]]="",CropLCAs[[#This Row],[CO2e (value)]]*CropLCAs[[#This Row],[Conversion factor (value)]],CropLCAs[[#This Row],[CO2e (value)]]*CropLCAs[[#This Row],[Conversion factor (value)]]/CropLCAs[[#This Row],[Product fraction]]*CropLCAs[[#This Row],[Value fraction]])</f>
        <v>0.26616000000000001</v>
      </c>
      <c r="AF124" s="5"/>
      <c r="AG124" s="5" t="str">
        <f t="shared" si="7"/>
        <v>processed_ghg</v>
      </c>
      <c r="AH124" s="5"/>
      <c r="AI124" s="5"/>
      <c r="AJ124" s="8" t="str">
        <f>IF(CropLCAs[[#This Row],[product_fraction]]&gt;0,CropLCAs[[#This Row],[footprint]]/CropLCAs[[#This Row],[product_fraction]]*CropLCAs[[#This Row],[value_fraction]],"")</f>
        <v/>
      </c>
      <c r="AK124" s="23">
        <f t="shared" si="9"/>
        <v>0.14285714285714285</v>
      </c>
      <c r="AL124" s="5" t="s">
        <v>109</v>
      </c>
      <c r="AM124" s="5" t="s">
        <v>636</v>
      </c>
      <c r="AN124" s="5" t="s">
        <v>637</v>
      </c>
      <c r="AO124" s="5"/>
      <c r="AP124" s="5"/>
      <c r="AQ124" s="5"/>
      <c r="AR124" s="5"/>
      <c r="AS124" s="5"/>
      <c r="AT124" s="5"/>
      <c r="AU124" s="5"/>
    </row>
    <row r="125" spans="1:47" ht="44.1" customHeight="1" x14ac:dyDescent="0.2">
      <c r="A125" s="5" t="s">
        <v>99</v>
      </c>
      <c r="B125" s="7" t="s">
        <v>1443</v>
      </c>
      <c r="C125" s="7">
        <v>2004</v>
      </c>
      <c r="D125" s="7" t="s">
        <v>633</v>
      </c>
      <c r="E125" s="6" t="s">
        <v>1321</v>
      </c>
      <c r="F125" s="5" t="s">
        <v>5</v>
      </c>
      <c r="G125" s="5" t="str">
        <f>IF(CropLCAs[[#This Row],[fbs_item]]="Insects","insect_ghg","plant_ghg")</f>
        <v>plant_ghg</v>
      </c>
      <c r="H125" s="49" t="s">
        <v>477</v>
      </c>
      <c r="I125" s="49"/>
      <c r="J125" s="49"/>
      <c r="K125" s="5" t="s">
        <v>778</v>
      </c>
      <c r="L125" s="5" t="s">
        <v>176</v>
      </c>
      <c r="M125" s="5" t="s">
        <v>102</v>
      </c>
      <c r="N125" s="5" t="s">
        <v>109</v>
      </c>
      <c r="O125" s="5" t="s">
        <v>109</v>
      </c>
      <c r="P125" s="5" t="s">
        <v>102</v>
      </c>
      <c r="Q125" s="5" t="s">
        <v>102</v>
      </c>
      <c r="R125" s="5" t="s">
        <v>102</v>
      </c>
      <c r="S125" s="5" t="s">
        <v>102</v>
      </c>
      <c r="T125" s="5" t="s">
        <v>102</v>
      </c>
      <c r="U125" s="5">
        <v>100</v>
      </c>
      <c r="V125" s="5">
        <v>1</v>
      </c>
      <c r="W125" s="5" t="s">
        <v>127</v>
      </c>
      <c r="X125" s="24">
        <v>315.68</v>
      </c>
      <c r="Y125" s="5" t="s">
        <v>106</v>
      </c>
      <c r="Z125" s="5"/>
      <c r="AA125" s="5"/>
      <c r="AB125" s="24">
        <v>1E-3</v>
      </c>
      <c r="AC125" s="5" t="s">
        <v>635</v>
      </c>
      <c r="AD125" s="5" t="str">
        <f t="shared" si="6"/>
        <v>kg_co2e_excl_luc</v>
      </c>
      <c r="AE125" s="24">
        <f>IF(CropLCAs[[#This Row],[Product fraction]]="",CropLCAs[[#This Row],[CO2e (value)]]*CropLCAs[[#This Row],[Conversion factor (value)]],CropLCAs[[#This Row],[CO2e (value)]]*CropLCAs[[#This Row],[Conversion factor (value)]]/CropLCAs[[#This Row],[Product fraction]]*CropLCAs[[#This Row],[Value fraction]])</f>
        <v>0.31568000000000002</v>
      </c>
      <c r="AF125" s="5"/>
      <c r="AG125" s="5" t="str">
        <f t="shared" si="7"/>
        <v>processed_ghg</v>
      </c>
      <c r="AH125" s="5"/>
      <c r="AI125" s="5"/>
      <c r="AJ125" s="8" t="str">
        <f>IF(CropLCAs[[#This Row],[product_fraction]]&gt;0,CropLCAs[[#This Row],[footprint]]/CropLCAs[[#This Row],[product_fraction]]*CropLCAs[[#This Row],[value_fraction]],"")</f>
        <v/>
      </c>
      <c r="AK125" s="23">
        <f t="shared" si="9"/>
        <v>0.14285714285714285</v>
      </c>
      <c r="AL125" s="5" t="s">
        <v>109</v>
      </c>
      <c r="AM125" s="5" t="s">
        <v>636</v>
      </c>
      <c r="AN125" s="5" t="s">
        <v>637</v>
      </c>
      <c r="AO125" s="5"/>
      <c r="AP125" s="5"/>
      <c r="AQ125" s="5"/>
      <c r="AR125" s="5"/>
      <c r="AS125" s="5"/>
      <c r="AT125" s="5"/>
      <c r="AU125" s="5"/>
    </row>
    <row r="126" spans="1:47" ht="44.1" customHeight="1" x14ac:dyDescent="0.2">
      <c r="A126" s="5" t="s">
        <v>99</v>
      </c>
      <c r="B126" s="7" t="s">
        <v>1443</v>
      </c>
      <c r="C126" s="7">
        <v>2004</v>
      </c>
      <c r="D126" s="7" t="s">
        <v>633</v>
      </c>
      <c r="E126" s="6" t="s">
        <v>1321</v>
      </c>
      <c r="F126" s="5" t="s">
        <v>5</v>
      </c>
      <c r="G126" s="5" t="str">
        <f>IF(CropLCAs[[#This Row],[fbs_item]]="Insects","insect_ghg","plant_ghg")</f>
        <v>plant_ghg</v>
      </c>
      <c r="H126" s="49" t="s">
        <v>477</v>
      </c>
      <c r="I126" s="49"/>
      <c r="J126" s="49"/>
      <c r="K126" s="5" t="s">
        <v>778</v>
      </c>
      <c r="L126" s="5" t="s">
        <v>177</v>
      </c>
      <c r="M126" s="5" t="s">
        <v>102</v>
      </c>
      <c r="N126" s="5" t="s">
        <v>109</v>
      </c>
      <c r="O126" s="5" t="s">
        <v>109</v>
      </c>
      <c r="P126" s="5" t="s">
        <v>102</v>
      </c>
      <c r="Q126" s="5" t="s">
        <v>102</v>
      </c>
      <c r="R126" s="5" t="s">
        <v>102</v>
      </c>
      <c r="S126" s="5" t="s">
        <v>102</v>
      </c>
      <c r="T126" s="5" t="s">
        <v>102</v>
      </c>
      <c r="U126" s="5">
        <v>100</v>
      </c>
      <c r="V126" s="5">
        <v>1</v>
      </c>
      <c r="W126" s="5" t="s">
        <v>127</v>
      </c>
      <c r="X126" s="24">
        <v>383.77</v>
      </c>
      <c r="Y126" s="5" t="s">
        <v>106</v>
      </c>
      <c r="Z126" s="5"/>
      <c r="AA126" s="5"/>
      <c r="AB126" s="24">
        <v>1E-3</v>
      </c>
      <c r="AC126" s="5" t="s">
        <v>635</v>
      </c>
      <c r="AD126" s="5" t="str">
        <f t="shared" si="6"/>
        <v>kg_co2e_excl_luc</v>
      </c>
      <c r="AE126" s="24">
        <f>IF(CropLCAs[[#This Row],[Product fraction]]="",CropLCAs[[#This Row],[CO2e (value)]]*CropLCAs[[#This Row],[Conversion factor (value)]],CropLCAs[[#This Row],[CO2e (value)]]*CropLCAs[[#This Row],[Conversion factor (value)]]/CropLCAs[[#This Row],[Product fraction]]*CropLCAs[[#This Row],[Value fraction]])</f>
        <v>0.38377</v>
      </c>
      <c r="AF126" s="5"/>
      <c r="AG126" s="5" t="str">
        <f t="shared" si="7"/>
        <v>processed_ghg</v>
      </c>
      <c r="AH126" s="5"/>
      <c r="AI126" s="5"/>
      <c r="AJ126" s="8" t="str">
        <f>IF(CropLCAs[[#This Row],[product_fraction]]&gt;0,CropLCAs[[#This Row],[footprint]]/CropLCAs[[#This Row],[product_fraction]]*CropLCAs[[#This Row],[value_fraction]],"")</f>
        <v/>
      </c>
      <c r="AK126" s="23">
        <f t="shared" si="9"/>
        <v>0.14285714285714285</v>
      </c>
      <c r="AL126" s="5" t="s">
        <v>109</v>
      </c>
      <c r="AM126" s="5" t="s">
        <v>636</v>
      </c>
      <c r="AN126" s="5" t="s">
        <v>637</v>
      </c>
      <c r="AO126" s="5"/>
      <c r="AP126" s="5"/>
      <c r="AQ126" s="5"/>
      <c r="AR126" s="5"/>
      <c r="AS126" s="5"/>
      <c r="AT126" s="5"/>
      <c r="AU126" s="5"/>
    </row>
    <row r="127" spans="1:47" ht="44.1" customHeight="1" x14ac:dyDescent="0.2">
      <c r="A127" s="5" t="s">
        <v>99</v>
      </c>
      <c r="B127" s="7" t="s">
        <v>1443</v>
      </c>
      <c r="C127" s="7">
        <v>2004</v>
      </c>
      <c r="D127" s="7" t="s">
        <v>633</v>
      </c>
      <c r="E127" s="6" t="s">
        <v>1321</v>
      </c>
      <c r="F127" s="5" t="s">
        <v>5</v>
      </c>
      <c r="G127" s="5" t="str">
        <f>IF(CropLCAs[[#This Row],[fbs_item]]="Insects","insect_ghg","plant_ghg")</f>
        <v>plant_ghg</v>
      </c>
      <c r="H127" s="49" t="s">
        <v>477</v>
      </c>
      <c r="I127" s="49"/>
      <c r="J127" s="49"/>
      <c r="K127" s="5" t="s">
        <v>778</v>
      </c>
      <c r="L127" s="5" t="s">
        <v>638</v>
      </c>
      <c r="M127" s="5" t="s">
        <v>102</v>
      </c>
      <c r="N127" s="5" t="s">
        <v>109</v>
      </c>
      <c r="O127" s="5" t="s">
        <v>109</v>
      </c>
      <c r="P127" s="5" t="s">
        <v>102</v>
      </c>
      <c r="Q127" s="5" t="s">
        <v>102</v>
      </c>
      <c r="R127" s="5" t="s">
        <v>102</v>
      </c>
      <c r="S127" s="5" t="s">
        <v>102</v>
      </c>
      <c r="T127" s="5" t="s">
        <v>102</v>
      </c>
      <c r="U127" s="5">
        <v>100</v>
      </c>
      <c r="V127" s="5">
        <v>1</v>
      </c>
      <c r="W127" s="5" t="s">
        <v>127</v>
      </c>
      <c r="X127" s="24">
        <v>459.42</v>
      </c>
      <c r="Y127" s="5" t="s">
        <v>106</v>
      </c>
      <c r="Z127" s="5"/>
      <c r="AA127" s="5"/>
      <c r="AB127" s="24">
        <v>1E-3</v>
      </c>
      <c r="AC127" s="5" t="s">
        <v>635</v>
      </c>
      <c r="AD127" s="5" t="str">
        <f t="shared" si="6"/>
        <v>kg_co2e_excl_luc</v>
      </c>
      <c r="AE127" s="24">
        <f>IF(CropLCAs[[#This Row],[Product fraction]]="",CropLCAs[[#This Row],[CO2e (value)]]*CropLCAs[[#This Row],[Conversion factor (value)]],CropLCAs[[#This Row],[CO2e (value)]]*CropLCAs[[#This Row],[Conversion factor (value)]]/CropLCAs[[#This Row],[Product fraction]]*CropLCAs[[#This Row],[Value fraction]])</f>
        <v>0.45942000000000005</v>
      </c>
      <c r="AF127" s="5"/>
      <c r="AG127" s="5" t="str">
        <f t="shared" si="7"/>
        <v>processed_ghg</v>
      </c>
      <c r="AH127" s="5"/>
      <c r="AI127" s="5"/>
      <c r="AJ127" s="8" t="str">
        <f>IF(CropLCAs[[#This Row],[product_fraction]]&gt;0,CropLCAs[[#This Row],[footprint]]/CropLCAs[[#This Row],[product_fraction]]*CropLCAs[[#This Row],[value_fraction]],"")</f>
        <v/>
      </c>
      <c r="AK127" s="23">
        <f t="shared" si="9"/>
        <v>0.14285714285714285</v>
      </c>
      <c r="AL127" s="5" t="s">
        <v>109</v>
      </c>
      <c r="AM127" s="5" t="s">
        <v>636</v>
      </c>
      <c r="AN127" s="5" t="s">
        <v>637</v>
      </c>
      <c r="AO127" s="5"/>
      <c r="AP127" s="5"/>
      <c r="AQ127" s="5"/>
      <c r="AR127" s="5"/>
      <c r="AS127" s="5"/>
      <c r="AT127" s="5"/>
      <c r="AU127" s="5"/>
    </row>
    <row r="128" spans="1:47" ht="44.1" customHeight="1" x14ac:dyDescent="0.2">
      <c r="A128" s="5" t="s">
        <v>123</v>
      </c>
      <c r="B128" s="5" t="s">
        <v>1444</v>
      </c>
      <c r="C128" s="5">
        <v>2013</v>
      </c>
      <c r="D128" s="5" t="s">
        <v>125</v>
      </c>
      <c r="E128" s="5" t="s">
        <v>1645</v>
      </c>
      <c r="F128" s="5" t="s">
        <v>30</v>
      </c>
      <c r="G128" s="5" t="str">
        <f>IF(CropLCAs[[#This Row],[fbs_item]]="Insects","insect_ghg","plant_ghg")</f>
        <v>plant_ghg</v>
      </c>
      <c r="H128" s="49" t="s">
        <v>253</v>
      </c>
      <c r="I128" s="49"/>
      <c r="J128" s="49" t="s">
        <v>1286</v>
      </c>
      <c r="K128" s="5" t="s">
        <v>111</v>
      </c>
      <c r="L128" s="5"/>
      <c r="M128" s="5" t="s">
        <v>102</v>
      </c>
      <c r="N128" s="5" t="s">
        <v>109</v>
      </c>
      <c r="O128" s="5" t="s">
        <v>109</v>
      </c>
      <c r="P128" s="5" t="s">
        <v>102</v>
      </c>
      <c r="Q128" s="5" t="s">
        <v>102</v>
      </c>
      <c r="R128" s="5" t="s">
        <v>102</v>
      </c>
      <c r="S128" s="5" t="s">
        <v>102</v>
      </c>
      <c r="T128" s="5" t="s">
        <v>102</v>
      </c>
      <c r="U128" s="5" t="s">
        <v>126</v>
      </c>
      <c r="V128" s="5">
        <v>1</v>
      </c>
      <c r="W128" s="5" t="s">
        <v>127</v>
      </c>
      <c r="X128" s="24">
        <v>163.88200000000001</v>
      </c>
      <c r="Y128" s="5" t="s">
        <v>106</v>
      </c>
      <c r="Z128" s="5"/>
      <c r="AA128" s="5"/>
      <c r="AB128" s="24">
        <v>1E-3</v>
      </c>
      <c r="AC128" s="5" t="s">
        <v>128</v>
      </c>
      <c r="AD128" s="5" t="str">
        <f t="shared" si="6"/>
        <v>kg_co2e_excl_luc</v>
      </c>
      <c r="AE128" s="24">
        <f>IF(CropLCAs[[#This Row],[Product fraction]]="",CropLCAs[[#This Row],[CO2e (value)]]*CropLCAs[[#This Row],[Conversion factor (value)]],CropLCAs[[#This Row],[CO2e (value)]]*CropLCAs[[#This Row],[Conversion factor (value)]]/CropLCAs[[#This Row],[Product fraction]]*CropLCAs[[#This Row],[Value fraction]])</f>
        <v>0.163882</v>
      </c>
      <c r="AF128" s="5"/>
      <c r="AG128" s="5" t="str">
        <f t="shared" si="7"/>
        <v>processed_ghg</v>
      </c>
      <c r="AH128" s="5"/>
      <c r="AI128" s="5"/>
      <c r="AJ128" s="8" t="str">
        <f>IF(CropLCAs[[#This Row],[product_fraction]]&gt;0,CropLCAs[[#This Row],[footprint]]/CropLCAs[[#This Row],[product_fraction]]*CropLCAs[[#This Row],[value_fraction]],"")</f>
        <v/>
      </c>
      <c r="AK128" s="23">
        <v>1</v>
      </c>
      <c r="AL128" s="5" t="s">
        <v>109</v>
      </c>
      <c r="AM128" s="7"/>
      <c r="AN128" s="5"/>
      <c r="AO128" s="5"/>
      <c r="AP128" s="5"/>
      <c r="AQ128" s="5"/>
      <c r="AR128" s="5"/>
      <c r="AS128" s="5"/>
      <c r="AT128" s="5"/>
      <c r="AU128" s="5"/>
    </row>
    <row r="129" spans="1:47" ht="44.1" customHeight="1" x14ac:dyDescent="0.2">
      <c r="A129" s="17" t="s">
        <v>123</v>
      </c>
      <c r="B129" s="17" t="s">
        <v>124</v>
      </c>
      <c r="C129" s="17"/>
      <c r="D129" s="17" t="s">
        <v>125</v>
      </c>
      <c r="E129" s="17" t="s">
        <v>878</v>
      </c>
      <c r="F129" s="17" t="s">
        <v>30</v>
      </c>
      <c r="G129" s="17" t="str">
        <f>IF(CropLCAs[[#This Row],[fbs_item]]="Insects","insect_ghg","plant_ghg")</f>
        <v>plant_ghg</v>
      </c>
      <c r="H129" s="50" t="s">
        <v>314</v>
      </c>
      <c r="I129" s="50"/>
      <c r="J129" s="50"/>
      <c r="K129" s="17" t="s">
        <v>111</v>
      </c>
      <c r="L129" s="17"/>
      <c r="M129" s="17" t="s">
        <v>102</v>
      </c>
      <c r="N129" s="17" t="s">
        <v>109</v>
      </c>
      <c r="O129" s="17" t="s">
        <v>109</v>
      </c>
      <c r="P129" s="17" t="s">
        <v>102</v>
      </c>
      <c r="Q129" s="17" t="s">
        <v>102</v>
      </c>
      <c r="R129" s="17" t="s">
        <v>102</v>
      </c>
      <c r="S129" s="17" t="s">
        <v>102</v>
      </c>
      <c r="T129" s="17" t="s">
        <v>102</v>
      </c>
      <c r="U129" s="17" t="s">
        <v>126</v>
      </c>
      <c r="V129" s="17">
        <v>1</v>
      </c>
      <c r="W129" s="17" t="s">
        <v>127</v>
      </c>
      <c r="X129" s="30">
        <v>203.89</v>
      </c>
      <c r="Y129" s="17" t="s">
        <v>106</v>
      </c>
      <c r="Z129" s="17"/>
      <c r="AA129" s="17"/>
      <c r="AB129" s="30">
        <v>1E-3</v>
      </c>
      <c r="AC129" s="17" t="s">
        <v>128</v>
      </c>
      <c r="AD129" s="17" t="str">
        <f t="shared" si="6"/>
        <v>kg_co2e_excl_luc</v>
      </c>
      <c r="AE129" s="30">
        <f>IF(CropLCAs[[#This Row],[Product fraction]]="",CropLCAs[[#This Row],[CO2e (value)]]*CropLCAs[[#This Row],[Conversion factor (value)]],CropLCAs[[#This Row],[CO2e (value)]]*CropLCAs[[#This Row],[Conversion factor (value)]]/CropLCAs[[#This Row],[Product fraction]]*CropLCAs[[#This Row],[Value fraction]])</f>
        <v>0.20388999999999999</v>
      </c>
      <c r="AF129" s="19"/>
      <c r="AG129" s="19" t="str">
        <f t="shared" si="7"/>
        <v>processed_ghg</v>
      </c>
      <c r="AH129" s="19"/>
      <c r="AI129" s="19"/>
      <c r="AJ129" s="18" t="str">
        <f>IF(CropLCAs[[#This Row],[product_fraction]]&gt;0,CropLCAs[[#This Row],[footprint]]/CropLCAs[[#This Row],[product_fraction]]*CropLCAs[[#This Row],[value_fraction]],"")</f>
        <v/>
      </c>
      <c r="AK129" s="29"/>
      <c r="AL129" s="19" t="s">
        <v>879</v>
      </c>
      <c r="AM129" s="17"/>
      <c r="AN129" s="17"/>
      <c r="AO129" s="17"/>
      <c r="AP129" s="17"/>
      <c r="AQ129" s="5"/>
      <c r="AR129" s="5"/>
      <c r="AS129" s="5"/>
      <c r="AT129" s="5"/>
      <c r="AU129" s="5"/>
    </row>
    <row r="130" spans="1:47" ht="44.1" customHeight="1" x14ac:dyDescent="0.2">
      <c r="A130" s="17" t="s">
        <v>123</v>
      </c>
      <c r="B130" s="17" t="s">
        <v>124</v>
      </c>
      <c r="C130" s="17"/>
      <c r="D130" s="17" t="s">
        <v>125</v>
      </c>
      <c r="E130" s="17" t="s">
        <v>880</v>
      </c>
      <c r="F130" s="17" t="s">
        <v>30</v>
      </c>
      <c r="G130" s="17" t="str">
        <f>IF(CropLCAs[[#This Row],[fbs_item]]="Insects","insect_ghg","plant_ghg")</f>
        <v>plant_ghg</v>
      </c>
      <c r="H130" s="50" t="s">
        <v>314</v>
      </c>
      <c r="I130" s="50"/>
      <c r="J130" s="50"/>
      <c r="K130" s="17" t="s">
        <v>111</v>
      </c>
      <c r="L130" s="17"/>
      <c r="M130" s="17" t="s">
        <v>102</v>
      </c>
      <c r="N130" s="17" t="s">
        <v>109</v>
      </c>
      <c r="O130" s="17" t="s">
        <v>109</v>
      </c>
      <c r="P130" s="17" t="s">
        <v>102</v>
      </c>
      <c r="Q130" s="17" t="s">
        <v>102</v>
      </c>
      <c r="R130" s="17" t="s">
        <v>102</v>
      </c>
      <c r="S130" s="17" t="s">
        <v>102</v>
      </c>
      <c r="T130" s="17" t="s">
        <v>102</v>
      </c>
      <c r="U130" s="17" t="s">
        <v>126</v>
      </c>
      <c r="V130" s="17">
        <v>1</v>
      </c>
      <c r="W130" s="17" t="s">
        <v>127</v>
      </c>
      <c r="X130" s="30">
        <v>192.874</v>
      </c>
      <c r="Y130" s="17" t="s">
        <v>106</v>
      </c>
      <c r="Z130" s="17"/>
      <c r="AA130" s="17"/>
      <c r="AB130" s="30">
        <v>1E-3</v>
      </c>
      <c r="AC130" s="17" t="s">
        <v>128</v>
      </c>
      <c r="AD130" s="17" t="str">
        <f t="shared" si="6"/>
        <v>kg_co2e_excl_luc</v>
      </c>
      <c r="AE130" s="30">
        <f>IF(CropLCAs[[#This Row],[Product fraction]]="",CropLCAs[[#This Row],[CO2e (value)]]*CropLCAs[[#This Row],[Conversion factor (value)]],CropLCAs[[#This Row],[CO2e (value)]]*CropLCAs[[#This Row],[Conversion factor (value)]]/CropLCAs[[#This Row],[Product fraction]]*CropLCAs[[#This Row],[Value fraction]])</f>
        <v>0.19287399999999999</v>
      </c>
      <c r="AF130" s="19"/>
      <c r="AG130" s="19" t="str">
        <f t="shared" si="7"/>
        <v>processed_ghg</v>
      </c>
      <c r="AH130" s="19"/>
      <c r="AI130" s="19"/>
      <c r="AJ130" s="18" t="str">
        <f>IF(CropLCAs[[#This Row],[product_fraction]]&gt;0,CropLCAs[[#This Row],[footprint]]/CropLCAs[[#This Row],[product_fraction]]*CropLCAs[[#This Row],[value_fraction]],"")</f>
        <v/>
      </c>
      <c r="AK130" s="29"/>
      <c r="AL130" s="19" t="s">
        <v>879</v>
      </c>
      <c r="AM130" s="17"/>
      <c r="AN130" s="17"/>
      <c r="AO130" s="17"/>
      <c r="AP130" s="17"/>
      <c r="AQ130" s="5"/>
      <c r="AR130" s="5"/>
      <c r="AS130" s="5"/>
      <c r="AT130" s="5"/>
      <c r="AU130" s="5"/>
    </row>
    <row r="131" spans="1:47" ht="44.1" customHeight="1" x14ac:dyDescent="0.2">
      <c r="A131" s="17" t="s">
        <v>123</v>
      </c>
      <c r="B131" s="17" t="s">
        <v>124</v>
      </c>
      <c r="C131" s="17"/>
      <c r="D131" s="17" t="s">
        <v>125</v>
      </c>
      <c r="E131" s="17" t="s">
        <v>881</v>
      </c>
      <c r="F131" s="17" t="s">
        <v>30</v>
      </c>
      <c r="G131" s="17" t="str">
        <f>IF(CropLCAs[[#This Row],[fbs_item]]="Insects","insect_ghg","plant_ghg")</f>
        <v>plant_ghg</v>
      </c>
      <c r="H131" s="50" t="s">
        <v>314</v>
      </c>
      <c r="I131" s="50"/>
      <c r="J131" s="50"/>
      <c r="K131" s="17" t="s">
        <v>111</v>
      </c>
      <c r="L131" s="17"/>
      <c r="M131" s="17" t="s">
        <v>102</v>
      </c>
      <c r="N131" s="17" t="s">
        <v>109</v>
      </c>
      <c r="O131" s="17" t="s">
        <v>109</v>
      </c>
      <c r="P131" s="17" t="s">
        <v>102</v>
      </c>
      <c r="Q131" s="17" t="s">
        <v>102</v>
      </c>
      <c r="R131" s="17" t="s">
        <v>102</v>
      </c>
      <c r="S131" s="17" t="s">
        <v>102</v>
      </c>
      <c r="T131" s="17" t="s">
        <v>102</v>
      </c>
      <c r="U131" s="17" t="s">
        <v>126</v>
      </c>
      <c r="V131" s="17">
        <v>1</v>
      </c>
      <c r="W131" s="17" t="s">
        <v>127</v>
      </c>
      <c r="X131" s="30">
        <v>196.54839999999999</v>
      </c>
      <c r="Y131" s="17" t="s">
        <v>106</v>
      </c>
      <c r="Z131" s="17"/>
      <c r="AA131" s="17"/>
      <c r="AB131" s="30">
        <v>1E-3</v>
      </c>
      <c r="AC131" s="17" t="s">
        <v>128</v>
      </c>
      <c r="AD131" s="17" t="str">
        <f t="shared" si="6"/>
        <v>kg_co2e_excl_luc</v>
      </c>
      <c r="AE131" s="30">
        <f>IF(CropLCAs[[#This Row],[Product fraction]]="",CropLCAs[[#This Row],[CO2e (value)]]*CropLCAs[[#This Row],[Conversion factor (value)]],CropLCAs[[#This Row],[CO2e (value)]]*CropLCAs[[#This Row],[Conversion factor (value)]]/CropLCAs[[#This Row],[Product fraction]]*CropLCAs[[#This Row],[Value fraction]])</f>
        <v>0.19654839999999998</v>
      </c>
      <c r="AF131" s="19"/>
      <c r="AG131" s="19" t="str">
        <f t="shared" si="7"/>
        <v>processed_ghg</v>
      </c>
      <c r="AH131" s="19"/>
      <c r="AI131" s="19"/>
      <c r="AJ131" s="18" t="str">
        <f>IF(CropLCAs[[#This Row],[product_fraction]]&gt;0,CropLCAs[[#This Row],[footprint]]/CropLCAs[[#This Row],[product_fraction]]*CropLCAs[[#This Row],[value_fraction]],"")</f>
        <v/>
      </c>
      <c r="AK131" s="29"/>
      <c r="AL131" s="19" t="s">
        <v>879</v>
      </c>
      <c r="AM131" s="17"/>
      <c r="AN131" s="17"/>
      <c r="AO131" s="17"/>
      <c r="AP131" s="17"/>
      <c r="AQ131" s="5"/>
      <c r="AR131" s="5"/>
      <c r="AS131" s="5"/>
      <c r="AT131" s="5"/>
      <c r="AU131" s="5"/>
    </row>
    <row r="132" spans="1:47" ht="44.1" customHeight="1" x14ac:dyDescent="0.2">
      <c r="A132" s="17" t="s">
        <v>251</v>
      </c>
      <c r="B132" s="17" t="s">
        <v>712</v>
      </c>
      <c r="C132" s="17"/>
      <c r="D132" s="17" t="s">
        <v>713</v>
      </c>
      <c r="E132" s="19" t="s">
        <v>714</v>
      </c>
      <c r="F132" s="17" t="s">
        <v>44</v>
      </c>
      <c r="G132" s="17" t="str">
        <f>IF(CropLCAs[[#This Row],[fbs_item]]="Insects","insect_ghg","plant_ghg")</f>
        <v>plant_ghg</v>
      </c>
      <c r="H132" s="50" t="s">
        <v>715</v>
      </c>
      <c r="I132" s="50"/>
      <c r="J132" s="50"/>
      <c r="K132" s="17" t="s">
        <v>716</v>
      </c>
      <c r="L132" s="17"/>
      <c r="M132" s="17" t="s">
        <v>102</v>
      </c>
      <c r="N132" s="17" t="s">
        <v>126</v>
      </c>
      <c r="O132" s="17" t="s">
        <v>126</v>
      </c>
      <c r="P132" s="17" t="s">
        <v>109</v>
      </c>
      <c r="Q132" s="17" t="s">
        <v>109</v>
      </c>
      <c r="R132" s="17" t="s">
        <v>102</v>
      </c>
      <c r="S132" s="17" t="s">
        <v>109</v>
      </c>
      <c r="T132" s="17" t="s">
        <v>102</v>
      </c>
      <c r="U132" s="17" t="s">
        <v>462</v>
      </c>
      <c r="V132" s="17">
        <v>1</v>
      </c>
      <c r="W132" s="17" t="s">
        <v>355</v>
      </c>
      <c r="X132" s="30">
        <v>0.86</v>
      </c>
      <c r="Y132" s="17" t="s">
        <v>165</v>
      </c>
      <c r="Z132" s="17"/>
      <c r="AA132" s="17"/>
      <c r="AB132" s="30">
        <v>1</v>
      </c>
      <c r="AC132" s="17"/>
      <c r="AD132" s="17" t="str">
        <f t="shared" si="6"/>
        <v>kg_co2e_excl_luc</v>
      </c>
      <c r="AE132" s="30">
        <f>IF(CropLCAs[[#This Row],[Product fraction]]="",CropLCAs[[#This Row],[CO2e (value)]]*CropLCAs[[#This Row],[Conversion factor (value)]],CropLCAs[[#This Row],[CO2e (value)]]*CropLCAs[[#This Row],[Conversion factor (value)]]/CropLCAs[[#This Row],[Product fraction]]*CropLCAs[[#This Row],[Value fraction]])</f>
        <v>0.86</v>
      </c>
      <c r="AF132" s="19"/>
      <c r="AG132" s="19" t="str">
        <f t="shared" si="7"/>
        <v>processed_ghg</v>
      </c>
      <c r="AH132" s="19"/>
      <c r="AI132" s="19"/>
      <c r="AJ132" s="18" t="str">
        <f>IF(CropLCAs[[#This Row],[product_fraction]]&gt;0,CropLCAs[[#This Row],[footprint]]/CropLCAs[[#This Row],[product_fraction]]*CropLCAs[[#This Row],[value_fraction]],"")</f>
        <v/>
      </c>
      <c r="AK132" s="29"/>
      <c r="AL132" s="19" t="s">
        <v>717</v>
      </c>
      <c r="AM132" s="17" t="s">
        <v>718</v>
      </c>
      <c r="AN132" s="17"/>
      <c r="AO132" s="17"/>
      <c r="AP132" s="17"/>
      <c r="AQ132" s="5"/>
      <c r="AR132" s="5"/>
      <c r="AS132" s="5"/>
      <c r="AT132" s="5"/>
      <c r="AU132" s="5"/>
    </row>
    <row r="133" spans="1:47" ht="44.1" customHeight="1" x14ac:dyDescent="0.2">
      <c r="A133" s="5" t="s">
        <v>215</v>
      </c>
      <c r="B133" s="7" t="s">
        <v>1445</v>
      </c>
      <c r="C133" s="7">
        <v>2011</v>
      </c>
      <c r="D133" s="5" t="s">
        <v>364</v>
      </c>
      <c r="E133" s="6" t="s">
        <v>365</v>
      </c>
      <c r="F133" s="11" t="s">
        <v>366</v>
      </c>
      <c r="G133" s="11" t="str">
        <f>IF(CropLCAs[[#This Row],[fbs_item]]="Insects","insect_ghg","plant_ghg")</f>
        <v>plant_ghg</v>
      </c>
      <c r="H133" s="49" t="s">
        <v>367</v>
      </c>
      <c r="I133" s="49"/>
      <c r="J133" s="49"/>
      <c r="K133" s="5" t="s">
        <v>111</v>
      </c>
      <c r="L133" s="5"/>
      <c r="M133" s="5" t="s">
        <v>102</v>
      </c>
      <c r="N133" s="5" t="s">
        <v>150</v>
      </c>
      <c r="O133" s="5" t="s">
        <v>109</v>
      </c>
      <c r="P133" s="5" t="s">
        <v>368</v>
      </c>
      <c r="Q133" s="5" t="s">
        <v>102</v>
      </c>
      <c r="R133" s="5" t="s">
        <v>102</v>
      </c>
      <c r="S133" s="5" t="s">
        <v>109</v>
      </c>
      <c r="T133" s="5" t="s">
        <v>109</v>
      </c>
      <c r="U133" s="5" t="s">
        <v>126</v>
      </c>
      <c r="V133" s="5">
        <v>1</v>
      </c>
      <c r="W133" s="5" t="s">
        <v>369</v>
      </c>
      <c r="X133" s="24">
        <v>119</v>
      </c>
      <c r="Y133" s="5" t="s">
        <v>106</v>
      </c>
      <c r="Z133" s="5"/>
      <c r="AA133" s="5"/>
      <c r="AB133" s="24">
        <v>1E-3</v>
      </c>
      <c r="AC133" s="5" t="s">
        <v>274</v>
      </c>
      <c r="AD133" s="5" t="str">
        <f t="shared" ref="AD133:AD196" si="10">"kg_co2e_excl_luc"</f>
        <v>kg_co2e_excl_luc</v>
      </c>
      <c r="AE133" s="24">
        <f>IF(CropLCAs[[#This Row],[Product fraction]]="",CropLCAs[[#This Row],[CO2e (value)]]*CropLCAs[[#This Row],[Conversion factor (value)]],CropLCAs[[#This Row],[CO2e (value)]]*CropLCAs[[#This Row],[Conversion factor (value)]]/CropLCAs[[#This Row],[Product fraction]]*CropLCAs[[#This Row],[Value fraction]])</f>
        <v>0.11900000000000001</v>
      </c>
      <c r="AF133" s="5" t="s">
        <v>44</v>
      </c>
      <c r="AG133" s="5" t="str">
        <f t="shared" ref="AG133:AG196" si="11">"processed_ghg"</f>
        <v>processed_ghg</v>
      </c>
      <c r="AH133" s="5">
        <v>0.19</v>
      </c>
      <c r="AI133" s="5">
        <v>0.84</v>
      </c>
      <c r="AJ133" s="8">
        <f>IF(CropLCAs[[#This Row],[product_fraction]]&gt;0,CropLCAs[[#This Row],[footprint]]/CropLCAs[[#This Row],[product_fraction]]*CropLCAs[[#This Row],[value_fraction]],"")</f>
        <v>0.52610526315789474</v>
      </c>
      <c r="AK133" s="23">
        <v>1</v>
      </c>
      <c r="AL133" s="5" t="s">
        <v>109</v>
      </c>
      <c r="AM133" s="5" t="s">
        <v>370</v>
      </c>
      <c r="AN133" s="5" t="s">
        <v>371</v>
      </c>
      <c r="AO133" s="5" t="s">
        <v>372</v>
      </c>
      <c r="AP133" s="5"/>
      <c r="AQ133" s="5"/>
      <c r="AR133" s="5"/>
      <c r="AS133" s="5"/>
      <c r="AT133" s="5"/>
      <c r="AU133" s="5"/>
    </row>
    <row r="134" spans="1:47" ht="44.1" customHeight="1" x14ac:dyDescent="0.2">
      <c r="A134" s="5" t="s">
        <v>215</v>
      </c>
      <c r="B134" s="7" t="s">
        <v>1445</v>
      </c>
      <c r="C134" s="7">
        <v>2011</v>
      </c>
      <c r="D134" s="5" t="s">
        <v>364</v>
      </c>
      <c r="E134" s="6" t="s">
        <v>1322</v>
      </c>
      <c r="F134" s="5" t="s">
        <v>24</v>
      </c>
      <c r="G134" s="5" t="str">
        <f>IF(CropLCAs[[#This Row],[fbs_item]]="Insects","insect_ghg","plant_ghg")</f>
        <v>plant_ghg</v>
      </c>
      <c r="H134" s="49" t="s">
        <v>367</v>
      </c>
      <c r="I134" s="49"/>
      <c r="J134" s="49"/>
      <c r="K134" s="5" t="s">
        <v>111</v>
      </c>
      <c r="L134" s="5"/>
      <c r="M134" s="5" t="s">
        <v>102</v>
      </c>
      <c r="N134" s="5" t="s">
        <v>150</v>
      </c>
      <c r="O134" s="5" t="s">
        <v>109</v>
      </c>
      <c r="P134" s="5" t="s">
        <v>368</v>
      </c>
      <c r="Q134" s="5" t="s">
        <v>102</v>
      </c>
      <c r="R134" s="5" t="s">
        <v>102</v>
      </c>
      <c r="S134" s="5" t="s">
        <v>109</v>
      </c>
      <c r="T134" s="5" t="s">
        <v>109</v>
      </c>
      <c r="U134" s="5" t="s">
        <v>126</v>
      </c>
      <c r="V134" s="5">
        <v>1</v>
      </c>
      <c r="W134" s="5" t="s">
        <v>369</v>
      </c>
      <c r="X134" s="24">
        <v>119</v>
      </c>
      <c r="Y134" s="5" t="s">
        <v>106</v>
      </c>
      <c r="Z134" s="5"/>
      <c r="AA134" s="5"/>
      <c r="AB134" s="24">
        <f>0.001/0.06</f>
        <v>1.6666666666666666E-2</v>
      </c>
      <c r="AC134" s="5" t="s">
        <v>373</v>
      </c>
      <c r="AD134" s="5" t="str">
        <f t="shared" si="10"/>
        <v>kg_co2e_excl_luc</v>
      </c>
      <c r="AE134" s="24">
        <f>IF(CropLCAs[[#This Row],[Product fraction]]="",CropLCAs[[#This Row],[CO2e (value)]]*CropLCAs[[#This Row],[Conversion factor (value)]],CropLCAs[[#This Row],[CO2e (value)]]*CropLCAs[[#This Row],[Conversion factor (value)]]/CropLCAs[[#This Row],[Product fraction]]*CropLCAs[[#This Row],[Value fraction]])</f>
        <v>1.9833333333333334</v>
      </c>
      <c r="AF134" s="5" t="s">
        <v>43</v>
      </c>
      <c r="AG134" s="5" t="str">
        <f t="shared" si="11"/>
        <v>processed_ghg</v>
      </c>
      <c r="AH134" s="5">
        <v>0.46</v>
      </c>
      <c r="AI134" s="5">
        <v>0.85</v>
      </c>
      <c r="AJ134" s="8">
        <f>IF(CropLCAs[[#This Row],[product_fraction]]&gt;0,CropLCAs[[#This Row],[footprint]]/CropLCAs[[#This Row],[product_fraction]]*CropLCAs[[#This Row],[value_fraction]],"")</f>
        <v>3.6648550724637681</v>
      </c>
      <c r="AK134" s="23">
        <v>1</v>
      </c>
      <c r="AL134" s="5" t="s">
        <v>109</v>
      </c>
      <c r="AM134" s="5" t="s">
        <v>370</v>
      </c>
      <c r="AN134" s="5" t="s">
        <v>371</v>
      </c>
      <c r="AO134" s="5" t="s">
        <v>372</v>
      </c>
      <c r="AP134" s="5" t="s">
        <v>1323</v>
      </c>
      <c r="AQ134" s="5"/>
      <c r="AR134" s="5"/>
      <c r="AS134" s="5"/>
      <c r="AT134" s="5"/>
      <c r="AU134" s="5"/>
    </row>
    <row r="135" spans="1:47" ht="44.1" customHeight="1" x14ac:dyDescent="0.2">
      <c r="A135" s="17" t="s">
        <v>215</v>
      </c>
      <c r="B135" s="17" t="s">
        <v>363</v>
      </c>
      <c r="C135" s="17"/>
      <c r="D135" s="17" t="s">
        <v>364</v>
      </c>
      <c r="E135" s="19" t="s">
        <v>714</v>
      </c>
      <c r="F135" s="17" t="s">
        <v>44</v>
      </c>
      <c r="G135" s="17" t="str">
        <f>IF(CropLCAs[[#This Row],[fbs_item]]="Insects","insect_ghg","plant_ghg")</f>
        <v>plant_ghg</v>
      </c>
      <c r="H135" s="50" t="s">
        <v>367</v>
      </c>
      <c r="I135" s="50"/>
      <c r="J135" s="50"/>
      <c r="K135" s="17" t="s">
        <v>719</v>
      </c>
      <c r="L135" s="17"/>
      <c r="M135" s="17" t="s">
        <v>102</v>
      </c>
      <c r="N135" s="17" t="s">
        <v>150</v>
      </c>
      <c r="O135" s="17" t="s">
        <v>109</v>
      </c>
      <c r="P135" s="17" t="s">
        <v>368</v>
      </c>
      <c r="Q135" s="17" t="s">
        <v>102</v>
      </c>
      <c r="R135" s="17" t="s">
        <v>102</v>
      </c>
      <c r="S135" s="17" t="s">
        <v>109</v>
      </c>
      <c r="T135" s="17" t="s">
        <v>109</v>
      </c>
      <c r="U135" s="17" t="s">
        <v>126</v>
      </c>
      <c r="V135" s="17">
        <v>1</v>
      </c>
      <c r="W135" s="17" t="s">
        <v>720</v>
      </c>
      <c r="X135" s="30">
        <v>971</v>
      </c>
      <c r="Y135" s="17" t="s">
        <v>106</v>
      </c>
      <c r="Z135" s="17"/>
      <c r="AA135" s="17"/>
      <c r="AB135" s="30">
        <v>1E-3</v>
      </c>
      <c r="AC135" s="17" t="s">
        <v>274</v>
      </c>
      <c r="AD135" s="17" t="str">
        <f t="shared" si="10"/>
        <v>kg_co2e_excl_luc</v>
      </c>
      <c r="AE135" s="30">
        <f>IF(CropLCAs[[#This Row],[Product fraction]]="",CropLCAs[[#This Row],[CO2e (value)]]*CropLCAs[[#This Row],[Conversion factor (value)]],CropLCAs[[#This Row],[CO2e (value)]]*CropLCAs[[#This Row],[Conversion factor (value)]]/CropLCAs[[#This Row],[Product fraction]]*CropLCAs[[#This Row],[Value fraction]])</f>
        <v>0.97099999999999997</v>
      </c>
      <c r="AF135" s="19"/>
      <c r="AG135" s="19" t="str">
        <f t="shared" si="11"/>
        <v>processed_ghg</v>
      </c>
      <c r="AH135" s="19"/>
      <c r="AI135" s="19"/>
      <c r="AJ135" s="18" t="str">
        <f>IF(CropLCAs[[#This Row],[product_fraction]]&gt;0,CropLCAs[[#This Row],[footprint]]/CropLCAs[[#This Row],[product_fraction]]*CropLCAs[[#This Row],[value_fraction]],"")</f>
        <v/>
      </c>
      <c r="AK135" s="29"/>
      <c r="AL135" s="19" t="s">
        <v>721</v>
      </c>
      <c r="AM135" s="17" t="s">
        <v>370</v>
      </c>
      <c r="AN135" s="17" t="s">
        <v>371</v>
      </c>
      <c r="AO135" s="17" t="s">
        <v>372</v>
      </c>
      <c r="AP135" s="17"/>
      <c r="AQ135" s="5"/>
      <c r="AR135" s="5"/>
      <c r="AS135" s="5"/>
      <c r="AT135" s="5"/>
      <c r="AU135" s="5"/>
    </row>
    <row r="136" spans="1:47" ht="44.1" customHeight="1" x14ac:dyDescent="0.2">
      <c r="A136" s="17" t="s">
        <v>215</v>
      </c>
      <c r="B136" s="17" t="s">
        <v>363</v>
      </c>
      <c r="C136" s="17"/>
      <c r="D136" s="17" t="s">
        <v>364</v>
      </c>
      <c r="E136" s="19" t="s">
        <v>714</v>
      </c>
      <c r="F136" s="17" t="s">
        <v>44</v>
      </c>
      <c r="G136" s="17" t="str">
        <f>IF(CropLCAs[[#This Row],[fbs_item]]="Insects","insect_ghg","plant_ghg")</f>
        <v>plant_ghg</v>
      </c>
      <c r="H136" s="50" t="s">
        <v>367</v>
      </c>
      <c r="I136" s="50"/>
      <c r="J136" s="50"/>
      <c r="K136" s="17" t="s">
        <v>722</v>
      </c>
      <c r="L136" s="17"/>
      <c r="M136" s="17" t="s">
        <v>102</v>
      </c>
      <c r="N136" s="17" t="s">
        <v>150</v>
      </c>
      <c r="O136" s="17" t="s">
        <v>109</v>
      </c>
      <c r="P136" s="17" t="s">
        <v>368</v>
      </c>
      <c r="Q136" s="17" t="s">
        <v>102</v>
      </c>
      <c r="R136" s="17" t="s">
        <v>102</v>
      </c>
      <c r="S136" s="17" t="s">
        <v>109</v>
      </c>
      <c r="T136" s="17" t="s">
        <v>109</v>
      </c>
      <c r="U136" s="17" t="s">
        <v>126</v>
      </c>
      <c r="V136" s="17">
        <v>1</v>
      </c>
      <c r="W136" s="17" t="s">
        <v>720</v>
      </c>
      <c r="X136" s="30">
        <v>506</v>
      </c>
      <c r="Y136" s="17" t="s">
        <v>106</v>
      </c>
      <c r="Z136" s="17"/>
      <c r="AA136" s="17"/>
      <c r="AB136" s="30">
        <v>1E-3</v>
      </c>
      <c r="AC136" s="17" t="s">
        <v>274</v>
      </c>
      <c r="AD136" s="17" t="str">
        <f t="shared" si="10"/>
        <v>kg_co2e_excl_luc</v>
      </c>
      <c r="AE136" s="30">
        <f>IF(CropLCAs[[#This Row],[Product fraction]]="",CropLCAs[[#This Row],[CO2e (value)]]*CropLCAs[[#This Row],[Conversion factor (value)]],CropLCAs[[#This Row],[CO2e (value)]]*CropLCAs[[#This Row],[Conversion factor (value)]]/CropLCAs[[#This Row],[Product fraction]]*CropLCAs[[#This Row],[Value fraction]])</f>
        <v>0.50600000000000001</v>
      </c>
      <c r="AF136" s="19"/>
      <c r="AG136" s="19" t="str">
        <f t="shared" si="11"/>
        <v>processed_ghg</v>
      </c>
      <c r="AH136" s="19"/>
      <c r="AI136" s="19"/>
      <c r="AJ136" s="18" t="str">
        <f>IF(CropLCAs[[#This Row],[product_fraction]]&gt;0,CropLCAs[[#This Row],[footprint]]/CropLCAs[[#This Row],[product_fraction]]*CropLCAs[[#This Row],[value_fraction]],"")</f>
        <v/>
      </c>
      <c r="AK136" s="29"/>
      <c r="AL136" s="19" t="s">
        <v>721</v>
      </c>
      <c r="AM136" s="17" t="s">
        <v>370</v>
      </c>
      <c r="AN136" s="17" t="s">
        <v>371</v>
      </c>
      <c r="AO136" s="17" t="s">
        <v>372</v>
      </c>
      <c r="AP136" s="17"/>
      <c r="AQ136" s="5"/>
      <c r="AR136" s="5"/>
      <c r="AS136" s="5"/>
      <c r="AT136" s="5"/>
      <c r="AU136" s="5"/>
    </row>
    <row r="137" spans="1:47" ht="44.1" customHeight="1" x14ac:dyDescent="0.2">
      <c r="A137" s="17" t="s">
        <v>215</v>
      </c>
      <c r="B137" s="17" t="s">
        <v>363</v>
      </c>
      <c r="C137" s="17"/>
      <c r="D137" s="17" t="s">
        <v>364</v>
      </c>
      <c r="E137" s="19" t="s">
        <v>723</v>
      </c>
      <c r="F137" s="17" t="s">
        <v>44</v>
      </c>
      <c r="G137" s="17" t="str">
        <f>IF(CropLCAs[[#This Row],[fbs_item]]="Insects","insect_ghg","plant_ghg")</f>
        <v>plant_ghg</v>
      </c>
      <c r="H137" s="50" t="s">
        <v>367</v>
      </c>
      <c r="I137" s="50"/>
      <c r="J137" s="50"/>
      <c r="K137" s="17" t="s">
        <v>719</v>
      </c>
      <c r="L137" s="17"/>
      <c r="M137" s="17" t="s">
        <v>102</v>
      </c>
      <c r="N137" s="17" t="s">
        <v>150</v>
      </c>
      <c r="O137" s="17" t="s">
        <v>109</v>
      </c>
      <c r="P137" s="17" t="s">
        <v>368</v>
      </c>
      <c r="Q137" s="17" t="s">
        <v>102</v>
      </c>
      <c r="R137" s="17" t="s">
        <v>102</v>
      </c>
      <c r="S137" s="17" t="s">
        <v>109</v>
      </c>
      <c r="T137" s="17" t="s">
        <v>109</v>
      </c>
      <c r="U137" s="17" t="s">
        <v>126</v>
      </c>
      <c r="V137" s="17">
        <v>1</v>
      </c>
      <c r="W137" s="17" t="s">
        <v>720</v>
      </c>
      <c r="X137" s="30">
        <v>1113</v>
      </c>
      <c r="Y137" s="17" t="s">
        <v>106</v>
      </c>
      <c r="Z137" s="17"/>
      <c r="AA137" s="17"/>
      <c r="AB137" s="30">
        <v>1E-3</v>
      </c>
      <c r="AC137" s="17" t="s">
        <v>274</v>
      </c>
      <c r="AD137" s="17" t="str">
        <f t="shared" si="10"/>
        <v>kg_co2e_excl_luc</v>
      </c>
      <c r="AE137" s="30">
        <f>IF(CropLCAs[[#This Row],[Product fraction]]="",CropLCAs[[#This Row],[CO2e (value)]]*CropLCAs[[#This Row],[Conversion factor (value)]],CropLCAs[[#This Row],[CO2e (value)]]*CropLCAs[[#This Row],[Conversion factor (value)]]/CropLCAs[[#This Row],[Product fraction]]*CropLCAs[[#This Row],[Value fraction]])</f>
        <v>1.113</v>
      </c>
      <c r="AF137" s="19"/>
      <c r="AG137" s="19" t="str">
        <f t="shared" si="11"/>
        <v>processed_ghg</v>
      </c>
      <c r="AH137" s="19"/>
      <c r="AI137" s="19"/>
      <c r="AJ137" s="18" t="str">
        <f>IF(CropLCAs[[#This Row],[product_fraction]]&gt;0,CropLCAs[[#This Row],[footprint]]/CropLCAs[[#This Row],[product_fraction]]*CropLCAs[[#This Row],[value_fraction]],"")</f>
        <v/>
      </c>
      <c r="AK137" s="29"/>
      <c r="AL137" s="19" t="s">
        <v>721</v>
      </c>
      <c r="AM137" s="17" t="s">
        <v>370</v>
      </c>
      <c r="AN137" s="17" t="s">
        <v>371</v>
      </c>
      <c r="AO137" s="17" t="s">
        <v>372</v>
      </c>
      <c r="AP137" s="17"/>
      <c r="AQ137" s="5"/>
      <c r="AR137" s="5"/>
      <c r="AS137" s="5"/>
      <c r="AT137" s="5"/>
      <c r="AU137" s="5"/>
    </row>
    <row r="138" spans="1:47" ht="44.1" customHeight="1" x14ac:dyDescent="0.2">
      <c r="A138" s="17" t="s">
        <v>215</v>
      </c>
      <c r="B138" s="17" t="s">
        <v>363</v>
      </c>
      <c r="C138" s="17"/>
      <c r="D138" s="17" t="s">
        <v>364</v>
      </c>
      <c r="E138" s="19" t="s">
        <v>723</v>
      </c>
      <c r="F138" s="17" t="s">
        <v>44</v>
      </c>
      <c r="G138" s="17" t="str">
        <f>IF(CropLCAs[[#This Row],[fbs_item]]="Insects","insect_ghg","plant_ghg")</f>
        <v>plant_ghg</v>
      </c>
      <c r="H138" s="50" t="s">
        <v>367</v>
      </c>
      <c r="I138" s="50"/>
      <c r="J138" s="50"/>
      <c r="K138" s="17" t="s">
        <v>722</v>
      </c>
      <c r="L138" s="17"/>
      <c r="M138" s="17" t="s">
        <v>102</v>
      </c>
      <c r="N138" s="17" t="s">
        <v>150</v>
      </c>
      <c r="O138" s="17" t="s">
        <v>109</v>
      </c>
      <c r="P138" s="17" t="s">
        <v>368</v>
      </c>
      <c r="Q138" s="17" t="s">
        <v>102</v>
      </c>
      <c r="R138" s="17" t="s">
        <v>102</v>
      </c>
      <c r="S138" s="17" t="s">
        <v>109</v>
      </c>
      <c r="T138" s="17" t="s">
        <v>109</v>
      </c>
      <c r="U138" s="17" t="s">
        <v>126</v>
      </c>
      <c r="V138" s="17">
        <v>1</v>
      </c>
      <c r="W138" s="17" t="s">
        <v>724</v>
      </c>
      <c r="X138" s="30">
        <v>626</v>
      </c>
      <c r="Y138" s="17" t="s">
        <v>106</v>
      </c>
      <c r="Z138" s="17"/>
      <c r="AA138" s="17"/>
      <c r="AB138" s="30">
        <v>1E-3</v>
      </c>
      <c r="AC138" s="17" t="s">
        <v>274</v>
      </c>
      <c r="AD138" s="17" t="str">
        <f t="shared" si="10"/>
        <v>kg_co2e_excl_luc</v>
      </c>
      <c r="AE138" s="30">
        <f>IF(CropLCAs[[#This Row],[Product fraction]]="",CropLCAs[[#This Row],[CO2e (value)]]*CropLCAs[[#This Row],[Conversion factor (value)]],CropLCAs[[#This Row],[CO2e (value)]]*CropLCAs[[#This Row],[Conversion factor (value)]]/CropLCAs[[#This Row],[Product fraction]]*CropLCAs[[#This Row],[Value fraction]])</f>
        <v>0.626</v>
      </c>
      <c r="AF138" s="19"/>
      <c r="AG138" s="19" t="str">
        <f t="shared" si="11"/>
        <v>processed_ghg</v>
      </c>
      <c r="AH138" s="19"/>
      <c r="AI138" s="19"/>
      <c r="AJ138" s="18" t="str">
        <f>IF(CropLCAs[[#This Row],[product_fraction]]&gt;0,CropLCAs[[#This Row],[footprint]]/CropLCAs[[#This Row],[product_fraction]]*CropLCAs[[#This Row],[value_fraction]],"")</f>
        <v/>
      </c>
      <c r="AK138" s="29"/>
      <c r="AL138" s="19" t="s">
        <v>721</v>
      </c>
      <c r="AM138" s="17" t="s">
        <v>370</v>
      </c>
      <c r="AN138" s="17" t="s">
        <v>371</v>
      </c>
      <c r="AO138" s="17" t="s">
        <v>372</v>
      </c>
      <c r="AP138" s="17"/>
      <c r="AQ138" s="5"/>
      <c r="AR138" s="5"/>
      <c r="AS138" s="5"/>
      <c r="AT138" s="5"/>
      <c r="AU138" s="5"/>
    </row>
    <row r="139" spans="1:47" ht="44.1" customHeight="1" x14ac:dyDescent="0.2">
      <c r="A139" s="5" t="s">
        <v>123</v>
      </c>
      <c r="B139" s="5" t="s">
        <v>1446</v>
      </c>
      <c r="C139" s="5">
        <v>2010</v>
      </c>
      <c r="D139" s="6" t="s">
        <v>452</v>
      </c>
      <c r="E139" s="6" t="s">
        <v>453</v>
      </c>
      <c r="F139" s="5" t="s">
        <v>20</v>
      </c>
      <c r="G139" s="5" t="str">
        <f>IF(CropLCAs[[#This Row],[fbs_item]]="Insects","insect_ghg","plant_ghg")</f>
        <v>plant_ghg</v>
      </c>
      <c r="H139" s="49" t="s">
        <v>351</v>
      </c>
      <c r="I139" s="49"/>
      <c r="J139" s="49" t="s">
        <v>1287</v>
      </c>
      <c r="K139" s="5" t="s">
        <v>138</v>
      </c>
      <c r="L139" s="5"/>
      <c r="M139" s="5" t="s">
        <v>102</v>
      </c>
      <c r="N139" s="5" t="s">
        <v>454</v>
      </c>
      <c r="O139" s="5" t="s">
        <v>109</v>
      </c>
      <c r="P139" s="5" t="s">
        <v>105</v>
      </c>
      <c r="Q139" s="5" t="s">
        <v>102</v>
      </c>
      <c r="R139" s="5" t="s">
        <v>102</v>
      </c>
      <c r="S139" s="5" t="s">
        <v>105</v>
      </c>
      <c r="T139" s="5" t="s">
        <v>102</v>
      </c>
      <c r="U139" s="5">
        <v>100</v>
      </c>
      <c r="V139" s="5">
        <v>1000</v>
      </c>
      <c r="W139" s="5" t="s">
        <v>106</v>
      </c>
      <c r="X139" s="24">
        <v>364.1</v>
      </c>
      <c r="Y139" s="5" t="s">
        <v>106</v>
      </c>
      <c r="Z139" s="5"/>
      <c r="AA139" s="5"/>
      <c r="AB139" s="24">
        <v>1E-3</v>
      </c>
      <c r="AC139" s="5"/>
      <c r="AD139" s="5" t="str">
        <f t="shared" si="10"/>
        <v>kg_co2e_excl_luc</v>
      </c>
      <c r="AE139" s="24">
        <f>IF(CropLCAs[[#This Row],[Product fraction]]="",CropLCAs[[#This Row],[CO2e (value)]]*CropLCAs[[#This Row],[Conversion factor (value)]],CropLCAs[[#This Row],[CO2e (value)]]*CropLCAs[[#This Row],[Conversion factor (value)]]/CropLCAs[[#This Row],[Product fraction]]*CropLCAs[[#This Row],[Value fraction]])</f>
        <v>0.36410000000000003</v>
      </c>
      <c r="AF139" s="5" t="s">
        <v>39</v>
      </c>
      <c r="AG139" s="5" t="str">
        <f t="shared" si="11"/>
        <v>processed_ghg</v>
      </c>
      <c r="AH139" s="5">
        <v>0.18</v>
      </c>
      <c r="AI139" s="5">
        <v>0.34</v>
      </c>
      <c r="AJ139" s="8">
        <f>IF(CropLCAs[[#This Row],[product_fraction]]&gt;0,CropLCAs[[#This Row],[footprint]]/CropLCAs[[#This Row],[product_fraction]]*CropLCAs[[#This Row],[value_fraction]],"")</f>
        <v>0.6877444444444446</v>
      </c>
      <c r="AK139" s="23">
        <v>0.5</v>
      </c>
      <c r="AL139" s="5" t="s">
        <v>109</v>
      </c>
      <c r="AM139" s="11" t="s">
        <v>1641</v>
      </c>
      <c r="AN139" s="5" t="s">
        <v>455</v>
      </c>
      <c r="AO139" s="5" t="s">
        <v>456</v>
      </c>
      <c r="AP139" s="5"/>
      <c r="AQ139" s="5"/>
      <c r="AR139" s="5"/>
      <c r="AS139" s="5"/>
      <c r="AT139" s="5"/>
      <c r="AU139" s="5"/>
    </row>
    <row r="140" spans="1:47" ht="44.1" customHeight="1" x14ac:dyDescent="0.2">
      <c r="A140" s="5" t="s">
        <v>123</v>
      </c>
      <c r="B140" s="5" t="s">
        <v>1446</v>
      </c>
      <c r="C140" s="5">
        <v>2010</v>
      </c>
      <c r="D140" s="6" t="s">
        <v>452</v>
      </c>
      <c r="E140" s="6" t="s">
        <v>453</v>
      </c>
      <c r="F140" s="5" t="s">
        <v>20</v>
      </c>
      <c r="G140" s="5" t="str">
        <f>IF(CropLCAs[[#This Row],[fbs_item]]="Insects","insect_ghg","plant_ghg")</f>
        <v>plant_ghg</v>
      </c>
      <c r="H140" s="49" t="s">
        <v>351</v>
      </c>
      <c r="I140" s="49"/>
      <c r="J140" s="49" t="s">
        <v>1288</v>
      </c>
      <c r="K140" s="5" t="s">
        <v>138</v>
      </c>
      <c r="L140" s="5"/>
      <c r="M140" s="5" t="s">
        <v>102</v>
      </c>
      <c r="N140" s="5" t="s">
        <v>454</v>
      </c>
      <c r="O140" s="5" t="s">
        <v>109</v>
      </c>
      <c r="P140" s="5" t="s">
        <v>102</v>
      </c>
      <c r="Q140" s="5" t="s">
        <v>102</v>
      </c>
      <c r="R140" s="5" t="s">
        <v>102</v>
      </c>
      <c r="S140" s="5" t="s">
        <v>105</v>
      </c>
      <c r="T140" s="5" t="s">
        <v>102</v>
      </c>
      <c r="U140" s="5">
        <v>100</v>
      </c>
      <c r="V140" s="5">
        <v>1000</v>
      </c>
      <c r="W140" s="5" t="s">
        <v>106</v>
      </c>
      <c r="X140" s="24">
        <v>316</v>
      </c>
      <c r="Y140" s="5" t="s">
        <v>106</v>
      </c>
      <c r="Z140" s="5"/>
      <c r="AA140" s="5"/>
      <c r="AB140" s="24">
        <v>1E-3</v>
      </c>
      <c r="AC140" s="5"/>
      <c r="AD140" s="5" t="str">
        <f t="shared" si="10"/>
        <v>kg_co2e_excl_luc</v>
      </c>
      <c r="AE140" s="24">
        <f>IF(CropLCAs[[#This Row],[Product fraction]]="",CropLCAs[[#This Row],[CO2e (value)]]*CropLCAs[[#This Row],[Conversion factor (value)]],CropLCAs[[#This Row],[CO2e (value)]]*CropLCAs[[#This Row],[Conversion factor (value)]]/CropLCAs[[#This Row],[Product fraction]]*CropLCAs[[#This Row],[Value fraction]])</f>
        <v>0.316</v>
      </c>
      <c r="AF140" s="5" t="s">
        <v>39</v>
      </c>
      <c r="AG140" s="5" t="str">
        <f t="shared" si="11"/>
        <v>processed_ghg</v>
      </c>
      <c r="AH140" s="5">
        <v>0.18</v>
      </c>
      <c r="AI140" s="5">
        <v>0.34</v>
      </c>
      <c r="AJ140" s="8">
        <f>IF(CropLCAs[[#This Row],[product_fraction]]&gt;0,CropLCAs[[#This Row],[footprint]]/CropLCAs[[#This Row],[product_fraction]]*CropLCAs[[#This Row],[value_fraction]],"")</f>
        <v>0.59688888888888891</v>
      </c>
      <c r="AK140" s="23">
        <v>0.5</v>
      </c>
      <c r="AL140" s="5" t="s">
        <v>109</v>
      </c>
      <c r="AM140" s="5" t="s">
        <v>235</v>
      </c>
      <c r="AN140" s="5" t="s">
        <v>455</v>
      </c>
      <c r="AO140" s="5" t="s">
        <v>456</v>
      </c>
      <c r="AP140" s="5"/>
      <c r="AQ140" s="5"/>
      <c r="AR140" s="5"/>
      <c r="AS140" s="5"/>
      <c r="AT140" s="5"/>
      <c r="AU140" s="5"/>
    </row>
    <row r="141" spans="1:47" ht="44.1" customHeight="1" x14ac:dyDescent="0.2">
      <c r="A141" s="5" t="s">
        <v>123</v>
      </c>
      <c r="B141" s="5" t="s">
        <v>1447</v>
      </c>
      <c r="C141" s="5">
        <v>2009</v>
      </c>
      <c r="D141" s="7" t="s">
        <v>564</v>
      </c>
      <c r="E141" s="6" t="s">
        <v>565</v>
      </c>
      <c r="F141" s="5" t="s">
        <v>3</v>
      </c>
      <c r="G141" s="5" t="str">
        <f>IF(CropLCAs[[#This Row],[fbs_item]]="Insects","insect_ghg","plant_ghg")</f>
        <v>plant_ghg</v>
      </c>
      <c r="H141" s="49" t="s">
        <v>566</v>
      </c>
      <c r="I141" s="49"/>
      <c r="J141" s="49"/>
      <c r="K141" s="5" t="s">
        <v>111</v>
      </c>
      <c r="L141" s="5"/>
      <c r="M141" s="5" t="s">
        <v>231</v>
      </c>
      <c r="N141" s="5" t="s">
        <v>102</v>
      </c>
      <c r="O141" s="5" t="s">
        <v>109</v>
      </c>
      <c r="P141" s="5" t="s">
        <v>102</v>
      </c>
      <c r="Q141" s="5" t="s">
        <v>102</v>
      </c>
      <c r="R141" s="5" t="s">
        <v>102</v>
      </c>
      <c r="S141" s="5" t="s">
        <v>102</v>
      </c>
      <c r="T141" s="5" t="s">
        <v>102</v>
      </c>
      <c r="U141" s="5">
        <v>100</v>
      </c>
      <c r="V141" s="5">
        <v>1</v>
      </c>
      <c r="W141" s="5" t="s">
        <v>106</v>
      </c>
      <c r="X141" s="24">
        <v>9.4399999999999998E-2</v>
      </c>
      <c r="Y141" s="5" t="s">
        <v>106</v>
      </c>
      <c r="Z141" s="5"/>
      <c r="AA141" s="5"/>
      <c r="AB141" s="24">
        <v>1</v>
      </c>
      <c r="AC141" s="5"/>
      <c r="AD141" s="5" t="str">
        <f t="shared" si="10"/>
        <v>kg_co2e_excl_luc</v>
      </c>
      <c r="AE141" s="24">
        <f>IF(CropLCAs[[#This Row],[Product fraction]]="",CropLCAs[[#This Row],[CO2e (value)]]*CropLCAs[[#This Row],[Conversion factor (value)]],CropLCAs[[#This Row],[CO2e (value)]]*CropLCAs[[#This Row],[Conversion factor (value)]]/CropLCAs[[#This Row],[Product fraction]]*CropLCAs[[#This Row],[Value fraction]])</f>
        <v>9.4399999999999998E-2</v>
      </c>
      <c r="AF141" s="5"/>
      <c r="AG141" s="5" t="str">
        <f t="shared" si="11"/>
        <v>processed_ghg</v>
      </c>
      <c r="AH141" s="5"/>
      <c r="AI141" s="5"/>
      <c r="AJ141" s="8" t="str">
        <f>IF(CropLCAs[[#This Row],[product_fraction]]&gt;0,CropLCAs[[#This Row],[footprint]]/CropLCAs[[#This Row],[product_fraction]]*CropLCAs[[#This Row],[value_fraction]],"")</f>
        <v/>
      </c>
      <c r="AK141" s="23">
        <v>0.5</v>
      </c>
      <c r="AL141" s="5" t="s">
        <v>109</v>
      </c>
      <c r="AM141" s="5"/>
      <c r="AN141" s="5"/>
      <c r="AO141" s="5"/>
      <c r="AP141" s="5"/>
      <c r="AQ141" s="5"/>
      <c r="AR141" s="5"/>
      <c r="AS141" s="5"/>
      <c r="AT141" s="5"/>
      <c r="AU141" s="5"/>
    </row>
    <row r="142" spans="1:47" ht="44.1" customHeight="1" x14ac:dyDescent="0.2">
      <c r="A142" s="5" t="s">
        <v>123</v>
      </c>
      <c r="B142" s="5" t="s">
        <v>1447</v>
      </c>
      <c r="C142" s="5">
        <v>2009</v>
      </c>
      <c r="D142" s="7" t="s">
        <v>564</v>
      </c>
      <c r="E142" s="6" t="s">
        <v>565</v>
      </c>
      <c r="F142" s="5" t="s">
        <v>3</v>
      </c>
      <c r="G142" s="5" t="str">
        <f>IF(CropLCAs[[#This Row],[fbs_item]]="Insects","insect_ghg","plant_ghg")</f>
        <v>plant_ghg</v>
      </c>
      <c r="H142" s="49" t="s">
        <v>566</v>
      </c>
      <c r="I142" s="49"/>
      <c r="J142" s="49"/>
      <c r="K142" s="5" t="s">
        <v>101</v>
      </c>
      <c r="L142" s="5"/>
      <c r="M142" s="5" t="s">
        <v>231</v>
      </c>
      <c r="N142" s="5" t="s">
        <v>102</v>
      </c>
      <c r="O142" s="5" t="s">
        <v>109</v>
      </c>
      <c r="P142" s="5" t="s">
        <v>102</v>
      </c>
      <c r="Q142" s="5" t="s">
        <v>102</v>
      </c>
      <c r="R142" s="5" t="s">
        <v>102</v>
      </c>
      <c r="S142" s="5" t="s">
        <v>102</v>
      </c>
      <c r="T142" s="5" t="s">
        <v>102</v>
      </c>
      <c r="U142" s="5">
        <v>100</v>
      </c>
      <c r="V142" s="5">
        <v>1</v>
      </c>
      <c r="W142" s="5" t="s">
        <v>106</v>
      </c>
      <c r="X142" s="24">
        <v>4.3499999999999997E-2</v>
      </c>
      <c r="Y142" s="5" t="s">
        <v>106</v>
      </c>
      <c r="Z142" s="5"/>
      <c r="AA142" s="5"/>
      <c r="AB142" s="24">
        <v>1</v>
      </c>
      <c r="AC142" s="5"/>
      <c r="AD142" s="5" t="str">
        <f t="shared" si="10"/>
        <v>kg_co2e_excl_luc</v>
      </c>
      <c r="AE142" s="24">
        <f>IF(CropLCAs[[#This Row],[Product fraction]]="",CropLCAs[[#This Row],[CO2e (value)]]*CropLCAs[[#This Row],[Conversion factor (value)]],CropLCAs[[#This Row],[CO2e (value)]]*CropLCAs[[#This Row],[Conversion factor (value)]]/CropLCAs[[#This Row],[Product fraction]]*CropLCAs[[#This Row],[Value fraction]])</f>
        <v>4.3499999999999997E-2</v>
      </c>
      <c r="AF142" s="5"/>
      <c r="AG142" s="5" t="str">
        <f t="shared" si="11"/>
        <v>processed_ghg</v>
      </c>
      <c r="AH142" s="5"/>
      <c r="AI142" s="5"/>
      <c r="AJ142" s="8" t="str">
        <f>IF(CropLCAs[[#This Row],[product_fraction]]&gt;0,CropLCAs[[#This Row],[footprint]]/CropLCAs[[#This Row],[product_fraction]]*CropLCAs[[#This Row],[value_fraction]],"")</f>
        <v/>
      </c>
      <c r="AK142" s="23">
        <v>0.5</v>
      </c>
      <c r="AL142" s="5" t="s">
        <v>109</v>
      </c>
      <c r="AM142" s="5"/>
      <c r="AN142" s="5"/>
      <c r="AO142" s="5"/>
      <c r="AP142" s="5"/>
      <c r="AQ142" s="5"/>
      <c r="AR142" s="5"/>
      <c r="AS142" s="5"/>
      <c r="AT142" s="5"/>
      <c r="AU142" s="5"/>
    </row>
    <row r="143" spans="1:47" ht="44.1" customHeight="1" x14ac:dyDescent="0.2">
      <c r="A143" s="5" t="s">
        <v>112</v>
      </c>
      <c r="B143" s="5" t="s">
        <v>1448</v>
      </c>
      <c r="C143" s="5">
        <v>2012</v>
      </c>
      <c r="D143" s="5" t="s">
        <v>160</v>
      </c>
      <c r="E143" s="5" t="s">
        <v>161</v>
      </c>
      <c r="F143" s="5" t="s">
        <v>10</v>
      </c>
      <c r="G143" s="5" t="str">
        <f>IF(CropLCAs[[#This Row],[fbs_item]]="Insects","insect_ghg","plant_ghg")</f>
        <v>plant_ghg</v>
      </c>
      <c r="H143" s="49" t="s">
        <v>225</v>
      </c>
      <c r="I143" s="49"/>
      <c r="J143" s="49" t="s">
        <v>1289</v>
      </c>
      <c r="K143" s="5" t="s">
        <v>1366</v>
      </c>
      <c r="L143" s="5"/>
      <c r="M143" s="5" t="s">
        <v>102</v>
      </c>
      <c r="N143" s="5" t="s">
        <v>102</v>
      </c>
      <c r="O143" s="5" t="s">
        <v>163</v>
      </c>
      <c r="P143" s="5" t="s">
        <v>102</v>
      </c>
      <c r="Q143" s="5" t="s">
        <v>102</v>
      </c>
      <c r="R143" s="5" t="s">
        <v>102</v>
      </c>
      <c r="S143" s="12" t="s">
        <v>102</v>
      </c>
      <c r="T143" s="12" t="s">
        <v>164</v>
      </c>
      <c r="U143" s="12" t="s">
        <v>126</v>
      </c>
      <c r="V143" s="5">
        <v>1</v>
      </c>
      <c r="W143" s="5" t="s">
        <v>165</v>
      </c>
      <c r="X143" s="24">
        <v>211</v>
      </c>
      <c r="Y143" s="5" t="s">
        <v>106</v>
      </c>
      <c r="Z143" s="5"/>
      <c r="AA143" s="5"/>
      <c r="AB143" s="24">
        <v>1E-3</v>
      </c>
      <c r="AC143" s="5" t="s">
        <v>166</v>
      </c>
      <c r="AD143" s="5" t="str">
        <f t="shared" si="10"/>
        <v>kg_co2e_excl_luc</v>
      </c>
      <c r="AE143" s="24">
        <f>IF(CropLCAs[[#This Row],[Product fraction]]="",CropLCAs[[#This Row],[CO2e (value)]]*CropLCAs[[#This Row],[Conversion factor (value)]],CropLCAs[[#This Row],[CO2e (value)]]*CropLCAs[[#This Row],[Conversion factor (value)]]/CropLCAs[[#This Row],[Product fraction]]*CropLCAs[[#This Row],[Value fraction]])</f>
        <v>0.21099999999999999</v>
      </c>
      <c r="AF143" s="5"/>
      <c r="AG143" s="5" t="str">
        <f t="shared" si="11"/>
        <v>processed_ghg</v>
      </c>
      <c r="AH143" s="5"/>
      <c r="AI143" s="5"/>
      <c r="AJ143" s="8" t="str">
        <f>IF(CropLCAs[[#This Row],[product_fraction]]&gt;0,CropLCAs[[#This Row],[footprint]]/CropLCAs[[#This Row],[product_fraction]]*CropLCAs[[#This Row],[value_fraction]],"")</f>
        <v/>
      </c>
      <c r="AK143" s="23">
        <v>1</v>
      </c>
      <c r="AL143" s="5" t="s">
        <v>109</v>
      </c>
      <c r="AM143" s="11" t="s">
        <v>167</v>
      </c>
      <c r="AN143" s="5" t="s">
        <v>168</v>
      </c>
      <c r="AO143" s="5"/>
      <c r="AP143" s="5"/>
      <c r="AQ143" s="5"/>
      <c r="AR143" s="5"/>
      <c r="AS143" s="5"/>
      <c r="AT143" s="5"/>
      <c r="AU143" s="5"/>
    </row>
    <row r="144" spans="1:47" ht="44.1" customHeight="1" x14ac:dyDescent="0.2">
      <c r="A144" s="5" t="s">
        <v>112</v>
      </c>
      <c r="B144" s="5" t="s">
        <v>1448</v>
      </c>
      <c r="C144" s="5">
        <v>2012</v>
      </c>
      <c r="D144" s="5" t="s">
        <v>160</v>
      </c>
      <c r="E144" s="5" t="s">
        <v>394</v>
      </c>
      <c r="F144" s="5" t="s">
        <v>2</v>
      </c>
      <c r="G144" s="5" t="str">
        <f>IF(CropLCAs[[#This Row],[fbs_item]]="Insects","insect_ghg","plant_ghg")</f>
        <v>plant_ghg</v>
      </c>
      <c r="H144" s="49" t="s">
        <v>225</v>
      </c>
      <c r="I144" s="49"/>
      <c r="J144" s="49" t="s">
        <v>1289</v>
      </c>
      <c r="K144" s="5" t="s">
        <v>1366</v>
      </c>
      <c r="L144" s="5"/>
      <c r="M144" s="5" t="s">
        <v>102</v>
      </c>
      <c r="N144" s="5" t="s">
        <v>102</v>
      </c>
      <c r="O144" s="5" t="s">
        <v>163</v>
      </c>
      <c r="P144" s="5" t="s">
        <v>102</v>
      </c>
      <c r="Q144" s="5" t="s">
        <v>102</v>
      </c>
      <c r="R144" s="5" t="s">
        <v>102</v>
      </c>
      <c r="S144" s="5" t="s">
        <v>102</v>
      </c>
      <c r="T144" s="5" t="s">
        <v>164</v>
      </c>
      <c r="U144" s="5" t="s">
        <v>126</v>
      </c>
      <c r="V144" s="5">
        <v>1</v>
      </c>
      <c r="W144" s="5" t="s">
        <v>165</v>
      </c>
      <c r="X144" s="24">
        <v>726</v>
      </c>
      <c r="Y144" s="5" t="s">
        <v>106</v>
      </c>
      <c r="Z144" s="5"/>
      <c r="AA144" s="5"/>
      <c r="AB144" s="24">
        <v>1E-3</v>
      </c>
      <c r="AC144" s="5" t="s">
        <v>166</v>
      </c>
      <c r="AD144" s="5" t="str">
        <f t="shared" si="10"/>
        <v>kg_co2e_excl_luc</v>
      </c>
      <c r="AE144" s="24">
        <f>IF(CropLCAs[[#This Row],[Product fraction]]="",CropLCAs[[#This Row],[CO2e (value)]]*CropLCAs[[#This Row],[Conversion factor (value)]],CropLCAs[[#This Row],[CO2e (value)]]*CropLCAs[[#This Row],[Conversion factor (value)]]/CropLCAs[[#This Row],[Product fraction]]*CropLCAs[[#This Row],[Value fraction]])</f>
        <v>0.72599999999999998</v>
      </c>
      <c r="AF144" s="5"/>
      <c r="AG144" s="5" t="str">
        <f t="shared" si="11"/>
        <v>processed_ghg</v>
      </c>
      <c r="AH144" s="5"/>
      <c r="AI144" s="5"/>
      <c r="AJ144" s="8" t="str">
        <f>IF(CropLCAs[[#This Row],[product_fraction]]&gt;0,CropLCAs[[#This Row],[footprint]]/CropLCAs[[#This Row],[product_fraction]]*CropLCAs[[#This Row],[value_fraction]],"")</f>
        <v/>
      </c>
      <c r="AK144" s="23">
        <v>1</v>
      </c>
      <c r="AL144" s="5" t="s">
        <v>109</v>
      </c>
      <c r="AM144" s="11" t="s">
        <v>167</v>
      </c>
      <c r="AN144" s="5" t="s">
        <v>168</v>
      </c>
      <c r="AO144" s="5"/>
      <c r="AP144" s="5"/>
      <c r="AQ144" s="5"/>
      <c r="AR144" s="5"/>
      <c r="AS144" s="5"/>
      <c r="AT144" s="5"/>
      <c r="AU144" s="5"/>
    </row>
    <row r="145" spans="1:47" ht="44.1" customHeight="1" x14ac:dyDescent="0.2">
      <c r="A145" s="5" t="s">
        <v>112</v>
      </c>
      <c r="B145" s="5" t="s">
        <v>1448</v>
      </c>
      <c r="C145" s="5">
        <v>2012</v>
      </c>
      <c r="D145" s="5" t="s">
        <v>160</v>
      </c>
      <c r="E145" s="5" t="s">
        <v>303</v>
      </c>
      <c r="F145" s="5" t="s">
        <v>14</v>
      </c>
      <c r="G145" s="5" t="str">
        <f>IF(CropLCAs[[#This Row],[fbs_item]]="Insects","insect_ghg","plant_ghg")</f>
        <v>plant_ghg</v>
      </c>
      <c r="H145" s="49" t="s">
        <v>225</v>
      </c>
      <c r="I145" s="49"/>
      <c r="J145" s="49" t="s">
        <v>1289</v>
      </c>
      <c r="K145" s="5" t="s">
        <v>1366</v>
      </c>
      <c r="L145" s="5"/>
      <c r="M145" s="5" t="s">
        <v>102</v>
      </c>
      <c r="N145" s="5" t="s">
        <v>102</v>
      </c>
      <c r="O145" s="5" t="s">
        <v>163</v>
      </c>
      <c r="P145" s="5" t="s">
        <v>102</v>
      </c>
      <c r="Q145" s="5" t="s">
        <v>102</v>
      </c>
      <c r="R145" s="5" t="s">
        <v>102</v>
      </c>
      <c r="S145" s="12" t="s">
        <v>102</v>
      </c>
      <c r="T145" s="12" t="s">
        <v>164</v>
      </c>
      <c r="U145" s="12" t="s">
        <v>126</v>
      </c>
      <c r="V145" s="5">
        <v>1</v>
      </c>
      <c r="W145" s="5" t="s">
        <v>165</v>
      </c>
      <c r="X145" s="24">
        <v>219</v>
      </c>
      <c r="Y145" s="5" t="s">
        <v>106</v>
      </c>
      <c r="Z145" s="5"/>
      <c r="AA145" s="5"/>
      <c r="AB145" s="24">
        <v>1E-3</v>
      </c>
      <c r="AC145" s="5" t="s">
        <v>166</v>
      </c>
      <c r="AD145" s="5" t="str">
        <f t="shared" si="10"/>
        <v>kg_co2e_excl_luc</v>
      </c>
      <c r="AE145" s="24">
        <f>IF(CropLCAs[[#This Row],[Product fraction]]="",CropLCAs[[#This Row],[CO2e (value)]]*CropLCAs[[#This Row],[Conversion factor (value)]],CropLCAs[[#This Row],[CO2e (value)]]*CropLCAs[[#This Row],[Conversion factor (value)]]/CropLCAs[[#This Row],[Product fraction]]*CropLCAs[[#This Row],[Value fraction]])</f>
        <v>0.219</v>
      </c>
      <c r="AF145" s="5"/>
      <c r="AG145" s="5" t="str">
        <f t="shared" si="11"/>
        <v>processed_ghg</v>
      </c>
      <c r="AH145" s="5"/>
      <c r="AI145" s="5"/>
      <c r="AJ145" s="8" t="str">
        <f>IF(CropLCAs[[#This Row],[product_fraction]]&gt;0,CropLCAs[[#This Row],[footprint]]/CropLCAs[[#This Row],[product_fraction]]*CropLCAs[[#This Row],[value_fraction]],"")</f>
        <v/>
      </c>
      <c r="AK145" s="23">
        <v>1</v>
      </c>
      <c r="AL145" s="5" t="s">
        <v>109</v>
      </c>
      <c r="AM145" s="11" t="s">
        <v>167</v>
      </c>
      <c r="AN145" s="5" t="s">
        <v>168</v>
      </c>
      <c r="AO145" s="5"/>
      <c r="AP145" s="5"/>
      <c r="AQ145" s="5"/>
      <c r="AR145" s="5"/>
      <c r="AS145" s="5"/>
      <c r="AT145" s="5"/>
      <c r="AU145" s="5"/>
    </row>
    <row r="146" spans="1:47" ht="44.1" customHeight="1" x14ac:dyDescent="0.2">
      <c r="A146" s="5" t="s">
        <v>112</v>
      </c>
      <c r="B146" s="5" t="s">
        <v>1448</v>
      </c>
      <c r="C146" s="5">
        <v>2012</v>
      </c>
      <c r="D146" s="5" t="s">
        <v>160</v>
      </c>
      <c r="E146" s="5" t="s">
        <v>630</v>
      </c>
      <c r="F146" s="5" t="s">
        <v>5</v>
      </c>
      <c r="G146" s="5" t="str">
        <f>IF(CropLCAs[[#This Row],[fbs_item]]="Insects","insect_ghg","plant_ghg")</f>
        <v>plant_ghg</v>
      </c>
      <c r="H146" s="49" t="s">
        <v>225</v>
      </c>
      <c r="I146" s="49"/>
      <c r="J146" s="49" t="s">
        <v>1289</v>
      </c>
      <c r="K146" s="5" t="s">
        <v>1366</v>
      </c>
      <c r="L146" s="5"/>
      <c r="M146" s="5" t="s">
        <v>102</v>
      </c>
      <c r="N146" s="5" t="s">
        <v>102</v>
      </c>
      <c r="O146" s="5" t="s">
        <v>163</v>
      </c>
      <c r="P146" s="5" t="s">
        <v>102</v>
      </c>
      <c r="Q146" s="5" t="s">
        <v>102</v>
      </c>
      <c r="R146" s="5" t="s">
        <v>102</v>
      </c>
      <c r="S146" s="5" t="s">
        <v>102</v>
      </c>
      <c r="T146" s="5" t="s">
        <v>164</v>
      </c>
      <c r="U146" s="5" t="s">
        <v>126</v>
      </c>
      <c r="V146" s="5">
        <v>1</v>
      </c>
      <c r="W146" s="5" t="s">
        <v>165</v>
      </c>
      <c r="X146" s="24">
        <v>253</v>
      </c>
      <c r="Y146" s="5" t="s">
        <v>106</v>
      </c>
      <c r="Z146" s="5"/>
      <c r="AA146" s="5"/>
      <c r="AB146" s="24">
        <v>1E-3</v>
      </c>
      <c r="AC146" s="5" t="s">
        <v>166</v>
      </c>
      <c r="AD146" s="5" t="str">
        <f t="shared" si="10"/>
        <v>kg_co2e_excl_luc</v>
      </c>
      <c r="AE146" s="24">
        <f>IF(CropLCAs[[#This Row],[Product fraction]]="",CropLCAs[[#This Row],[CO2e (value)]]*CropLCAs[[#This Row],[Conversion factor (value)]],CropLCAs[[#This Row],[CO2e (value)]]*CropLCAs[[#This Row],[Conversion factor (value)]]/CropLCAs[[#This Row],[Product fraction]]*CropLCAs[[#This Row],[Value fraction]])</f>
        <v>0.253</v>
      </c>
      <c r="AF146" s="5"/>
      <c r="AG146" s="5" t="str">
        <f t="shared" si="11"/>
        <v>processed_ghg</v>
      </c>
      <c r="AH146" s="5"/>
      <c r="AI146" s="5"/>
      <c r="AJ146" s="8" t="str">
        <f>IF(CropLCAs[[#This Row],[product_fraction]]&gt;0,CropLCAs[[#This Row],[footprint]]/CropLCAs[[#This Row],[product_fraction]]*CropLCAs[[#This Row],[value_fraction]],"")</f>
        <v/>
      </c>
      <c r="AK146" s="23">
        <v>1</v>
      </c>
      <c r="AL146" s="5" t="s">
        <v>109</v>
      </c>
      <c r="AM146" s="11" t="s">
        <v>167</v>
      </c>
      <c r="AN146" s="5" t="s">
        <v>168</v>
      </c>
      <c r="AO146" s="5"/>
      <c r="AP146" s="5"/>
      <c r="AQ146" s="5"/>
      <c r="AR146" s="5"/>
      <c r="AS146" s="5"/>
      <c r="AT146" s="5"/>
      <c r="AU146" s="5"/>
    </row>
    <row r="147" spans="1:47" ht="44.1" customHeight="1" x14ac:dyDescent="0.2">
      <c r="A147" s="5" t="s">
        <v>112</v>
      </c>
      <c r="B147" s="5" t="s">
        <v>1448</v>
      </c>
      <c r="C147" s="5">
        <v>2012</v>
      </c>
      <c r="D147" s="5" t="s">
        <v>160</v>
      </c>
      <c r="E147" s="5" t="s">
        <v>396</v>
      </c>
      <c r="F147" s="5" t="s">
        <v>23</v>
      </c>
      <c r="G147" s="5" t="str">
        <f>IF(CropLCAs[[#This Row],[fbs_item]]="Insects","insect_ghg","plant_ghg")</f>
        <v>plant_ghg</v>
      </c>
      <c r="H147" s="49" t="s">
        <v>225</v>
      </c>
      <c r="I147" s="49"/>
      <c r="J147" s="49" t="s">
        <v>1289</v>
      </c>
      <c r="K147" s="5" t="s">
        <v>1366</v>
      </c>
      <c r="L147" s="5"/>
      <c r="M147" s="5" t="s">
        <v>102</v>
      </c>
      <c r="N147" s="5" t="s">
        <v>102</v>
      </c>
      <c r="O147" s="5" t="s">
        <v>163</v>
      </c>
      <c r="P147" s="5" t="s">
        <v>102</v>
      </c>
      <c r="Q147" s="5" t="s">
        <v>102</v>
      </c>
      <c r="R147" s="5" t="s">
        <v>102</v>
      </c>
      <c r="S147" s="5" t="s">
        <v>102</v>
      </c>
      <c r="T147" s="5" t="s">
        <v>164</v>
      </c>
      <c r="U147" s="5" t="s">
        <v>126</v>
      </c>
      <c r="V147" s="5">
        <v>1</v>
      </c>
      <c r="W147" s="5" t="s">
        <v>165</v>
      </c>
      <c r="X147" s="24">
        <v>285</v>
      </c>
      <c r="Y147" s="5" t="s">
        <v>106</v>
      </c>
      <c r="Z147" s="5"/>
      <c r="AA147" s="5"/>
      <c r="AB147" s="24">
        <v>1E-3</v>
      </c>
      <c r="AC147" s="5" t="s">
        <v>166</v>
      </c>
      <c r="AD147" s="5" t="str">
        <f t="shared" si="10"/>
        <v>kg_co2e_excl_luc</v>
      </c>
      <c r="AE147" s="24">
        <f>IF(CropLCAs[[#This Row],[Product fraction]]="",CropLCAs[[#This Row],[CO2e (value)]]*CropLCAs[[#This Row],[Conversion factor (value)]],CropLCAs[[#This Row],[CO2e (value)]]*CropLCAs[[#This Row],[Conversion factor (value)]]/CropLCAs[[#This Row],[Product fraction]]*CropLCAs[[#This Row],[Value fraction]])</f>
        <v>0.28500000000000003</v>
      </c>
      <c r="AF147" s="5" t="s">
        <v>42</v>
      </c>
      <c r="AG147" s="5" t="str">
        <f t="shared" si="11"/>
        <v>processed_ghg</v>
      </c>
      <c r="AH147" s="5">
        <v>0.38</v>
      </c>
      <c r="AI147" s="5">
        <v>0.71</v>
      </c>
      <c r="AJ147" s="8">
        <f>IF(CropLCAs[[#This Row],[product_fraction]]&gt;0,CropLCAs[[#This Row],[footprint]]/CropLCAs[[#This Row],[product_fraction]]*CropLCAs[[#This Row],[value_fraction]],"")</f>
        <v>0.53250000000000008</v>
      </c>
      <c r="AK147" s="23">
        <v>1</v>
      </c>
      <c r="AL147" s="5" t="s">
        <v>109</v>
      </c>
      <c r="AM147" s="11" t="s">
        <v>167</v>
      </c>
      <c r="AN147" s="5" t="s">
        <v>168</v>
      </c>
      <c r="AO147" s="5"/>
      <c r="AP147" s="5"/>
      <c r="AQ147" s="5"/>
      <c r="AR147" s="5"/>
      <c r="AS147" s="5"/>
      <c r="AT147" s="5"/>
      <c r="AU147" s="5"/>
    </row>
    <row r="148" spans="1:47" ht="44.1" customHeight="1" x14ac:dyDescent="0.2">
      <c r="A148" s="17" t="s">
        <v>112</v>
      </c>
      <c r="B148" s="17" t="s">
        <v>159</v>
      </c>
      <c r="C148" s="17"/>
      <c r="D148" s="17" t="s">
        <v>160</v>
      </c>
      <c r="E148" s="17" t="s">
        <v>161</v>
      </c>
      <c r="F148" s="17" t="s">
        <v>10</v>
      </c>
      <c r="G148" s="17" t="str">
        <f>IF(CropLCAs[[#This Row],[fbs_item]]="Insects","insect_ghg","plant_ghg")</f>
        <v>plant_ghg</v>
      </c>
      <c r="H148" s="50" t="s">
        <v>162</v>
      </c>
      <c r="I148" s="50"/>
      <c r="J148" s="50"/>
      <c r="K148" s="17" t="s">
        <v>746</v>
      </c>
      <c r="L148" s="17"/>
      <c r="M148" s="17" t="s">
        <v>102</v>
      </c>
      <c r="N148" s="17" t="s">
        <v>102</v>
      </c>
      <c r="O148" s="17" t="s">
        <v>163</v>
      </c>
      <c r="P148" s="17" t="s">
        <v>102</v>
      </c>
      <c r="Q148" s="17" t="s">
        <v>102</v>
      </c>
      <c r="R148" s="17" t="s">
        <v>102</v>
      </c>
      <c r="S148" s="17" t="s">
        <v>102</v>
      </c>
      <c r="T148" s="17" t="s">
        <v>109</v>
      </c>
      <c r="U148" s="17" t="s">
        <v>126</v>
      </c>
      <c r="V148" s="17">
        <v>1</v>
      </c>
      <c r="W148" s="17" t="s">
        <v>165</v>
      </c>
      <c r="X148" s="30">
        <v>196</v>
      </c>
      <c r="Y148" s="17" t="s">
        <v>106</v>
      </c>
      <c r="Z148" s="17"/>
      <c r="AA148" s="17"/>
      <c r="AB148" s="30">
        <v>1E-3</v>
      </c>
      <c r="AC148" s="17" t="s">
        <v>166</v>
      </c>
      <c r="AD148" s="17" t="str">
        <f t="shared" si="10"/>
        <v>kg_co2e_excl_luc</v>
      </c>
      <c r="AE148" s="30">
        <f>IF(CropLCAs[[#This Row],[Product fraction]]="",CropLCAs[[#This Row],[CO2e (value)]]*CropLCAs[[#This Row],[Conversion factor (value)]],CropLCAs[[#This Row],[CO2e (value)]]*CropLCAs[[#This Row],[Conversion factor (value)]]/CropLCAs[[#This Row],[Product fraction]]*CropLCAs[[#This Row],[Value fraction]])</f>
        <v>0.19600000000000001</v>
      </c>
      <c r="AF148" s="17"/>
      <c r="AG148" s="17" t="str">
        <f t="shared" si="11"/>
        <v>processed_ghg</v>
      </c>
      <c r="AH148" s="17"/>
      <c r="AI148" s="17"/>
      <c r="AJ148" s="18" t="str">
        <f>IF(CropLCAs[[#This Row],[product_fraction]]&gt;0,CropLCAs[[#This Row],[footprint]]/CropLCAs[[#This Row],[product_fraction]]*CropLCAs[[#This Row],[value_fraction]],"")</f>
        <v/>
      </c>
      <c r="AK148" s="29"/>
      <c r="AL148" s="17" t="s">
        <v>747</v>
      </c>
      <c r="AM148" s="17"/>
      <c r="AN148" s="17"/>
      <c r="AO148" s="17"/>
      <c r="AP148" s="17"/>
      <c r="AQ148" s="5"/>
      <c r="AR148" s="5"/>
      <c r="AS148" s="5"/>
      <c r="AT148" s="5"/>
      <c r="AU148" s="5"/>
    </row>
    <row r="149" spans="1:47" ht="44.1" customHeight="1" x14ac:dyDescent="0.2">
      <c r="A149" s="17" t="s">
        <v>112</v>
      </c>
      <c r="B149" s="17" t="s">
        <v>159</v>
      </c>
      <c r="C149" s="17"/>
      <c r="D149" s="17" t="s">
        <v>160</v>
      </c>
      <c r="E149" s="17" t="s">
        <v>303</v>
      </c>
      <c r="F149" s="17" t="s">
        <v>14</v>
      </c>
      <c r="G149" s="17" t="str">
        <f>IF(CropLCAs[[#This Row],[fbs_item]]="Insects","insect_ghg","plant_ghg")</f>
        <v>plant_ghg</v>
      </c>
      <c r="H149" s="50" t="s">
        <v>162</v>
      </c>
      <c r="I149" s="50"/>
      <c r="J149" s="50"/>
      <c r="K149" s="17" t="s">
        <v>746</v>
      </c>
      <c r="L149" s="17"/>
      <c r="M149" s="17" t="s">
        <v>102</v>
      </c>
      <c r="N149" s="17" t="s">
        <v>102</v>
      </c>
      <c r="O149" s="17" t="s">
        <v>163</v>
      </c>
      <c r="P149" s="17" t="s">
        <v>102</v>
      </c>
      <c r="Q149" s="17" t="s">
        <v>102</v>
      </c>
      <c r="R149" s="17" t="s">
        <v>102</v>
      </c>
      <c r="S149" s="17" t="s">
        <v>102</v>
      </c>
      <c r="T149" s="17" t="s">
        <v>109</v>
      </c>
      <c r="U149" s="17" t="s">
        <v>126</v>
      </c>
      <c r="V149" s="17">
        <v>1</v>
      </c>
      <c r="W149" s="17" t="s">
        <v>165</v>
      </c>
      <c r="X149" s="30">
        <v>163</v>
      </c>
      <c r="Y149" s="17" t="s">
        <v>106</v>
      </c>
      <c r="Z149" s="17"/>
      <c r="AA149" s="17"/>
      <c r="AB149" s="30">
        <v>1E-3</v>
      </c>
      <c r="AC149" s="17" t="s">
        <v>166</v>
      </c>
      <c r="AD149" s="17" t="str">
        <f t="shared" si="10"/>
        <v>kg_co2e_excl_luc</v>
      </c>
      <c r="AE149" s="30">
        <f>IF(CropLCAs[[#This Row],[Product fraction]]="",CropLCAs[[#This Row],[CO2e (value)]]*CropLCAs[[#This Row],[Conversion factor (value)]],CropLCAs[[#This Row],[CO2e (value)]]*CropLCAs[[#This Row],[Conversion factor (value)]]/CropLCAs[[#This Row],[Product fraction]]*CropLCAs[[#This Row],[Value fraction]])</f>
        <v>0.16300000000000001</v>
      </c>
      <c r="AF149" s="17"/>
      <c r="AG149" s="17" t="str">
        <f t="shared" si="11"/>
        <v>processed_ghg</v>
      </c>
      <c r="AH149" s="17"/>
      <c r="AI149" s="17"/>
      <c r="AJ149" s="18" t="str">
        <f>IF(CropLCAs[[#This Row],[product_fraction]]&gt;0,CropLCAs[[#This Row],[footprint]]/CropLCAs[[#This Row],[product_fraction]]*CropLCAs[[#This Row],[value_fraction]],"")</f>
        <v/>
      </c>
      <c r="AK149" s="29"/>
      <c r="AL149" s="17" t="s">
        <v>747</v>
      </c>
      <c r="AM149" s="17"/>
      <c r="AN149" s="17"/>
      <c r="AO149" s="17"/>
      <c r="AP149" s="17"/>
      <c r="AQ149" s="5"/>
      <c r="AR149" s="5"/>
      <c r="AS149" s="5"/>
      <c r="AT149" s="5"/>
      <c r="AU149" s="5"/>
    </row>
    <row r="150" spans="1:47" ht="44.1" customHeight="1" x14ac:dyDescent="0.2">
      <c r="A150" s="17" t="s">
        <v>112</v>
      </c>
      <c r="B150" s="17" t="s">
        <v>159</v>
      </c>
      <c r="C150" s="17"/>
      <c r="D150" s="17" t="s">
        <v>160</v>
      </c>
      <c r="E150" s="17" t="s">
        <v>394</v>
      </c>
      <c r="F150" s="17" t="s">
        <v>2</v>
      </c>
      <c r="G150" s="17" t="str">
        <f>IF(CropLCAs[[#This Row],[fbs_item]]="Insects","insect_ghg","plant_ghg")</f>
        <v>plant_ghg</v>
      </c>
      <c r="H150" s="50" t="s">
        <v>162</v>
      </c>
      <c r="I150" s="50"/>
      <c r="J150" s="50"/>
      <c r="K150" s="17" t="s">
        <v>746</v>
      </c>
      <c r="L150" s="17"/>
      <c r="M150" s="17" t="s">
        <v>102</v>
      </c>
      <c r="N150" s="17" t="s">
        <v>102</v>
      </c>
      <c r="O150" s="17" t="s">
        <v>163</v>
      </c>
      <c r="P150" s="17" t="s">
        <v>102</v>
      </c>
      <c r="Q150" s="17" t="s">
        <v>102</v>
      </c>
      <c r="R150" s="17" t="s">
        <v>102</v>
      </c>
      <c r="S150" s="17" t="s">
        <v>102</v>
      </c>
      <c r="T150" s="17" t="s">
        <v>109</v>
      </c>
      <c r="U150" s="17" t="s">
        <v>126</v>
      </c>
      <c r="V150" s="17">
        <v>1</v>
      </c>
      <c r="W150" s="17" t="s">
        <v>165</v>
      </c>
      <c r="X150" s="30">
        <v>510</v>
      </c>
      <c r="Y150" s="17" t="s">
        <v>106</v>
      </c>
      <c r="Z150" s="17"/>
      <c r="AA150" s="17"/>
      <c r="AB150" s="30">
        <v>1E-3</v>
      </c>
      <c r="AC150" s="17" t="s">
        <v>166</v>
      </c>
      <c r="AD150" s="17" t="str">
        <f t="shared" si="10"/>
        <v>kg_co2e_excl_luc</v>
      </c>
      <c r="AE150" s="30">
        <f>IF(CropLCAs[[#This Row],[Product fraction]]="",CropLCAs[[#This Row],[CO2e (value)]]*CropLCAs[[#This Row],[Conversion factor (value)]],CropLCAs[[#This Row],[CO2e (value)]]*CropLCAs[[#This Row],[Conversion factor (value)]]/CropLCAs[[#This Row],[Product fraction]]*CropLCAs[[#This Row],[Value fraction]])</f>
        <v>0.51</v>
      </c>
      <c r="AF150" s="17"/>
      <c r="AG150" s="17" t="str">
        <f t="shared" si="11"/>
        <v>processed_ghg</v>
      </c>
      <c r="AH150" s="17"/>
      <c r="AI150" s="17"/>
      <c r="AJ150" s="18" t="str">
        <f>IF(CropLCAs[[#This Row],[product_fraction]]&gt;0,CropLCAs[[#This Row],[footprint]]/CropLCAs[[#This Row],[product_fraction]]*CropLCAs[[#This Row],[value_fraction]],"")</f>
        <v/>
      </c>
      <c r="AK150" s="29"/>
      <c r="AL150" s="17" t="s">
        <v>747</v>
      </c>
      <c r="AM150" s="17"/>
      <c r="AN150" s="17"/>
      <c r="AO150" s="17"/>
      <c r="AP150" s="17"/>
      <c r="AQ150" s="5"/>
      <c r="AR150" s="5"/>
      <c r="AS150" s="5"/>
      <c r="AT150" s="5"/>
      <c r="AU150" s="5"/>
    </row>
    <row r="151" spans="1:47" ht="44.1" customHeight="1" x14ac:dyDescent="0.2">
      <c r="A151" s="17" t="s">
        <v>112</v>
      </c>
      <c r="B151" s="17" t="s">
        <v>159</v>
      </c>
      <c r="C151" s="17"/>
      <c r="D151" s="17" t="s">
        <v>160</v>
      </c>
      <c r="E151" s="17" t="s">
        <v>396</v>
      </c>
      <c r="F151" s="17" t="s">
        <v>23</v>
      </c>
      <c r="G151" s="17" t="str">
        <f>IF(CropLCAs[[#This Row],[fbs_item]]="Insects","insect_ghg","plant_ghg")</f>
        <v>plant_ghg</v>
      </c>
      <c r="H151" s="50" t="s">
        <v>162</v>
      </c>
      <c r="I151" s="50"/>
      <c r="J151" s="50"/>
      <c r="K151" s="17" t="s">
        <v>746</v>
      </c>
      <c r="L151" s="17"/>
      <c r="M151" s="17" t="s">
        <v>102</v>
      </c>
      <c r="N151" s="17" t="s">
        <v>102</v>
      </c>
      <c r="O151" s="17" t="s">
        <v>163</v>
      </c>
      <c r="P151" s="17" t="s">
        <v>102</v>
      </c>
      <c r="Q151" s="17" t="s">
        <v>102</v>
      </c>
      <c r="R151" s="17" t="s">
        <v>102</v>
      </c>
      <c r="S151" s="17" t="s">
        <v>102</v>
      </c>
      <c r="T151" s="17" t="s">
        <v>109</v>
      </c>
      <c r="U151" s="17" t="s">
        <v>126</v>
      </c>
      <c r="V151" s="17">
        <v>1</v>
      </c>
      <c r="W151" s="17" t="s">
        <v>165</v>
      </c>
      <c r="X151" s="30">
        <v>222</v>
      </c>
      <c r="Y151" s="17" t="s">
        <v>106</v>
      </c>
      <c r="Z151" s="17"/>
      <c r="AA151" s="17"/>
      <c r="AB151" s="30">
        <v>1E-3</v>
      </c>
      <c r="AC151" s="17" t="s">
        <v>166</v>
      </c>
      <c r="AD151" s="17" t="str">
        <f t="shared" si="10"/>
        <v>kg_co2e_excl_luc</v>
      </c>
      <c r="AE151" s="30">
        <f>IF(CropLCAs[[#This Row],[Product fraction]]="",CropLCAs[[#This Row],[CO2e (value)]]*CropLCAs[[#This Row],[Conversion factor (value)]],CropLCAs[[#This Row],[CO2e (value)]]*CropLCAs[[#This Row],[Conversion factor (value)]]/CropLCAs[[#This Row],[Product fraction]]*CropLCAs[[#This Row],[Value fraction]])</f>
        <v>0.222</v>
      </c>
      <c r="AF151" s="36" t="s">
        <v>42</v>
      </c>
      <c r="AG151" s="36" t="str">
        <f t="shared" si="11"/>
        <v>processed_ghg</v>
      </c>
      <c r="AH151" s="17">
        <v>0.38</v>
      </c>
      <c r="AI151" s="17"/>
      <c r="AJ151" s="18">
        <f>IF(CropLCAs[[#This Row],[product_fraction]]&gt;0,CropLCAs[[#This Row],[footprint]]/CropLCAs[[#This Row],[product_fraction]]*CropLCAs[[#This Row],[value_fraction]],"")</f>
        <v>0</v>
      </c>
      <c r="AK151" s="29"/>
      <c r="AL151" s="17" t="s">
        <v>747</v>
      </c>
      <c r="AM151" s="17"/>
      <c r="AN151" s="17"/>
      <c r="AO151" s="17"/>
      <c r="AP151" s="17"/>
      <c r="AQ151" s="5"/>
      <c r="AR151" s="5"/>
      <c r="AS151" s="5"/>
      <c r="AT151" s="5"/>
      <c r="AU151" s="5"/>
    </row>
    <row r="152" spans="1:47" ht="44.1" customHeight="1" x14ac:dyDescent="0.2">
      <c r="A152" s="17" t="s">
        <v>112</v>
      </c>
      <c r="B152" s="17" t="s">
        <v>159</v>
      </c>
      <c r="C152" s="17"/>
      <c r="D152" s="17" t="s">
        <v>160</v>
      </c>
      <c r="E152" s="17" t="s">
        <v>630</v>
      </c>
      <c r="F152" s="17" t="s">
        <v>5</v>
      </c>
      <c r="G152" s="17" t="str">
        <f>IF(CropLCAs[[#This Row],[fbs_item]]="Insects","insect_ghg","plant_ghg")</f>
        <v>plant_ghg</v>
      </c>
      <c r="H152" s="50" t="s">
        <v>162</v>
      </c>
      <c r="I152" s="50"/>
      <c r="J152" s="50"/>
      <c r="K152" s="17" t="s">
        <v>746</v>
      </c>
      <c r="L152" s="17"/>
      <c r="M152" s="17" t="s">
        <v>102</v>
      </c>
      <c r="N152" s="17" t="s">
        <v>102</v>
      </c>
      <c r="O152" s="17" t="s">
        <v>163</v>
      </c>
      <c r="P152" s="17" t="s">
        <v>102</v>
      </c>
      <c r="Q152" s="17" t="s">
        <v>102</v>
      </c>
      <c r="R152" s="17" t="s">
        <v>102</v>
      </c>
      <c r="S152" s="17" t="s">
        <v>102</v>
      </c>
      <c r="T152" s="17" t="s">
        <v>109</v>
      </c>
      <c r="U152" s="17" t="s">
        <v>126</v>
      </c>
      <c r="V152" s="17">
        <v>1</v>
      </c>
      <c r="W152" s="17" t="s">
        <v>165</v>
      </c>
      <c r="X152" s="30">
        <v>246</v>
      </c>
      <c r="Y152" s="17" t="s">
        <v>106</v>
      </c>
      <c r="Z152" s="17"/>
      <c r="AA152" s="17"/>
      <c r="AB152" s="30">
        <v>1E-3</v>
      </c>
      <c r="AC152" s="17" t="s">
        <v>166</v>
      </c>
      <c r="AD152" s="17" t="str">
        <f t="shared" si="10"/>
        <v>kg_co2e_excl_luc</v>
      </c>
      <c r="AE152" s="30">
        <f>IF(CropLCAs[[#This Row],[Product fraction]]="",CropLCAs[[#This Row],[CO2e (value)]]*CropLCAs[[#This Row],[Conversion factor (value)]],CropLCAs[[#This Row],[CO2e (value)]]*CropLCAs[[#This Row],[Conversion factor (value)]]/CropLCAs[[#This Row],[Product fraction]]*CropLCAs[[#This Row],[Value fraction]])</f>
        <v>0.246</v>
      </c>
      <c r="AF152" s="17"/>
      <c r="AG152" s="17" t="str">
        <f t="shared" si="11"/>
        <v>processed_ghg</v>
      </c>
      <c r="AH152" s="17"/>
      <c r="AI152" s="17"/>
      <c r="AJ152" s="18" t="str">
        <f>IF(CropLCAs[[#This Row],[product_fraction]]&gt;0,CropLCAs[[#This Row],[footprint]]/CropLCAs[[#This Row],[product_fraction]]*CropLCAs[[#This Row],[value_fraction]],"")</f>
        <v/>
      </c>
      <c r="AK152" s="29"/>
      <c r="AL152" s="17" t="s">
        <v>747</v>
      </c>
      <c r="AM152" s="17"/>
      <c r="AN152" s="17"/>
      <c r="AO152" s="17"/>
      <c r="AP152" s="17"/>
      <c r="AQ152" s="5"/>
      <c r="AR152" s="5"/>
      <c r="AS152" s="5"/>
      <c r="AT152" s="5"/>
      <c r="AU152" s="5"/>
    </row>
    <row r="153" spans="1:47" ht="44.1" customHeight="1" x14ac:dyDescent="0.2">
      <c r="A153" s="5" t="s">
        <v>99</v>
      </c>
      <c r="B153" s="5" t="s">
        <v>1449</v>
      </c>
      <c r="C153" s="5">
        <v>2012</v>
      </c>
      <c r="D153" s="10" t="s">
        <v>169</v>
      </c>
      <c r="E153" s="6" t="s">
        <v>161</v>
      </c>
      <c r="F153" s="5" t="s">
        <v>10</v>
      </c>
      <c r="G153" s="5" t="str">
        <f>IF(CropLCAs[[#This Row],[fbs_item]]="Insects","insect_ghg","plant_ghg")</f>
        <v>plant_ghg</v>
      </c>
      <c r="H153" s="49" t="s">
        <v>170</v>
      </c>
      <c r="I153" s="49"/>
      <c r="J153" s="49"/>
      <c r="K153" s="5" t="s">
        <v>1364</v>
      </c>
      <c r="L153" s="5" t="s">
        <v>171</v>
      </c>
      <c r="M153" s="5" t="s">
        <v>102</v>
      </c>
      <c r="N153" s="5" t="s">
        <v>150</v>
      </c>
      <c r="O153" s="5" t="s">
        <v>150</v>
      </c>
      <c r="P153" s="5" t="s">
        <v>102</v>
      </c>
      <c r="Q153" s="5" t="s">
        <v>102</v>
      </c>
      <c r="R153" s="5" t="s">
        <v>102</v>
      </c>
      <c r="S153" s="5" t="s">
        <v>102</v>
      </c>
      <c r="T153" s="5" t="s">
        <v>102</v>
      </c>
      <c r="U153" s="5" t="s">
        <v>126</v>
      </c>
      <c r="V153" s="5">
        <v>1</v>
      </c>
      <c r="W153" s="5" t="s">
        <v>127</v>
      </c>
      <c r="X153" s="24">
        <v>254</v>
      </c>
      <c r="Y153" s="5" t="s">
        <v>106</v>
      </c>
      <c r="Z153" s="5"/>
      <c r="AA153" s="5"/>
      <c r="AB153" s="24">
        <v>1E-3</v>
      </c>
      <c r="AC153" s="5" t="s">
        <v>128</v>
      </c>
      <c r="AD153" s="5" t="str">
        <f t="shared" si="10"/>
        <v>kg_co2e_excl_luc</v>
      </c>
      <c r="AE153" s="24">
        <f>IF(CropLCAs[[#This Row],[Product fraction]]="",CropLCAs[[#This Row],[CO2e (value)]]*CropLCAs[[#This Row],[Conversion factor (value)]],CropLCAs[[#This Row],[CO2e (value)]]*CropLCAs[[#This Row],[Conversion factor (value)]]/CropLCAs[[#This Row],[Product fraction]]*CropLCAs[[#This Row],[Value fraction]])</f>
        <v>0.254</v>
      </c>
      <c r="AF153" s="5"/>
      <c r="AG153" s="5" t="str">
        <f t="shared" si="11"/>
        <v>processed_ghg</v>
      </c>
      <c r="AH153" s="5"/>
      <c r="AI153" s="5"/>
      <c r="AJ153" s="8" t="str">
        <f>IF(CropLCAs[[#This Row],[product_fraction]]&gt;0,CropLCAs[[#This Row],[footprint]]/CropLCAs[[#This Row],[product_fraction]]*CropLCAs[[#This Row],[value_fraction]],"")</f>
        <v/>
      </c>
      <c r="AK153" s="23">
        <f t="shared" ref="AK153:AK172" si="12">1/10</f>
        <v>0.1</v>
      </c>
      <c r="AL153" s="5" t="s">
        <v>109</v>
      </c>
      <c r="AM153" s="5" t="s">
        <v>172</v>
      </c>
      <c r="AN153" s="5" t="s">
        <v>173</v>
      </c>
      <c r="AO153" s="5"/>
      <c r="AP153" s="5"/>
      <c r="AQ153" s="5"/>
      <c r="AR153" s="5"/>
      <c r="AS153" s="5"/>
      <c r="AT153" s="5"/>
      <c r="AU153" s="5"/>
    </row>
    <row r="154" spans="1:47" ht="44.1" customHeight="1" x14ac:dyDescent="0.2">
      <c r="A154" s="5" t="s">
        <v>99</v>
      </c>
      <c r="B154" s="5" t="s">
        <v>1449</v>
      </c>
      <c r="C154" s="5">
        <v>2012</v>
      </c>
      <c r="D154" s="10" t="s">
        <v>169</v>
      </c>
      <c r="E154" s="6" t="s">
        <v>161</v>
      </c>
      <c r="F154" s="5" t="s">
        <v>10</v>
      </c>
      <c r="G154" s="5" t="str">
        <f>IF(CropLCAs[[#This Row],[fbs_item]]="Insects","insect_ghg","plant_ghg")</f>
        <v>plant_ghg</v>
      </c>
      <c r="H154" s="49" t="s">
        <v>170</v>
      </c>
      <c r="I154" s="49"/>
      <c r="J154" s="49"/>
      <c r="K154" s="5" t="s">
        <v>1364</v>
      </c>
      <c r="L154" s="5" t="s">
        <v>174</v>
      </c>
      <c r="M154" s="5" t="s">
        <v>102</v>
      </c>
      <c r="N154" s="5" t="s">
        <v>150</v>
      </c>
      <c r="O154" s="5" t="s">
        <v>150</v>
      </c>
      <c r="P154" s="5" t="s">
        <v>102</v>
      </c>
      <c r="Q154" s="5" t="s">
        <v>102</v>
      </c>
      <c r="R154" s="5" t="s">
        <v>102</v>
      </c>
      <c r="S154" s="5" t="s">
        <v>102</v>
      </c>
      <c r="T154" s="5" t="s">
        <v>102</v>
      </c>
      <c r="U154" s="5" t="s">
        <v>126</v>
      </c>
      <c r="V154" s="5">
        <v>1</v>
      </c>
      <c r="W154" s="5" t="s">
        <v>127</v>
      </c>
      <c r="X154" s="24">
        <v>436</v>
      </c>
      <c r="Y154" s="5" t="s">
        <v>106</v>
      </c>
      <c r="Z154" s="5"/>
      <c r="AA154" s="5"/>
      <c r="AB154" s="24">
        <v>1E-3</v>
      </c>
      <c r="AC154" s="5" t="s">
        <v>128</v>
      </c>
      <c r="AD154" s="5" t="str">
        <f t="shared" si="10"/>
        <v>kg_co2e_excl_luc</v>
      </c>
      <c r="AE154" s="24">
        <f>IF(CropLCAs[[#This Row],[Product fraction]]="",CropLCAs[[#This Row],[CO2e (value)]]*CropLCAs[[#This Row],[Conversion factor (value)]],CropLCAs[[#This Row],[CO2e (value)]]*CropLCAs[[#This Row],[Conversion factor (value)]]/CropLCAs[[#This Row],[Product fraction]]*CropLCAs[[#This Row],[Value fraction]])</f>
        <v>0.436</v>
      </c>
      <c r="AF154" s="5"/>
      <c r="AG154" s="5" t="str">
        <f t="shared" si="11"/>
        <v>processed_ghg</v>
      </c>
      <c r="AH154" s="5"/>
      <c r="AI154" s="5"/>
      <c r="AJ154" s="8" t="str">
        <f>IF(CropLCAs[[#This Row],[product_fraction]]&gt;0,CropLCAs[[#This Row],[footprint]]/CropLCAs[[#This Row],[product_fraction]]*CropLCAs[[#This Row],[value_fraction]],"")</f>
        <v/>
      </c>
      <c r="AK154" s="23">
        <f t="shared" si="12"/>
        <v>0.1</v>
      </c>
      <c r="AL154" s="5" t="s">
        <v>109</v>
      </c>
      <c r="AM154" s="5" t="s">
        <v>172</v>
      </c>
      <c r="AN154" s="5" t="s">
        <v>173</v>
      </c>
      <c r="AO154" s="5"/>
      <c r="AP154" s="5"/>
      <c r="AQ154" s="5"/>
      <c r="AR154" s="5"/>
      <c r="AS154" s="5"/>
      <c r="AT154" s="5"/>
      <c r="AU154" s="5"/>
    </row>
    <row r="155" spans="1:47" ht="44.1" customHeight="1" x14ac:dyDescent="0.2">
      <c r="A155" s="5" t="s">
        <v>99</v>
      </c>
      <c r="B155" s="5" t="s">
        <v>1449</v>
      </c>
      <c r="C155" s="5">
        <v>2012</v>
      </c>
      <c r="D155" s="10" t="s">
        <v>169</v>
      </c>
      <c r="E155" s="6" t="s">
        <v>161</v>
      </c>
      <c r="F155" s="5" t="s">
        <v>10</v>
      </c>
      <c r="G155" s="5" t="str">
        <f>IF(CropLCAs[[#This Row],[fbs_item]]="Insects","insect_ghg","plant_ghg")</f>
        <v>plant_ghg</v>
      </c>
      <c r="H155" s="49" t="s">
        <v>170</v>
      </c>
      <c r="I155" s="49"/>
      <c r="J155" s="49"/>
      <c r="K155" s="5" t="s">
        <v>1364</v>
      </c>
      <c r="L155" s="5" t="s">
        <v>175</v>
      </c>
      <c r="M155" s="5" t="s">
        <v>102</v>
      </c>
      <c r="N155" s="5" t="s">
        <v>150</v>
      </c>
      <c r="O155" s="5" t="s">
        <v>150</v>
      </c>
      <c r="P155" s="5" t="s">
        <v>102</v>
      </c>
      <c r="Q155" s="5" t="s">
        <v>102</v>
      </c>
      <c r="R155" s="5" t="s">
        <v>102</v>
      </c>
      <c r="S155" s="5" t="s">
        <v>102</v>
      </c>
      <c r="T155" s="5" t="s">
        <v>102</v>
      </c>
      <c r="U155" s="5" t="s">
        <v>126</v>
      </c>
      <c r="V155" s="5">
        <v>1</v>
      </c>
      <c r="W155" s="5" t="s">
        <v>127</v>
      </c>
      <c r="X155" s="24">
        <v>623</v>
      </c>
      <c r="Y155" s="5" t="s">
        <v>106</v>
      </c>
      <c r="Z155" s="5"/>
      <c r="AA155" s="5"/>
      <c r="AB155" s="24">
        <v>1E-3</v>
      </c>
      <c r="AC155" s="5" t="s">
        <v>128</v>
      </c>
      <c r="AD155" s="5" t="str">
        <f t="shared" si="10"/>
        <v>kg_co2e_excl_luc</v>
      </c>
      <c r="AE155" s="24">
        <f>IF(CropLCAs[[#This Row],[Product fraction]]="",CropLCAs[[#This Row],[CO2e (value)]]*CropLCAs[[#This Row],[Conversion factor (value)]],CropLCAs[[#This Row],[CO2e (value)]]*CropLCAs[[#This Row],[Conversion factor (value)]]/CropLCAs[[#This Row],[Product fraction]]*CropLCAs[[#This Row],[Value fraction]])</f>
        <v>0.623</v>
      </c>
      <c r="AF155" s="5"/>
      <c r="AG155" s="5" t="str">
        <f t="shared" si="11"/>
        <v>processed_ghg</v>
      </c>
      <c r="AH155" s="5"/>
      <c r="AI155" s="5"/>
      <c r="AJ155" s="8" t="str">
        <f>IF(CropLCAs[[#This Row],[product_fraction]]&gt;0,CropLCAs[[#This Row],[footprint]]/CropLCAs[[#This Row],[product_fraction]]*CropLCAs[[#This Row],[value_fraction]],"")</f>
        <v/>
      </c>
      <c r="AK155" s="23">
        <f t="shared" si="12"/>
        <v>0.1</v>
      </c>
      <c r="AL155" s="5" t="s">
        <v>109</v>
      </c>
      <c r="AM155" s="5" t="s">
        <v>172</v>
      </c>
      <c r="AN155" s="5" t="s">
        <v>173</v>
      </c>
      <c r="AO155" s="5"/>
      <c r="AP155" s="5"/>
      <c r="AQ155" s="5"/>
      <c r="AR155" s="5"/>
      <c r="AS155" s="5"/>
      <c r="AT155" s="5"/>
      <c r="AU155" s="5"/>
    </row>
    <row r="156" spans="1:47" ht="44.1" customHeight="1" x14ac:dyDescent="0.2">
      <c r="A156" s="5" t="s">
        <v>99</v>
      </c>
      <c r="B156" s="5" t="s">
        <v>1449</v>
      </c>
      <c r="C156" s="5">
        <v>2012</v>
      </c>
      <c r="D156" s="10" t="s">
        <v>169</v>
      </c>
      <c r="E156" s="6" t="s">
        <v>161</v>
      </c>
      <c r="F156" s="5" t="s">
        <v>10</v>
      </c>
      <c r="G156" s="5" t="str">
        <f>IF(CropLCAs[[#This Row],[fbs_item]]="Insects","insect_ghg","plant_ghg")</f>
        <v>plant_ghg</v>
      </c>
      <c r="H156" s="49" t="s">
        <v>170</v>
      </c>
      <c r="I156" s="49"/>
      <c r="J156" s="49"/>
      <c r="K156" s="5" t="s">
        <v>1364</v>
      </c>
      <c r="L156" s="5" t="s">
        <v>176</v>
      </c>
      <c r="M156" s="5" t="s">
        <v>102</v>
      </c>
      <c r="N156" s="5" t="s">
        <v>150</v>
      </c>
      <c r="O156" s="5" t="s">
        <v>150</v>
      </c>
      <c r="P156" s="5" t="s">
        <v>102</v>
      </c>
      <c r="Q156" s="5" t="s">
        <v>102</v>
      </c>
      <c r="R156" s="5" t="s">
        <v>102</v>
      </c>
      <c r="S156" s="5" t="s">
        <v>102</v>
      </c>
      <c r="T156" s="5" t="s">
        <v>102</v>
      </c>
      <c r="U156" s="5" t="s">
        <v>126</v>
      </c>
      <c r="V156" s="5">
        <v>1</v>
      </c>
      <c r="W156" s="5" t="s">
        <v>127</v>
      </c>
      <c r="X156" s="24">
        <v>488</v>
      </c>
      <c r="Y156" s="5" t="s">
        <v>106</v>
      </c>
      <c r="Z156" s="5"/>
      <c r="AA156" s="5"/>
      <c r="AB156" s="24">
        <v>1E-3</v>
      </c>
      <c r="AC156" s="5" t="s">
        <v>128</v>
      </c>
      <c r="AD156" s="5" t="str">
        <f t="shared" si="10"/>
        <v>kg_co2e_excl_luc</v>
      </c>
      <c r="AE156" s="24">
        <f>IF(CropLCAs[[#This Row],[Product fraction]]="",CropLCAs[[#This Row],[CO2e (value)]]*CropLCAs[[#This Row],[Conversion factor (value)]],CropLCAs[[#This Row],[CO2e (value)]]*CropLCAs[[#This Row],[Conversion factor (value)]]/CropLCAs[[#This Row],[Product fraction]]*CropLCAs[[#This Row],[Value fraction]])</f>
        <v>0.48799999999999999</v>
      </c>
      <c r="AF156" s="5"/>
      <c r="AG156" s="5" t="str">
        <f t="shared" si="11"/>
        <v>processed_ghg</v>
      </c>
      <c r="AH156" s="5"/>
      <c r="AI156" s="5"/>
      <c r="AJ156" s="8" t="str">
        <f>IF(CropLCAs[[#This Row],[product_fraction]]&gt;0,CropLCAs[[#This Row],[footprint]]/CropLCAs[[#This Row],[product_fraction]]*CropLCAs[[#This Row],[value_fraction]],"")</f>
        <v/>
      </c>
      <c r="AK156" s="23">
        <f t="shared" si="12"/>
        <v>0.1</v>
      </c>
      <c r="AL156" s="5" t="s">
        <v>109</v>
      </c>
      <c r="AM156" s="5" t="s">
        <v>172</v>
      </c>
      <c r="AN156" s="5" t="s">
        <v>173</v>
      </c>
      <c r="AO156" s="5"/>
      <c r="AP156" s="5"/>
      <c r="AQ156" s="5"/>
      <c r="AR156" s="5"/>
      <c r="AS156" s="5"/>
      <c r="AT156" s="5"/>
      <c r="AU156" s="5"/>
    </row>
    <row r="157" spans="1:47" ht="44.1" customHeight="1" x14ac:dyDescent="0.2">
      <c r="A157" s="5" t="s">
        <v>99</v>
      </c>
      <c r="B157" s="5" t="s">
        <v>1449</v>
      </c>
      <c r="C157" s="5">
        <v>2012</v>
      </c>
      <c r="D157" s="10" t="s">
        <v>169</v>
      </c>
      <c r="E157" s="6" t="s">
        <v>161</v>
      </c>
      <c r="F157" s="5" t="s">
        <v>10</v>
      </c>
      <c r="G157" s="5" t="str">
        <f>IF(CropLCAs[[#This Row],[fbs_item]]="Insects","insect_ghg","plant_ghg")</f>
        <v>plant_ghg</v>
      </c>
      <c r="H157" s="49" t="s">
        <v>170</v>
      </c>
      <c r="I157" s="49"/>
      <c r="J157" s="49"/>
      <c r="K157" s="5" t="s">
        <v>1364</v>
      </c>
      <c r="L157" s="5" t="s">
        <v>177</v>
      </c>
      <c r="M157" s="5" t="s">
        <v>102</v>
      </c>
      <c r="N157" s="5" t="s">
        <v>150</v>
      </c>
      <c r="O157" s="5" t="s">
        <v>150</v>
      </c>
      <c r="P157" s="5" t="s">
        <v>102</v>
      </c>
      <c r="Q157" s="5" t="s">
        <v>102</v>
      </c>
      <c r="R157" s="5" t="s">
        <v>102</v>
      </c>
      <c r="S157" s="5" t="s">
        <v>102</v>
      </c>
      <c r="T157" s="5" t="s">
        <v>102</v>
      </c>
      <c r="U157" s="5" t="s">
        <v>126</v>
      </c>
      <c r="V157" s="5">
        <v>1</v>
      </c>
      <c r="W157" s="5" t="s">
        <v>127</v>
      </c>
      <c r="X157" s="24">
        <v>579</v>
      </c>
      <c r="Y157" s="5" t="s">
        <v>106</v>
      </c>
      <c r="Z157" s="5"/>
      <c r="AA157" s="5"/>
      <c r="AB157" s="24">
        <v>1E-3</v>
      </c>
      <c r="AC157" s="5" t="s">
        <v>128</v>
      </c>
      <c r="AD157" s="5" t="str">
        <f t="shared" si="10"/>
        <v>kg_co2e_excl_luc</v>
      </c>
      <c r="AE157" s="24">
        <f>IF(CropLCAs[[#This Row],[Product fraction]]="",CropLCAs[[#This Row],[CO2e (value)]]*CropLCAs[[#This Row],[Conversion factor (value)]],CropLCAs[[#This Row],[CO2e (value)]]*CropLCAs[[#This Row],[Conversion factor (value)]]/CropLCAs[[#This Row],[Product fraction]]*CropLCAs[[#This Row],[Value fraction]])</f>
        <v>0.57899999999999996</v>
      </c>
      <c r="AF157" s="5"/>
      <c r="AG157" s="5" t="str">
        <f t="shared" si="11"/>
        <v>processed_ghg</v>
      </c>
      <c r="AH157" s="5"/>
      <c r="AI157" s="5"/>
      <c r="AJ157" s="8" t="str">
        <f>IF(CropLCAs[[#This Row],[product_fraction]]&gt;0,CropLCAs[[#This Row],[footprint]]/CropLCAs[[#This Row],[product_fraction]]*CropLCAs[[#This Row],[value_fraction]],"")</f>
        <v/>
      </c>
      <c r="AK157" s="23">
        <f t="shared" si="12"/>
        <v>0.1</v>
      </c>
      <c r="AL157" s="5" t="s">
        <v>109</v>
      </c>
      <c r="AM157" s="5" t="s">
        <v>172</v>
      </c>
      <c r="AN157" s="5" t="s">
        <v>173</v>
      </c>
      <c r="AO157" s="5"/>
      <c r="AP157" s="5"/>
      <c r="AQ157" s="5"/>
      <c r="AR157" s="5"/>
      <c r="AS157" s="5"/>
      <c r="AT157" s="5"/>
      <c r="AU157" s="5"/>
    </row>
    <row r="158" spans="1:47" ht="44.1" customHeight="1" x14ac:dyDescent="0.2">
      <c r="A158" s="5" t="s">
        <v>99</v>
      </c>
      <c r="B158" s="5" t="s">
        <v>1449</v>
      </c>
      <c r="C158" s="5">
        <v>2012</v>
      </c>
      <c r="D158" s="10" t="s">
        <v>169</v>
      </c>
      <c r="E158" s="6" t="s">
        <v>161</v>
      </c>
      <c r="F158" s="5" t="s">
        <v>10</v>
      </c>
      <c r="G158" s="5" t="str">
        <f>IF(CropLCAs[[#This Row],[fbs_item]]="Insects","insect_ghg","plant_ghg")</f>
        <v>plant_ghg</v>
      </c>
      <c r="H158" s="49" t="s">
        <v>170</v>
      </c>
      <c r="I158" s="49"/>
      <c r="J158" s="49"/>
      <c r="K158" s="5" t="s">
        <v>1365</v>
      </c>
      <c r="L158" s="5" t="s">
        <v>171</v>
      </c>
      <c r="M158" s="5" t="s">
        <v>102</v>
      </c>
      <c r="N158" s="5" t="s">
        <v>150</v>
      </c>
      <c r="O158" s="5" t="s">
        <v>150</v>
      </c>
      <c r="P158" s="5" t="s">
        <v>102</v>
      </c>
      <c r="Q158" s="5" t="s">
        <v>102</v>
      </c>
      <c r="R158" s="5" t="s">
        <v>102</v>
      </c>
      <c r="S158" s="5" t="s">
        <v>102</v>
      </c>
      <c r="T158" s="5" t="s">
        <v>102</v>
      </c>
      <c r="U158" s="5" t="s">
        <v>126</v>
      </c>
      <c r="V158" s="5">
        <v>1</v>
      </c>
      <c r="W158" s="5" t="s">
        <v>127</v>
      </c>
      <c r="X158" s="24">
        <v>869</v>
      </c>
      <c r="Y158" s="5" t="s">
        <v>106</v>
      </c>
      <c r="Z158" s="5"/>
      <c r="AA158" s="5"/>
      <c r="AB158" s="24">
        <v>1E-3</v>
      </c>
      <c r="AC158" s="5" t="s">
        <v>128</v>
      </c>
      <c r="AD158" s="5" t="str">
        <f t="shared" si="10"/>
        <v>kg_co2e_excl_luc</v>
      </c>
      <c r="AE158" s="24">
        <f>IF(CropLCAs[[#This Row],[Product fraction]]="",CropLCAs[[#This Row],[CO2e (value)]]*CropLCAs[[#This Row],[Conversion factor (value)]],CropLCAs[[#This Row],[CO2e (value)]]*CropLCAs[[#This Row],[Conversion factor (value)]]/CropLCAs[[#This Row],[Product fraction]]*CropLCAs[[#This Row],[Value fraction]])</f>
        <v>0.86899999999999999</v>
      </c>
      <c r="AF158" s="5"/>
      <c r="AG158" s="5" t="str">
        <f t="shared" si="11"/>
        <v>processed_ghg</v>
      </c>
      <c r="AH158" s="5"/>
      <c r="AI158" s="5"/>
      <c r="AJ158" s="8" t="str">
        <f>IF(CropLCAs[[#This Row],[product_fraction]]&gt;0,CropLCAs[[#This Row],[footprint]]/CropLCAs[[#This Row],[product_fraction]]*CropLCAs[[#This Row],[value_fraction]],"")</f>
        <v/>
      </c>
      <c r="AK158" s="23">
        <f t="shared" si="12"/>
        <v>0.1</v>
      </c>
      <c r="AL158" s="5" t="s">
        <v>109</v>
      </c>
      <c r="AM158" s="5" t="s">
        <v>172</v>
      </c>
      <c r="AN158" s="5" t="s">
        <v>173</v>
      </c>
      <c r="AO158" s="5"/>
      <c r="AP158" s="5"/>
      <c r="AQ158" s="5"/>
      <c r="AR158" s="5"/>
      <c r="AS158" s="5"/>
      <c r="AT158" s="5"/>
      <c r="AU158" s="5"/>
    </row>
    <row r="159" spans="1:47" ht="44.1" customHeight="1" x14ac:dyDescent="0.2">
      <c r="A159" s="5" t="s">
        <v>99</v>
      </c>
      <c r="B159" s="5" t="s">
        <v>1449</v>
      </c>
      <c r="C159" s="5">
        <v>2012</v>
      </c>
      <c r="D159" s="10" t="s">
        <v>169</v>
      </c>
      <c r="E159" s="6" t="s">
        <v>161</v>
      </c>
      <c r="F159" s="5" t="s">
        <v>10</v>
      </c>
      <c r="G159" s="5" t="str">
        <f>IF(CropLCAs[[#This Row],[fbs_item]]="Insects","insect_ghg","plant_ghg")</f>
        <v>plant_ghg</v>
      </c>
      <c r="H159" s="49" t="s">
        <v>170</v>
      </c>
      <c r="I159" s="49"/>
      <c r="J159" s="49"/>
      <c r="K159" s="5" t="s">
        <v>1365</v>
      </c>
      <c r="L159" s="5" t="s">
        <v>174</v>
      </c>
      <c r="M159" s="5" t="s">
        <v>102</v>
      </c>
      <c r="N159" s="5" t="s">
        <v>150</v>
      </c>
      <c r="O159" s="5" t="s">
        <v>150</v>
      </c>
      <c r="P159" s="5" t="s">
        <v>102</v>
      </c>
      <c r="Q159" s="5" t="s">
        <v>102</v>
      </c>
      <c r="R159" s="5" t="s">
        <v>102</v>
      </c>
      <c r="S159" s="5" t="s">
        <v>102</v>
      </c>
      <c r="T159" s="5" t="s">
        <v>102</v>
      </c>
      <c r="U159" s="5" t="s">
        <v>126</v>
      </c>
      <c r="V159" s="5">
        <v>1</v>
      </c>
      <c r="W159" s="5" t="s">
        <v>127</v>
      </c>
      <c r="X159" s="24">
        <v>841</v>
      </c>
      <c r="Y159" s="5" t="s">
        <v>106</v>
      </c>
      <c r="Z159" s="5"/>
      <c r="AA159" s="5"/>
      <c r="AB159" s="24">
        <v>1E-3</v>
      </c>
      <c r="AC159" s="5" t="s">
        <v>128</v>
      </c>
      <c r="AD159" s="5" t="str">
        <f t="shared" si="10"/>
        <v>kg_co2e_excl_luc</v>
      </c>
      <c r="AE159" s="24">
        <f>IF(CropLCAs[[#This Row],[Product fraction]]="",CropLCAs[[#This Row],[CO2e (value)]]*CropLCAs[[#This Row],[Conversion factor (value)]],CropLCAs[[#This Row],[CO2e (value)]]*CropLCAs[[#This Row],[Conversion factor (value)]]/CropLCAs[[#This Row],[Product fraction]]*CropLCAs[[#This Row],[Value fraction]])</f>
        <v>0.84099999999999997</v>
      </c>
      <c r="AF159" s="5"/>
      <c r="AG159" s="5" t="str">
        <f t="shared" si="11"/>
        <v>processed_ghg</v>
      </c>
      <c r="AH159" s="5"/>
      <c r="AI159" s="5"/>
      <c r="AJ159" s="8" t="str">
        <f>IF(CropLCAs[[#This Row],[product_fraction]]&gt;0,CropLCAs[[#This Row],[footprint]]/CropLCAs[[#This Row],[product_fraction]]*CropLCAs[[#This Row],[value_fraction]],"")</f>
        <v/>
      </c>
      <c r="AK159" s="23">
        <f t="shared" si="12"/>
        <v>0.1</v>
      </c>
      <c r="AL159" s="5" t="s">
        <v>109</v>
      </c>
      <c r="AM159" s="5" t="s">
        <v>172</v>
      </c>
      <c r="AN159" s="5" t="s">
        <v>173</v>
      </c>
      <c r="AO159" s="5"/>
      <c r="AP159" s="5"/>
      <c r="AQ159" s="5"/>
      <c r="AR159" s="5"/>
      <c r="AS159" s="5"/>
      <c r="AT159" s="5"/>
      <c r="AU159" s="5"/>
    </row>
    <row r="160" spans="1:47" ht="44.1" customHeight="1" x14ac:dyDescent="0.2">
      <c r="A160" s="5" t="s">
        <v>99</v>
      </c>
      <c r="B160" s="5" t="s">
        <v>1449</v>
      </c>
      <c r="C160" s="5">
        <v>2012</v>
      </c>
      <c r="D160" s="10" t="s">
        <v>169</v>
      </c>
      <c r="E160" s="6" t="s">
        <v>161</v>
      </c>
      <c r="F160" s="5" t="s">
        <v>10</v>
      </c>
      <c r="G160" s="5" t="str">
        <f>IF(CropLCAs[[#This Row],[fbs_item]]="Insects","insect_ghg","plant_ghg")</f>
        <v>plant_ghg</v>
      </c>
      <c r="H160" s="49" t="s">
        <v>170</v>
      </c>
      <c r="I160" s="49"/>
      <c r="J160" s="49"/>
      <c r="K160" s="5" t="s">
        <v>1365</v>
      </c>
      <c r="L160" s="5" t="s">
        <v>175</v>
      </c>
      <c r="M160" s="5" t="s">
        <v>102</v>
      </c>
      <c r="N160" s="5" t="s">
        <v>150</v>
      </c>
      <c r="O160" s="5" t="s">
        <v>150</v>
      </c>
      <c r="P160" s="5" t="s">
        <v>102</v>
      </c>
      <c r="Q160" s="5" t="s">
        <v>102</v>
      </c>
      <c r="R160" s="5" t="s">
        <v>102</v>
      </c>
      <c r="S160" s="5" t="s">
        <v>102</v>
      </c>
      <c r="T160" s="5" t="s">
        <v>102</v>
      </c>
      <c r="U160" s="5" t="s">
        <v>126</v>
      </c>
      <c r="V160" s="5">
        <v>1</v>
      </c>
      <c r="W160" s="5" t="s">
        <v>127</v>
      </c>
      <c r="X160" s="24">
        <v>858</v>
      </c>
      <c r="Y160" s="5" t="s">
        <v>106</v>
      </c>
      <c r="Z160" s="5"/>
      <c r="AA160" s="5"/>
      <c r="AB160" s="24">
        <v>1E-3</v>
      </c>
      <c r="AC160" s="5" t="s">
        <v>128</v>
      </c>
      <c r="AD160" s="5" t="str">
        <f t="shared" si="10"/>
        <v>kg_co2e_excl_luc</v>
      </c>
      <c r="AE160" s="24">
        <f>IF(CropLCAs[[#This Row],[Product fraction]]="",CropLCAs[[#This Row],[CO2e (value)]]*CropLCAs[[#This Row],[Conversion factor (value)]],CropLCAs[[#This Row],[CO2e (value)]]*CropLCAs[[#This Row],[Conversion factor (value)]]/CropLCAs[[#This Row],[Product fraction]]*CropLCAs[[#This Row],[Value fraction]])</f>
        <v>0.85799999999999998</v>
      </c>
      <c r="AF160" s="5"/>
      <c r="AG160" s="5" t="str">
        <f t="shared" si="11"/>
        <v>processed_ghg</v>
      </c>
      <c r="AH160" s="5"/>
      <c r="AI160" s="5"/>
      <c r="AJ160" s="8" t="str">
        <f>IF(CropLCAs[[#This Row],[product_fraction]]&gt;0,CropLCAs[[#This Row],[footprint]]/CropLCAs[[#This Row],[product_fraction]]*CropLCAs[[#This Row],[value_fraction]],"")</f>
        <v/>
      </c>
      <c r="AK160" s="23">
        <f t="shared" si="12"/>
        <v>0.1</v>
      </c>
      <c r="AL160" s="5" t="s">
        <v>109</v>
      </c>
      <c r="AM160" s="5" t="s">
        <v>172</v>
      </c>
      <c r="AN160" s="5" t="s">
        <v>173</v>
      </c>
      <c r="AO160" s="5"/>
      <c r="AP160" s="5"/>
      <c r="AQ160" s="5"/>
      <c r="AR160" s="5"/>
      <c r="AS160" s="5"/>
      <c r="AT160" s="5"/>
      <c r="AU160" s="5"/>
    </row>
    <row r="161" spans="1:47" ht="44.1" customHeight="1" x14ac:dyDescent="0.2">
      <c r="A161" s="5" t="s">
        <v>99</v>
      </c>
      <c r="B161" s="5" t="s">
        <v>1449</v>
      </c>
      <c r="C161" s="5">
        <v>2012</v>
      </c>
      <c r="D161" s="10" t="s">
        <v>169</v>
      </c>
      <c r="E161" s="6" t="s">
        <v>161</v>
      </c>
      <c r="F161" s="5" t="s">
        <v>10</v>
      </c>
      <c r="G161" s="5" t="str">
        <f>IF(CropLCAs[[#This Row],[fbs_item]]="Insects","insect_ghg","plant_ghg")</f>
        <v>plant_ghg</v>
      </c>
      <c r="H161" s="49" t="s">
        <v>170</v>
      </c>
      <c r="I161" s="49"/>
      <c r="J161" s="49"/>
      <c r="K161" s="5" t="s">
        <v>1365</v>
      </c>
      <c r="L161" s="5" t="s">
        <v>176</v>
      </c>
      <c r="M161" s="5" t="s">
        <v>102</v>
      </c>
      <c r="N161" s="5" t="s">
        <v>150</v>
      </c>
      <c r="O161" s="5" t="s">
        <v>150</v>
      </c>
      <c r="P161" s="5" t="s">
        <v>102</v>
      </c>
      <c r="Q161" s="5" t="s">
        <v>102</v>
      </c>
      <c r="R161" s="5" t="s">
        <v>102</v>
      </c>
      <c r="S161" s="5" t="s">
        <v>102</v>
      </c>
      <c r="T161" s="5" t="s">
        <v>102</v>
      </c>
      <c r="U161" s="5" t="s">
        <v>126</v>
      </c>
      <c r="V161" s="5">
        <v>1</v>
      </c>
      <c r="W161" s="5" t="s">
        <v>127</v>
      </c>
      <c r="X161" s="24">
        <v>855</v>
      </c>
      <c r="Y161" s="5" t="s">
        <v>106</v>
      </c>
      <c r="Z161" s="5"/>
      <c r="AA161" s="5"/>
      <c r="AB161" s="24">
        <v>1E-3</v>
      </c>
      <c r="AC161" s="5" t="s">
        <v>128</v>
      </c>
      <c r="AD161" s="5" t="str">
        <f t="shared" si="10"/>
        <v>kg_co2e_excl_luc</v>
      </c>
      <c r="AE161" s="24">
        <f>IF(CropLCAs[[#This Row],[Product fraction]]="",CropLCAs[[#This Row],[CO2e (value)]]*CropLCAs[[#This Row],[Conversion factor (value)]],CropLCAs[[#This Row],[CO2e (value)]]*CropLCAs[[#This Row],[Conversion factor (value)]]/CropLCAs[[#This Row],[Product fraction]]*CropLCAs[[#This Row],[Value fraction]])</f>
        <v>0.85499999999999998</v>
      </c>
      <c r="AF161" s="5"/>
      <c r="AG161" s="5" t="str">
        <f t="shared" si="11"/>
        <v>processed_ghg</v>
      </c>
      <c r="AH161" s="5"/>
      <c r="AI161" s="5"/>
      <c r="AJ161" s="8" t="str">
        <f>IF(CropLCAs[[#This Row],[product_fraction]]&gt;0,CropLCAs[[#This Row],[footprint]]/CropLCAs[[#This Row],[product_fraction]]*CropLCAs[[#This Row],[value_fraction]],"")</f>
        <v/>
      </c>
      <c r="AK161" s="23">
        <f t="shared" si="12"/>
        <v>0.1</v>
      </c>
      <c r="AL161" s="5" t="s">
        <v>109</v>
      </c>
      <c r="AM161" s="5" t="s">
        <v>172</v>
      </c>
      <c r="AN161" s="5" t="s">
        <v>173</v>
      </c>
      <c r="AO161" s="5"/>
      <c r="AP161" s="5"/>
      <c r="AQ161" s="5"/>
      <c r="AR161" s="5"/>
      <c r="AS161" s="5"/>
      <c r="AT161" s="5"/>
      <c r="AU161" s="5"/>
    </row>
    <row r="162" spans="1:47" ht="44.1" customHeight="1" x14ac:dyDescent="0.2">
      <c r="A162" s="5" t="s">
        <v>99</v>
      </c>
      <c r="B162" s="5" t="s">
        <v>1449</v>
      </c>
      <c r="C162" s="5">
        <v>2012</v>
      </c>
      <c r="D162" s="10" t="s">
        <v>169</v>
      </c>
      <c r="E162" s="6" t="s">
        <v>161</v>
      </c>
      <c r="F162" s="5" t="s">
        <v>10</v>
      </c>
      <c r="G162" s="5" t="str">
        <f>IF(CropLCAs[[#This Row],[fbs_item]]="Insects","insect_ghg","plant_ghg")</f>
        <v>plant_ghg</v>
      </c>
      <c r="H162" s="49" t="s">
        <v>170</v>
      </c>
      <c r="I162" s="49"/>
      <c r="J162" s="49"/>
      <c r="K162" s="5" t="s">
        <v>1365</v>
      </c>
      <c r="L162" s="5" t="s">
        <v>177</v>
      </c>
      <c r="M162" s="5" t="s">
        <v>102</v>
      </c>
      <c r="N162" s="5" t="s">
        <v>150</v>
      </c>
      <c r="O162" s="5" t="s">
        <v>150</v>
      </c>
      <c r="P162" s="5" t="s">
        <v>102</v>
      </c>
      <c r="Q162" s="5" t="s">
        <v>102</v>
      </c>
      <c r="R162" s="5" t="s">
        <v>102</v>
      </c>
      <c r="S162" s="5" t="s">
        <v>102</v>
      </c>
      <c r="T162" s="5" t="s">
        <v>102</v>
      </c>
      <c r="U162" s="5" t="s">
        <v>126</v>
      </c>
      <c r="V162" s="5">
        <v>1</v>
      </c>
      <c r="W162" s="5" t="s">
        <v>127</v>
      </c>
      <c r="X162" s="24">
        <v>942</v>
      </c>
      <c r="Y162" s="5" t="s">
        <v>106</v>
      </c>
      <c r="Z162" s="5"/>
      <c r="AA162" s="5"/>
      <c r="AB162" s="24">
        <v>1E-3</v>
      </c>
      <c r="AC162" s="5" t="s">
        <v>128</v>
      </c>
      <c r="AD162" s="5" t="str">
        <f t="shared" si="10"/>
        <v>kg_co2e_excl_luc</v>
      </c>
      <c r="AE162" s="24">
        <f>IF(CropLCAs[[#This Row],[Product fraction]]="",CropLCAs[[#This Row],[CO2e (value)]]*CropLCAs[[#This Row],[Conversion factor (value)]],CropLCAs[[#This Row],[CO2e (value)]]*CropLCAs[[#This Row],[Conversion factor (value)]]/CropLCAs[[#This Row],[Product fraction]]*CropLCAs[[#This Row],[Value fraction]])</f>
        <v>0.94200000000000006</v>
      </c>
      <c r="AF162" s="5"/>
      <c r="AG162" s="5" t="str">
        <f t="shared" si="11"/>
        <v>processed_ghg</v>
      </c>
      <c r="AH162" s="5"/>
      <c r="AI162" s="5"/>
      <c r="AJ162" s="8" t="str">
        <f>IF(CropLCAs[[#This Row],[product_fraction]]&gt;0,CropLCAs[[#This Row],[footprint]]/CropLCAs[[#This Row],[product_fraction]]*CropLCAs[[#This Row],[value_fraction]],"")</f>
        <v/>
      </c>
      <c r="AK162" s="23">
        <f t="shared" si="12"/>
        <v>0.1</v>
      </c>
      <c r="AL162" s="5" t="s">
        <v>109</v>
      </c>
      <c r="AM162" s="5" t="s">
        <v>172</v>
      </c>
      <c r="AN162" s="5" t="s">
        <v>173</v>
      </c>
      <c r="AO162" s="5"/>
      <c r="AP162" s="5"/>
      <c r="AQ162" s="5"/>
      <c r="AR162" s="5"/>
      <c r="AS162" s="5"/>
      <c r="AT162" s="5"/>
      <c r="AU162" s="5"/>
    </row>
    <row r="163" spans="1:47" ht="44.1" customHeight="1" x14ac:dyDescent="0.2">
      <c r="A163" s="5" t="s">
        <v>99</v>
      </c>
      <c r="B163" s="5" t="s">
        <v>1449</v>
      </c>
      <c r="C163" s="5">
        <v>2012</v>
      </c>
      <c r="D163" s="10" t="s">
        <v>169</v>
      </c>
      <c r="E163" s="6" t="s">
        <v>630</v>
      </c>
      <c r="F163" s="5" t="s">
        <v>5</v>
      </c>
      <c r="G163" s="5" t="str">
        <f>IF(CropLCAs[[#This Row],[fbs_item]]="Insects","insect_ghg","plant_ghg")</f>
        <v>plant_ghg</v>
      </c>
      <c r="H163" s="49" t="s">
        <v>170</v>
      </c>
      <c r="I163" s="49"/>
      <c r="J163" s="49"/>
      <c r="K163" s="5" t="s">
        <v>1365</v>
      </c>
      <c r="L163" s="5" t="s">
        <v>171</v>
      </c>
      <c r="M163" s="5" t="s">
        <v>102</v>
      </c>
      <c r="N163" s="5" t="s">
        <v>150</v>
      </c>
      <c r="O163" s="5" t="s">
        <v>150</v>
      </c>
      <c r="P163" s="5" t="s">
        <v>102</v>
      </c>
      <c r="Q163" s="5" t="s">
        <v>102</v>
      </c>
      <c r="R163" s="5" t="s">
        <v>102</v>
      </c>
      <c r="S163" s="5" t="s">
        <v>102</v>
      </c>
      <c r="T163" s="5" t="s">
        <v>102</v>
      </c>
      <c r="U163" s="5" t="s">
        <v>126</v>
      </c>
      <c r="V163" s="5">
        <v>1</v>
      </c>
      <c r="W163" s="5" t="s">
        <v>127</v>
      </c>
      <c r="X163" s="28">
        <v>1160</v>
      </c>
      <c r="Y163" s="5" t="s">
        <v>106</v>
      </c>
      <c r="Z163" s="5"/>
      <c r="AA163" s="5"/>
      <c r="AB163" s="28">
        <v>1E-3</v>
      </c>
      <c r="AC163" s="5" t="s">
        <v>128</v>
      </c>
      <c r="AD163" s="5" t="str">
        <f t="shared" si="10"/>
        <v>kg_co2e_excl_luc</v>
      </c>
      <c r="AE163" s="28">
        <f>IF(CropLCAs[[#This Row],[Product fraction]]="",CropLCAs[[#This Row],[CO2e (value)]]*CropLCAs[[#This Row],[Conversion factor (value)]],CropLCAs[[#This Row],[CO2e (value)]]*CropLCAs[[#This Row],[Conversion factor (value)]]/CropLCAs[[#This Row],[Product fraction]]*CropLCAs[[#This Row],[Value fraction]])</f>
        <v>1.1599999999999999</v>
      </c>
      <c r="AF163" s="5"/>
      <c r="AG163" s="5" t="str">
        <f t="shared" si="11"/>
        <v>processed_ghg</v>
      </c>
      <c r="AH163" s="5"/>
      <c r="AI163" s="5"/>
      <c r="AJ163" s="8" t="str">
        <f>IF(CropLCAs[[#This Row],[product_fraction]]&gt;0,CropLCAs[[#This Row],[footprint]]/CropLCAs[[#This Row],[product_fraction]]*CropLCAs[[#This Row],[value_fraction]],"")</f>
        <v/>
      </c>
      <c r="AK163" s="27">
        <f t="shared" si="12"/>
        <v>0.1</v>
      </c>
      <c r="AL163" s="5" t="s">
        <v>109</v>
      </c>
      <c r="AM163" s="5" t="s">
        <v>172</v>
      </c>
      <c r="AN163" s="5" t="s">
        <v>639</v>
      </c>
      <c r="AO163" s="5"/>
      <c r="AP163" s="5"/>
      <c r="AQ163" s="5"/>
      <c r="AR163" s="5"/>
      <c r="AS163" s="5"/>
      <c r="AT163" s="5"/>
      <c r="AU163" s="5"/>
    </row>
    <row r="164" spans="1:47" ht="44.1" customHeight="1" x14ac:dyDescent="0.2">
      <c r="A164" s="5" t="s">
        <v>99</v>
      </c>
      <c r="B164" s="5" t="s">
        <v>1449</v>
      </c>
      <c r="C164" s="5">
        <v>2012</v>
      </c>
      <c r="D164" s="10" t="s">
        <v>169</v>
      </c>
      <c r="E164" s="6" t="s">
        <v>630</v>
      </c>
      <c r="F164" s="5" t="s">
        <v>5</v>
      </c>
      <c r="G164" s="5" t="str">
        <f>IF(CropLCAs[[#This Row],[fbs_item]]="Insects","insect_ghg","plant_ghg")</f>
        <v>plant_ghg</v>
      </c>
      <c r="H164" s="49" t="s">
        <v>170</v>
      </c>
      <c r="I164" s="49"/>
      <c r="J164" s="49"/>
      <c r="K164" s="5" t="s">
        <v>1365</v>
      </c>
      <c r="L164" s="5" t="s">
        <v>174</v>
      </c>
      <c r="M164" s="5" t="s">
        <v>102</v>
      </c>
      <c r="N164" s="5" t="s">
        <v>150</v>
      </c>
      <c r="O164" s="5" t="s">
        <v>150</v>
      </c>
      <c r="P164" s="5" t="s">
        <v>102</v>
      </c>
      <c r="Q164" s="5" t="s">
        <v>102</v>
      </c>
      <c r="R164" s="5" t="s">
        <v>102</v>
      </c>
      <c r="S164" s="5" t="s">
        <v>102</v>
      </c>
      <c r="T164" s="5" t="s">
        <v>102</v>
      </c>
      <c r="U164" s="5" t="s">
        <v>126</v>
      </c>
      <c r="V164" s="5">
        <v>1</v>
      </c>
      <c r="W164" s="5" t="s">
        <v>127</v>
      </c>
      <c r="X164" s="24">
        <v>972</v>
      </c>
      <c r="Y164" s="5" t="s">
        <v>106</v>
      </c>
      <c r="Z164" s="5"/>
      <c r="AA164" s="5"/>
      <c r="AB164" s="24">
        <v>1E-3</v>
      </c>
      <c r="AC164" s="5" t="s">
        <v>128</v>
      </c>
      <c r="AD164" s="5" t="str">
        <f t="shared" si="10"/>
        <v>kg_co2e_excl_luc</v>
      </c>
      <c r="AE164" s="24">
        <f>IF(CropLCAs[[#This Row],[Product fraction]]="",CropLCAs[[#This Row],[CO2e (value)]]*CropLCAs[[#This Row],[Conversion factor (value)]],CropLCAs[[#This Row],[CO2e (value)]]*CropLCAs[[#This Row],[Conversion factor (value)]]/CropLCAs[[#This Row],[Product fraction]]*CropLCAs[[#This Row],[Value fraction]])</f>
        <v>0.97199999999999998</v>
      </c>
      <c r="AF164" s="5"/>
      <c r="AG164" s="5" t="str">
        <f t="shared" si="11"/>
        <v>processed_ghg</v>
      </c>
      <c r="AH164" s="5"/>
      <c r="AI164" s="5"/>
      <c r="AJ164" s="8" t="str">
        <f>IF(CropLCAs[[#This Row],[product_fraction]]&gt;0,CropLCAs[[#This Row],[footprint]]/CropLCAs[[#This Row],[product_fraction]]*CropLCAs[[#This Row],[value_fraction]],"")</f>
        <v/>
      </c>
      <c r="AK164" s="23">
        <f t="shared" si="12"/>
        <v>0.1</v>
      </c>
      <c r="AL164" s="5" t="s">
        <v>109</v>
      </c>
      <c r="AM164" s="5" t="s">
        <v>172</v>
      </c>
      <c r="AN164" s="5" t="s">
        <v>639</v>
      </c>
      <c r="AO164" s="5"/>
      <c r="AP164" s="5"/>
      <c r="AQ164" s="5"/>
      <c r="AR164" s="5"/>
      <c r="AS164" s="5"/>
      <c r="AT164" s="5"/>
      <c r="AU164" s="5"/>
    </row>
    <row r="165" spans="1:47" ht="44.1" customHeight="1" x14ac:dyDescent="0.2">
      <c r="A165" s="5" t="s">
        <v>99</v>
      </c>
      <c r="B165" s="5" t="s">
        <v>1449</v>
      </c>
      <c r="C165" s="5">
        <v>2012</v>
      </c>
      <c r="D165" s="10" t="s">
        <v>169</v>
      </c>
      <c r="E165" s="6" t="s">
        <v>630</v>
      </c>
      <c r="F165" s="5" t="s">
        <v>5</v>
      </c>
      <c r="G165" s="5" t="str">
        <f>IF(CropLCAs[[#This Row],[fbs_item]]="Insects","insect_ghg","plant_ghg")</f>
        <v>plant_ghg</v>
      </c>
      <c r="H165" s="49" t="s">
        <v>170</v>
      </c>
      <c r="I165" s="49"/>
      <c r="J165" s="49"/>
      <c r="K165" s="5" t="s">
        <v>1365</v>
      </c>
      <c r="L165" s="5" t="s">
        <v>175</v>
      </c>
      <c r="M165" s="5" t="s">
        <v>102</v>
      </c>
      <c r="N165" s="5" t="s">
        <v>150</v>
      </c>
      <c r="O165" s="5" t="s">
        <v>150</v>
      </c>
      <c r="P165" s="5" t="s">
        <v>102</v>
      </c>
      <c r="Q165" s="5" t="s">
        <v>102</v>
      </c>
      <c r="R165" s="5" t="s">
        <v>102</v>
      </c>
      <c r="S165" s="5" t="s">
        <v>102</v>
      </c>
      <c r="T165" s="5" t="s">
        <v>102</v>
      </c>
      <c r="U165" s="5" t="s">
        <v>126</v>
      </c>
      <c r="V165" s="5">
        <v>1</v>
      </c>
      <c r="W165" s="5" t="s">
        <v>127</v>
      </c>
      <c r="X165" s="24">
        <v>881</v>
      </c>
      <c r="Y165" s="5" t="s">
        <v>106</v>
      </c>
      <c r="Z165" s="5"/>
      <c r="AA165" s="5"/>
      <c r="AB165" s="24">
        <v>1E-3</v>
      </c>
      <c r="AC165" s="5" t="s">
        <v>128</v>
      </c>
      <c r="AD165" s="5" t="str">
        <f t="shared" si="10"/>
        <v>kg_co2e_excl_luc</v>
      </c>
      <c r="AE165" s="24">
        <f>IF(CropLCAs[[#This Row],[Product fraction]]="",CropLCAs[[#This Row],[CO2e (value)]]*CropLCAs[[#This Row],[Conversion factor (value)]],CropLCAs[[#This Row],[CO2e (value)]]*CropLCAs[[#This Row],[Conversion factor (value)]]/CropLCAs[[#This Row],[Product fraction]]*CropLCAs[[#This Row],[Value fraction]])</f>
        <v>0.88100000000000001</v>
      </c>
      <c r="AF165" s="5"/>
      <c r="AG165" s="5" t="str">
        <f t="shared" si="11"/>
        <v>processed_ghg</v>
      </c>
      <c r="AH165" s="5"/>
      <c r="AI165" s="5"/>
      <c r="AJ165" s="8" t="str">
        <f>IF(CropLCAs[[#This Row],[product_fraction]]&gt;0,CropLCAs[[#This Row],[footprint]]/CropLCAs[[#This Row],[product_fraction]]*CropLCAs[[#This Row],[value_fraction]],"")</f>
        <v/>
      </c>
      <c r="AK165" s="23">
        <f t="shared" si="12"/>
        <v>0.1</v>
      </c>
      <c r="AL165" s="5" t="s">
        <v>109</v>
      </c>
      <c r="AM165" s="5" t="s">
        <v>172</v>
      </c>
      <c r="AN165" s="5" t="s">
        <v>639</v>
      </c>
      <c r="AO165" s="5"/>
      <c r="AP165" s="5"/>
      <c r="AQ165" s="5"/>
      <c r="AR165" s="5"/>
      <c r="AS165" s="5"/>
      <c r="AT165" s="5"/>
      <c r="AU165" s="5"/>
    </row>
    <row r="166" spans="1:47" ht="44.1" customHeight="1" x14ac:dyDescent="0.2">
      <c r="A166" s="5" t="s">
        <v>99</v>
      </c>
      <c r="B166" s="5" t="s">
        <v>1449</v>
      </c>
      <c r="C166" s="5">
        <v>2012</v>
      </c>
      <c r="D166" s="10" t="s">
        <v>169</v>
      </c>
      <c r="E166" s="6" t="s">
        <v>630</v>
      </c>
      <c r="F166" s="5" t="s">
        <v>5</v>
      </c>
      <c r="G166" s="5" t="str">
        <f>IF(CropLCAs[[#This Row],[fbs_item]]="Insects","insect_ghg","plant_ghg")</f>
        <v>plant_ghg</v>
      </c>
      <c r="H166" s="49" t="s">
        <v>170</v>
      </c>
      <c r="I166" s="49"/>
      <c r="J166" s="49"/>
      <c r="K166" s="5" t="s">
        <v>1365</v>
      </c>
      <c r="L166" s="5" t="s">
        <v>176</v>
      </c>
      <c r="M166" s="5" t="s">
        <v>102</v>
      </c>
      <c r="N166" s="5" t="s">
        <v>150</v>
      </c>
      <c r="O166" s="5" t="s">
        <v>150</v>
      </c>
      <c r="P166" s="5" t="s">
        <v>102</v>
      </c>
      <c r="Q166" s="5" t="s">
        <v>102</v>
      </c>
      <c r="R166" s="5" t="s">
        <v>102</v>
      </c>
      <c r="S166" s="5" t="s">
        <v>102</v>
      </c>
      <c r="T166" s="5" t="s">
        <v>102</v>
      </c>
      <c r="U166" s="5" t="s">
        <v>126</v>
      </c>
      <c r="V166" s="5">
        <v>1</v>
      </c>
      <c r="W166" s="5" t="s">
        <v>127</v>
      </c>
      <c r="X166" s="24">
        <v>872</v>
      </c>
      <c r="Y166" s="5" t="s">
        <v>106</v>
      </c>
      <c r="Z166" s="5"/>
      <c r="AA166" s="5"/>
      <c r="AB166" s="24">
        <v>1E-3</v>
      </c>
      <c r="AC166" s="5" t="s">
        <v>128</v>
      </c>
      <c r="AD166" s="5" t="str">
        <f t="shared" si="10"/>
        <v>kg_co2e_excl_luc</v>
      </c>
      <c r="AE166" s="24">
        <f>IF(CropLCAs[[#This Row],[Product fraction]]="",CropLCAs[[#This Row],[CO2e (value)]]*CropLCAs[[#This Row],[Conversion factor (value)]],CropLCAs[[#This Row],[CO2e (value)]]*CropLCAs[[#This Row],[Conversion factor (value)]]/CropLCAs[[#This Row],[Product fraction]]*CropLCAs[[#This Row],[Value fraction]])</f>
        <v>0.872</v>
      </c>
      <c r="AF166" s="5"/>
      <c r="AG166" s="5" t="str">
        <f t="shared" si="11"/>
        <v>processed_ghg</v>
      </c>
      <c r="AH166" s="5"/>
      <c r="AI166" s="5"/>
      <c r="AJ166" s="8" t="str">
        <f>IF(CropLCAs[[#This Row],[product_fraction]]&gt;0,CropLCAs[[#This Row],[footprint]]/CropLCAs[[#This Row],[product_fraction]]*CropLCAs[[#This Row],[value_fraction]],"")</f>
        <v/>
      </c>
      <c r="AK166" s="23">
        <f t="shared" si="12"/>
        <v>0.1</v>
      </c>
      <c r="AL166" s="5" t="s">
        <v>109</v>
      </c>
      <c r="AM166" s="5" t="s">
        <v>172</v>
      </c>
      <c r="AN166" s="5" t="s">
        <v>639</v>
      </c>
      <c r="AO166" s="5"/>
      <c r="AP166" s="5"/>
      <c r="AQ166" s="5"/>
      <c r="AR166" s="5"/>
      <c r="AS166" s="5"/>
      <c r="AT166" s="5"/>
      <c r="AU166" s="5"/>
    </row>
    <row r="167" spans="1:47" ht="44.1" customHeight="1" x14ac:dyDescent="0.2">
      <c r="A167" s="5" t="s">
        <v>99</v>
      </c>
      <c r="B167" s="5" t="s">
        <v>1449</v>
      </c>
      <c r="C167" s="5">
        <v>2012</v>
      </c>
      <c r="D167" s="10" t="s">
        <v>169</v>
      </c>
      <c r="E167" s="6" t="s">
        <v>630</v>
      </c>
      <c r="F167" s="5" t="s">
        <v>5</v>
      </c>
      <c r="G167" s="5" t="str">
        <f>IF(CropLCAs[[#This Row],[fbs_item]]="Insects","insect_ghg","plant_ghg")</f>
        <v>plant_ghg</v>
      </c>
      <c r="H167" s="49" t="s">
        <v>170</v>
      </c>
      <c r="I167" s="49"/>
      <c r="J167" s="49"/>
      <c r="K167" s="5" t="s">
        <v>1365</v>
      </c>
      <c r="L167" s="5" t="s">
        <v>177</v>
      </c>
      <c r="M167" s="5" t="s">
        <v>102</v>
      </c>
      <c r="N167" s="5" t="s">
        <v>150</v>
      </c>
      <c r="O167" s="5" t="s">
        <v>150</v>
      </c>
      <c r="P167" s="5" t="s">
        <v>102</v>
      </c>
      <c r="Q167" s="5" t="s">
        <v>102</v>
      </c>
      <c r="R167" s="5" t="s">
        <v>102</v>
      </c>
      <c r="S167" s="5" t="s">
        <v>102</v>
      </c>
      <c r="T167" s="5" t="s">
        <v>102</v>
      </c>
      <c r="U167" s="5" t="s">
        <v>126</v>
      </c>
      <c r="V167" s="5">
        <v>1</v>
      </c>
      <c r="W167" s="5" t="s">
        <v>127</v>
      </c>
      <c r="X167" s="24">
        <v>887</v>
      </c>
      <c r="Y167" s="5" t="s">
        <v>106</v>
      </c>
      <c r="Z167" s="5"/>
      <c r="AA167" s="5"/>
      <c r="AB167" s="24">
        <v>1E-3</v>
      </c>
      <c r="AC167" s="5" t="s">
        <v>128</v>
      </c>
      <c r="AD167" s="5" t="str">
        <f t="shared" si="10"/>
        <v>kg_co2e_excl_luc</v>
      </c>
      <c r="AE167" s="24">
        <f>IF(CropLCAs[[#This Row],[Product fraction]]="",CropLCAs[[#This Row],[CO2e (value)]]*CropLCAs[[#This Row],[Conversion factor (value)]],CropLCAs[[#This Row],[CO2e (value)]]*CropLCAs[[#This Row],[Conversion factor (value)]]/CropLCAs[[#This Row],[Product fraction]]*CropLCAs[[#This Row],[Value fraction]])</f>
        <v>0.88700000000000001</v>
      </c>
      <c r="AF167" s="5"/>
      <c r="AG167" s="5" t="str">
        <f t="shared" si="11"/>
        <v>processed_ghg</v>
      </c>
      <c r="AH167" s="5"/>
      <c r="AI167" s="5"/>
      <c r="AJ167" s="8" t="str">
        <f>IF(CropLCAs[[#This Row],[product_fraction]]&gt;0,CropLCAs[[#This Row],[footprint]]/CropLCAs[[#This Row],[product_fraction]]*CropLCAs[[#This Row],[value_fraction]],"")</f>
        <v/>
      </c>
      <c r="AK167" s="23">
        <f t="shared" si="12"/>
        <v>0.1</v>
      </c>
      <c r="AL167" s="5" t="s">
        <v>109</v>
      </c>
      <c r="AM167" s="5" t="s">
        <v>172</v>
      </c>
      <c r="AN167" s="5" t="s">
        <v>639</v>
      </c>
      <c r="AO167" s="5"/>
      <c r="AP167" s="5"/>
      <c r="AQ167" s="5"/>
      <c r="AR167" s="5"/>
      <c r="AS167" s="5"/>
      <c r="AT167" s="5"/>
      <c r="AU167" s="5"/>
    </row>
    <row r="168" spans="1:47" ht="44.1" customHeight="1" x14ac:dyDescent="0.2">
      <c r="A168" s="5" t="s">
        <v>99</v>
      </c>
      <c r="B168" s="5" t="s">
        <v>1449</v>
      </c>
      <c r="C168" s="5">
        <v>2012</v>
      </c>
      <c r="D168" s="10" t="s">
        <v>169</v>
      </c>
      <c r="E168" s="6" t="s">
        <v>640</v>
      </c>
      <c r="F168" s="5" t="s">
        <v>5</v>
      </c>
      <c r="G168" s="5" t="str">
        <f>IF(CropLCAs[[#This Row],[fbs_item]]="Insects","insect_ghg","plant_ghg")</f>
        <v>plant_ghg</v>
      </c>
      <c r="H168" s="49" t="s">
        <v>170</v>
      </c>
      <c r="I168" s="49"/>
      <c r="J168" s="49"/>
      <c r="K168" s="5" t="s">
        <v>1364</v>
      </c>
      <c r="L168" s="5" t="s">
        <v>171</v>
      </c>
      <c r="M168" s="5" t="s">
        <v>102</v>
      </c>
      <c r="N168" s="5" t="s">
        <v>150</v>
      </c>
      <c r="O168" s="5" t="s">
        <v>150</v>
      </c>
      <c r="P168" s="5" t="s">
        <v>102</v>
      </c>
      <c r="Q168" s="5" t="s">
        <v>102</v>
      </c>
      <c r="R168" s="5" t="s">
        <v>102</v>
      </c>
      <c r="S168" s="5" t="s">
        <v>102</v>
      </c>
      <c r="T168" s="5" t="s">
        <v>102</v>
      </c>
      <c r="U168" s="5" t="s">
        <v>126</v>
      </c>
      <c r="V168" s="5">
        <v>1</v>
      </c>
      <c r="W168" s="5" t="s">
        <v>127</v>
      </c>
      <c r="X168" s="24">
        <v>518</v>
      </c>
      <c r="Y168" s="5" t="s">
        <v>106</v>
      </c>
      <c r="Z168" s="5"/>
      <c r="AA168" s="5"/>
      <c r="AB168" s="24">
        <v>1E-3</v>
      </c>
      <c r="AC168" s="5" t="s">
        <v>128</v>
      </c>
      <c r="AD168" s="5" t="str">
        <f t="shared" si="10"/>
        <v>kg_co2e_excl_luc</v>
      </c>
      <c r="AE168" s="24">
        <f>IF(CropLCAs[[#This Row],[Product fraction]]="",CropLCAs[[#This Row],[CO2e (value)]]*CropLCAs[[#This Row],[Conversion factor (value)]],CropLCAs[[#This Row],[CO2e (value)]]*CropLCAs[[#This Row],[Conversion factor (value)]]/CropLCAs[[#This Row],[Product fraction]]*CropLCAs[[#This Row],[Value fraction]])</f>
        <v>0.51800000000000002</v>
      </c>
      <c r="AF168" s="5"/>
      <c r="AG168" s="5" t="str">
        <f t="shared" si="11"/>
        <v>processed_ghg</v>
      </c>
      <c r="AH168" s="5"/>
      <c r="AI168" s="5"/>
      <c r="AJ168" s="8" t="str">
        <f>IF(CropLCAs[[#This Row],[product_fraction]]&gt;0,CropLCAs[[#This Row],[footprint]]/CropLCAs[[#This Row],[product_fraction]]*CropLCAs[[#This Row],[value_fraction]],"")</f>
        <v/>
      </c>
      <c r="AK168" s="23">
        <f t="shared" si="12"/>
        <v>0.1</v>
      </c>
      <c r="AL168" s="5" t="s">
        <v>109</v>
      </c>
      <c r="AM168" s="5" t="s">
        <v>172</v>
      </c>
      <c r="AN168" s="5" t="s">
        <v>639</v>
      </c>
      <c r="AO168" s="5"/>
      <c r="AP168" s="5"/>
      <c r="AQ168" s="5"/>
      <c r="AR168" s="5"/>
      <c r="AS168" s="5"/>
      <c r="AT168" s="5"/>
      <c r="AU168" s="5"/>
    </row>
    <row r="169" spans="1:47" ht="44.1" customHeight="1" x14ac:dyDescent="0.2">
      <c r="A169" s="5" t="s">
        <v>99</v>
      </c>
      <c r="B169" s="5" t="s">
        <v>1449</v>
      </c>
      <c r="C169" s="5">
        <v>2012</v>
      </c>
      <c r="D169" s="10" t="s">
        <v>169</v>
      </c>
      <c r="E169" s="6" t="s">
        <v>640</v>
      </c>
      <c r="F169" s="5" t="s">
        <v>5</v>
      </c>
      <c r="G169" s="5" t="str">
        <f>IF(CropLCAs[[#This Row],[fbs_item]]="Insects","insect_ghg","plant_ghg")</f>
        <v>plant_ghg</v>
      </c>
      <c r="H169" s="49" t="s">
        <v>170</v>
      </c>
      <c r="I169" s="49"/>
      <c r="J169" s="49"/>
      <c r="K169" s="5" t="s">
        <v>1364</v>
      </c>
      <c r="L169" s="5" t="s">
        <v>174</v>
      </c>
      <c r="M169" s="5" t="s">
        <v>102</v>
      </c>
      <c r="N169" s="5" t="s">
        <v>150</v>
      </c>
      <c r="O169" s="5" t="s">
        <v>150</v>
      </c>
      <c r="P169" s="5" t="s">
        <v>102</v>
      </c>
      <c r="Q169" s="5" t="s">
        <v>102</v>
      </c>
      <c r="R169" s="5" t="s">
        <v>102</v>
      </c>
      <c r="S169" s="5" t="s">
        <v>102</v>
      </c>
      <c r="T169" s="5" t="s">
        <v>102</v>
      </c>
      <c r="U169" s="5" t="s">
        <v>126</v>
      </c>
      <c r="V169" s="5">
        <v>1</v>
      </c>
      <c r="W169" s="5" t="s">
        <v>127</v>
      </c>
      <c r="X169" s="24">
        <v>456</v>
      </c>
      <c r="Y169" s="5" t="s">
        <v>106</v>
      </c>
      <c r="Z169" s="5"/>
      <c r="AA169" s="5"/>
      <c r="AB169" s="24">
        <v>1E-3</v>
      </c>
      <c r="AC169" s="5" t="s">
        <v>128</v>
      </c>
      <c r="AD169" s="5" t="str">
        <f t="shared" si="10"/>
        <v>kg_co2e_excl_luc</v>
      </c>
      <c r="AE169" s="24">
        <f>IF(CropLCAs[[#This Row],[Product fraction]]="",CropLCAs[[#This Row],[CO2e (value)]]*CropLCAs[[#This Row],[Conversion factor (value)]],CropLCAs[[#This Row],[CO2e (value)]]*CropLCAs[[#This Row],[Conversion factor (value)]]/CropLCAs[[#This Row],[Product fraction]]*CropLCAs[[#This Row],[Value fraction]])</f>
        <v>0.45600000000000002</v>
      </c>
      <c r="AF169" s="5"/>
      <c r="AG169" s="5" t="str">
        <f t="shared" si="11"/>
        <v>processed_ghg</v>
      </c>
      <c r="AH169" s="5"/>
      <c r="AI169" s="5"/>
      <c r="AJ169" s="8" t="str">
        <f>IF(CropLCAs[[#This Row],[product_fraction]]&gt;0,CropLCAs[[#This Row],[footprint]]/CropLCAs[[#This Row],[product_fraction]]*CropLCAs[[#This Row],[value_fraction]],"")</f>
        <v/>
      </c>
      <c r="AK169" s="23">
        <f t="shared" si="12"/>
        <v>0.1</v>
      </c>
      <c r="AL169" s="5" t="s">
        <v>109</v>
      </c>
      <c r="AM169" s="5" t="s">
        <v>172</v>
      </c>
      <c r="AN169" s="5" t="s">
        <v>639</v>
      </c>
      <c r="AO169" s="5"/>
      <c r="AP169" s="5"/>
      <c r="AQ169" s="5"/>
      <c r="AR169" s="5"/>
      <c r="AS169" s="5"/>
      <c r="AT169" s="5"/>
      <c r="AU169" s="5"/>
    </row>
    <row r="170" spans="1:47" ht="44.1" customHeight="1" x14ac:dyDescent="0.2">
      <c r="A170" s="5" t="s">
        <v>99</v>
      </c>
      <c r="B170" s="5" t="s">
        <v>1449</v>
      </c>
      <c r="C170" s="5">
        <v>2012</v>
      </c>
      <c r="D170" s="10" t="s">
        <v>169</v>
      </c>
      <c r="E170" s="6" t="s">
        <v>640</v>
      </c>
      <c r="F170" s="5" t="s">
        <v>5</v>
      </c>
      <c r="G170" s="5" t="str">
        <f>IF(CropLCAs[[#This Row],[fbs_item]]="Insects","insect_ghg","plant_ghg")</f>
        <v>plant_ghg</v>
      </c>
      <c r="H170" s="49" t="s">
        <v>170</v>
      </c>
      <c r="I170" s="49"/>
      <c r="J170" s="49"/>
      <c r="K170" s="5" t="s">
        <v>1364</v>
      </c>
      <c r="L170" s="5" t="s">
        <v>175</v>
      </c>
      <c r="M170" s="5" t="s">
        <v>102</v>
      </c>
      <c r="N170" s="5" t="s">
        <v>150</v>
      </c>
      <c r="O170" s="5" t="s">
        <v>150</v>
      </c>
      <c r="P170" s="5" t="s">
        <v>102</v>
      </c>
      <c r="Q170" s="5" t="s">
        <v>102</v>
      </c>
      <c r="R170" s="5" t="s">
        <v>102</v>
      </c>
      <c r="S170" s="5" t="s">
        <v>102</v>
      </c>
      <c r="T170" s="5" t="s">
        <v>102</v>
      </c>
      <c r="U170" s="5" t="s">
        <v>126</v>
      </c>
      <c r="V170" s="5">
        <v>1</v>
      </c>
      <c r="W170" s="5" t="s">
        <v>127</v>
      </c>
      <c r="X170" s="24">
        <v>679</v>
      </c>
      <c r="Y170" s="5" t="s">
        <v>106</v>
      </c>
      <c r="Z170" s="5"/>
      <c r="AA170" s="5"/>
      <c r="AB170" s="24">
        <v>1E-3</v>
      </c>
      <c r="AC170" s="5" t="s">
        <v>128</v>
      </c>
      <c r="AD170" s="5" t="str">
        <f t="shared" si="10"/>
        <v>kg_co2e_excl_luc</v>
      </c>
      <c r="AE170" s="24">
        <f>IF(CropLCAs[[#This Row],[Product fraction]]="",CropLCAs[[#This Row],[CO2e (value)]]*CropLCAs[[#This Row],[Conversion factor (value)]],CropLCAs[[#This Row],[CO2e (value)]]*CropLCAs[[#This Row],[Conversion factor (value)]]/CropLCAs[[#This Row],[Product fraction]]*CropLCAs[[#This Row],[Value fraction]])</f>
        <v>0.67900000000000005</v>
      </c>
      <c r="AF170" s="5"/>
      <c r="AG170" s="5" t="str">
        <f t="shared" si="11"/>
        <v>processed_ghg</v>
      </c>
      <c r="AH170" s="5"/>
      <c r="AI170" s="5"/>
      <c r="AJ170" s="8" t="str">
        <f>IF(CropLCAs[[#This Row],[product_fraction]]&gt;0,CropLCAs[[#This Row],[footprint]]/CropLCAs[[#This Row],[product_fraction]]*CropLCAs[[#This Row],[value_fraction]],"")</f>
        <v/>
      </c>
      <c r="AK170" s="23">
        <f t="shared" si="12"/>
        <v>0.1</v>
      </c>
      <c r="AL170" s="5" t="s">
        <v>109</v>
      </c>
      <c r="AM170" s="5" t="s">
        <v>172</v>
      </c>
      <c r="AN170" s="5" t="s">
        <v>639</v>
      </c>
      <c r="AO170" s="5"/>
      <c r="AP170" s="5"/>
      <c r="AQ170" s="5"/>
      <c r="AR170" s="5"/>
      <c r="AS170" s="5"/>
      <c r="AT170" s="5"/>
      <c r="AU170" s="5"/>
    </row>
    <row r="171" spans="1:47" ht="44.1" customHeight="1" x14ac:dyDescent="0.2">
      <c r="A171" s="5" t="s">
        <v>99</v>
      </c>
      <c r="B171" s="5" t="s">
        <v>1449</v>
      </c>
      <c r="C171" s="5">
        <v>2012</v>
      </c>
      <c r="D171" s="10" t="s">
        <v>169</v>
      </c>
      <c r="E171" s="6" t="s">
        <v>640</v>
      </c>
      <c r="F171" s="5" t="s">
        <v>5</v>
      </c>
      <c r="G171" s="5" t="str">
        <f>IF(CropLCAs[[#This Row],[fbs_item]]="Insects","insect_ghg","plant_ghg")</f>
        <v>plant_ghg</v>
      </c>
      <c r="H171" s="49" t="s">
        <v>170</v>
      </c>
      <c r="I171" s="49"/>
      <c r="J171" s="49"/>
      <c r="K171" s="5" t="s">
        <v>1364</v>
      </c>
      <c r="L171" s="5" t="s">
        <v>176</v>
      </c>
      <c r="M171" s="5" t="s">
        <v>102</v>
      </c>
      <c r="N171" s="5" t="s">
        <v>150</v>
      </c>
      <c r="O171" s="5" t="s">
        <v>150</v>
      </c>
      <c r="P171" s="5" t="s">
        <v>102</v>
      </c>
      <c r="Q171" s="5" t="s">
        <v>102</v>
      </c>
      <c r="R171" s="5" t="s">
        <v>102</v>
      </c>
      <c r="S171" s="5" t="s">
        <v>102</v>
      </c>
      <c r="T171" s="5" t="s">
        <v>102</v>
      </c>
      <c r="U171" s="5" t="s">
        <v>126</v>
      </c>
      <c r="V171" s="5">
        <v>1</v>
      </c>
      <c r="W171" s="5" t="s">
        <v>127</v>
      </c>
      <c r="X171" s="24">
        <v>552</v>
      </c>
      <c r="Y171" s="5" t="s">
        <v>106</v>
      </c>
      <c r="Z171" s="5"/>
      <c r="AA171" s="5"/>
      <c r="AB171" s="24">
        <v>1E-3</v>
      </c>
      <c r="AC171" s="5" t="s">
        <v>128</v>
      </c>
      <c r="AD171" s="5" t="str">
        <f t="shared" si="10"/>
        <v>kg_co2e_excl_luc</v>
      </c>
      <c r="AE171" s="24">
        <f>IF(CropLCAs[[#This Row],[Product fraction]]="",CropLCAs[[#This Row],[CO2e (value)]]*CropLCAs[[#This Row],[Conversion factor (value)]],CropLCAs[[#This Row],[CO2e (value)]]*CropLCAs[[#This Row],[Conversion factor (value)]]/CropLCAs[[#This Row],[Product fraction]]*CropLCAs[[#This Row],[Value fraction]])</f>
        <v>0.55200000000000005</v>
      </c>
      <c r="AF171" s="5"/>
      <c r="AG171" s="5" t="str">
        <f t="shared" si="11"/>
        <v>processed_ghg</v>
      </c>
      <c r="AH171" s="5"/>
      <c r="AI171" s="5"/>
      <c r="AJ171" s="8" t="str">
        <f>IF(CropLCAs[[#This Row],[product_fraction]]&gt;0,CropLCAs[[#This Row],[footprint]]/CropLCAs[[#This Row],[product_fraction]]*CropLCAs[[#This Row],[value_fraction]],"")</f>
        <v/>
      </c>
      <c r="AK171" s="23">
        <f t="shared" si="12"/>
        <v>0.1</v>
      </c>
      <c r="AL171" s="5" t="s">
        <v>109</v>
      </c>
      <c r="AM171" s="5" t="s">
        <v>172</v>
      </c>
      <c r="AN171" s="5" t="s">
        <v>639</v>
      </c>
      <c r="AO171" s="5"/>
      <c r="AP171" s="5"/>
      <c r="AQ171" s="5"/>
      <c r="AR171" s="5"/>
      <c r="AS171" s="5"/>
      <c r="AT171" s="5"/>
      <c r="AU171" s="5"/>
    </row>
    <row r="172" spans="1:47" ht="44.1" customHeight="1" x14ac:dyDescent="0.2">
      <c r="A172" s="5" t="s">
        <v>99</v>
      </c>
      <c r="B172" s="5" t="s">
        <v>1449</v>
      </c>
      <c r="C172" s="5">
        <v>2012</v>
      </c>
      <c r="D172" s="10" t="s">
        <v>169</v>
      </c>
      <c r="E172" s="6" t="s">
        <v>640</v>
      </c>
      <c r="F172" s="5" t="s">
        <v>5</v>
      </c>
      <c r="G172" s="5" t="str">
        <f>IF(CropLCAs[[#This Row],[fbs_item]]="Insects","insect_ghg","plant_ghg")</f>
        <v>plant_ghg</v>
      </c>
      <c r="H172" s="49" t="s">
        <v>170</v>
      </c>
      <c r="I172" s="49"/>
      <c r="J172" s="49"/>
      <c r="K172" s="5" t="s">
        <v>1364</v>
      </c>
      <c r="L172" s="5" t="s">
        <v>177</v>
      </c>
      <c r="M172" s="5" t="s">
        <v>102</v>
      </c>
      <c r="N172" s="5" t="s">
        <v>150</v>
      </c>
      <c r="O172" s="5" t="s">
        <v>150</v>
      </c>
      <c r="P172" s="5" t="s">
        <v>102</v>
      </c>
      <c r="Q172" s="5" t="s">
        <v>102</v>
      </c>
      <c r="R172" s="5" t="s">
        <v>102</v>
      </c>
      <c r="S172" s="5" t="s">
        <v>102</v>
      </c>
      <c r="T172" s="5" t="s">
        <v>102</v>
      </c>
      <c r="U172" s="5" t="s">
        <v>126</v>
      </c>
      <c r="V172" s="5">
        <v>1</v>
      </c>
      <c r="W172" s="5" t="s">
        <v>127</v>
      </c>
      <c r="X172" s="24">
        <v>805</v>
      </c>
      <c r="Y172" s="5" t="s">
        <v>106</v>
      </c>
      <c r="Z172" s="5"/>
      <c r="AA172" s="5"/>
      <c r="AB172" s="24">
        <v>1E-3</v>
      </c>
      <c r="AC172" s="5" t="s">
        <v>128</v>
      </c>
      <c r="AD172" s="5" t="str">
        <f t="shared" si="10"/>
        <v>kg_co2e_excl_luc</v>
      </c>
      <c r="AE172" s="24">
        <f>IF(CropLCAs[[#This Row],[Product fraction]]="",CropLCAs[[#This Row],[CO2e (value)]]*CropLCAs[[#This Row],[Conversion factor (value)]],CropLCAs[[#This Row],[CO2e (value)]]*CropLCAs[[#This Row],[Conversion factor (value)]]/CropLCAs[[#This Row],[Product fraction]]*CropLCAs[[#This Row],[Value fraction]])</f>
        <v>0.80500000000000005</v>
      </c>
      <c r="AF172" s="5"/>
      <c r="AG172" s="5" t="str">
        <f t="shared" si="11"/>
        <v>processed_ghg</v>
      </c>
      <c r="AH172" s="5"/>
      <c r="AI172" s="5"/>
      <c r="AJ172" s="8" t="str">
        <f>IF(CropLCAs[[#This Row],[product_fraction]]&gt;0,CropLCAs[[#This Row],[footprint]]/CropLCAs[[#This Row],[product_fraction]]*CropLCAs[[#This Row],[value_fraction]],"")</f>
        <v/>
      </c>
      <c r="AK172" s="23">
        <f t="shared" si="12"/>
        <v>0.1</v>
      </c>
      <c r="AL172" s="5" t="s">
        <v>109</v>
      </c>
      <c r="AM172" s="5" t="s">
        <v>172</v>
      </c>
      <c r="AN172" s="5" t="s">
        <v>639</v>
      </c>
      <c r="AO172" s="5"/>
      <c r="AP172" s="5"/>
      <c r="AQ172" s="5"/>
      <c r="AR172" s="5"/>
      <c r="AS172" s="5"/>
      <c r="AT172" s="5"/>
      <c r="AU172" s="5"/>
    </row>
    <row r="173" spans="1:47" ht="44.1" customHeight="1" x14ac:dyDescent="0.2">
      <c r="A173" s="5" t="s">
        <v>123</v>
      </c>
      <c r="B173" s="5" t="s">
        <v>1450</v>
      </c>
      <c r="C173" s="5">
        <v>2014</v>
      </c>
      <c r="D173" s="7" t="s">
        <v>433</v>
      </c>
      <c r="E173" s="6" t="s">
        <v>431</v>
      </c>
      <c r="F173" s="5" t="s">
        <v>18</v>
      </c>
      <c r="G173" s="5" t="str">
        <f>IF(CropLCAs[[#This Row],[fbs_item]]="Insects","insect_ghg","plant_ghg")</f>
        <v>plant_ghg</v>
      </c>
      <c r="H173" s="49" t="s">
        <v>314</v>
      </c>
      <c r="I173" s="49"/>
      <c r="J173" s="49"/>
      <c r="K173" s="5" t="s">
        <v>778</v>
      </c>
      <c r="L173" s="5" t="s">
        <v>434</v>
      </c>
      <c r="M173" s="5" t="s">
        <v>102</v>
      </c>
      <c r="N173" s="5" t="s">
        <v>109</v>
      </c>
      <c r="O173" s="5" t="s">
        <v>109</v>
      </c>
      <c r="P173" s="5" t="s">
        <v>102</v>
      </c>
      <c r="Q173" s="5" t="s">
        <v>102</v>
      </c>
      <c r="R173" s="5" t="s">
        <v>102</v>
      </c>
      <c r="S173" s="5" t="s">
        <v>102</v>
      </c>
      <c r="T173" s="5" t="s">
        <v>109</v>
      </c>
      <c r="U173" s="5" t="s">
        <v>126</v>
      </c>
      <c r="V173" s="5">
        <v>1</v>
      </c>
      <c r="W173" s="5" t="s">
        <v>1424</v>
      </c>
      <c r="X173" s="24">
        <f>416.182</f>
        <v>416.18200000000002</v>
      </c>
      <c r="Y173" s="5" t="s">
        <v>106</v>
      </c>
      <c r="Z173" s="5">
        <f>0.77*0.9</f>
        <v>0.69300000000000006</v>
      </c>
      <c r="AA173" s="5">
        <v>0.81</v>
      </c>
      <c r="AB173" s="28">
        <f>0.001</f>
        <v>1E-3</v>
      </c>
      <c r="AC173" s="5" t="s">
        <v>195</v>
      </c>
      <c r="AD173" s="5" t="str">
        <f t="shared" si="10"/>
        <v>kg_co2e_excl_luc</v>
      </c>
      <c r="AE173" s="24">
        <f>IF(CropLCAs[[#This Row],[Product fraction]]="",CropLCAs[[#This Row],[CO2e (value)]]*CropLCAs[[#This Row],[Conversion factor (value)]],CropLCAs[[#This Row],[CO2e (value)]]*CropLCAs[[#This Row],[Conversion factor (value)]]/CropLCAs[[#This Row],[Product fraction]]*CropLCAs[[#This Row],[Value fraction]])</f>
        <v>0.4864464935064936</v>
      </c>
      <c r="AF173" s="5" t="s">
        <v>46</v>
      </c>
      <c r="AG173" s="5" t="str">
        <f t="shared" si="11"/>
        <v>processed_ghg</v>
      </c>
      <c r="AH173" s="5">
        <f>0.08*0.14</f>
        <v>1.1200000000000002E-2</v>
      </c>
      <c r="AI173" s="5">
        <f>0.19*0.33</f>
        <v>6.2700000000000006E-2</v>
      </c>
      <c r="AJ173" s="8">
        <f>IF(CropLCAs[[#This Row],[product_fraction]]&gt;0,CropLCAs[[#This Row],[footprint]]/CropLCAs[[#This Row],[product_fraction]]*CropLCAs[[#This Row],[value_fraction]],"")</f>
        <v>2.7232317091836737</v>
      </c>
      <c r="AK173" s="23">
        <v>0.5</v>
      </c>
      <c r="AL173" s="5" t="s">
        <v>109</v>
      </c>
      <c r="AM173" s="5" t="s">
        <v>435</v>
      </c>
      <c r="AN173" s="5"/>
      <c r="AO173" s="5"/>
      <c r="AP173" s="5"/>
      <c r="AQ173" s="5"/>
      <c r="AR173" s="5"/>
      <c r="AS173" s="5"/>
      <c r="AT173" s="5"/>
      <c r="AU173" s="5"/>
    </row>
    <row r="174" spans="1:47" ht="44.1" customHeight="1" x14ac:dyDescent="0.2">
      <c r="A174" s="5" t="s">
        <v>123</v>
      </c>
      <c r="B174" s="5" t="s">
        <v>1450</v>
      </c>
      <c r="C174" s="5">
        <v>2014</v>
      </c>
      <c r="D174" s="7" t="s">
        <v>433</v>
      </c>
      <c r="E174" s="6" t="s">
        <v>431</v>
      </c>
      <c r="F174" s="5" t="s">
        <v>18</v>
      </c>
      <c r="G174" s="5" t="str">
        <f>IF(CropLCAs[[#This Row],[fbs_item]]="Insects","insect_ghg","plant_ghg")</f>
        <v>plant_ghg</v>
      </c>
      <c r="H174" s="49" t="s">
        <v>314</v>
      </c>
      <c r="I174" s="49"/>
      <c r="J174" s="49"/>
      <c r="K174" s="5" t="s">
        <v>778</v>
      </c>
      <c r="L174" s="5" t="s">
        <v>436</v>
      </c>
      <c r="M174" s="5" t="s">
        <v>102</v>
      </c>
      <c r="N174" s="5" t="s">
        <v>109</v>
      </c>
      <c r="O174" s="5" t="s">
        <v>109</v>
      </c>
      <c r="P174" s="5" t="s">
        <v>102</v>
      </c>
      <c r="Q174" s="5" t="s">
        <v>102</v>
      </c>
      <c r="R174" s="5" t="s">
        <v>102</v>
      </c>
      <c r="S174" s="5" t="s">
        <v>102</v>
      </c>
      <c r="T174" s="5" t="s">
        <v>109</v>
      </c>
      <c r="U174" s="5" t="s">
        <v>126</v>
      </c>
      <c r="V174" s="5">
        <v>1</v>
      </c>
      <c r="W174" s="5" t="s">
        <v>1424</v>
      </c>
      <c r="X174" s="24">
        <f>669.946</f>
        <v>669.94600000000003</v>
      </c>
      <c r="Y174" s="5" t="s">
        <v>106</v>
      </c>
      <c r="Z174" s="5">
        <f>0.77*0.9</f>
        <v>0.69300000000000006</v>
      </c>
      <c r="AA174" s="5">
        <v>0.81</v>
      </c>
      <c r="AB174" s="28">
        <f>0.001</f>
        <v>1E-3</v>
      </c>
      <c r="AC174" s="5" t="s">
        <v>195</v>
      </c>
      <c r="AD174" s="5" t="str">
        <f t="shared" si="10"/>
        <v>kg_co2e_excl_luc</v>
      </c>
      <c r="AE174" s="24">
        <f>IF(CropLCAs[[#This Row],[Product fraction]]="",CropLCAs[[#This Row],[CO2e (value)]]*CropLCAs[[#This Row],[Conversion factor (value)]],CropLCAs[[#This Row],[CO2e (value)]]*CropLCAs[[#This Row],[Conversion factor (value)]]/CropLCAs[[#This Row],[Product fraction]]*CropLCAs[[#This Row],[Value fraction]])</f>
        <v>0.78305376623376621</v>
      </c>
      <c r="AF174" s="5" t="s">
        <v>46</v>
      </c>
      <c r="AG174" s="5" t="str">
        <f t="shared" si="11"/>
        <v>processed_ghg</v>
      </c>
      <c r="AH174" s="5">
        <f>0.08*0.14</f>
        <v>1.1200000000000002E-2</v>
      </c>
      <c r="AI174" s="5">
        <f>0.19*0.33</f>
        <v>6.2700000000000006E-2</v>
      </c>
      <c r="AJ174" s="8">
        <f>IF(CropLCAs[[#This Row],[product_fraction]]&gt;0,CropLCAs[[#This Row],[footprint]]/CropLCAs[[#This Row],[product_fraction]]*CropLCAs[[#This Row],[value_fraction]],"")</f>
        <v>4.3837027806122446</v>
      </c>
      <c r="AK174" s="23">
        <v>0.5</v>
      </c>
      <c r="AL174" s="5" t="s">
        <v>109</v>
      </c>
      <c r="AM174" s="5" t="s">
        <v>435</v>
      </c>
      <c r="AN174" s="5"/>
      <c r="AO174" s="5"/>
      <c r="AP174" s="5"/>
      <c r="AQ174" s="5"/>
      <c r="AR174" s="5"/>
      <c r="AS174" s="5"/>
      <c r="AT174" s="5"/>
      <c r="AU174" s="5"/>
    </row>
    <row r="175" spans="1:47" ht="44.1" customHeight="1" x14ac:dyDescent="0.2">
      <c r="A175" s="5" t="s">
        <v>99</v>
      </c>
      <c r="B175" s="7" t="s">
        <v>1451</v>
      </c>
      <c r="C175" s="7">
        <v>2011</v>
      </c>
      <c r="D175" s="5" t="s">
        <v>397</v>
      </c>
      <c r="E175" s="6" t="s">
        <v>398</v>
      </c>
      <c r="F175" s="7" t="s">
        <v>23</v>
      </c>
      <c r="G175" s="7" t="str">
        <f>IF(CropLCAs[[#This Row],[fbs_item]]="Insects","insect_ghg","plant_ghg")</f>
        <v>plant_ghg</v>
      </c>
      <c r="H175" s="49" t="s">
        <v>642</v>
      </c>
      <c r="I175" s="49"/>
      <c r="J175" s="49" t="s">
        <v>1290</v>
      </c>
      <c r="K175" s="5" t="s">
        <v>778</v>
      </c>
      <c r="L175" s="5" t="s">
        <v>399</v>
      </c>
      <c r="M175" s="5" t="s">
        <v>102</v>
      </c>
      <c r="N175" s="5" t="s">
        <v>102</v>
      </c>
      <c r="O175" s="5" t="s">
        <v>109</v>
      </c>
      <c r="P175" s="5" t="s">
        <v>102</v>
      </c>
      <c r="Q175" s="5" t="s">
        <v>102</v>
      </c>
      <c r="R175" s="5" t="s">
        <v>102</v>
      </c>
      <c r="S175" s="5" t="s">
        <v>102</v>
      </c>
      <c r="T175" s="5" t="s">
        <v>102</v>
      </c>
      <c r="U175" s="5">
        <v>100</v>
      </c>
      <c r="V175" s="5">
        <v>1</v>
      </c>
      <c r="W175" s="5" t="s">
        <v>106</v>
      </c>
      <c r="X175" s="24">
        <v>0.32</v>
      </c>
      <c r="Y175" s="5" t="s">
        <v>106</v>
      </c>
      <c r="Z175" s="5"/>
      <c r="AA175" s="5"/>
      <c r="AB175" s="24">
        <v>1</v>
      </c>
      <c r="AC175" s="5"/>
      <c r="AD175" s="5" t="str">
        <f t="shared" si="10"/>
        <v>kg_co2e_excl_luc</v>
      </c>
      <c r="AE175" s="24">
        <f>IF(CropLCAs[[#This Row],[Product fraction]]="",CropLCAs[[#This Row],[CO2e (value)]]*CropLCAs[[#This Row],[Conversion factor (value)]],CropLCAs[[#This Row],[CO2e (value)]]*CropLCAs[[#This Row],[Conversion factor (value)]]/CropLCAs[[#This Row],[Product fraction]]*CropLCAs[[#This Row],[Value fraction]])</f>
        <v>0.32</v>
      </c>
      <c r="AF175" s="5" t="s">
        <v>42</v>
      </c>
      <c r="AG175" s="5" t="str">
        <f t="shared" si="11"/>
        <v>processed_ghg</v>
      </c>
      <c r="AH175" s="5">
        <v>0.36</v>
      </c>
      <c r="AI175" s="5">
        <v>0.71</v>
      </c>
      <c r="AJ175" s="8">
        <f>IF(CropLCAs[[#This Row],[product_fraction]]&gt;0,CropLCAs[[#This Row],[footprint]]/CropLCAs[[#This Row],[product_fraction]]*CropLCAs[[#This Row],[value_fraction]],"")</f>
        <v>0.63111111111111118</v>
      </c>
      <c r="AK175" s="23">
        <f t="shared" ref="AK175:AK209" si="13">1/7</f>
        <v>0.14285714285714285</v>
      </c>
      <c r="AL175" s="5" t="s">
        <v>109</v>
      </c>
      <c r="AM175" s="5"/>
      <c r="AN175" s="5"/>
      <c r="AO175" s="5"/>
      <c r="AP175" s="5"/>
      <c r="AQ175" s="5"/>
      <c r="AR175" s="5"/>
      <c r="AS175" s="5"/>
      <c r="AT175" s="5"/>
      <c r="AU175" s="5"/>
    </row>
    <row r="176" spans="1:47" ht="44.1" customHeight="1" x14ac:dyDescent="0.2">
      <c r="A176" s="5" t="s">
        <v>99</v>
      </c>
      <c r="B176" s="7" t="s">
        <v>1451</v>
      </c>
      <c r="C176" s="7">
        <v>2011</v>
      </c>
      <c r="D176" s="5" t="s">
        <v>397</v>
      </c>
      <c r="E176" s="6" t="s">
        <v>398</v>
      </c>
      <c r="F176" s="7" t="s">
        <v>23</v>
      </c>
      <c r="G176" s="7" t="str">
        <f>IF(CropLCAs[[#This Row],[fbs_item]]="Insects","insect_ghg","plant_ghg")</f>
        <v>plant_ghg</v>
      </c>
      <c r="H176" s="49" t="s">
        <v>642</v>
      </c>
      <c r="I176" s="49"/>
      <c r="J176" s="49" t="s">
        <v>1290</v>
      </c>
      <c r="K176" s="5" t="s">
        <v>778</v>
      </c>
      <c r="L176" s="5" t="s">
        <v>400</v>
      </c>
      <c r="M176" s="5" t="s">
        <v>102</v>
      </c>
      <c r="N176" s="5" t="s">
        <v>102</v>
      </c>
      <c r="O176" s="5" t="s">
        <v>109</v>
      </c>
      <c r="P176" s="5" t="s">
        <v>102</v>
      </c>
      <c r="Q176" s="5" t="s">
        <v>102</v>
      </c>
      <c r="R176" s="5" t="s">
        <v>102</v>
      </c>
      <c r="S176" s="5" t="s">
        <v>102</v>
      </c>
      <c r="T176" s="5" t="s">
        <v>102</v>
      </c>
      <c r="U176" s="5">
        <v>100</v>
      </c>
      <c r="V176" s="5">
        <v>1</v>
      </c>
      <c r="W176" s="5" t="s">
        <v>106</v>
      </c>
      <c r="X176" s="24">
        <v>0.45</v>
      </c>
      <c r="Y176" s="5" t="s">
        <v>106</v>
      </c>
      <c r="Z176" s="5"/>
      <c r="AA176" s="5"/>
      <c r="AB176" s="24">
        <v>1</v>
      </c>
      <c r="AC176" s="5"/>
      <c r="AD176" s="5" t="str">
        <f t="shared" si="10"/>
        <v>kg_co2e_excl_luc</v>
      </c>
      <c r="AE176" s="24">
        <f>IF(CropLCAs[[#This Row],[Product fraction]]="",CropLCAs[[#This Row],[CO2e (value)]]*CropLCAs[[#This Row],[Conversion factor (value)]],CropLCAs[[#This Row],[CO2e (value)]]*CropLCAs[[#This Row],[Conversion factor (value)]]/CropLCAs[[#This Row],[Product fraction]]*CropLCAs[[#This Row],[Value fraction]])</f>
        <v>0.45</v>
      </c>
      <c r="AF176" s="5" t="s">
        <v>42</v>
      </c>
      <c r="AG176" s="5" t="str">
        <f t="shared" si="11"/>
        <v>processed_ghg</v>
      </c>
      <c r="AH176" s="5">
        <v>0.36</v>
      </c>
      <c r="AI176" s="5">
        <v>0.71</v>
      </c>
      <c r="AJ176" s="8">
        <f>IF(CropLCAs[[#This Row],[product_fraction]]&gt;0,CropLCAs[[#This Row],[footprint]]/CropLCAs[[#This Row],[product_fraction]]*CropLCAs[[#This Row],[value_fraction]],"")</f>
        <v>0.88749999999999996</v>
      </c>
      <c r="AK176" s="23">
        <f t="shared" si="13"/>
        <v>0.14285714285714285</v>
      </c>
      <c r="AL176" s="5" t="s">
        <v>109</v>
      </c>
      <c r="AM176" s="5"/>
      <c r="AN176" s="5"/>
      <c r="AO176" s="5"/>
      <c r="AP176" s="5"/>
      <c r="AQ176" s="5"/>
      <c r="AR176" s="5"/>
      <c r="AS176" s="5"/>
      <c r="AT176" s="5"/>
      <c r="AU176" s="5"/>
    </row>
    <row r="177" spans="1:47" ht="44.1" customHeight="1" x14ac:dyDescent="0.2">
      <c r="A177" s="5" t="s">
        <v>99</v>
      </c>
      <c r="B177" s="7" t="s">
        <v>1451</v>
      </c>
      <c r="C177" s="7">
        <v>2011</v>
      </c>
      <c r="D177" s="5" t="s">
        <v>397</v>
      </c>
      <c r="E177" s="6" t="s">
        <v>398</v>
      </c>
      <c r="F177" s="7" t="s">
        <v>23</v>
      </c>
      <c r="G177" s="7" t="str">
        <f>IF(CropLCAs[[#This Row],[fbs_item]]="Insects","insect_ghg","plant_ghg")</f>
        <v>plant_ghg</v>
      </c>
      <c r="H177" s="49" t="s">
        <v>642</v>
      </c>
      <c r="I177" s="49"/>
      <c r="J177" s="49" t="s">
        <v>1290</v>
      </c>
      <c r="K177" s="5" t="s">
        <v>778</v>
      </c>
      <c r="L177" s="5" t="s">
        <v>401</v>
      </c>
      <c r="M177" s="5" t="s">
        <v>102</v>
      </c>
      <c r="N177" s="5" t="s">
        <v>102</v>
      </c>
      <c r="O177" s="5" t="s">
        <v>109</v>
      </c>
      <c r="P177" s="5" t="s">
        <v>102</v>
      </c>
      <c r="Q177" s="5" t="s">
        <v>102</v>
      </c>
      <c r="R177" s="5" t="s">
        <v>102</v>
      </c>
      <c r="S177" s="5" t="s">
        <v>102</v>
      </c>
      <c r="T177" s="5" t="s">
        <v>102</v>
      </c>
      <c r="U177" s="5">
        <v>100</v>
      </c>
      <c r="V177" s="5">
        <v>1</v>
      </c>
      <c r="W177" s="5" t="s">
        <v>106</v>
      </c>
      <c r="X177" s="24">
        <v>0.59</v>
      </c>
      <c r="Y177" s="5" t="s">
        <v>106</v>
      </c>
      <c r="Z177" s="5"/>
      <c r="AA177" s="5"/>
      <c r="AB177" s="24">
        <v>1</v>
      </c>
      <c r="AC177" s="5"/>
      <c r="AD177" s="5" t="str">
        <f t="shared" si="10"/>
        <v>kg_co2e_excl_luc</v>
      </c>
      <c r="AE177" s="24">
        <f>IF(CropLCAs[[#This Row],[Product fraction]]="",CropLCAs[[#This Row],[CO2e (value)]]*CropLCAs[[#This Row],[Conversion factor (value)]],CropLCAs[[#This Row],[CO2e (value)]]*CropLCAs[[#This Row],[Conversion factor (value)]]/CropLCAs[[#This Row],[Product fraction]]*CropLCAs[[#This Row],[Value fraction]])</f>
        <v>0.59</v>
      </c>
      <c r="AF177" s="5" t="s">
        <v>42</v>
      </c>
      <c r="AG177" s="5" t="str">
        <f t="shared" si="11"/>
        <v>processed_ghg</v>
      </c>
      <c r="AH177" s="5">
        <v>0.36</v>
      </c>
      <c r="AI177" s="5">
        <v>0.71</v>
      </c>
      <c r="AJ177" s="8">
        <f>IF(CropLCAs[[#This Row],[product_fraction]]&gt;0,CropLCAs[[#This Row],[footprint]]/CropLCAs[[#This Row],[product_fraction]]*CropLCAs[[#This Row],[value_fraction]],"")</f>
        <v>1.1636111111111109</v>
      </c>
      <c r="AK177" s="23">
        <f t="shared" si="13"/>
        <v>0.14285714285714285</v>
      </c>
      <c r="AL177" s="5" t="s">
        <v>109</v>
      </c>
      <c r="AM177" s="5"/>
      <c r="AN177" s="5"/>
      <c r="AO177" s="5"/>
      <c r="AP177" s="5"/>
      <c r="AQ177" s="5"/>
      <c r="AR177" s="5"/>
      <c r="AS177" s="5"/>
      <c r="AT177" s="5"/>
      <c r="AU177" s="5"/>
    </row>
    <row r="178" spans="1:47" ht="44.1" customHeight="1" x14ac:dyDescent="0.2">
      <c r="A178" s="5" t="s">
        <v>99</v>
      </c>
      <c r="B178" s="7" t="s">
        <v>1451</v>
      </c>
      <c r="C178" s="7">
        <v>2011</v>
      </c>
      <c r="D178" s="5" t="s">
        <v>397</v>
      </c>
      <c r="E178" s="6" t="s">
        <v>398</v>
      </c>
      <c r="F178" s="7" t="s">
        <v>23</v>
      </c>
      <c r="G178" s="7" t="str">
        <f>IF(CropLCAs[[#This Row],[fbs_item]]="Insects","insect_ghg","plant_ghg")</f>
        <v>plant_ghg</v>
      </c>
      <c r="H178" s="49" t="s">
        <v>642</v>
      </c>
      <c r="I178" s="49"/>
      <c r="J178" s="49" t="s">
        <v>1290</v>
      </c>
      <c r="K178" s="5" t="s">
        <v>778</v>
      </c>
      <c r="L178" s="5" t="s">
        <v>402</v>
      </c>
      <c r="M178" s="5" t="s">
        <v>102</v>
      </c>
      <c r="N178" s="5" t="s">
        <v>102</v>
      </c>
      <c r="O178" s="5" t="s">
        <v>109</v>
      </c>
      <c r="P178" s="5" t="s">
        <v>102</v>
      </c>
      <c r="Q178" s="5" t="s">
        <v>102</v>
      </c>
      <c r="R178" s="5" t="s">
        <v>102</v>
      </c>
      <c r="S178" s="5" t="s">
        <v>102</v>
      </c>
      <c r="T178" s="5" t="s">
        <v>102</v>
      </c>
      <c r="U178" s="5">
        <v>100</v>
      </c>
      <c r="V178" s="5">
        <v>1</v>
      </c>
      <c r="W178" s="5" t="s">
        <v>106</v>
      </c>
      <c r="X178" s="24">
        <v>0.84</v>
      </c>
      <c r="Y178" s="5" t="s">
        <v>106</v>
      </c>
      <c r="Z178" s="5"/>
      <c r="AA178" s="5"/>
      <c r="AB178" s="24">
        <v>1</v>
      </c>
      <c r="AC178" s="5"/>
      <c r="AD178" s="5" t="str">
        <f t="shared" si="10"/>
        <v>kg_co2e_excl_luc</v>
      </c>
      <c r="AE178" s="24">
        <f>IF(CropLCAs[[#This Row],[Product fraction]]="",CropLCAs[[#This Row],[CO2e (value)]]*CropLCAs[[#This Row],[Conversion factor (value)]],CropLCAs[[#This Row],[CO2e (value)]]*CropLCAs[[#This Row],[Conversion factor (value)]]/CropLCAs[[#This Row],[Product fraction]]*CropLCAs[[#This Row],[Value fraction]])</f>
        <v>0.84</v>
      </c>
      <c r="AF178" s="5" t="s">
        <v>42</v>
      </c>
      <c r="AG178" s="5" t="str">
        <f t="shared" si="11"/>
        <v>processed_ghg</v>
      </c>
      <c r="AH178" s="5">
        <v>0.36</v>
      </c>
      <c r="AI178" s="5">
        <v>0.71</v>
      </c>
      <c r="AJ178" s="8">
        <f>IF(CropLCAs[[#This Row],[product_fraction]]&gt;0,CropLCAs[[#This Row],[footprint]]/CropLCAs[[#This Row],[product_fraction]]*CropLCAs[[#This Row],[value_fraction]],"")</f>
        <v>1.6566666666666667</v>
      </c>
      <c r="AK178" s="23">
        <f t="shared" si="13"/>
        <v>0.14285714285714285</v>
      </c>
      <c r="AL178" s="5" t="s">
        <v>109</v>
      </c>
      <c r="AM178" s="5"/>
      <c r="AN178" s="5"/>
      <c r="AO178" s="5"/>
      <c r="AP178" s="5"/>
      <c r="AQ178" s="5"/>
      <c r="AR178" s="5"/>
      <c r="AS178" s="5"/>
      <c r="AT178" s="5"/>
      <c r="AU178" s="5"/>
    </row>
    <row r="179" spans="1:47" ht="44.1" customHeight="1" x14ac:dyDescent="0.2">
      <c r="A179" s="5" t="s">
        <v>99</v>
      </c>
      <c r="B179" s="7" t="s">
        <v>1451</v>
      </c>
      <c r="C179" s="7">
        <v>2011</v>
      </c>
      <c r="D179" s="5" t="s">
        <v>397</v>
      </c>
      <c r="E179" s="6" t="s">
        <v>398</v>
      </c>
      <c r="F179" s="7" t="s">
        <v>23</v>
      </c>
      <c r="G179" s="7" t="str">
        <f>IF(CropLCAs[[#This Row],[fbs_item]]="Insects","insect_ghg","plant_ghg")</f>
        <v>plant_ghg</v>
      </c>
      <c r="H179" s="49" t="s">
        <v>642</v>
      </c>
      <c r="I179" s="49"/>
      <c r="J179" s="49" t="s">
        <v>1290</v>
      </c>
      <c r="K179" s="5" t="s">
        <v>778</v>
      </c>
      <c r="L179" s="5" t="s">
        <v>403</v>
      </c>
      <c r="M179" s="5" t="s">
        <v>102</v>
      </c>
      <c r="N179" s="5" t="s">
        <v>102</v>
      </c>
      <c r="O179" s="5" t="s">
        <v>109</v>
      </c>
      <c r="P179" s="5" t="s">
        <v>102</v>
      </c>
      <c r="Q179" s="5" t="s">
        <v>102</v>
      </c>
      <c r="R179" s="5" t="s">
        <v>102</v>
      </c>
      <c r="S179" s="5" t="s">
        <v>102</v>
      </c>
      <c r="T179" s="5" t="s">
        <v>102</v>
      </c>
      <c r="U179" s="5">
        <v>100</v>
      </c>
      <c r="V179" s="5">
        <v>1</v>
      </c>
      <c r="W179" s="5" t="s">
        <v>106</v>
      </c>
      <c r="X179" s="24">
        <v>1.1000000000000001</v>
      </c>
      <c r="Y179" s="5" t="s">
        <v>106</v>
      </c>
      <c r="Z179" s="5"/>
      <c r="AA179" s="5"/>
      <c r="AB179" s="24">
        <v>1</v>
      </c>
      <c r="AC179" s="5"/>
      <c r="AD179" s="5" t="str">
        <f t="shared" si="10"/>
        <v>kg_co2e_excl_luc</v>
      </c>
      <c r="AE179" s="24">
        <f>IF(CropLCAs[[#This Row],[Product fraction]]="",CropLCAs[[#This Row],[CO2e (value)]]*CropLCAs[[#This Row],[Conversion factor (value)]],CropLCAs[[#This Row],[CO2e (value)]]*CropLCAs[[#This Row],[Conversion factor (value)]]/CropLCAs[[#This Row],[Product fraction]]*CropLCAs[[#This Row],[Value fraction]])</f>
        <v>1.1000000000000001</v>
      </c>
      <c r="AF179" s="5" t="s">
        <v>42</v>
      </c>
      <c r="AG179" s="5" t="str">
        <f t="shared" si="11"/>
        <v>processed_ghg</v>
      </c>
      <c r="AH179" s="5">
        <v>0.36</v>
      </c>
      <c r="AI179" s="5">
        <v>0.71</v>
      </c>
      <c r="AJ179" s="8">
        <f>IF(CropLCAs[[#This Row],[product_fraction]]&gt;0,CropLCAs[[#This Row],[footprint]]/CropLCAs[[#This Row],[product_fraction]]*CropLCAs[[#This Row],[value_fraction]],"")</f>
        <v>2.1694444444444447</v>
      </c>
      <c r="AK179" s="23">
        <f t="shared" si="13"/>
        <v>0.14285714285714285</v>
      </c>
      <c r="AL179" s="5" t="s">
        <v>109</v>
      </c>
      <c r="AM179" s="5"/>
      <c r="AN179" s="5"/>
      <c r="AO179" s="5"/>
      <c r="AP179" s="5"/>
      <c r="AQ179" s="5"/>
      <c r="AR179" s="5"/>
      <c r="AS179" s="5"/>
      <c r="AT179" s="5"/>
      <c r="AU179" s="5"/>
    </row>
    <row r="180" spans="1:47" ht="44.1" customHeight="1" x14ac:dyDescent="0.2">
      <c r="A180" s="5" t="s">
        <v>99</v>
      </c>
      <c r="B180" s="7" t="s">
        <v>1451</v>
      </c>
      <c r="C180" s="7">
        <v>2011</v>
      </c>
      <c r="D180" s="5" t="s">
        <v>397</v>
      </c>
      <c r="E180" s="6" t="s">
        <v>398</v>
      </c>
      <c r="F180" s="7" t="s">
        <v>23</v>
      </c>
      <c r="G180" s="7" t="str">
        <f>IF(CropLCAs[[#This Row],[fbs_item]]="Insects","insect_ghg","plant_ghg")</f>
        <v>plant_ghg</v>
      </c>
      <c r="H180" s="49" t="s">
        <v>642</v>
      </c>
      <c r="I180" s="49"/>
      <c r="J180" s="49" t="s">
        <v>1290</v>
      </c>
      <c r="K180" s="5" t="s">
        <v>778</v>
      </c>
      <c r="L180" s="5" t="s">
        <v>404</v>
      </c>
      <c r="M180" s="5" t="s">
        <v>102</v>
      </c>
      <c r="N180" s="5" t="s">
        <v>102</v>
      </c>
      <c r="O180" s="5" t="s">
        <v>109</v>
      </c>
      <c r="P180" s="5" t="s">
        <v>102</v>
      </c>
      <c r="Q180" s="5" t="s">
        <v>102</v>
      </c>
      <c r="R180" s="5" t="s">
        <v>102</v>
      </c>
      <c r="S180" s="5" t="s">
        <v>102</v>
      </c>
      <c r="T180" s="5" t="s">
        <v>102</v>
      </c>
      <c r="U180" s="5">
        <v>100</v>
      </c>
      <c r="V180" s="5">
        <v>1</v>
      </c>
      <c r="W180" s="5" t="s">
        <v>106</v>
      </c>
      <c r="X180" s="24">
        <v>1.48</v>
      </c>
      <c r="Y180" s="5" t="s">
        <v>106</v>
      </c>
      <c r="Z180" s="5"/>
      <c r="AA180" s="5"/>
      <c r="AB180" s="24">
        <v>1</v>
      </c>
      <c r="AC180" s="5"/>
      <c r="AD180" s="5" t="str">
        <f t="shared" si="10"/>
        <v>kg_co2e_excl_luc</v>
      </c>
      <c r="AE180" s="24">
        <f>IF(CropLCAs[[#This Row],[Product fraction]]="",CropLCAs[[#This Row],[CO2e (value)]]*CropLCAs[[#This Row],[Conversion factor (value)]],CropLCAs[[#This Row],[CO2e (value)]]*CropLCAs[[#This Row],[Conversion factor (value)]]/CropLCAs[[#This Row],[Product fraction]]*CropLCAs[[#This Row],[Value fraction]])</f>
        <v>1.48</v>
      </c>
      <c r="AF180" s="5" t="s">
        <v>42</v>
      </c>
      <c r="AG180" s="5" t="str">
        <f t="shared" si="11"/>
        <v>processed_ghg</v>
      </c>
      <c r="AH180" s="5">
        <v>0.36</v>
      </c>
      <c r="AI180" s="5">
        <v>0.71</v>
      </c>
      <c r="AJ180" s="8">
        <f>IF(CropLCAs[[#This Row],[product_fraction]]&gt;0,CropLCAs[[#This Row],[footprint]]/CropLCAs[[#This Row],[product_fraction]]*CropLCAs[[#This Row],[value_fraction]],"")</f>
        <v>2.9188888888888891</v>
      </c>
      <c r="AK180" s="23">
        <f t="shared" si="13"/>
        <v>0.14285714285714285</v>
      </c>
      <c r="AL180" s="5" t="s">
        <v>109</v>
      </c>
      <c r="AM180" s="5"/>
      <c r="AN180" s="5"/>
      <c r="AO180" s="5"/>
      <c r="AP180" s="5"/>
      <c r="AQ180" s="5"/>
      <c r="AR180" s="5"/>
      <c r="AS180" s="5"/>
      <c r="AT180" s="5"/>
      <c r="AU180" s="5"/>
    </row>
    <row r="181" spans="1:47" ht="44.1" customHeight="1" x14ac:dyDescent="0.2">
      <c r="A181" s="5" t="s">
        <v>99</v>
      </c>
      <c r="B181" s="7" t="s">
        <v>1451</v>
      </c>
      <c r="C181" s="7">
        <v>2011</v>
      </c>
      <c r="D181" s="5" t="s">
        <v>397</v>
      </c>
      <c r="E181" s="6" t="s">
        <v>398</v>
      </c>
      <c r="F181" s="7" t="s">
        <v>23</v>
      </c>
      <c r="G181" s="7" t="str">
        <f>IF(CropLCAs[[#This Row],[fbs_item]]="Insects","insect_ghg","plant_ghg")</f>
        <v>plant_ghg</v>
      </c>
      <c r="H181" s="49" t="s">
        <v>642</v>
      </c>
      <c r="I181" s="49"/>
      <c r="J181" s="49" t="s">
        <v>1290</v>
      </c>
      <c r="K181" s="5" t="s">
        <v>778</v>
      </c>
      <c r="L181" s="5" t="s">
        <v>405</v>
      </c>
      <c r="M181" s="5" t="s">
        <v>102</v>
      </c>
      <c r="N181" s="5" t="s">
        <v>102</v>
      </c>
      <c r="O181" s="5" t="s">
        <v>109</v>
      </c>
      <c r="P181" s="5" t="s">
        <v>102</v>
      </c>
      <c r="Q181" s="5" t="s">
        <v>102</v>
      </c>
      <c r="R181" s="5" t="s">
        <v>102</v>
      </c>
      <c r="S181" s="5" t="s">
        <v>102</v>
      </c>
      <c r="T181" s="5" t="s">
        <v>102</v>
      </c>
      <c r="U181" s="5">
        <v>100</v>
      </c>
      <c r="V181" s="5">
        <v>1</v>
      </c>
      <c r="W181" s="5" t="s">
        <v>106</v>
      </c>
      <c r="X181" s="24">
        <v>1.69</v>
      </c>
      <c r="Y181" s="5" t="s">
        <v>106</v>
      </c>
      <c r="Z181" s="5"/>
      <c r="AA181" s="5"/>
      <c r="AB181" s="24">
        <v>1</v>
      </c>
      <c r="AC181" s="5"/>
      <c r="AD181" s="5" t="str">
        <f t="shared" si="10"/>
        <v>kg_co2e_excl_luc</v>
      </c>
      <c r="AE181" s="24">
        <f>IF(CropLCAs[[#This Row],[Product fraction]]="",CropLCAs[[#This Row],[CO2e (value)]]*CropLCAs[[#This Row],[Conversion factor (value)]],CropLCAs[[#This Row],[CO2e (value)]]*CropLCAs[[#This Row],[Conversion factor (value)]]/CropLCAs[[#This Row],[Product fraction]]*CropLCAs[[#This Row],[Value fraction]])</f>
        <v>1.69</v>
      </c>
      <c r="AF181" s="5" t="s">
        <v>42</v>
      </c>
      <c r="AG181" s="5" t="str">
        <f t="shared" si="11"/>
        <v>processed_ghg</v>
      </c>
      <c r="AH181" s="5">
        <v>0.36</v>
      </c>
      <c r="AI181" s="5">
        <v>0.71</v>
      </c>
      <c r="AJ181" s="8">
        <f>IF(CropLCAs[[#This Row],[product_fraction]]&gt;0,CropLCAs[[#This Row],[footprint]]/CropLCAs[[#This Row],[product_fraction]]*CropLCAs[[#This Row],[value_fraction]],"")</f>
        <v>3.3330555555555557</v>
      </c>
      <c r="AK181" s="23">
        <f t="shared" si="13"/>
        <v>0.14285714285714285</v>
      </c>
      <c r="AL181" s="5" t="s">
        <v>109</v>
      </c>
      <c r="AM181" s="5"/>
      <c r="AN181" s="5"/>
      <c r="AO181" s="5"/>
      <c r="AP181" s="5"/>
      <c r="AQ181" s="5"/>
      <c r="AR181" s="5"/>
      <c r="AS181" s="5"/>
      <c r="AT181" s="5"/>
      <c r="AU181" s="5"/>
    </row>
    <row r="182" spans="1:47" ht="44.1" customHeight="1" x14ac:dyDescent="0.2">
      <c r="A182" s="5" t="s">
        <v>99</v>
      </c>
      <c r="B182" s="7" t="s">
        <v>1451</v>
      </c>
      <c r="C182" s="7">
        <v>2011</v>
      </c>
      <c r="D182" s="5" t="s">
        <v>397</v>
      </c>
      <c r="E182" s="6" t="s">
        <v>406</v>
      </c>
      <c r="F182" s="7" t="s">
        <v>23</v>
      </c>
      <c r="G182" s="7" t="str">
        <f>IF(CropLCAs[[#This Row],[fbs_item]]="Insects","insect_ghg","plant_ghg")</f>
        <v>plant_ghg</v>
      </c>
      <c r="H182" s="49" t="s">
        <v>642</v>
      </c>
      <c r="I182" s="49"/>
      <c r="J182" s="49" t="s">
        <v>1290</v>
      </c>
      <c r="K182" s="5" t="s">
        <v>778</v>
      </c>
      <c r="L182" s="5" t="s">
        <v>399</v>
      </c>
      <c r="M182" s="5" t="s">
        <v>102</v>
      </c>
      <c r="N182" s="5" t="s">
        <v>102</v>
      </c>
      <c r="O182" s="5" t="s">
        <v>109</v>
      </c>
      <c r="P182" s="5" t="s">
        <v>102</v>
      </c>
      <c r="Q182" s="5" t="s">
        <v>102</v>
      </c>
      <c r="R182" s="5" t="s">
        <v>102</v>
      </c>
      <c r="S182" s="5" t="s">
        <v>102</v>
      </c>
      <c r="T182" s="5" t="s">
        <v>102</v>
      </c>
      <c r="U182" s="5">
        <v>100</v>
      </c>
      <c r="V182" s="5">
        <v>1</v>
      </c>
      <c r="W182" s="5" t="s">
        <v>106</v>
      </c>
      <c r="X182" s="24">
        <v>0.25</v>
      </c>
      <c r="Y182" s="5" t="s">
        <v>106</v>
      </c>
      <c r="Z182" s="5"/>
      <c r="AA182" s="5"/>
      <c r="AB182" s="24">
        <v>1</v>
      </c>
      <c r="AC182" s="5"/>
      <c r="AD182" s="5" t="str">
        <f t="shared" si="10"/>
        <v>kg_co2e_excl_luc</v>
      </c>
      <c r="AE182" s="24">
        <f>IF(CropLCAs[[#This Row],[Product fraction]]="",CropLCAs[[#This Row],[CO2e (value)]]*CropLCAs[[#This Row],[Conversion factor (value)]],CropLCAs[[#This Row],[CO2e (value)]]*CropLCAs[[#This Row],[Conversion factor (value)]]/CropLCAs[[#This Row],[Product fraction]]*CropLCAs[[#This Row],[Value fraction]])</f>
        <v>0.25</v>
      </c>
      <c r="AF182" s="5" t="s">
        <v>42</v>
      </c>
      <c r="AG182" s="5" t="str">
        <f t="shared" si="11"/>
        <v>processed_ghg</v>
      </c>
      <c r="AH182" s="5">
        <v>0.36</v>
      </c>
      <c r="AI182" s="5">
        <v>0.71</v>
      </c>
      <c r="AJ182" s="8">
        <f>IF(CropLCAs[[#This Row],[product_fraction]]&gt;0,CropLCAs[[#This Row],[footprint]]/CropLCAs[[#This Row],[product_fraction]]*CropLCAs[[#This Row],[value_fraction]],"")</f>
        <v>0.49305555555555552</v>
      </c>
      <c r="AK182" s="23">
        <f t="shared" si="13"/>
        <v>0.14285714285714285</v>
      </c>
      <c r="AL182" s="5" t="s">
        <v>109</v>
      </c>
      <c r="AM182" s="5"/>
      <c r="AN182" s="5"/>
      <c r="AO182" s="5"/>
      <c r="AP182" s="5"/>
      <c r="AQ182" s="5"/>
      <c r="AR182" s="5"/>
      <c r="AS182" s="5"/>
      <c r="AT182" s="5"/>
      <c r="AU182" s="5"/>
    </row>
    <row r="183" spans="1:47" ht="44.1" customHeight="1" x14ac:dyDescent="0.2">
      <c r="A183" s="5" t="s">
        <v>99</v>
      </c>
      <c r="B183" s="7" t="s">
        <v>1451</v>
      </c>
      <c r="C183" s="7">
        <v>2011</v>
      </c>
      <c r="D183" s="5" t="s">
        <v>397</v>
      </c>
      <c r="E183" s="6" t="s">
        <v>406</v>
      </c>
      <c r="F183" s="7" t="s">
        <v>23</v>
      </c>
      <c r="G183" s="7" t="str">
        <f>IF(CropLCAs[[#This Row],[fbs_item]]="Insects","insect_ghg","plant_ghg")</f>
        <v>plant_ghg</v>
      </c>
      <c r="H183" s="49" t="s">
        <v>642</v>
      </c>
      <c r="I183" s="49"/>
      <c r="J183" s="49" t="s">
        <v>1290</v>
      </c>
      <c r="K183" s="5" t="s">
        <v>778</v>
      </c>
      <c r="L183" s="5" t="s">
        <v>400</v>
      </c>
      <c r="M183" s="5"/>
      <c r="N183" s="5" t="s">
        <v>102</v>
      </c>
      <c r="O183" s="5" t="s">
        <v>109</v>
      </c>
      <c r="P183" s="5" t="s">
        <v>102</v>
      </c>
      <c r="Q183" s="5" t="s">
        <v>102</v>
      </c>
      <c r="R183" s="5" t="s">
        <v>102</v>
      </c>
      <c r="S183" s="5" t="s">
        <v>102</v>
      </c>
      <c r="T183" s="5" t="s">
        <v>102</v>
      </c>
      <c r="U183" s="5">
        <v>100</v>
      </c>
      <c r="V183" s="5">
        <v>1</v>
      </c>
      <c r="W183" s="5" t="s">
        <v>106</v>
      </c>
      <c r="X183" s="24">
        <v>0.35</v>
      </c>
      <c r="Y183" s="5" t="s">
        <v>106</v>
      </c>
      <c r="Z183" s="5"/>
      <c r="AA183" s="5"/>
      <c r="AB183" s="24">
        <v>1</v>
      </c>
      <c r="AC183" s="5"/>
      <c r="AD183" s="5" t="str">
        <f t="shared" si="10"/>
        <v>kg_co2e_excl_luc</v>
      </c>
      <c r="AE183" s="24">
        <f>IF(CropLCAs[[#This Row],[Product fraction]]="",CropLCAs[[#This Row],[CO2e (value)]]*CropLCAs[[#This Row],[Conversion factor (value)]],CropLCAs[[#This Row],[CO2e (value)]]*CropLCAs[[#This Row],[Conversion factor (value)]]/CropLCAs[[#This Row],[Product fraction]]*CropLCAs[[#This Row],[Value fraction]])</f>
        <v>0.35</v>
      </c>
      <c r="AF183" s="5" t="s">
        <v>42</v>
      </c>
      <c r="AG183" s="5" t="str">
        <f t="shared" si="11"/>
        <v>processed_ghg</v>
      </c>
      <c r="AH183" s="5">
        <v>0.36</v>
      </c>
      <c r="AI183" s="5">
        <v>0.71</v>
      </c>
      <c r="AJ183" s="8">
        <f>IF(CropLCAs[[#This Row],[product_fraction]]&gt;0,CropLCAs[[#This Row],[footprint]]/CropLCAs[[#This Row],[product_fraction]]*CropLCAs[[#This Row],[value_fraction]],"")</f>
        <v>0.69027777777777777</v>
      </c>
      <c r="AK183" s="23">
        <f t="shared" si="13"/>
        <v>0.14285714285714285</v>
      </c>
      <c r="AL183" s="5" t="s">
        <v>109</v>
      </c>
      <c r="AM183" s="5"/>
      <c r="AN183" s="5"/>
      <c r="AO183" s="5"/>
      <c r="AP183" s="5"/>
      <c r="AQ183" s="5"/>
      <c r="AR183" s="5"/>
      <c r="AS183" s="5"/>
      <c r="AT183" s="5"/>
      <c r="AU183" s="5"/>
    </row>
    <row r="184" spans="1:47" ht="44.1" customHeight="1" x14ac:dyDescent="0.2">
      <c r="A184" s="5" t="s">
        <v>99</v>
      </c>
      <c r="B184" s="7" t="s">
        <v>1451</v>
      </c>
      <c r="C184" s="7">
        <v>2011</v>
      </c>
      <c r="D184" s="5" t="s">
        <v>397</v>
      </c>
      <c r="E184" s="6" t="s">
        <v>406</v>
      </c>
      <c r="F184" s="7" t="s">
        <v>23</v>
      </c>
      <c r="G184" s="7" t="str">
        <f>IF(CropLCAs[[#This Row],[fbs_item]]="Insects","insect_ghg","plant_ghg")</f>
        <v>plant_ghg</v>
      </c>
      <c r="H184" s="49" t="s">
        <v>642</v>
      </c>
      <c r="I184" s="49"/>
      <c r="J184" s="49" t="s">
        <v>1290</v>
      </c>
      <c r="K184" s="5" t="s">
        <v>778</v>
      </c>
      <c r="L184" s="5" t="s">
        <v>401</v>
      </c>
      <c r="M184" s="5"/>
      <c r="N184" s="5" t="s">
        <v>102</v>
      </c>
      <c r="O184" s="5" t="s">
        <v>109</v>
      </c>
      <c r="P184" s="5" t="s">
        <v>102</v>
      </c>
      <c r="Q184" s="5" t="s">
        <v>102</v>
      </c>
      <c r="R184" s="5" t="s">
        <v>102</v>
      </c>
      <c r="S184" s="5" t="s">
        <v>102</v>
      </c>
      <c r="T184" s="5" t="s">
        <v>102</v>
      </c>
      <c r="U184" s="5">
        <v>100</v>
      </c>
      <c r="V184" s="5">
        <v>1</v>
      </c>
      <c r="W184" s="5" t="s">
        <v>106</v>
      </c>
      <c r="X184" s="24">
        <v>0.41</v>
      </c>
      <c r="Y184" s="5" t="s">
        <v>106</v>
      </c>
      <c r="Z184" s="5"/>
      <c r="AA184" s="5"/>
      <c r="AB184" s="24">
        <v>1</v>
      </c>
      <c r="AC184" s="5"/>
      <c r="AD184" s="5" t="str">
        <f t="shared" si="10"/>
        <v>kg_co2e_excl_luc</v>
      </c>
      <c r="AE184" s="24">
        <f>IF(CropLCAs[[#This Row],[Product fraction]]="",CropLCAs[[#This Row],[CO2e (value)]]*CropLCAs[[#This Row],[Conversion factor (value)]],CropLCAs[[#This Row],[CO2e (value)]]*CropLCAs[[#This Row],[Conversion factor (value)]]/CropLCAs[[#This Row],[Product fraction]]*CropLCAs[[#This Row],[Value fraction]])</f>
        <v>0.41</v>
      </c>
      <c r="AF184" s="5" t="s">
        <v>42</v>
      </c>
      <c r="AG184" s="5" t="str">
        <f t="shared" si="11"/>
        <v>processed_ghg</v>
      </c>
      <c r="AH184" s="5">
        <v>0.36</v>
      </c>
      <c r="AI184" s="5">
        <v>0.71</v>
      </c>
      <c r="AJ184" s="8">
        <f>IF(CropLCAs[[#This Row],[product_fraction]]&gt;0,CropLCAs[[#This Row],[footprint]]/CropLCAs[[#This Row],[product_fraction]]*CropLCAs[[#This Row],[value_fraction]],"")</f>
        <v>0.80861111111111106</v>
      </c>
      <c r="AK184" s="23">
        <f t="shared" si="13"/>
        <v>0.14285714285714285</v>
      </c>
      <c r="AL184" s="5" t="s">
        <v>109</v>
      </c>
      <c r="AM184" s="5"/>
      <c r="AN184" s="5"/>
      <c r="AO184" s="5"/>
      <c r="AP184" s="5"/>
      <c r="AQ184" s="5"/>
      <c r="AR184" s="5"/>
      <c r="AS184" s="5"/>
      <c r="AT184" s="5"/>
      <c r="AU184" s="5"/>
    </row>
    <row r="185" spans="1:47" ht="44.1" customHeight="1" x14ac:dyDescent="0.2">
      <c r="A185" s="5" t="s">
        <v>99</v>
      </c>
      <c r="B185" s="7" t="s">
        <v>1451</v>
      </c>
      <c r="C185" s="7">
        <v>2011</v>
      </c>
      <c r="D185" s="5" t="s">
        <v>397</v>
      </c>
      <c r="E185" s="6" t="s">
        <v>406</v>
      </c>
      <c r="F185" s="7" t="s">
        <v>23</v>
      </c>
      <c r="G185" s="7" t="str">
        <f>IF(CropLCAs[[#This Row],[fbs_item]]="Insects","insect_ghg","plant_ghg")</f>
        <v>plant_ghg</v>
      </c>
      <c r="H185" s="49" t="s">
        <v>642</v>
      </c>
      <c r="I185" s="49"/>
      <c r="J185" s="49" t="s">
        <v>1290</v>
      </c>
      <c r="K185" s="5" t="s">
        <v>778</v>
      </c>
      <c r="L185" s="5" t="s">
        <v>402</v>
      </c>
      <c r="M185" s="5"/>
      <c r="N185" s="5" t="s">
        <v>102</v>
      </c>
      <c r="O185" s="5" t="s">
        <v>109</v>
      </c>
      <c r="P185" s="5" t="s">
        <v>102</v>
      </c>
      <c r="Q185" s="5" t="s">
        <v>102</v>
      </c>
      <c r="R185" s="5" t="s">
        <v>102</v>
      </c>
      <c r="S185" s="5" t="s">
        <v>102</v>
      </c>
      <c r="T185" s="5" t="s">
        <v>102</v>
      </c>
      <c r="U185" s="5">
        <v>100</v>
      </c>
      <c r="V185" s="5">
        <v>1</v>
      </c>
      <c r="W185" s="5" t="s">
        <v>106</v>
      </c>
      <c r="X185" s="24">
        <v>0.65</v>
      </c>
      <c r="Y185" s="5" t="s">
        <v>106</v>
      </c>
      <c r="Z185" s="5"/>
      <c r="AA185" s="5"/>
      <c r="AB185" s="24">
        <v>1</v>
      </c>
      <c r="AC185" s="5"/>
      <c r="AD185" s="5" t="str">
        <f t="shared" si="10"/>
        <v>kg_co2e_excl_luc</v>
      </c>
      <c r="AE185" s="24">
        <f>IF(CropLCAs[[#This Row],[Product fraction]]="",CropLCAs[[#This Row],[CO2e (value)]]*CropLCAs[[#This Row],[Conversion factor (value)]],CropLCAs[[#This Row],[CO2e (value)]]*CropLCAs[[#This Row],[Conversion factor (value)]]/CropLCAs[[#This Row],[Product fraction]]*CropLCAs[[#This Row],[Value fraction]])</f>
        <v>0.65</v>
      </c>
      <c r="AF185" s="5" t="s">
        <v>42</v>
      </c>
      <c r="AG185" s="5" t="str">
        <f t="shared" si="11"/>
        <v>processed_ghg</v>
      </c>
      <c r="AH185" s="5">
        <v>0.36</v>
      </c>
      <c r="AI185" s="5">
        <v>0.71</v>
      </c>
      <c r="AJ185" s="8">
        <f>IF(CropLCAs[[#This Row],[product_fraction]]&gt;0,CropLCAs[[#This Row],[footprint]]/CropLCAs[[#This Row],[product_fraction]]*CropLCAs[[#This Row],[value_fraction]],"")</f>
        <v>1.2819444444444443</v>
      </c>
      <c r="AK185" s="23">
        <f t="shared" si="13"/>
        <v>0.14285714285714285</v>
      </c>
      <c r="AL185" s="5" t="s">
        <v>109</v>
      </c>
      <c r="AM185" s="5"/>
      <c r="AN185" s="5"/>
      <c r="AO185" s="5"/>
      <c r="AP185" s="5"/>
      <c r="AQ185" s="5"/>
      <c r="AR185" s="5"/>
      <c r="AS185" s="5"/>
      <c r="AT185" s="5"/>
      <c r="AU185" s="5"/>
    </row>
    <row r="186" spans="1:47" ht="44.1" customHeight="1" x14ac:dyDescent="0.2">
      <c r="A186" s="5" t="s">
        <v>99</v>
      </c>
      <c r="B186" s="7" t="s">
        <v>1451</v>
      </c>
      <c r="C186" s="7">
        <v>2011</v>
      </c>
      <c r="D186" s="5" t="s">
        <v>397</v>
      </c>
      <c r="E186" s="6" t="s">
        <v>406</v>
      </c>
      <c r="F186" s="7" t="s">
        <v>23</v>
      </c>
      <c r="G186" s="7" t="str">
        <f>IF(CropLCAs[[#This Row],[fbs_item]]="Insects","insect_ghg","plant_ghg")</f>
        <v>plant_ghg</v>
      </c>
      <c r="H186" s="49" t="s">
        <v>642</v>
      </c>
      <c r="I186" s="49"/>
      <c r="J186" s="49" t="s">
        <v>1290</v>
      </c>
      <c r="K186" s="5" t="s">
        <v>778</v>
      </c>
      <c r="L186" s="5" t="s">
        <v>403</v>
      </c>
      <c r="M186" s="5"/>
      <c r="N186" s="5" t="s">
        <v>102</v>
      </c>
      <c r="O186" s="5" t="s">
        <v>109</v>
      </c>
      <c r="P186" s="5" t="s">
        <v>102</v>
      </c>
      <c r="Q186" s="5" t="s">
        <v>102</v>
      </c>
      <c r="R186" s="5" t="s">
        <v>102</v>
      </c>
      <c r="S186" s="5" t="s">
        <v>102</v>
      </c>
      <c r="T186" s="5" t="s">
        <v>102</v>
      </c>
      <c r="U186" s="5">
        <v>100</v>
      </c>
      <c r="V186" s="5">
        <v>1</v>
      </c>
      <c r="W186" s="5" t="s">
        <v>106</v>
      </c>
      <c r="X186" s="24">
        <v>0.82</v>
      </c>
      <c r="Y186" s="5" t="s">
        <v>106</v>
      </c>
      <c r="Z186" s="5"/>
      <c r="AA186" s="5"/>
      <c r="AB186" s="24">
        <v>1</v>
      </c>
      <c r="AC186" s="5"/>
      <c r="AD186" s="5" t="str">
        <f t="shared" si="10"/>
        <v>kg_co2e_excl_luc</v>
      </c>
      <c r="AE186" s="24">
        <f>IF(CropLCAs[[#This Row],[Product fraction]]="",CropLCAs[[#This Row],[CO2e (value)]]*CropLCAs[[#This Row],[Conversion factor (value)]],CropLCAs[[#This Row],[CO2e (value)]]*CropLCAs[[#This Row],[Conversion factor (value)]]/CropLCAs[[#This Row],[Product fraction]]*CropLCAs[[#This Row],[Value fraction]])</f>
        <v>0.82</v>
      </c>
      <c r="AF186" s="5" t="s">
        <v>42</v>
      </c>
      <c r="AG186" s="5" t="str">
        <f t="shared" si="11"/>
        <v>processed_ghg</v>
      </c>
      <c r="AH186" s="5">
        <v>0.36</v>
      </c>
      <c r="AI186" s="5">
        <v>0.71</v>
      </c>
      <c r="AJ186" s="8">
        <f>IF(CropLCAs[[#This Row],[product_fraction]]&gt;0,CropLCAs[[#This Row],[footprint]]/CropLCAs[[#This Row],[product_fraction]]*CropLCAs[[#This Row],[value_fraction]],"")</f>
        <v>1.6172222222222221</v>
      </c>
      <c r="AK186" s="23">
        <f t="shared" si="13"/>
        <v>0.14285714285714285</v>
      </c>
      <c r="AL186" s="5" t="s">
        <v>109</v>
      </c>
      <c r="AM186" s="5"/>
      <c r="AN186" s="5"/>
      <c r="AO186" s="5"/>
      <c r="AP186" s="5"/>
      <c r="AQ186" s="5"/>
      <c r="AR186" s="5"/>
      <c r="AS186" s="5"/>
      <c r="AT186" s="5"/>
      <c r="AU186" s="5"/>
    </row>
    <row r="187" spans="1:47" ht="44.1" customHeight="1" x14ac:dyDescent="0.2">
      <c r="A187" s="5" t="s">
        <v>99</v>
      </c>
      <c r="B187" s="7" t="s">
        <v>1451</v>
      </c>
      <c r="C187" s="7">
        <v>2011</v>
      </c>
      <c r="D187" s="5" t="s">
        <v>397</v>
      </c>
      <c r="E187" s="6" t="s">
        <v>406</v>
      </c>
      <c r="F187" s="7" t="s">
        <v>23</v>
      </c>
      <c r="G187" s="7" t="str">
        <f>IF(CropLCAs[[#This Row],[fbs_item]]="Insects","insect_ghg","plant_ghg")</f>
        <v>plant_ghg</v>
      </c>
      <c r="H187" s="49" t="s">
        <v>642</v>
      </c>
      <c r="I187" s="49"/>
      <c r="J187" s="49" t="s">
        <v>1290</v>
      </c>
      <c r="K187" s="5" t="s">
        <v>778</v>
      </c>
      <c r="L187" s="5" t="s">
        <v>404</v>
      </c>
      <c r="M187" s="5"/>
      <c r="N187" s="5" t="s">
        <v>102</v>
      </c>
      <c r="O187" s="5" t="s">
        <v>109</v>
      </c>
      <c r="P187" s="5" t="s">
        <v>102</v>
      </c>
      <c r="Q187" s="5" t="s">
        <v>102</v>
      </c>
      <c r="R187" s="5" t="s">
        <v>102</v>
      </c>
      <c r="S187" s="5" t="s">
        <v>102</v>
      </c>
      <c r="T187" s="5" t="s">
        <v>102</v>
      </c>
      <c r="U187" s="5">
        <v>100</v>
      </c>
      <c r="V187" s="5">
        <v>1</v>
      </c>
      <c r="W187" s="5" t="s">
        <v>106</v>
      </c>
      <c r="X187" s="24">
        <v>1.01</v>
      </c>
      <c r="Y187" s="5" t="s">
        <v>106</v>
      </c>
      <c r="Z187" s="5"/>
      <c r="AA187" s="5"/>
      <c r="AB187" s="24">
        <v>1</v>
      </c>
      <c r="AC187" s="5"/>
      <c r="AD187" s="5" t="str">
        <f t="shared" si="10"/>
        <v>kg_co2e_excl_luc</v>
      </c>
      <c r="AE187" s="24">
        <f>IF(CropLCAs[[#This Row],[Product fraction]]="",CropLCAs[[#This Row],[CO2e (value)]]*CropLCAs[[#This Row],[Conversion factor (value)]],CropLCAs[[#This Row],[CO2e (value)]]*CropLCAs[[#This Row],[Conversion factor (value)]]/CropLCAs[[#This Row],[Product fraction]]*CropLCAs[[#This Row],[Value fraction]])</f>
        <v>1.01</v>
      </c>
      <c r="AF187" s="5" t="s">
        <v>42</v>
      </c>
      <c r="AG187" s="5" t="str">
        <f t="shared" si="11"/>
        <v>processed_ghg</v>
      </c>
      <c r="AH187" s="5">
        <v>0.36</v>
      </c>
      <c r="AI187" s="5">
        <v>0.71</v>
      </c>
      <c r="AJ187" s="8">
        <f>IF(CropLCAs[[#This Row],[product_fraction]]&gt;0,CropLCAs[[#This Row],[footprint]]/CropLCAs[[#This Row],[product_fraction]]*CropLCAs[[#This Row],[value_fraction]],"")</f>
        <v>1.9919444444444445</v>
      </c>
      <c r="AK187" s="23">
        <f t="shared" si="13"/>
        <v>0.14285714285714285</v>
      </c>
      <c r="AL187" s="5" t="s">
        <v>109</v>
      </c>
      <c r="AM187" s="5"/>
      <c r="AN187" s="5"/>
      <c r="AO187" s="5"/>
      <c r="AP187" s="5"/>
      <c r="AQ187" s="5"/>
      <c r="AR187" s="5"/>
      <c r="AS187" s="5"/>
      <c r="AT187" s="5"/>
      <c r="AU187" s="5"/>
    </row>
    <row r="188" spans="1:47" ht="44.1" customHeight="1" x14ac:dyDescent="0.2">
      <c r="A188" s="5" t="s">
        <v>99</v>
      </c>
      <c r="B188" s="7" t="s">
        <v>1451</v>
      </c>
      <c r="C188" s="7">
        <v>2011</v>
      </c>
      <c r="D188" s="5" t="s">
        <v>397</v>
      </c>
      <c r="E188" s="6" t="s">
        <v>406</v>
      </c>
      <c r="F188" s="7" t="s">
        <v>23</v>
      </c>
      <c r="G188" s="7" t="str">
        <f>IF(CropLCAs[[#This Row],[fbs_item]]="Insects","insect_ghg","plant_ghg")</f>
        <v>plant_ghg</v>
      </c>
      <c r="H188" s="49" t="s">
        <v>642</v>
      </c>
      <c r="I188" s="49"/>
      <c r="J188" s="49" t="s">
        <v>1290</v>
      </c>
      <c r="K188" s="5" t="s">
        <v>778</v>
      </c>
      <c r="L188" s="5" t="s">
        <v>405</v>
      </c>
      <c r="M188" s="5"/>
      <c r="N188" s="5" t="s">
        <v>102</v>
      </c>
      <c r="O188" s="5" t="s">
        <v>109</v>
      </c>
      <c r="P188" s="5" t="s">
        <v>102</v>
      </c>
      <c r="Q188" s="5" t="s">
        <v>102</v>
      </c>
      <c r="R188" s="5" t="s">
        <v>102</v>
      </c>
      <c r="S188" s="5" t="s">
        <v>102</v>
      </c>
      <c r="T188" s="5" t="s">
        <v>102</v>
      </c>
      <c r="U188" s="5">
        <v>100</v>
      </c>
      <c r="V188" s="5">
        <v>1</v>
      </c>
      <c r="W188" s="5" t="s">
        <v>106</v>
      </c>
      <c r="X188" s="24">
        <v>1.22</v>
      </c>
      <c r="Y188" s="5" t="s">
        <v>106</v>
      </c>
      <c r="Z188" s="5"/>
      <c r="AA188" s="5"/>
      <c r="AB188" s="24">
        <v>1</v>
      </c>
      <c r="AC188" s="5"/>
      <c r="AD188" s="5" t="str">
        <f t="shared" si="10"/>
        <v>kg_co2e_excl_luc</v>
      </c>
      <c r="AE188" s="24">
        <f>IF(CropLCAs[[#This Row],[Product fraction]]="",CropLCAs[[#This Row],[CO2e (value)]]*CropLCAs[[#This Row],[Conversion factor (value)]],CropLCAs[[#This Row],[CO2e (value)]]*CropLCAs[[#This Row],[Conversion factor (value)]]/CropLCAs[[#This Row],[Product fraction]]*CropLCAs[[#This Row],[Value fraction]])</f>
        <v>1.22</v>
      </c>
      <c r="AF188" s="5" t="s">
        <v>42</v>
      </c>
      <c r="AG188" s="5" t="str">
        <f t="shared" si="11"/>
        <v>processed_ghg</v>
      </c>
      <c r="AH188" s="5">
        <v>0.36</v>
      </c>
      <c r="AI188" s="5">
        <v>0.71</v>
      </c>
      <c r="AJ188" s="8">
        <f>IF(CropLCAs[[#This Row],[product_fraction]]&gt;0,CropLCAs[[#This Row],[footprint]]/CropLCAs[[#This Row],[product_fraction]]*CropLCAs[[#This Row],[value_fraction]],"")</f>
        <v>2.4061111111111111</v>
      </c>
      <c r="AK188" s="23">
        <f t="shared" si="13"/>
        <v>0.14285714285714285</v>
      </c>
      <c r="AL188" s="5" t="s">
        <v>109</v>
      </c>
      <c r="AM188" s="5"/>
      <c r="AN188" s="5"/>
      <c r="AO188" s="5"/>
      <c r="AP188" s="5"/>
      <c r="AQ188" s="5"/>
      <c r="AR188" s="5"/>
      <c r="AS188" s="5"/>
      <c r="AT188" s="5"/>
      <c r="AU188" s="5"/>
    </row>
    <row r="189" spans="1:47" ht="44.1" customHeight="1" x14ac:dyDescent="0.2">
      <c r="A189" s="5" t="s">
        <v>99</v>
      </c>
      <c r="B189" s="7" t="s">
        <v>1451</v>
      </c>
      <c r="C189" s="7">
        <v>2011</v>
      </c>
      <c r="D189" s="5" t="s">
        <v>397</v>
      </c>
      <c r="E189" s="6" t="s">
        <v>407</v>
      </c>
      <c r="F189" s="7" t="s">
        <v>23</v>
      </c>
      <c r="G189" s="7" t="str">
        <f>IF(CropLCAs[[#This Row],[fbs_item]]="Insects","insect_ghg","plant_ghg")</f>
        <v>plant_ghg</v>
      </c>
      <c r="H189" s="49" t="s">
        <v>642</v>
      </c>
      <c r="I189" s="49"/>
      <c r="J189" s="49" t="s">
        <v>1290</v>
      </c>
      <c r="K189" s="5" t="s">
        <v>778</v>
      </c>
      <c r="L189" s="5" t="s">
        <v>399</v>
      </c>
      <c r="M189" s="5" t="s">
        <v>102</v>
      </c>
      <c r="N189" s="5" t="s">
        <v>102</v>
      </c>
      <c r="O189" s="5" t="s">
        <v>109</v>
      </c>
      <c r="P189" s="5" t="s">
        <v>102</v>
      </c>
      <c r="Q189" s="5" t="s">
        <v>102</v>
      </c>
      <c r="R189" s="5" t="s">
        <v>102</v>
      </c>
      <c r="S189" s="5" t="s">
        <v>102</v>
      </c>
      <c r="T189" s="5" t="s">
        <v>102</v>
      </c>
      <c r="U189" s="5">
        <v>100</v>
      </c>
      <c r="V189" s="5">
        <v>1</v>
      </c>
      <c r="W189" s="5" t="s">
        <v>106</v>
      </c>
      <c r="X189" s="24">
        <v>0.32</v>
      </c>
      <c r="Y189" s="5" t="s">
        <v>106</v>
      </c>
      <c r="Z189" s="5"/>
      <c r="AA189" s="5"/>
      <c r="AB189" s="24">
        <v>1</v>
      </c>
      <c r="AC189" s="5"/>
      <c r="AD189" s="5" t="str">
        <f t="shared" si="10"/>
        <v>kg_co2e_excl_luc</v>
      </c>
      <c r="AE189" s="24">
        <f>IF(CropLCAs[[#This Row],[Product fraction]]="",CropLCAs[[#This Row],[CO2e (value)]]*CropLCAs[[#This Row],[Conversion factor (value)]],CropLCAs[[#This Row],[CO2e (value)]]*CropLCAs[[#This Row],[Conversion factor (value)]]/CropLCAs[[#This Row],[Product fraction]]*CropLCAs[[#This Row],[Value fraction]])</f>
        <v>0.32</v>
      </c>
      <c r="AF189" s="5" t="s">
        <v>42</v>
      </c>
      <c r="AG189" s="5" t="str">
        <f t="shared" si="11"/>
        <v>processed_ghg</v>
      </c>
      <c r="AH189" s="5">
        <v>0.38</v>
      </c>
      <c r="AI189" s="5">
        <v>0.71</v>
      </c>
      <c r="AJ189" s="8">
        <f>IF(CropLCAs[[#This Row],[product_fraction]]&gt;0,CropLCAs[[#This Row],[footprint]]/CropLCAs[[#This Row],[product_fraction]]*CropLCAs[[#This Row],[value_fraction]],"")</f>
        <v>0.59789473684210515</v>
      </c>
      <c r="AK189" s="23">
        <f t="shared" si="13"/>
        <v>0.14285714285714285</v>
      </c>
      <c r="AL189" s="5" t="s">
        <v>109</v>
      </c>
      <c r="AM189" s="5"/>
      <c r="AN189" s="5"/>
      <c r="AO189" s="5"/>
      <c r="AP189" s="5"/>
      <c r="AQ189" s="5"/>
      <c r="AR189" s="5"/>
      <c r="AS189" s="5"/>
      <c r="AT189" s="5"/>
      <c r="AU189" s="5"/>
    </row>
    <row r="190" spans="1:47" ht="44.1" customHeight="1" x14ac:dyDescent="0.2">
      <c r="A190" s="5" t="s">
        <v>99</v>
      </c>
      <c r="B190" s="7" t="s">
        <v>1451</v>
      </c>
      <c r="C190" s="7">
        <v>2011</v>
      </c>
      <c r="D190" s="5" t="s">
        <v>397</v>
      </c>
      <c r="E190" s="6" t="s">
        <v>407</v>
      </c>
      <c r="F190" s="7" t="s">
        <v>23</v>
      </c>
      <c r="G190" s="7" t="str">
        <f>IF(CropLCAs[[#This Row],[fbs_item]]="Insects","insect_ghg","plant_ghg")</f>
        <v>plant_ghg</v>
      </c>
      <c r="H190" s="49" t="s">
        <v>642</v>
      </c>
      <c r="I190" s="49"/>
      <c r="J190" s="49" t="s">
        <v>1290</v>
      </c>
      <c r="K190" s="5" t="s">
        <v>778</v>
      </c>
      <c r="L190" s="5" t="s">
        <v>400</v>
      </c>
      <c r="M190" s="5"/>
      <c r="N190" s="5" t="s">
        <v>102</v>
      </c>
      <c r="O190" s="5" t="s">
        <v>109</v>
      </c>
      <c r="P190" s="5" t="s">
        <v>102</v>
      </c>
      <c r="Q190" s="5" t="s">
        <v>102</v>
      </c>
      <c r="R190" s="5" t="s">
        <v>102</v>
      </c>
      <c r="S190" s="5" t="s">
        <v>102</v>
      </c>
      <c r="T190" s="5" t="s">
        <v>102</v>
      </c>
      <c r="U190" s="5">
        <v>100</v>
      </c>
      <c r="V190" s="5">
        <v>1</v>
      </c>
      <c r="W190" s="5" t="s">
        <v>106</v>
      </c>
      <c r="X190" s="24">
        <v>0.42</v>
      </c>
      <c r="Y190" s="5" t="s">
        <v>106</v>
      </c>
      <c r="Z190" s="5"/>
      <c r="AA190" s="5"/>
      <c r="AB190" s="24">
        <v>1</v>
      </c>
      <c r="AC190" s="5"/>
      <c r="AD190" s="5" t="str">
        <f t="shared" si="10"/>
        <v>kg_co2e_excl_luc</v>
      </c>
      <c r="AE190" s="24">
        <f>IF(CropLCAs[[#This Row],[Product fraction]]="",CropLCAs[[#This Row],[CO2e (value)]]*CropLCAs[[#This Row],[Conversion factor (value)]],CropLCAs[[#This Row],[CO2e (value)]]*CropLCAs[[#This Row],[Conversion factor (value)]]/CropLCAs[[#This Row],[Product fraction]]*CropLCAs[[#This Row],[Value fraction]])</f>
        <v>0.42</v>
      </c>
      <c r="AF190" s="5" t="s">
        <v>42</v>
      </c>
      <c r="AG190" s="5" t="str">
        <f t="shared" si="11"/>
        <v>processed_ghg</v>
      </c>
      <c r="AH190" s="5">
        <v>0.38</v>
      </c>
      <c r="AI190" s="5">
        <v>0.71</v>
      </c>
      <c r="AJ190" s="8">
        <f>IF(CropLCAs[[#This Row],[product_fraction]]&gt;0,CropLCAs[[#This Row],[footprint]]/CropLCAs[[#This Row],[product_fraction]]*CropLCAs[[#This Row],[value_fraction]],"")</f>
        <v>0.78473684210526307</v>
      </c>
      <c r="AK190" s="23">
        <f t="shared" si="13"/>
        <v>0.14285714285714285</v>
      </c>
      <c r="AL190" s="5" t="s">
        <v>109</v>
      </c>
      <c r="AM190" s="5"/>
      <c r="AN190" s="5"/>
      <c r="AO190" s="5"/>
      <c r="AP190" s="5"/>
      <c r="AQ190" s="5"/>
      <c r="AR190" s="5"/>
      <c r="AS190" s="5"/>
      <c r="AT190" s="5"/>
      <c r="AU190" s="5"/>
    </row>
    <row r="191" spans="1:47" ht="44.1" customHeight="1" x14ac:dyDescent="0.2">
      <c r="A191" s="5" t="s">
        <v>99</v>
      </c>
      <c r="B191" s="7" t="s">
        <v>1451</v>
      </c>
      <c r="C191" s="7">
        <v>2011</v>
      </c>
      <c r="D191" s="5" t="s">
        <v>397</v>
      </c>
      <c r="E191" s="6" t="s">
        <v>407</v>
      </c>
      <c r="F191" s="7" t="s">
        <v>23</v>
      </c>
      <c r="G191" s="7" t="str">
        <f>IF(CropLCAs[[#This Row],[fbs_item]]="Insects","insect_ghg","plant_ghg")</f>
        <v>plant_ghg</v>
      </c>
      <c r="H191" s="49" t="s">
        <v>642</v>
      </c>
      <c r="I191" s="49"/>
      <c r="J191" s="49" t="s">
        <v>1290</v>
      </c>
      <c r="K191" s="5" t="s">
        <v>778</v>
      </c>
      <c r="L191" s="5" t="s">
        <v>401</v>
      </c>
      <c r="M191" s="5"/>
      <c r="N191" s="5" t="s">
        <v>102</v>
      </c>
      <c r="O191" s="5" t="s">
        <v>109</v>
      </c>
      <c r="P191" s="5" t="s">
        <v>102</v>
      </c>
      <c r="Q191" s="5" t="s">
        <v>102</v>
      </c>
      <c r="R191" s="5" t="s">
        <v>102</v>
      </c>
      <c r="S191" s="5" t="s">
        <v>102</v>
      </c>
      <c r="T191" s="5" t="s">
        <v>102</v>
      </c>
      <c r="U191" s="5">
        <v>100</v>
      </c>
      <c r="V191" s="5">
        <v>1</v>
      </c>
      <c r="W191" s="5" t="s">
        <v>106</v>
      </c>
      <c r="X191" s="24">
        <v>0.52</v>
      </c>
      <c r="Y191" s="5" t="s">
        <v>106</v>
      </c>
      <c r="Z191" s="5"/>
      <c r="AA191" s="5"/>
      <c r="AB191" s="24">
        <v>1</v>
      </c>
      <c r="AC191" s="5"/>
      <c r="AD191" s="5" t="str">
        <f t="shared" si="10"/>
        <v>kg_co2e_excl_luc</v>
      </c>
      <c r="AE191" s="24">
        <f>IF(CropLCAs[[#This Row],[Product fraction]]="",CropLCAs[[#This Row],[CO2e (value)]]*CropLCAs[[#This Row],[Conversion factor (value)]],CropLCAs[[#This Row],[CO2e (value)]]*CropLCAs[[#This Row],[Conversion factor (value)]]/CropLCAs[[#This Row],[Product fraction]]*CropLCAs[[#This Row],[Value fraction]])</f>
        <v>0.52</v>
      </c>
      <c r="AF191" s="5" t="s">
        <v>42</v>
      </c>
      <c r="AG191" s="5" t="str">
        <f t="shared" si="11"/>
        <v>processed_ghg</v>
      </c>
      <c r="AH191" s="5">
        <v>0.38</v>
      </c>
      <c r="AI191" s="5">
        <v>0.71</v>
      </c>
      <c r="AJ191" s="8">
        <f>IF(CropLCAs[[#This Row],[product_fraction]]&gt;0,CropLCAs[[#This Row],[footprint]]/CropLCAs[[#This Row],[product_fraction]]*CropLCAs[[#This Row],[value_fraction]],"")</f>
        <v>0.97157894736842099</v>
      </c>
      <c r="AK191" s="23">
        <f t="shared" si="13"/>
        <v>0.14285714285714285</v>
      </c>
      <c r="AL191" s="5" t="s">
        <v>109</v>
      </c>
      <c r="AM191" s="5"/>
      <c r="AN191" s="5"/>
      <c r="AO191" s="5"/>
      <c r="AP191" s="5"/>
      <c r="AQ191" s="5"/>
      <c r="AR191" s="5"/>
      <c r="AS191" s="5"/>
      <c r="AT191" s="5"/>
      <c r="AU191" s="5"/>
    </row>
    <row r="192" spans="1:47" ht="44.1" customHeight="1" x14ac:dyDescent="0.2">
      <c r="A192" s="5" t="s">
        <v>99</v>
      </c>
      <c r="B192" s="7" t="s">
        <v>1451</v>
      </c>
      <c r="C192" s="7">
        <v>2011</v>
      </c>
      <c r="D192" s="5" t="s">
        <v>397</v>
      </c>
      <c r="E192" s="6" t="s">
        <v>407</v>
      </c>
      <c r="F192" s="7" t="s">
        <v>23</v>
      </c>
      <c r="G192" s="7" t="str">
        <f>IF(CropLCAs[[#This Row],[fbs_item]]="Insects","insect_ghg","plant_ghg")</f>
        <v>plant_ghg</v>
      </c>
      <c r="H192" s="49" t="s">
        <v>642</v>
      </c>
      <c r="I192" s="49"/>
      <c r="J192" s="49" t="s">
        <v>1290</v>
      </c>
      <c r="K192" s="5" t="s">
        <v>778</v>
      </c>
      <c r="L192" s="5" t="s">
        <v>402</v>
      </c>
      <c r="M192" s="5"/>
      <c r="N192" s="5" t="s">
        <v>102</v>
      </c>
      <c r="O192" s="5" t="s">
        <v>109</v>
      </c>
      <c r="P192" s="5" t="s">
        <v>102</v>
      </c>
      <c r="Q192" s="5" t="s">
        <v>102</v>
      </c>
      <c r="R192" s="5" t="s">
        <v>102</v>
      </c>
      <c r="S192" s="5" t="s">
        <v>102</v>
      </c>
      <c r="T192" s="5" t="s">
        <v>102</v>
      </c>
      <c r="U192" s="5">
        <v>100</v>
      </c>
      <c r="V192" s="5">
        <v>1</v>
      </c>
      <c r="W192" s="5" t="s">
        <v>106</v>
      </c>
      <c r="X192" s="24">
        <v>0.8</v>
      </c>
      <c r="Y192" s="5" t="s">
        <v>106</v>
      </c>
      <c r="Z192" s="5"/>
      <c r="AA192" s="5"/>
      <c r="AB192" s="24">
        <v>1</v>
      </c>
      <c r="AC192" s="5"/>
      <c r="AD192" s="5" t="str">
        <f t="shared" si="10"/>
        <v>kg_co2e_excl_luc</v>
      </c>
      <c r="AE192" s="24">
        <f>IF(CropLCAs[[#This Row],[Product fraction]]="",CropLCAs[[#This Row],[CO2e (value)]]*CropLCAs[[#This Row],[Conversion factor (value)]],CropLCAs[[#This Row],[CO2e (value)]]*CropLCAs[[#This Row],[Conversion factor (value)]]/CropLCAs[[#This Row],[Product fraction]]*CropLCAs[[#This Row],[Value fraction]])</f>
        <v>0.8</v>
      </c>
      <c r="AF192" s="5" t="s">
        <v>42</v>
      </c>
      <c r="AG192" s="5" t="str">
        <f t="shared" si="11"/>
        <v>processed_ghg</v>
      </c>
      <c r="AH192" s="5">
        <v>0.38</v>
      </c>
      <c r="AI192" s="5">
        <v>0.71</v>
      </c>
      <c r="AJ192" s="8">
        <f>IF(CropLCAs[[#This Row],[product_fraction]]&gt;0,CropLCAs[[#This Row],[footprint]]/CropLCAs[[#This Row],[product_fraction]]*CropLCAs[[#This Row],[value_fraction]],"")</f>
        <v>1.4947368421052629</v>
      </c>
      <c r="AK192" s="23">
        <f t="shared" si="13"/>
        <v>0.14285714285714285</v>
      </c>
      <c r="AL192" s="5" t="s">
        <v>109</v>
      </c>
      <c r="AM192" s="5"/>
      <c r="AN192" s="5"/>
      <c r="AO192" s="5"/>
      <c r="AP192" s="5"/>
      <c r="AQ192" s="5"/>
      <c r="AR192" s="5"/>
      <c r="AS192" s="5"/>
      <c r="AT192" s="5"/>
      <c r="AU192" s="5"/>
    </row>
    <row r="193" spans="1:47" ht="44.1" customHeight="1" x14ac:dyDescent="0.2">
      <c r="A193" s="5" t="s">
        <v>99</v>
      </c>
      <c r="B193" s="7" t="s">
        <v>1451</v>
      </c>
      <c r="C193" s="7">
        <v>2011</v>
      </c>
      <c r="D193" s="5" t="s">
        <v>397</v>
      </c>
      <c r="E193" s="6" t="s">
        <v>407</v>
      </c>
      <c r="F193" s="7" t="s">
        <v>23</v>
      </c>
      <c r="G193" s="7" t="str">
        <f>IF(CropLCAs[[#This Row],[fbs_item]]="Insects","insect_ghg","plant_ghg")</f>
        <v>plant_ghg</v>
      </c>
      <c r="H193" s="49" t="s">
        <v>642</v>
      </c>
      <c r="I193" s="49"/>
      <c r="J193" s="49" t="s">
        <v>1290</v>
      </c>
      <c r="K193" s="5" t="s">
        <v>778</v>
      </c>
      <c r="L193" s="5" t="s">
        <v>403</v>
      </c>
      <c r="M193" s="5"/>
      <c r="N193" s="5" t="s">
        <v>102</v>
      </c>
      <c r="O193" s="5" t="s">
        <v>109</v>
      </c>
      <c r="P193" s="5" t="s">
        <v>102</v>
      </c>
      <c r="Q193" s="5" t="s">
        <v>102</v>
      </c>
      <c r="R193" s="5" t="s">
        <v>102</v>
      </c>
      <c r="S193" s="5" t="s">
        <v>102</v>
      </c>
      <c r="T193" s="5" t="s">
        <v>102</v>
      </c>
      <c r="U193" s="5">
        <v>100</v>
      </c>
      <c r="V193" s="5">
        <v>1</v>
      </c>
      <c r="W193" s="5" t="s">
        <v>106</v>
      </c>
      <c r="X193" s="24">
        <v>0.98</v>
      </c>
      <c r="Y193" s="5" t="s">
        <v>106</v>
      </c>
      <c r="Z193" s="5"/>
      <c r="AA193" s="5"/>
      <c r="AB193" s="24">
        <v>1</v>
      </c>
      <c r="AC193" s="5"/>
      <c r="AD193" s="5" t="str">
        <f t="shared" si="10"/>
        <v>kg_co2e_excl_luc</v>
      </c>
      <c r="AE193" s="24">
        <f>IF(CropLCAs[[#This Row],[Product fraction]]="",CropLCAs[[#This Row],[CO2e (value)]]*CropLCAs[[#This Row],[Conversion factor (value)]],CropLCAs[[#This Row],[CO2e (value)]]*CropLCAs[[#This Row],[Conversion factor (value)]]/CropLCAs[[#This Row],[Product fraction]]*CropLCAs[[#This Row],[Value fraction]])</f>
        <v>0.98</v>
      </c>
      <c r="AF193" s="5" t="s">
        <v>42</v>
      </c>
      <c r="AG193" s="5" t="str">
        <f t="shared" si="11"/>
        <v>processed_ghg</v>
      </c>
      <c r="AH193" s="5">
        <v>0.38</v>
      </c>
      <c r="AI193" s="5">
        <v>0.71</v>
      </c>
      <c r="AJ193" s="8">
        <f>IF(CropLCAs[[#This Row],[product_fraction]]&gt;0,CropLCAs[[#This Row],[footprint]]/CropLCAs[[#This Row],[product_fraction]]*CropLCAs[[#This Row],[value_fraction]],"")</f>
        <v>1.8310526315789473</v>
      </c>
      <c r="AK193" s="23">
        <f t="shared" si="13"/>
        <v>0.14285714285714285</v>
      </c>
      <c r="AL193" s="5" t="s">
        <v>109</v>
      </c>
      <c r="AM193" s="5"/>
      <c r="AN193" s="5"/>
      <c r="AO193" s="5"/>
      <c r="AP193" s="5"/>
      <c r="AQ193" s="5"/>
      <c r="AR193" s="5"/>
      <c r="AS193" s="5"/>
      <c r="AT193" s="5"/>
      <c r="AU193" s="5"/>
    </row>
    <row r="194" spans="1:47" ht="44.1" customHeight="1" x14ac:dyDescent="0.2">
      <c r="A194" s="5" t="s">
        <v>99</v>
      </c>
      <c r="B194" s="7" t="s">
        <v>1451</v>
      </c>
      <c r="C194" s="7">
        <v>2011</v>
      </c>
      <c r="D194" s="5" t="s">
        <v>397</v>
      </c>
      <c r="E194" s="6" t="s">
        <v>407</v>
      </c>
      <c r="F194" s="7" t="s">
        <v>23</v>
      </c>
      <c r="G194" s="7" t="str">
        <f>IF(CropLCAs[[#This Row],[fbs_item]]="Insects","insect_ghg","plant_ghg")</f>
        <v>plant_ghg</v>
      </c>
      <c r="H194" s="49" t="s">
        <v>642</v>
      </c>
      <c r="I194" s="49"/>
      <c r="J194" s="49" t="s">
        <v>1290</v>
      </c>
      <c r="K194" s="5" t="s">
        <v>778</v>
      </c>
      <c r="L194" s="5" t="s">
        <v>404</v>
      </c>
      <c r="M194" s="5"/>
      <c r="N194" s="5" t="s">
        <v>102</v>
      </c>
      <c r="O194" s="5" t="s">
        <v>109</v>
      </c>
      <c r="P194" s="5" t="s">
        <v>102</v>
      </c>
      <c r="Q194" s="5" t="s">
        <v>102</v>
      </c>
      <c r="R194" s="5" t="s">
        <v>102</v>
      </c>
      <c r="S194" s="5" t="s">
        <v>102</v>
      </c>
      <c r="T194" s="5" t="s">
        <v>102</v>
      </c>
      <c r="U194" s="5">
        <v>100</v>
      </c>
      <c r="V194" s="5">
        <v>1</v>
      </c>
      <c r="W194" s="5" t="s">
        <v>106</v>
      </c>
      <c r="X194" s="24">
        <v>1.28</v>
      </c>
      <c r="Y194" s="5" t="s">
        <v>106</v>
      </c>
      <c r="Z194" s="5"/>
      <c r="AA194" s="5"/>
      <c r="AB194" s="24">
        <v>1</v>
      </c>
      <c r="AC194" s="5"/>
      <c r="AD194" s="5" t="str">
        <f t="shared" si="10"/>
        <v>kg_co2e_excl_luc</v>
      </c>
      <c r="AE194" s="24">
        <f>IF(CropLCAs[[#This Row],[Product fraction]]="",CropLCAs[[#This Row],[CO2e (value)]]*CropLCAs[[#This Row],[Conversion factor (value)]],CropLCAs[[#This Row],[CO2e (value)]]*CropLCAs[[#This Row],[Conversion factor (value)]]/CropLCAs[[#This Row],[Product fraction]]*CropLCAs[[#This Row],[Value fraction]])</f>
        <v>1.28</v>
      </c>
      <c r="AF194" s="5" t="s">
        <v>42</v>
      </c>
      <c r="AG194" s="5" t="str">
        <f t="shared" si="11"/>
        <v>processed_ghg</v>
      </c>
      <c r="AH194" s="5">
        <v>0.38</v>
      </c>
      <c r="AI194" s="5">
        <v>0.71</v>
      </c>
      <c r="AJ194" s="8">
        <f>IF(CropLCAs[[#This Row],[product_fraction]]&gt;0,CropLCAs[[#This Row],[footprint]]/CropLCAs[[#This Row],[product_fraction]]*CropLCAs[[#This Row],[value_fraction]],"")</f>
        <v>2.3915789473684206</v>
      </c>
      <c r="AK194" s="23">
        <f t="shared" si="13"/>
        <v>0.14285714285714285</v>
      </c>
      <c r="AL194" s="5" t="s">
        <v>109</v>
      </c>
      <c r="AM194" s="5"/>
      <c r="AN194" s="5"/>
      <c r="AO194" s="5"/>
      <c r="AP194" s="5"/>
      <c r="AQ194" s="5"/>
      <c r="AR194" s="5"/>
      <c r="AS194" s="5"/>
      <c r="AT194" s="5"/>
      <c r="AU194" s="5"/>
    </row>
    <row r="195" spans="1:47" ht="44.1" customHeight="1" x14ac:dyDescent="0.2">
      <c r="A195" s="5" t="s">
        <v>99</v>
      </c>
      <c r="B195" s="7" t="s">
        <v>1451</v>
      </c>
      <c r="C195" s="7">
        <v>2011</v>
      </c>
      <c r="D195" s="5" t="s">
        <v>397</v>
      </c>
      <c r="E195" s="6" t="s">
        <v>407</v>
      </c>
      <c r="F195" s="7" t="s">
        <v>23</v>
      </c>
      <c r="G195" s="7" t="str">
        <f>IF(CropLCAs[[#This Row],[fbs_item]]="Insects","insect_ghg","plant_ghg")</f>
        <v>plant_ghg</v>
      </c>
      <c r="H195" s="49" t="s">
        <v>642</v>
      </c>
      <c r="I195" s="49"/>
      <c r="J195" s="49" t="s">
        <v>1290</v>
      </c>
      <c r="K195" s="5" t="s">
        <v>778</v>
      </c>
      <c r="L195" s="5" t="s">
        <v>405</v>
      </c>
      <c r="M195" s="5"/>
      <c r="N195" s="5" t="s">
        <v>102</v>
      </c>
      <c r="O195" s="5" t="s">
        <v>109</v>
      </c>
      <c r="P195" s="5" t="s">
        <v>102</v>
      </c>
      <c r="Q195" s="5" t="s">
        <v>102</v>
      </c>
      <c r="R195" s="5" t="s">
        <v>102</v>
      </c>
      <c r="S195" s="5" t="s">
        <v>102</v>
      </c>
      <c r="T195" s="5" t="s">
        <v>102</v>
      </c>
      <c r="U195" s="5">
        <v>100</v>
      </c>
      <c r="V195" s="5">
        <v>1</v>
      </c>
      <c r="W195" s="5" t="s">
        <v>106</v>
      </c>
      <c r="X195" s="24">
        <v>1.55</v>
      </c>
      <c r="Y195" s="5" t="s">
        <v>106</v>
      </c>
      <c r="Z195" s="5"/>
      <c r="AA195" s="5"/>
      <c r="AB195" s="24">
        <v>1</v>
      </c>
      <c r="AC195" s="5"/>
      <c r="AD195" s="5" t="str">
        <f t="shared" si="10"/>
        <v>kg_co2e_excl_luc</v>
      </c>
      <c r="AE195" s="24">
        <f>IF(CropLCAs[[#This Row],[Product fraction]]="",CropLCAs[[#This Row],[CO2e (value)]]*CropLCAs[[#This Row],[Conversion factor (value)]],CropLCAs[[#This Row],[CO2e (value)]]*CropLCAs[[#This Row],[Conversion factor (value)]]/CropLCAs[[#This Row],[Product fraction]]*CropLCAs[[#This Row],[Value fraction]])</f>
        <v>1.55</v>
      </c>
      <c r="AF195" s="5" t="s">
        <v>42</v>
      </c>
      <c r="AG195" s="5" t="str">
        <f t="shared" si="11"/>
        <v>processed_ghg</v>
      </c>
      <c r="AH195" s="5">
        <v>0.38</v>
      </c>
      <c r="AI195" s="5">
        <v>0.71</v>
      </c>
      <c r="AJ195" s="8">
        <f>IF(CropLCAs[[#This Row],[product_fraction]]&gt;0,CropLCAs[[#This Row],[footprint]]/CropLCAs[[#This Row],[product_fraction]]*CropLCAs[[#This Row],[value_fraction]],"")</f>
        <v>2.8960526315789474</v>
      </c>
      <c r="AK195" s="23">
        <f t="shared" si="13"/>
        <v>0.14285714285714285</v>
      </c>
      <c r="AL195" s="5" t="s">
        <v>109</v>
      </c>
      <c r="AM195" s="5"/>
      <c r="AN195" s="5"/>
      <c r="AO195" s="5"/>
      <c r="AP195" s="5"/>
      <c r="AQ195" s="5"/>
      <c r="AR195" s="5"/>
      <c r="AS195" s="5"/>
      <c r="AT195" s="5"/>
      <c r="AU195" s="5"/>
    </row>
    <row r="196" spans="1:47" ht="44.1" customHeight="1" x14ac:dyDescent="0.2">
      <c r="A196" s="5" t="s">
        <v>99</v>
      </c>
      <c r="B196" s="7" t="s">
        <v>1451</v>
      </c>
      <c r="C196" s="7">
        <v>2011</v>
      </c>
      <c r="D196" s="5" t="s">
        <v>397</v>
      </c>
      <c r="E196" s="6" t="s">
        <v>409</v>
      </c>
      <c r="F196" s="7" t="s">
        <v>23</v>
      </c>
      <c r="G196" s="7" t="str">
        <f>IF(CropLCAs[[#This Row],[fbs_item]]="Insects","insect_ghg","plant_ghg")</f>
        <v>plant_ghg</v>
      </c>
      <c r="H196" s="49" t="s">
        <v>642</v>
      </c>
      <c r="I196" s="49"/>
      <c r="J196" s="49" t="s">
        <v>1290</v>
      </c>
      <c r="K196" s="5" t="s">
        <v>778</v>
      </c>
      <c r="L196" s="5" t="s">
        <v>399</v>
      </c>
      <c r="M196" s="5" t="s">
        <v>102</v>
      </c>
      <c r="N196" s="5" t="s">
        <v>102</v>
      </c>
      <c r="O196" s="5" t="s">
        <v>109</v>
      </c>
      <c r="P196" s="5" t="s">
        <v>102</v>
      </c>
      <c r="Q196" s="5" t="s">
        <v>102</v>
      </c>
      <c r="R196" s="5" t="s">
        <v>102</v>
      </c>
      <c r="S196" s="5" t="s">
        <v>102</v>
      </c>
      <c r="T196" s="5" t="s">
        <v>102</v>
      </c>
      <c r="U196" s="5">
        <v>100</v>
      </c>
      <c r="V196" s="5">
        <v>1</v>
      </c>
      <c r="W196" s="5" t="s">
        <v>106</v>
      </c>
      <c r="X196" s="24">
        <v>0.25</v>
      </c>
      <c r="Y196" s="5" t="s">
        <v>106</v>
      </c>
      <c r="Z196" s="5"/>
      <c r="AA196" s="5"/>
      <c r="AB196" s="24">
        <v>1</v>
      </c>
      <c r="AC196" s="5"/>
      <c r="AD196" s="5" t="str">
        <f t="shared" si="10"/>
        <v>kg_co2e_excl_luc</v>
      </c>
      <c r="AE196" s="24">
        <f>IF(CropLCAs[[#This Row],[Product fraction]]="",CropLCAs[[#This Row],[CO2e (value)]]*CropLCAs[[#This Row],[Conversion factor (value)]],CropLCAs[[#This Row],[CO2e (value)]]*CropLCAs[[#This Row],[Conversion factor (value)]]/CropLCAs[[#This Row],[Product fraction]]*CropLCAs[[#This Row],[Value fraction]])</f>
        <v>0.25</v>
      </c>
      <c r="AF196" s="5" t="s">
        <v>42</v>
      </c>
      <c r="AG196" s="5" t="str">
        <f t="shared" si="11"/>
        <v>processed_ghg</v>
      </c>
      <c r="AH196" s="5">
        <v>0.38</v>
      </c>
      <c r="AI196" s="5">
        <v>0.71</v>
      </c>
      <c r="AJ196" s="8">
        <f>IF(CropLCAs[[#This Row],[product_fraction]]&gt;0,CropLCAs[[#This Row],[footprint]]/CropLCAs[[#This Row],[product_fraction]]*CropLCAs[[#This Row],[value_fraction]],"")</f>
        <v>0.46710526315789475</v>
      </c>
      <c r="AK196" s="23">
        <f t="shared" si="13"/>
        <v>0.14285714285714285</v>
      </c>
      <c r="AL196" s="5" t="s">
        <v>109</v>
      </c>
      <c r="AM196" s="5"/>
      <c r="AN196" s="5"/>
      <c r="AO196" s="5"/>
      <c r="AP196" s="5"/>
      <c r="AQ196" s="5"/>
      <c r="AR196" s="5"/>
      <c r="AS196" s="5"/>
      <c r="AT196" s="5"/>
      <c r="AU196" s="5"/>
    </row>
    <row r="197" spans="1:47" ht="44.1" customHeight="1" x14ac:dyDescent="0.2">
      <c r="A197" s="5" t="s">
        <v>99</v>
      </c>
      <c r="B197" s="7" t="s">
        <v>1451</v>
      </c>
      <c r="C197" s="7">
        <v>2011</v>
      </c>
      <c r="D197" s="5" t="s">
        <v>397</v>
      </c>
      <c r="E197" s="6" t="s">
        <v>409</v>
      </c>
      <c r="F197" s="7" t="s">
        <v>23</v>
      </c>
      <c r="G197" s="7" t="str">
        <f>IF(CropLCAs[[#This Row],[fbs_item]]="Insects","insect_ghg","plant_ghg")</f>
        <v>plant_ghg</v>
      </c>
      <c r="H197" s="49" t="s">
        <v>642</v>
      </c>
      <c r="I197" s="49"/>
      <c r="J197" s="49" t="s">
        <v>1290</v>
      </c>
      <c r="K197" s="5" t="s">
        <v>778</v>
      </c>
      <c r="L197" s="5" t="s">
        <v>400</v>
      </c>
      <c r="M197" s="5"/>
      <c r="N197" s="5" t="s">
        <v>102</v>
      </c>
      <c r="O197" s="5" t="s">
        <v>109</v>
      </c>
      <c r="P197" s="5" t="s">
        <v>102</v>
      </c>
      <c r="Q197" s="5" t="s">
        <v>102</v>
      </c>
      <c r="R197" s="5" t="s">
        <v>102</v>
      </c>
      <c r="S197" s="5" t="s">
        <v>102</v>
      </c>
      <c r="T197" s="5" t="s">
        <v>102</v>
      </c>
      <c r="U197" s="5">
        <v>100</v>
      </c>
      <c r="V197" s="5">
        <v>1</v>
      </c>
      <c r="W197" s="5" t="s">
        <v>106</v>
      </c>
      <c r="X197" s="24">
        <v>0.35</v>
      </c>
      <c r="Y197" s="5" t="s">
        <v>106</v>
      </c>
      <c r="Z197" s="5"/>
      <c r="AA197" s="5"/>
      <c r="AB197" s="24">
        <v>1</v>
      </c>
      <c r="AC197" s="5"/>
      <c r="AD197" s="5" t="str">
        <f t="shared" ref="AD197:AD260" si="14">"kg_co2e_excl_luc"</f>
        <v>kg_co2e_excl_luc</v>
      </c>
      <c r="AE197" s="24">
        <f>IF(CropLCAs[[#This Row],[Product fraction]]="",CropLCAs[[#This Row],[CO2e (value)]]*CropLCAs[[#This Row],[Conversion factor (value)]],CropLCAs[[#This Row],[CO2e (value)]]*CropLCAs[[#This Row],[Conversion factor (value)]]/CropLCAs[[#This Row],[Product fraction]]*CropLCAs[[#This Row],[Value fraction]])</f>
        <v>0.35</v>
      </c>
      <c r="AF197" s="5" t="s">
        <v>42</v>
      </c>
      <c r="AG197" s="5" t="str">
        <f t="shared" ref="AG197:AG260" si="15">"processed_ghg"</f>
        <v>processed_ghg</v>
      </c>
      <c r="AH197" s="5">
        <v>0.38</v>
      </c>
      <c r="AI197" s="5">
        <v>0.71</v>
      </c>
      <c r="AJ197" s="8">
        <f>IF(CropLCAs[[#This Row],[product_fraction]]&gt;0,CropLCAs[[#This Row],[footprint]]/CropLCAs[[#This Row],[product_fraction]]*CropLCAs[[#This Row],[value_fraction]],"")</f>
        <v>0.65394736842105261</v>
      </c>
      <c r="AK197" s="23">
        <f t="shared" si="13"/>
        <v>0.14285714285714285</v>
      </c>
      <c r="AL197" s="5" t="s">
        <v>109</v>
      </c>
      <c r="AM197" s="5"/>
      <c r="AN197" s="5"/>
      <c r="AO197" s="5"/>
      <c r="AP197" s="5"/>
      <c r="AQ197" s="5"/>
      <c r="AR197" s="5"/>
      <c r="AS197" s="5"/>
      <c r="AT197" s="5"/>
      <c r="AU197" s="5"/>
    </row>
    <row r="198" spans="1:47" ht="44.1" customHeight="1" x14ac:dyDescent="0.2">
      <c r="A198" s="5" t="s">
        <v>99</v>
      </c>
      <c r="B198" s="7" t="s">
        <v>1451</v>
      </c>
      <c r="C198" s="7">
        <v>2011</v>
      </c>
      <c r="D198" s="5" t="s">
        <v>397</v>
      </c>
      <c r="E198" s="6" t="s">
        <v>409</v>
      </c>
      <c r="F198" s="7" t="s">
        <v>23</v>
      </c>
      <c r="G198" s="7" t="str">
        <f>IF(CropLCAs[[#This Row],[fbs_item]]="Insects","insect_ghg","plant_ghg")</f>
        <v>plant_ghg</v>
      </c>
      <c r="H198" s="49" t="s">
        <v>642</v>
      </c>
      <c r="I198" s="49"/>
      <c r="J198" s="49" t="s">
        <v>1290</v>
      </c>
      <c r="K198" s="5" t="s">
        <v>778</v>
      </c>
      <c r="L198" s="5" t="s">
        <v>401</v>
      </c>
      <c r="M198" s="5"/>
      <c r="N198" s="5" t="s">
        <v>102</v>
      </c>
      <c r="O198" s="5" t="s">
        <v>109</v>
      </c>
      <c r="P198" s="5" t="s">
        <v>102</v>
      </c>
      <c r="Q198" s="5" t="s">
        <v>102</v>
      </c>
      <c r="R198" s="5" t="s">
        <v>102</v>
      </c>
      <c r="S198" s="5" t="s">
        <v>102</v>
      </c>
      <c r="T198" s="5" t="s">
        <v>102</v>
      </c>
      <c r="U198" s="5">
        <v>100</v>
      </c>
      <c r="V198" s="5">
        <v>1</v>
      </c>
      <c r="W198" s="5" t="s">
        <v>106</v>
      </c>
      <c r="X198" s="24">
        <v>0.43</v>
      </c>
      <c r="Y198" s="5" t="s">
        <v>106</v>
      </c>
      <c r="Z198" s="5"/>
      <c r="AA198" s="5"/>
      <c r="AB198" s="24">
        <v>1</v>
      </c>
      <c r="AC198" s="5"/>
      <c r="AD198" s="5" t="str">
        <f t="shared" si="14"/>
        <v>kg_co2e_excl_luc</v>
      </c>
      <c r="AE198" s="24">
        <f>IF(CropLCAs[[#This Row],[Product fraction]]="",CropLCAs[[#This Row],[CO2e (value)]]*CropLCAs[[#This Row],[Conversion factor (value)]],CropLCAs[[#This Row],[CO2e (value)]]*CropLCAs[[#This Row],[Conversion factor (value)]]/CropLCAs[[#This Row],[Product fraction]]*CropLCAs[[#This Row],[Value fraction]])</f>
        <v>0.43</v>
      </c>
      <c r="AF198" s="5" t="s">
        <v>42</v>
      </c>
      <c r="AG198" s="5" t="str">
        <f t="shared" si="15"/>
        <v>processed_ghg</v>
      </c>
      <c r="AH198" s="5">
        <v>0.38</v>
      </c>
      <c r="AI198" s="5">
        <v>0.71</v>
      </c>
      <c r="AJ198" s="8">
        <f>IF(CropLCAs[[#This Row],[product_fraction]]&gt;0,CropLCAs[[#This Row],[footprint]]/CropLCAs[[#This Row],[product_fraction]]*CropLCAs[[#This Row],[value_fraction]],"")</f>
        <v>0.80342105263157892</v>
      </c>
      <c r="AK198" s="23">
        <f t="shared" si="13"/>
        <v>0.14285714285714285</v>
      </c>
      <c r="AL198" s="5" t="s">
        <v>109</v>
      </c>
      <c r="AM198" s="5"/>
      <c r="AN198" s="5"/>
      <c r="AO198" s="5"/>
      <c r="AP198" s="5"/>
      <c r="AQ198" s="5"/>
      <c r="AR198" s="5"/>
      <c r="AS198" s="5"/>
      <c r="AT198" s="5"/>
      <c r="AU198" s="5"/>
    </row>
    <row r="199" spans="1:47" ht="44.1" customHeight="1" x14ac:dyDescent="0.2">
      <c r="A199" s="5" t="s">
        <v>99</v>
      </c>
      <c r="B199" s="7" t="s">
        <v>1451</v>
      </c>
      <c r="C199" s="7">
        <v>2011</v>
      </c>
      <c r="D199" s="5" t="s">
        <v>397</v>
      </c>
      <c r="E199" s="6" t="s">
        <v>409</v>
      </c>
      <c r="F199" s="7" t="s">
        <v>23</v>
      </c>
      <c r="G199" s="7" t="str">
        <f>IF(CropLCAs[[#This Row],[fbs_item]]="Insects","insect_ghg","plant_ghg")</f>
        <v>plant_ghg</v>
      </c>
      <c r="H199" s="49" t="s">
        <v>642</v>
      </c>
      <c r="I199" s="49"/>
      <c r="J199" s="49" t="s">
        <v>1290</v>
      </c>
      <c r="K199" s="5" t="s">
        <v>778</v>
      </c>
      <c r="L199" s="5" t="s">
        <v>402</v>
      </c>
      <c r="M199" s="5"/>
      <c r="N199" s="5" t="s">
        <v>102</v>
      </c>
      <c r="O199" s="5" t="s">
        <v>109</v>
      </c>
      <c r="P199" s="5" t="s">
        <v>102</v>
      </c>
      <c r="Q199" s="5" t="s">
        <v>102</v>
      </c>
      <c r="R199" s="5" t="s">
        <v>102</v>
      </c>
      <c r="S199" s="5" t="s">
        <v>102</v>
      </c>
      <c r="T199" s="5" t="s">
        <v>102</v>
      </c>
      <c r="U199" s="5">
        <v>100</v>
      </c>
      <c r="V199" s="5">
        <v>1</v>
      </c>
      <c r="W199" s="5" t="s">
        <v>106</v>
      </c>
      <c r="X199" s="24">
        <v>0.63</v>
      </c>
      <c r="Y199" s="5" t="s">
        <v>106</v>
      </c>
      <c r="Z199" s="5"/>
      <c r="AA199" s="5"/>
      <c r="AB199" s="24">
        <v>1</v>
      </c>
      <c r="AC199" s="5"/>
      <c r="AD199" s="5" t="str">
        <f t="shared" si="14"/>
        <v>kg_co2e_excl_luc</v>
      </c>
      <c r="AE199" s="24">
        <f>IF(CropLCAs[[#This Row],[Product fraction]]="",CropLCAs[[#This Row],[CO2e (value)]]*CropLCAs[[#This Row],[Conversion factor (value)]],CropLCAs[[#This Row],[CO2e (value)]]*CropLCAs[[#This Row],[Conversion factor (value)]]/CropLCAs[[#This Row],[Product fraction]]*CropLCAs[[#This Row],[Value fraction]])</f>
        <v>0.63</v>
      </c>
      <c r="AF199" s="5" t="s">
        <v>42</v>
      </c>
      <c r="AG199" s="5" t="str">
        <f t="shared" si="15"/>
        <v>processed_ghg</v>
      </c>
      <c r="AH199" s="5">
        <v>0.38</v>
      </c>
      <c r="AI199" s="5">
        <v>0.71</v>
      </c>
      <c r="AJ199" s="8">
        <f>IF(CropLCAs[[#This Row],[product_fraction]]&gt;0,CropLCAs[[#This Row],[footprint]]/CropLCAs[[#This Row],[product_fraction]]*CropLCAs[[#This Row],[value_fraction]],"")</f>
        <v>1.1771052631578947</v>
      </c>
      <c r="AK199" s="23">
        <f t="shared" si="13"/>
        <v>0.14285714285714285</v>
      </c>
      <c r="AL199" s="5" t="s">
        <v>109</v>
      </c>
      <c r="AM199" s="5"/>
      <c r="AN199" s="5"/>
      <c r="AO199" s="5"/>
      <c r="AP199" s="5"/>
      <c r="AQ199" s="5"/>
      <c r="AR199" s="5"/>
      <c r="AS199" s="5"/>
      <c r="AT199" s="5"/>
      <c r="AU199" s="5"/>
    </row>
    <row r="200" spans="1:47" ht="44.1" customHeight="1" x14ac:dyDescent="0.2">
      <c r="A200" s="5" t="s">
        <v>99</v>
      </c>
      <c r="B200" s="7" t="s">
        <v>1451</v>
      </c>
      <c r="C200" s="7">
        <v>2011</v>
      </c>
      <c r="D200" s="5" t="s">
        <v>397</v>
      </c>
      <c r="E200" s="6" t="s">
        <v>409</v>
      </c>
      <c r="F200" s="7" t="s">
        <v>23</v>
      </c>
      <c r="G200" s="7" t="str">
        <f>IF(CropLCAs[[#This Row],[fbs_item]]="Insects","insect_ghg","plant_ghg")</f>
        <v>plant_ghg</v>
      </c>
      <c r="H200" s="49" t="s">
        <v>642</v>
      </c>
      <c r="I200" s="49"/>
      <c r="J200" s="49" t="s">
        <v>1290</v>
      </c>
      <c r="K200" s="5" t="s">
        <v>778</v>
      </c>
      <c r="L200" s="5" t="s">
        <v>403</v>
      </c>
      <c r="M200" s="5"/>
      <c r="N200" s="5" t="s">
        <v>102</v>
      </c>
      <c r="O200" s="5" t="s">
        <v>109</v>
      </c>
      <c r="P200" s="5" t="s">
        <v>102</v>
      </c>
      <c r="Q200" s="5" t="s">
        <v>102</v>
      </c>
      <c r="R200" s="5" t="s">
        <v>102</v>
      </c>
      <c r="S200" s="5" t="s">
        <v>102</v>
      </c>
      <c r="T200" s="5" t="s">
        <v>102</v>
      </c>
      <c r="U200" s="5">
        <v>100</v>
      </c>
      <c r="V200" s="5">
        <v>1</v>
      </c>
      <c r="W200" s="5" t="s">
        <v>106</v>
      </c>
      <c r="X200" s="24">
        <v>0.86</v>
      </c>
      <c r="Y200" s="5" t="s">
        <v>106</v>
      </c>
      <c r="Z200" s="5"/>
      <c r="AA200" s="5"/>
      <c r="AB200" s="24">
        <v>1</v>
      </c>
      <c r="AC200" s="5"/>
      <c r="AD200" s="5" t="str">
        <f t="shared" si="14"/>
        <v>kg_co2e_excl_luc</v>
      </c>
      <c r="AE200" s="24">
        <f>IF(CropLCAs[[#This Row],[Product fraction]]="",CropLCAs[[#This Row],[CO2e (value)]]*CropLCAs[[#This Row],[Conversion factor (value)]],CropLCAs[[#This Row],[CO2e (value)]]*CropLCAs[[#This Row],[Conversion factor (value)]]/CropLCAs[[#This Row],[Product fraction]]*CropLCAs[[#This Row],[Value fraction]])</f>
        <v>0.86</v>
      </c>
      <c r="AF200" s="5" t="s">
        <v>42</v>
      </c>
      <c r="AG200" s="5" t="str">
        <f t="shared" si="15"/>
        <v>processed_ghg</v>
      </c>
      <c r="AH200" s="5">
        <v>0.38</v>
      </c>
      <c r="AI200" s="5">
        <v>0.71</v>
      </c>
      <c r="AJ200" s="8">
        <f>IF(CropLCAs[[#This Row],[product_fraction]]&gt;0,CropLCAs[[#This Row],[footprint]]/CropLCAs[[#This Row],[product_fraction]]*CropLCAs[[#This Row],[value_fraction]],"")</f>
        <v>1.6068421052631578</v>
      </c>
      <c r="AK200" s="23">
        <f t="shared" si="13"/>
        <v>0.14285714285714285</v>
      </c>
      <c r="AL200" s="5" t="s">
        <v>109</v>
      </c>
      <c r="AM200" s="5"/>
      <c r="AN200" s="5"/>
      <c r="AO200" s="5"/>
      <c r="AP200" s="5"/>
      <c r="AQ200" s="5"/>
      <c r="AR200" s="5"/>
      <c r="AS200" s="5"/>
      <c r="AT200" s="5"/>
      <c r="AU200" s="5"/>
    </row>
    <row r="201" spans="1:47" ht="44.1" customHeight="1" x14ac:dyDescent="0.2">
      <c r="A201" s="5" t="s">
        <v>99</v>
      </c>
      <c r="B201" s="7" t="s">
        <v>1451</v>
      </c>
      <c r="C201" s="7">
        <v>2011</v>
      </c>
      <c r="D201" s="5" t="s">
        <v>397</v>
      </c>
      <c r="E201" s="6" t="s">
        <v>409</v>
      </c>
      <c r="F201" s="7" t="s">
        <v>23</v>
      </c>
      <c r="G201" s="7" t="str">
        <f>IF(CropLCAs[[#This Row],[fbs_item]]="Insects","insect_ghg","plant_ghg")</f>
        <v>plant_ghg</v>
      </c>
      <c r="H201" s="49" t="s">
        <v>642</v>
      </c>
      <c r="I201" s="49"/>
      <c r="J201" s="49" t="s">
        <v>1290</v>
      </c>
      <c r="K201" s="5" t="s">
        <v>778</v>
      </c>
      <c r="L201" s="5" t="s">
        <v>404</v>
      </c>
      <c r="M201" s="5"/>
      <c r="N201" s="5" t="s">
        <v>102</v>
      </c>
      <c r="O201" s="5" t="s">
        <v>109</v>
      </c>
      <c r="P201" s="5" t="s">
        <v>102</v>
      </c>
      <c r="Q201" s="5" t="s">
        <v>102</v>
      </c>
      <c r="R201" s="5" t="s">
        <v>102</v>
      </c>
      <c r="S201" s="5" t="s">
        <v>102</v>
      </c>
      <c r="T201" s="5" t="s">
        <v>102</v>
      </c>
      <c r="U201" s="5">
        <v>100</v>
      </c>
      <c r="V201" s="5">
        <v>1</v>
      </c>
      <c r="W201" s="5" t="s">
        <v>106</v>
      </c>
      <c r="X201" s="24">
        <v>1.07</v>
      </c>
      <c r="Y201" s="5" t="s">
        <v>106</v>
      </c>
      <c r="Z201" s="5"/>
      <c r="AA201" s="5"/>
      <c r="AB201" s="24">
        <v>1</v>
      </c>
      <c r="AC201" s="5"/>
      <c r="AD201" s="5" t="str">
        <f t="shared" si="14"/>
        <v>kg_co2e_excl_luc</v>
      </c>
      <c r="AE201" s="24">
        <f>IF(CropLCAs[[#This Row],[Product fraction]]="",CropLCAs[[#This Row],[CO2e (value)]]*CropLCAs[[#This Row],[Conversion factor (value)]],CropLCAs[[#This Row],[CO2e (value)]]*CropLCAs[[#This Row],[Conversion factor (value)]]/CropLCAs[[#This Row],[Product fraction]]*CropLCAs[[#This Row],[Value fraction]])</f>
        <v>1.07</v>
      </c>
      <c r="AF201" s="5" t="s">
        <v>42</v>
      </c>
      <c r="AG201" s="5" t="str">
        <f t="shared" si="15"/>
        <v>processed_ghg</v>
      </c>
      <c r="AH201" s="5">
        <v>0.38</v>
      </c>
      <c r="AI201" s="5">
        <v>0.71</v>
      </c>
      <c r="AJ201" s="8">
        <f>IF(CropLCAs[[#This Row],[product_fraction]]&gt;0,CropLCAs[[#This Row],[footprint]]/CropLCAs[[#This Row],[product_fraction]]*CropLCAs[[#This Row],[value_fraction]],"")</f>
        <v>1.9992105263157895</v>
      </c>
      <c r="AK201" s="23">
        <f t="shared" si="13"/>
        <v>0.14285714285714285</v>
      </c>
      <c r="AL201" s="5" t="s">
        <v>109</v>
      </c>
      <c r="AM201" s="5"/>
      <c r="AN201" s="5"/>
      <c r="AO201" s="5"/>
      <c r="AP201" s="5"/>
      <c r="AQ201" s="5"/>
      <c r="AR201" s="5"/>
      <c r="AS201" s="5"/>
      <c r="AT201" s="5"/>
      <c r="AU201" s="5"/>
    </row>
    <row r="202" spans="1:47" ht="44.1" customHeight="1" x14ac:dyDescent="0.2">
      <c r="A202" s="5" t="s">
        <v>99</v>
      </c>
      <c r="B202" s="7" t="s">
        <v>1451</v>
      </c>
      <c r="C202" s="7">
        <v>2011</v>
      </c>
      <c r="D202" s="5" t="s">
        <v>397</v>
      </c>
      <c r="E202" s="6" t="s">
        <v>409</v>
      </c>
      <c r="F202" s="7" t="s">
        <v>23</v>
      </c>
      <c r="G202" s="7" t="str">
        <f>IF(CropLCAs[[#This Row],[fbs_item]]="Insects","insect_ghg","plant_ghg")</f>
        <v>plant_ghg</v>
      </c>
      <c r="H202" s="49" t="s">
        <v>642</v>
      </c>
      <c r="I202" s="49"/>
      <c r="J202" s="49"/>
      <c r="K202" s="5" t="s">
        <v>778</v>
      </c>
      <c r="L202" s="5" t="s">
        <v>405</v>
      </c>
      <c r="M202" s="5"/>
      <c r="N202" s="5" t="s">
        <v>102</v>
      </c>
      <c r="O202" s="5" t="s">
        <v>109</v>
      </c>
      <c r="P202" s="5" t="s">
        <v>102</v>
      </c>
      <c r="Q202" s="5" t="s">
        <v>102</v>
      </c>
      <c r="R202" s="5" t="s">
        <v>102</v>
      </c>
      <c r="S202" s="5" t="s">
        <v>102</v>
      </c>
      <c r="T202" s="5" t="s">
        <v>102</v>
      </c>
      <c r="U202" s="5">
        <v>100</v>
      </c>
      <c r="V202" s="5">
        <v>1</v>
      </c>
      <c r="W202" s="5" t="s">
        <v>106</v>
      </c>
      <c r="X202" s="24">
        <v>1.35</v>
      </c>
      <c r="Y202" s="5" t="s">
        <v>106</v>
      </c>
      <c r="Z202" s="5"/>
      <c r="AA202" s="5"/>
      <c r="AB202" s="24">
        <v>1</v>
      </c>
      <c r="AC202" s="5"/>
      <c r="AD202" s="5" t="str">
        <f t="shared" si="14"/>
        <v>kg_co2e_excl_luc</v>
      </c>
      <c r="AE202" s="24">
        <f>IF(CropLCAs[[#This Row],[Product fraction]]="",CropLCAs[[#This Row],[CO2e (value)]]*CropLCAs[[#This Row],[Conversion factor (value)]],CropLCAs[[#This Row],[CO2e (value)]]*CropLCAs[[#This Row],[Conversion factor (value)]]/CropLCAs[[#This Row],[Product fraction]]*CropLCAs[[#This Row],[Value fraction]])</f>
        <v>1.35</v>
      </c>
      <c r="AF202" s="5" t="s">
        <v>42</v>
      </c>
      <c r="AG202" s="5" t="str">
        <f t="shared" si="15"/>
        <v>processed_ghg</v>
      </c>
      <c r="AH202" s="5">
        <v>0.38</v>
      </c>
      <c r="AI202" s="5">
        <v>0.71</v>
      </c>
      <c r="AJ202" s="8">
        <f>IF(CropLCAs[[#This Row],[product_fraction]]&gt;0,CropLCAs[[#This Row],[footprint]]/CropLCAs[[#This Row],[product_fraction]]*CropLCAs[[#This Row],[value_fraction]],"")</f>
        <v>2.5223684210526316</v>
      </c>
      <c r="AK202" s="23">
        <f t="shared" si="13"/>
        <v>0.14285714285714285</v>
      </c>
      <c r="AL202" s="5" t="s">
        <v>109</v>
      </c>
      <c r="AM202" s="5"/>
      <c r="AN202" s="5"/>
      <c r="AO202" s="5"/>
      <c r="AP202" s="5"/>
      <c r="AQ202" s="5"/>
      <c r="AR202" s="5"/>
      <c r="AS202" s="5"/>
      <c r="AT202" s="5"/>
      <c r="AU202" s="5"/>
    </row>
    <row r="203" spans="1:47" ht="44.1" customHeight="1" x14ac:dyDescent="0.2">
      <c r="A203" s="5" t="s">
        <v>99</v>
      </c>
      <c r="B203" s="7" t="s">
        <v>1451</v>
      </c>
      <c r="C203" s="7">
        <v>2011</v>
      </c>
      <c r="D203" s="5" t="s">
        <v>397</v>
      </c>
      <c r="E203" s="6" t="s">
        <v>408</v>
      </c>
      <c r="F203" s="7" t="s">
        <v>23</v>
      </c>
      <c r="G203" s="7" t="str">
        <f>IF(CropLCAs[[#This Row],[fbs_item]]="Insects","insect_ghg","plant_ghg")</f>
        <v>plant_ghg</v>
      </c>
      <c r="H203" s="49" t="s">
        <v>642</v>
      </c>
      <c r="I203" s="49"/>
      <c r="J203" s="49" t="s">
        <v>1290</v>
      </c>
      <c r="K203" s="5" t="s">
        <v>778</v>
      </c>
      <c r="L203" s="5" t="s">
        <v>399</v>
      </c>
      <c r="M203" s="5" t="s">
        <v>102</v>
      </c>
      <c r="N203" s="5" t="s">
        <v>102</v>
      </c>
      <c r="O203" s="5" t="s">
        <v>109</v>
      </c>
      <c r="P203" s="5" t="s">
        <v>102</v>
      </c>
      <c r="Q203" s="5" t="s">
        <v>102</v>
      </c>
      <c r="R203" s="5" t="s">
        <v>102</v>
      </c>
      <c r="S203" s="5" t="s">
        <v>102</v>
      </c>
      <c r="T203" s="5" t="s">
        <v>102</v>
      </c>
      <c r="U203" s="5">
        <v>100</v>
      </c>
      <c r="V203" s="5">
        <v>1</v>
      </c>
      <c r="W203" s="5" t="s">
        <v>106</v>
      </c>
      <c r="X203" s="24">
        <v>0.32</v>
      </c>
      <c r="Y203" s="5" t="s">
        <v>106</v>
      </c>
      <c r="Z203" s="5"/>
      <c r="AA203" s="5"/>
      <c r="AB203" s="24">
        <v>1</v>
      </c>
      <c r="AC203" s="5"/>
      <c r="AD203" s="5" t="str">
        <f t="shared" si="14"/>
        <v>kg_co2e_excl_luc</v>
      </c>
      <c r="AE203" s="24">
        <f>IF(CropLCAs[[#This Row],[Product fraction]]="",CropLCAs[[#This Row],[CO2e (value)]]*CropLCAs[[#This Row],[Conversion factor (value)]],CropLCAs[[#This Row],[CO2e (value)]]*CropLCAs[[#This Row],[Conversion factor (value)]]/CropLCAs[[#This Row],[Product fraction]]*CropLCAs[[#This Row],[Value fraction]])</f>
        <v>0.32</v>
      </c>
      <c r="AF203" s="5" t="s">
        <v>42</v>
      </c>
      <c r="AG203" s="5" t="str">
        <f t="shared" si="15"/>
        <v>processed_ghg</v>
      </c>
      <c r="AH203" s="5">
        <v>0.38</v>
      </c>
      <c r="AI203" s="5">
        <v>0.71</v>
      </c>
      <c r="AJ203" s="8">
        <f>IF(CropLCAs[[#This Row],[product_fraction]]&gt;0,CropLCAs[[#This Row],[footprint]]/CropLCAs[[#This Row],[product_fraction]]*CropLCAs[[#This Row],[value_fraction]],"")</f>
        <v>0.59789473684210515</v>
      </c>
      <c r="AK203" s="23">
        <f t="shared" si="13"/>
        <v>0.14285714285714285</v>
      </c>
      <c r="AL203" s="5" t="s">
        <v>109</v>
      </c>
      <c r="AM203" s="5"/>
      <c r="AN203" s="5"/>
      <c r="AO203" s="5"/>
      <c r="AP203" s="5"/>
      <c r="AQ203" s="5"/>
      <c r="AR203" s="5"/>
      <c r="AS203" s="5"/>
      <c r="AT203" s="5"/>
      <c r="AU203" s="5"/>
    </row>
    <row r="204" spans="1:47" ht="44.1" customHeight="1" x14ac:dyDescent="0.2">
      <c r="A204" s="5" t="s">
        <v>99</v>
      </c>
      <c r="B204" s="7" t="s">
        <v>1451</v>
      </c>
      <c r="C204" s="7">
        <v>2011</v>
      </c>
      <c r="D204" s="5" t="s">
        <v>397</v>
      </c>
      <c r="E204" s="6" t="s">
        <v>408</v>
      </c>
      <c r="F204" s="7" t="s">
        <v>23</v>
      </c>
      <c r="G204" s="7" t="str">
        <f>IF(CropLCAs[[#This Row],[fbs_item]]="Insects","insect_ghg","plant_ghg")</f>
        <v>plant_ghg</v>
      </c>
      <c r="H204" s="49" t="s">
        <v>642</v>
      </c>
      <c r="I204" s="49"/>
      <c r="J204" s="49" t="s">
        <v>1290</v>
      </c>
      <c r="K204" s="5" t="s">
        <v>778</v>
      </c>
      <c r="L204" s="5" t="s">
        <v>400</v>
      </c>
      <c r="M204" s="5"/>
      <c r="N204" s="5" t="s">
        <v>102</v>
      </c>
      <c r="O204" s="5" t="s">
        <v>109</v>
      </c>
      <c r="P204" s="5" t="s">
        <v>102</v>
      </c>
      <c r="Q204" s="5" t="s">
        <v>102</v>
      </c>
      <c r="R204" s="5" t="s">
        <v>102</v>
      </c>
      <c r="S204" s="5" t="s">
        <v>102</v>
      </c>
      <c r="T204" s="5" t="s">
        <v>102</v>
      </c>
      <c r="U204" s="5">
        <v>100</v>
      </c>
      <c r="V204" s="5">
        <v>1</v>
      </c>
      <c r="W204" s="5" t="s">
        <v>106</v>
      </c>
      <c r="X204" s="24">
        <v>0.47</v>
      </c>
      <c r="Y204" s="5" t="s">
        <v>106</v>
      </c>
      <c r="Z204" s="5"/>
      <c r="AA204" s="5"/>
      <c r="AB204" s="24">
        <v>1</v>
      </c>
      <c r="AC204" s="5"/>
      <c r="AD204" s="5" t="str">
        <f t="shared" si="14"/>
        <v>kg_co2e_excl_luc</v>
      </c>
      <c r="AE204" s="24">
        <f>IF(CropLCAs[[#This Row],[Product fraction]]="",CropLCAs[[#This Row],[CO2e (value)]]*CropLCAs[[#This Row],[Conversion factor (value)]],CropLCAs[[#This Row],[CO2e (value)]]*CropLCAs[[#This Row],[Conversion factor (value)]]/CropLCAs[[#This Row],[Product fraction]]*CropLCAs[[#This Row],[Value fraction]])</f>
        <v>0.47</v>
      </c>
      <c r="AF204" s="5" t="s">
        <v>42</v>
      </c>
      <c r="AG204" s="5" t="str">
        <f t="shared" si="15"/>
        <v>processed_ghg</v>
      </c>
      <c r="AH204" s="5">
        <v>0.38</v>
      </c>
      <c r="AI204" s="5">
        <v>0.71</v>
      </c>
      <c r="AJ204" s="8">
        <f>IF(CropLCAs[[#This Row],[product_fraction]]&gt;0,CropLCAs[[#This Row],[footprint]]/CropLCAs[[#This Row],[product_fraction]]*CropLCAs[[#This Row],[value_fraction]],"")</f>
        <v>0.87815789473684192</v>
      </c>
      <c r="AK204" s="23">
        <f t="shared" si="13"/>
        <v>0.14285714285714285</v>
      </c>
      <c r="AL204" s="5" t="s">
        <v>109</v>
      </c>
      <c r="AM204" s="5"/>
      <c r="AN204" s="5"/>
      <c r="AO204" s="5"/>
      <c r="AP204" s="5"/>
      <c r="AQ204" s="5"/>
      <c r="AR204" s="5"/>
      <c r="AS204" s="5"/>
      <c r="AT204" s="5"/>
      <c r="AU204" s="5"/>
    </row>
    <row r="205" spans="1:47" ht="44.1" customHeight="1" x14ac:dyDescent="0.2">
      <c r="A205" s="5" t="s">
        <v>99</v>
      </c>
      <c r="B205" s="7" t="s">
        <v>1451</v>
      </c>
      <c r="C205" s="7">
        <v>2011</v>
      </c>
      <c r="D205" s="5" t="s">
        <v>397</v>
      </c>
      <c r="E205" s="6" t="s">
        <v>408</v>
      </c>
      <c r="F205" s="7" t="s">
        <v>23</v>
      </c>
      <c r="G205" s="7" t="str">
        <f>IF(CropLCAs[[#This Row],[fbs_item]]="Insects","insect_ghg","plant_ghg")</f>
        <v>plant_ghg</v>
      </c>
      <c r="H205" s="49" t="s">
        <v>642</v>
      </c>
      <c r="I205" s="49"/>
      <c r="J205" s="49" t="s">
        <v>1290</v>
      </c>
      <c r="K205" s="5" t="s">
        <v>778</v>
      </c>
      <c r="L205" s="5" t="s">
        <v>401</v>
      </c>
      <c r="M205" s="5"/>
      <c r="N205" s="5" t="s">
        <v>102</v>
      </c>
      <c r="O205" s="5" t="s">
        <v>109</v>
      </c>
      <c r="P205" s="5" t="s">
        <v>102</v>
      </c>
      <c r="Q205" s="5" t="s">
        <v>102</v>
      </c>
      <c r="R205" s="5" t="s">
        <v>102</v>
      </c>
      <c r="S205" s="5" t="s">
        <v>102</v>
      </c>
      <c r="T205" s="5" t="s">
        <v>102</v>
      </c>
      <c r="U205" s="5">
        <v>100</v>
      </c>
      <c r="V205" s="5">
        <v>1</v>
      </c>
      <c r="W205" s="5" t="s">
        <v>106</v>
      </c>
      <c r="X205" s="24">
        <v>0.52</v>
      </c>
      <c r="Y205" s="5" t="s">
        <v>106</v>
      </c>
      <c r="Z205" s="5"/>
      <c r="AA205" s="5"/>
      <c r="AB205" s="24">
        <v>1</v>
      </c>
      <c r="AC205" s="5"/>
      <c r="AD205" s="5" t="str">
        <f t="shared" si="14"/>
        <v>kg_co2e_excl_luc</v>
      </c>
      <c r="AE205" s="24">
        <f>IF(CropLCAs[[#This Row],[Product fraction]]="",CropLCAs[[#This Row],[CO2e (value)]]*CropLCAs[[#This Row],[Conversion factor (value)]],CropLCAs[[#This Row],[CO2e (value)]]*CropLCAs[[#This Row],[Conversion factor (value)]]/CropLCAs[[#This Row],[Product fraction]]*CropLCAs[[#This Row],[Value fraction]])</f>
        <v>0.52</v>
      </c>
      <c r="AF205" s="5" t="s">
        <v>42</v>
      </c>
      <c r="AG205" s="5" t="str">
        <f t="shared" si="15"/>
        <v>processed_ghg</v>
      </c>
      <c r="AH205" s="5">
        <v>0.38</v>
      </c>
      <c r="AI205" s="5">
        <v>0.71</v>
      </c>
      <c r="AJ205" s="8">
        <f>IF(CropLCAs[[#This Row],[product_fraction]]&gt;0,CropLCAs[[#This Row],[footprint]]/CropLCAs[[#This Row],[product_fraction]]*CropLCAs[[#This Row],[value_fraction]],"")</f>
        <v>0.97157894736842099</v>
      </c>
      <c r="AK205" s="23">
        <f t="shared" si="13"/>
        <v>0.14285714285714285</v>
      </c>
      <c r="AL205" s="5" t="s">
        <v>109</v>
      </c>
      <c r="AM205" s="5"/>
      <c r="AN205" s="5"/>
      <c r="AO205" s="5"/>
      <c r="AP205" s="5"/>
      <c r="AQ205" s="5"/>
      <c r="AR205" s="5"/>
      <c r="AS205" s="5"/>
      <c r="AT205" s="5"/>
      <c r="AU205" s="5"/>
    </row>
    <row r="206" spans="1:47" ht="44.1" customHeight="1" x14ac:dyDescent="0.2">
      <c r="A206" s="5" t="s">
        <v>99</v>
      </c>
      <c r="B206" s="7" t="s">
        <v>1451</v>
      </c>
      <c r="C206" s="7">
        <v>2011</v>
      </c>
      <c r="D206" s="5" t="s">
        <v>397</v>
      </c>
      <c r="E206" s="6" t="s">
        <v>408</v>
      </c>
      <c r="F206" s="7" t="s">
        <v>23</v>
      </c>
      <c r="G206" s="7" t="str">
        <f>IF(CropLCAs[[#This Row],[fbs_item]]="Insects","insect_ghg","plant_ghg")</f>
        <v>plant_ghg</v>
      </c>
      <c r="H206" s="49" t="s">
        <v>642</v>
      </c>
      <c r="I206" s="49"/>
      <c r="J206" s="49" t="s">
        <v>1290</v>
      </c>
      <c r="K206" s="5" t="s">
        <v>778</v>
      </c>
      <c r="L206" s="5" t="s">
        <v>402</v>
      </c>
      <c r="M206" s="5"/>
      <c r="N206" s="5" t="s">
        <v>102</v>
      </c>
      <c r="O206" s="5" t="s">
        <v>109</v>
      </c>
      <c r="P206" s="5" t="s">
        <v>102</v>
      </c>
      <c r="Q206" s="5" t="s">
        <v>102</v>
      </c>
      <c r="R206" s="5" t="s">
        <v>102</v>
      </c>
      <c r="S206" s="5" t="s">
        <v>102</v>
      </c>
      <c r="T206" s="5" t="s">
        <v>102</v>
      </c>
      <c r="U206" s="5">
        <v>100</v>
      </c>
      <c r="V206" s="5">
        <v>1</v>
      </c>
      <c r="W206" s="5" t="s">
        <v>106</v>
      </c>
      <c r="X206" s="24">
        <v>0.83</v>
      </c>
      <c r="Y206" s="5" t="s">
        <v>106</v>
      </c>
      <c r="Z206" s="5"/>
      <c r="AA206" s="5"/>
      <c r="AB206" s="24">
        <v>1</v>
      </c>
      <c r="AC206" s="5"/>
      <c r="AD206" s="5" t="str">
        <f t="shared" si="14"/>
        <v>kg_co2e_excl_luc</v>
      </c>
      <c r="AE206" s="24">
        <f>IF(CropLCAs[[#This Row],[Product fraction]]="",CropLCAs[[#This Row],[CO2e (value)]]*CropLCAs[[#This Row],[Conversion factor (value)]],CropLCAs[[#This Row],[CO2e (value)]]*CropLCAs[[#This Row],[Conversion factor (value)]]/CropLCAs[[#This Row],[Product fraction]]*CropLCAs[[#This Row],[Value fraction]])</f>
        <v>0.83</v>
      </c>
      <c r="AF206" s="5" t="s">
        <v>42</v>
      </c>
      <c r="AG206" s="5" t="str">
        <f t="shared" si="15"/>
        <v>processed_ghg</v>
      </c>
      <c r="AH206" s="5">
        <v>0.38</v>
      </c>
      <c r="AI206" s="5">
        <v>0.71</v>
      </c>
      <c r="AJ206" s="8">
        <f>IF(CropLCAs[[#This Row],[product_fraction]]&gt;0,CropLCAs[[#This Row],[footprint]]/CropLCAs[[#This Row],[product_fraction]]*CropLCAs[[#This Row],[value_fraction]],"")</f>
        <v>1.5507894736842103</v>
      </c>
      <c r="AK206" s="23">
        <f t="shared" si="13"/>
        <v>0.14285714285714285</v>
      </c>
      <c r="AL206" s="5" t="s">
        <v>109</v>
      </c>
      <c r="AM206" s="5"/>
      <c r="AN206" s="5"/>
      <c r="AO206" s="5"/>
      <c r="AP206" s="5"/>
      <c r="AQ206" s="5"/>
      <c r="AR206" s="5"/>
      <c r="AS206" s="5"/>
      <c r="AT206" s="5"/>
      <c r="AU206" s="5"/>
    </row>
    <row r="207" spans="1:47" ht="44.1" customHeight="1" x14ac:dyDescent="0.2">
      <c r="A207" s="5" t="s">
        <v>99</v>
      </c>
      <c r="B207" s="7" t="s">
        <v>1451</v>
      </c>
      <c r="C207" s="7">
        <v>2011</v>
      </c>
      <c r="D207" s="5" t="s">
        <v>397</v>
      </c>
      <c r="E207" s="6" t="s">
        <v>408</v>
      </c>
      <c r="F207" s="7" t="s">
        <v>23</v>
      </c>
      <c r="G207" s="7" t="str">
        <f>IF(CropLCAs[[#This Row],[fbs_item]]="Insects","insect_ghg","plant_ghg")</f>
        <v>plant_ghg</v>
      </c>
      <c r="H207" s="49" t="s">
        <v>642</v>
      </c>
      <c r="I207" s="49"/>
      <c r="J207" s="49" t="s">
        <v>1290</v>
      </c>
      <c r="K207" s="5" t="s">
        <v>778</v>
      </c>
      <c r="L207" s="5" t="s">
        <v>403</v>
      </c>
      <c r="M207" s="5"/>
      <c r="N207" s="5" t="s">
        <v>102</v>
      </c>
      <c r="O207" s="5" t="s">
        <v>109</v>
      </c>
      <c r="P207" s="5" t="s">
        <v>102</v>
      </c>
      <c r="Q207" s="5" t="s">
        <v>102</v>
      </c>
      <c r="R207" s="5" t="s">
        <v>102</v>
      </c>
      <c r="S207" s="5" t="s">
        <v>102</v>
      </c>
      <c r="T207" s="5" t="s">
        <v>102</v>
      </c>
      <c r="U207" s="5">
        <v>100</v>
      </c>
      <c r="V207" s="5">
        <v>1</v>
      </c>
      <c r="W207" s="5" t="s">
        <v>106</v>
      </c>
      <c r="X207" s="24">
        <v>1.1100000000000001</v>
      </c>
      <c r="Y207" s="5" t="s">
        <v>106</v>
      </c>
      <c r="Z207" s="5"/>
      <c r="AA207" s="5"/>
      <c r="AB207" s="24">
        <v>1</v>
      </c>
      <c r="AC207" s="5"/>
      <c r="AD207" s="5" t="str">
        <f t="shared" si="14"/>
        <v>kg_co2e_excl_luc</v>
      </c>
      <c r="AE207" s="24">
        <f>IF(CropLCAs[[#This Row],[Product fraction]]="",CropLCAs[[#This Row],[CO2e (value)]]*CropLCAs[[#This Row],[Conversion factor (value)]],CropLCAs[[#This Row],[CO2e (value)]]*CropLCAs[[#This Row],[Conversion factor (value)]]/CropLCAs[[#This Row],[Product fraction]]*CropLCAs[[#This Row],[Value fraction]])</f>
        <v>1.1100000000000001</v>
      </c>
      <c r="AF207" s="5" t="s">
        <v>42</v>
      </c>
      <c r="AG207" s="5" t="str">
        <f t="shared" si="15"/>
        <v>processed_ghg</v>
      </c>
      <c r="AH207" s="5">
        <v>0.38</v>
      </c>
      <c r="AI207" s="5">
        <v>0.71</v>
      </c>
      <c r="AJ207" s="8">
        <f>IF(CropLCAs[[#This Row],[product_fraction]]&gt;0,CropLCAs[[#This Row],[footprint]]/CropLCAs[[#This Row],[product_fraction]]*CropLCAs[[#This Row],[value_fraction]],"")</f>
        <v>2.0739473684210528</v>
      </c>
      <c r="AK207" s="23">
        <f t="shared" si="13"/>
        <v>0.14285714285714285</v>
      </c>
      <c r="AL207" s="5" t="s">
        <v>109</v>
      </c>
      <c r="AM207" s="5"/>
      <c r="AN207" s="5"/>
      <c r="AO207" s="5"/>
      <c r="AP207" s="5"/>
      <c r="AQ207" s="5"/>
      <c r="AR207" s="5"/>
      <c r="AS207" s="5"/>
      <c r="AT207" s="5"/>
      <c r="AU207" s="5"/>
    </row>
    <row r="208" spans="1:47" ht="44.1" customHeight="1" x14ac:dyDescent="0.2">
      <c r="A208" s="5" t="s">
        <v>99</v>
      </c>
      <c r="B208" s="7" t="s">
        <v>1451</v>
      </c>
      <c r="C208" s="7">
        <v>2011</v>
      </c>
      <c r="D208" s="5" t="s">
        <v>397</v>
      </c>
      <c r="E208" s="6" t="s">
        <v>408</v>
      </c>
      <c r="F208" s="7" t="s">
        <v>23</v>
      </c>
      <c r="G208" s="7" t="str">
        <f>IF(CropLCAs[[#This Row],[fbs_item]]="Insects","insect_ghg","plant_ghg")</f>
        <v>plant_ghg</v>
      </c>
      <c r="H208" s="49" t="s">
        <v>642</v>
      </c>
      <c r="I208" s="49"/>
      <c r="J208" s="49" t="s">
        <v>1290</v>
      </c>
      <c r="K208" s="5" t="s">
        <v>778</v>
      </c>
      <c r="L208" s="5" t="s">
        <v>404</v>
      </c>
      <c r="M208" s="5"/>
      <c r="N208" s="5" t="s">
        <v>102</v>
      </c>
      <c r="O208" s="5" t="s">
        <v>109</v>
      </c>
      <c r="P208" s="5" t="s">
        <v>102</v>
      </c>
      <c r="Q208" s="5" t="s">
        <v>102</v>
      </c>
      <c r="R208" s="5" t="s">
        <v>102</v>
      </c>
      <c r="S208" s="5" t="s">
        <v>102</v>
      </c>
      <c r="T208" s="5" t="s">
        <v>102</v>
      </c>
      <c r="U208" s="5">
        <v>100</v>
      </c>
      <c r="V208" s="5">
        <v>1</v>
      </c>
      <c r="W208" s="5" t="s">
        <v>106</v>
      </c>
      <c r="X208" s="24">
        <v>1.36</v>
      </c>
      <c r="Y208" s="5" t="s">
        <v>106</v>
      </c>
      <c r="Z208" s="5"/>
      <c r="AA208" s="5"/>
      <c r="AB208" s="24">
        <v>1</v>
      </c>
      <c r="AC208" s="5"/>
      <c r="AD208" s="5" t="str">
        <f t="shared" si="14"/>
        <v>kg_co2e_excl_luc</v>
      </c>
      <c r="AE208" s="24">
        <f>IF(CropLCAs[[#This Row],[Product fraction]]="",CropLCAs[[#This Row],[CO2e (value)]]*CropLCAs[[#This Row],[Conversion factor (value)]],CropLCAs[[#This Row],[CO2e (value)]]*CropLCAs[[#This Row],[Conversion factor (value)]]/CropLCAs[[#This Row],[Product fraction]]*CropLCAs[[#This Row],[Value fraction]])</f>
        <v>1.36</v>
      </c>
      <c r="AF208" s="5" t="s">
        <v>42</v>
      </c>
      <c r="AG208" s="5" t="str">
        <f t="shared" si="15"/>
        <v>processed_ghg</v>
      </c>
      <c r="AH208" s="5">
        <v>0.38</v>
      </c>
      <c r="AI208" s="5">
        <v>0.71</v>
      </c>
      <c r="AJ208" s="8">
        <f>IF(CropLCAs[[#This Row],[product_fraction]]&gt;0,CropLCAs[[#This Row],[footprint]]/CropLCAs[[#This Row],[product_fraction]]*CropLCAs[[#This Row],[value_fraction]],"")</f>
        <v>2.5410526315789475</v>
      </c>
      <c r="AK208" s="23">
        <f t="shared" si="13"/>
        <v>0.14285714285714285</v>
      </c>
      <c r="AL208" s="5" t="s">
        <v>109</v>
      </c>
      <c r="AM208" s="5"/>
      <c r="AN208" s="5"/>
      <c r="AO208" s="5"/>
      <c r="AP208" s="5"/>
      <c r="AQ208" s="5"/>
      <c r="AR208" s="5"/>
      <c r="AS208" s="5"/>
      <c r="AT208" s="5"/>
      <c r="AU208" s="5"/>
    </row>
    <row r="209" spans="1:47" ht="44.1" customHeight="1" x14ac:dyDescent="0.2">
      <c r="A209" s="5" t="s">
        <v>99</v>
      </c>
      <c r="B209" s="7" t="s">
        <v>1451</v>
      </c>
      <c r="C209" s="7">
        <v>2011</v>
      </c>
      <c r="D209" s="5" t="s">
        <v>397</v>
      </c>
      <c r="E209" s="6" t="s">
        <v>408</v>
      </c>
      <c r="F209" s="7" t="s">
        <v>23</v>
      </c>
      <c r="G209" s="7" t="str">
        <f>IF(CropLCAs[[#This Row],[fbs_item]]="Insects","insect_ghg","plant_ghg")</f>
        <v>plant_ghg</v>
      </c>
      <c r="H209" s="49" t="s">
        <v>642</v>
      </c>
      <c r="I209" s="49"/>
      <c r="J209" s="49" t="s">
        <v>1290</v>
      </c>
      <c r="K209" s="5" t="s">
        <v>778</v>
      </c>
      <c r="L209" s="5" t="s">
        <v>405</v>
      </c>
      <c r="M209" s="5"/>
      <c r="N209" s="5" t="s">
        <v>102</v>
      </c>
      <c r="O209" s="5" t="s">
        <v>109</v>
      </c>
      <c r="P209" s="5" t="s">
        <v>102</v>
      </c>
      <c r="Q209" s="5" t="s">
        <v>102</v>
      </c>
      <c r="R209" s="5" t="s">
        <v>102</v>
      </c>
      <c r="S209" s="5" t="s">
        <v>102</v>
      </c>
      <c r="T209" s="5" t="s">
        <v>102</v>
      </c>
      <c r="U209" s="5">
        <v>100</v>
      </c>
      <c r="V209" s="5">
        <v>1</v>
      </c>
      <c r="W209" s="5" t="s">
        <v>106</v>
      </c>
      <c r="X209" s="24">
        <v>1.59</v>
      </c>
      <c r="Y209" s="5" t="s">
        <v>106</v>
      </c>
      <c r="Z209" s="5"/>
      <c r="AA209" s="5"/>
      <c r="AB209" s="24">
        <v>1</v>
      </c>
      <c r="AC209" s="5"/>
      <c r="AD209" s="5" t="str">
        <f t="shared" si="14"/>
        <v>kg_co2e_excl_luc</v>
      </c>
      <c r="AE209" s="24">
        <f>IF(CropLCAs[[#This Row],[Product fraction]]="",CropLCAs[[#This Row],[CO2e (value)]]*CropLCAs[[#This Row],[Conversion factor (value)]],CropLCAs[[#This Row],[CO2e (value)]]*CropLCAs[[#This Row],[Conversion factor (value)]]/CropLCAs[[#This Row],[Product fraction]]*CropLCAs[[#This Row],[Value fraction]])</f>
        <v>1.59</v>
      </c>
      <c r="AF209" s="5" t="s">
        <v>42</v>
      </c>
      <c r="AG209" s="5" t="str">
        <f t="shared" si="15"/>
        <v>processed_ghg</v>
      </c>
      <c r="AH209" s="5">
        <v>0.38</v>
      </c>
      <c r="AI209" s="5">
        <v>0.71</v>
      </c>
      <c r="AJ209" s="8">
        <f>IF(CropLCAs[[#This Row],[product_fraction]]&gt;0,CropLCAs[[#This Row],[footprint]]/CropLCAs[[#This Row],[product_fraction]]*CropLCAs[[#This Row],[value_fraction]],"")</f>
        <v>2.9707894736842104</v>
      </c>
      <c r="AK209" s="23">
        <f t="shared" si="13"/>
        <v>0.14285714285714285</v>
      </c>
      <c r="AL209" s="5" t="s">
        <v>109</v>
      </c>
      <c r="AM209" s="5"/>
      <c r="AN209" s="5"/>
      <c r="AO209" s="5"/>
      <c r="AP209" s="5"/>
      <c r="AQ209" s="5"/>
      <c r="AR209" s="5"/>
      <c r="AS209" s="5"/>
      <c r="AT209" s="5"/>
      <c r="AU209" s="5"/>
    </row>
    <row r="210" spans="1:47" ht="44.1" customHeight="1" x14ac:dyDescent="0.2">
      <c r="A210" s="5" t="s">
        <v>215</v>
      </c>
      <c r="B210" s="7" t="s">
        <v>1451</v>
      </c>
      <c r="C210" s="5">
        <v>2012</v>
      </c>
      <c r="D210" s="5" t="s">
        <v>641</v>
      </c>
      <c r="E210" s="5" t="s">
        <v>1324</v>
      </c>
      <c r="F210" s="5" t="s">
        <v>5</v>
      </c>
      <c r="G210" s="5" t="str">
        <f>IF(CropLCAs[[#This Row],[fbs_item]]="Insects","insect_ghg","plant_ghg")</f>
        <v>plant_ghg</v>
      </c>
      <c r="H210" s="49" t="s">
        <v>642</v>
      </c>
      <c r="I210" s="49"/>
      <c r="J210" s="49"/>
      <c r="K210" s="5" t="s">
        <v>778</v>
      </c>
      <c r="L210" s="5" t="s">
        <v>643</v>
      </c>
      <c r="M210" s="5" t="s">
        <v>102</v>
      </c>
      <c r="N210" s="5" t="s">
        <v>102</v>
      </c>
      <c r="O210" s="5" t="s">
        <v>109</v>
      </c>
      <c r="P210" s="5" t="s">
        <v>102</v>
      </c>
      <c r="Q210" s="5" t="s">
        <v>102</v>
      </c>
      <c r="R210" s="5" t="s">
        <v>105</v>
      </c>
      <c r="S210" s="5" t="s">
        <v>102</v>
      </c>
      <c r="T210" s="5" t="s">
        <v>102</v>
      </c>
      <c r="U210" s="5">
        <v>100</v>
      </c>
      <c r="V210" s="5">
        <v>1</v>
      </c>
      <c r="W210" s="5" t="s">
        <v>106</v>
      </c>
      <c r="X210" s="24">
        <v>0.36</v>
      </c>
      <c r="Y210" s="5" t="s">
        <v>106</v>
      </c>
      <c r="Z210" s="5"/>
      <c r="AA210" s="5"/>
      <c r="AB210" s="24">
        <v>1</v>
      </c>
      <c r="AC210" s="5"/>
      <c r="AD210" s="5" t="str">
        <f t="shared" si="14"/>
        <v>kg_co2e_excl_luc</v>
      </c>
      <c r="AE210" s="24">
        <f>IF(CropLCAs[[#This Row],[Product fraction]]="",CropLCAs[[#This Row],[CO2e (value)]]*CropLCAs[[#This Row],[Conversion factor (value)]],CropLCAs[[#This Row],[CO2e (value)]]*CropLCAs[[#This Row],[Conversion factor (value)]]/CropLCAs[[#This Row],[Product fraction]]*CropLCAs[[#This Row],[Value fraction]])</f>
        <v>0.36</v>
      </c>
      <c r="AF210" s="5"/>
      <c r="AG210" s="5" t="str">
        <f t="shared" si="15"/>
        <v>processed_ghg</v>
      </c>
      <c r="AH210" s="5"/>
      <c r="AI210" s="5"/>
      <c r="AJ210" s="8" t="str">
        <f>IF(CropLCAs[[#This Row],[product_fraction]]&gt;0,CropLCAs[[#This Row],[footprint]]/CropLCAs[[#This Row],[product_fraction]]*CropLCAs[[#This Row],[value_fraction]],"")</f>
        <v/>
      </c>
      <c r="AK210" s="23">
        <f t="shared" ref="AK210:AK221" si="16">1/12</f>
        <v>8.3333333333333329E-2</v>
      </c>
      <c r="AL210" s="5" t="s">
        <v>109</v>
      </c>
      <c r="AM210" s="5" t="s">
        <v>644</v>
      </c>
      <c r="AN210" s="5"/>
      <c r="AO210" s="5"/>
      <c r="AP210" s="5"/>
      <c r="AQ210" s="5"/>
      <c r="AR210" s="5"/>
      <c r="AS210" s="5"/>
      <c r="AT210" s="5"/>
      <c r="AU210" s="5"/>
    </row>
    <row r="211" spans="1:47" ht="44.1" customHeight="1" x14ac:dyDescent="0.2">
      <c r="A211" s="5" t="s">
        <v>215</v>
      </c>
      <c r="B211" s="7" t="s">
        <v>1451</v>
      </c>
      <c r="C211" s="5">
        <v>2012</v>
      </c>
      <c r="D211" s="5" t="s">
        <v>641</v>
      </c>
      <c r="E211" s="5" t="s">
        <v>1324</v>
      </c>
      <c r="F211" s="5" t="s">
        <v>5</v>
      </c>
      <c r="G211" s="5" t="str">
        <f>IF(CropLCAs[[#This Row],[fbs_item]]="Insects","insect_ghg","plant_ghg")</f>
        <v>plant_ghg</v>
      </c>
      <c r="H211" s="49" t="s">
        <v>642</v>
      </c>
      <c r="I211" s="49"/>
      <c r="J211" s="49"/>
      <c r="K211" s="5" t="s">
        <v>778</v>
      </c>
      <c r="L211" s="5" t="s">
        <v>645</v>
      </c>
      <c r="M211" s="5" t="s">
        <v>102</v>
      </c>
      <c r="N211" s="5" t="s">
        <v>102</v>
      </c>
      <c r="O211" s="5" t="s">
        <v>109</v>
      </c>
      <c r="P211" s="5" t="s">
        <v>102</v>
      </c>
      <c r="Q211" s="5" t="s">
        <v>102</v>
      </c>
      <c r="R211" s="5" t="s">
        <v>105</v>
      </c>
      <c r="S211" s="5" t="s">
        <v>102</v>
      </c>
      <c r="T211" s="5" t="s">
        <v>102</v>
      </c>
      <c r="U211" s="5">
        <v>100</v>
      </c>
      <c r="V211" s="5">
        <v>1</v>
      </c>
      <c r="W211" s="5" t="s">
        <v>106</v>
      </c>
      <c r="X211" s="24">
        <v>0.35</v>
      </c>
      <c r="Y211" s="5" t="s">
        <v>106</v>
      </c>
      <c r="Z211" s="5"/>
      <c r="AA211" s="5"/>
      <c r="AB211" s="24">
        <v>1</v>
      </c>
      <c r="AC211" s="5"/>
      <c r="AD211" s="5" t="str">
        <f t="shared" si="14"/>
        <v>kg_co2e_excl_luc</v>
      </c>
      <c r="AE211" s="24">
        <f>IF(CropLCAs[[#This Row],[Product fraction]]="",CropLCAs[[#This Row],[CO2e (value)]]*CropLCAs[[#This Row],[Conversion factor (value)]],CropLCAs[[#This Row],[CO2e (value)]]*CropLCAs[[#This Row],[Conversion factor (value)]]/CropLCAs[[#This Row],[Product fraction]]*CropLCAs[[#This Row],[Value fraction]])</f>
        <v>0.35</v>
      </c>
      <c r="AF211" s="5"/>
      <c r="AG211" s="5" t="str">
        <f t="shared" si="15"/>
        <v>processed_ghg</v>
      </c>
      <c r="AH211" s="5"/>
      <c r="AI211" s="5"/>
      <c r="AJ211" s="8" t="str">
        <f>IF(CropLCAs[[#This Row],[product_fraction]]&gt;0,CropLCAs[[#This Row],[footprint]]/CropLCAs[[#This Row],[product_fraction]]*CropLCAs[[#This Row],[value_fraction]],"")</f>
        <v/>
      </c>
      <c r="AK211" s="23">
        <f t="shared" si="16"/>
        <v>8.3333333333333329E-2</v>
      </c>
      <c r="AL211" s="5" t="s">
        <v>109</v>
      </c>
      <c r="AM211" s="5" t="s">
        <v>644</v>
      </c>
      <c r="AN211" s="5"/>
      <c r="AO211" s="5"/>
      <c r="AP211" s="5"/>
      <c r="AQ211" s="5"/>
      <c r="AR211" s="5"/>
      <c r="AS211" s="5"/>
      <c r="AT211" s="5"/>
      <c r="AU211" s="5"/>
    </row>
    <row r="212" spans="1:47" ht="44.1" customHeight="1" x14ac:dyDescent="0.2">
      <c r="A212" s="5" t="s">
        <v>215</v>
      </c>
      <c r="B212" s="7" t="s">
        <v>1451</v>
      </c>
      <c r="C212" s="5">
        <v>2012</v>
      </c>
      <c r="D212" s="5" t="s">
        <v>641</v>
      </c>
      <c r="E212" s="5" t="s">
        <v>1324</v>
      </c>
      <c r="F212" s="5" t="s">
        <v>5</v>
      </c>
      <c r="G212" s="5" t="str">
        <f>IF(CropLCAs[[#This Row],[fbs_item]]="Insects","insect_ghg","plant_ghg")</f>
        <v>plant_ghg</v>
      </c>
      <c r="H212" s="49" t="s">
        <v>642</v>
      </c>
      <c r="I212" s="49"/>
      <c r="J212" s="49"/>
      <c r="K212" s="5" t="s">
        <v>778</v>
      </c>
      <c r="L212" s="5" t="s">
        <v>646</v>
      </c>
      <c r="M212" s="5" t="s">
        <v>102</v>
      </c>
      <c r="N212" s="5" t="s">
        <v>102</v>
      </c>
      <c r="O212" s="5" t="s">
        <v>109</v>
      </c>
      <c r="P212" s="5" t="s">
        <v>102</v>
      </c>
      <c r="Q212" s="5" t="s">
        <v>102</v>
      </c>
      <c r="R212" s="5" t="s">
        <v>105</v>
      </c>
      <c r="S212" s="5" t="s">
        <v>102</v>
      </c>
      <c r="T212" s="5" t="s">
        <v>102</v>
      </c>
      <c r="U212" s="5">
        <v>100</v>
      </c>
      <c r="V212" s="5">
        <v>1</v>
      </c>
      <c r="W212" s="5" t="s">
        <v>106</v>
      </c>
      <c r="X212" s="24">
        <v>0.35</v>
      </c>
      <c r="Y212" s="5" t="s">
        <v>106</v>
      </c>
      <c r="Z212" s="5"/>
      <c r="AA212" s="5"/>
      <c r="AB212" s="24">
        <v>1</v>
      </c>
      <c r="AC212" s="5"/>
      <c r="AD212" s="5" t="str">
        <f t="shared" si="14"/>
        <v>kg_co2e_excl_luc</v>
      </c>
      <c r="AE212" s="24">
        <f>IF(CropLCAs[[#This Row],[Product fraction]]="",CropLCAs[[#This Row],[CO2e (value)]]*CropLCAs[[#This Row],[Conversion factor (value)]],CropLCAs[[#This Row],[CO2e (value)]]*CropLCAs[[#This Row],[Conversion factor (value)]]/CropLCAs[[#This Row],[Product fraction]]*CropLCAs[[#This Row],[Value fraction]])</f>
        <v>0.35</v>
      </c>
      <c r="AF212" s="5"/>
      <c r="AG212" s="5" t="str">
        <f t="shared" si="15"/>
        <v>processed_ghg</v>
      </c>
      <c r="AH212" s="5"/>
      <c r="AI212" s="5"/>
      <c r="AJ212" s="8" t="str">
        <f>IF(CropLCAs[[#This Row],[product_fraction]]&gt;0,CropLCAs[[#This Row],[footprint]]/CropLCAs[[#This Row],[product_fraction]]*CropLCAs[[#This Row],[value_fraction]],"")</f>
        <v/>
      </c>
      <c r="AK212" s="23">
        <f t="shared" si="16"/>
        <v>8.3333333333333329E-2</v>
      </c>
      <c r="AL212" s="5" t="s">
        <v>109</v>
      </c>
      <c r="AM212" s="5" t="s">
        <v>644</v>
      </c>
      <c r="AN212" s="5"/>
      <c r="AO212" s="5"/>
      <c r="AP212" s="5"/>
      <c r="AQ212" s="5"/>
      <c r="AR212" s="5"/>
      <c r="AS212" s="5"/>
      <c r="AT212" s="5"/>
      <c r="AU212" s="5"/>
    </row>
    <row r="213" spans="1:47" ht="44.1" customHeight="1" x14ac:dyDescent="0.2">
      <c r="A213" s="5" t="s">
        <v>215</v>
      </c>
      <c r="B213" s="7" t="s">
        <v>1451</v>
      </c>
      <c r="C213" s="5">
        <v>2012</v>
      </c>
      <c r="D213" s="5" t="s">
        <v>641</v>
      </c>
      <c r="E213" s="5" t="s">
        <v>1324</v>
      </c>
      <c r="F213" s="5" t="s">
        <v>5</v>
      </c>
      <c r="G213" s="5" t="str">
        <f>IF(CropLCAs[[#This Row],[fbs_item]]="Insects","insect_ghg","plant_ghg")</f>
        <v>plant_ghg</v>
      </c>
      <c r="H213" s="49" t="s">
        <v>642</v>
      </c>
      <c r="I213" s="49"/>
      <c r="J213" s="49"/>
      <c r="K213" s="5" t="s">
        <v>778</v>
      </c>
      <c r="L213" s="5" t="s">
        <v>647</v>
      </c>
      <c r="M213" s="5" t="s">
        <v>102</v>
      </c>
      <c r="N213" s="5" t="s">
        <v>102</v>
      </c>
      <c r="O213" s="5" t="s">
        <v>109</v>
      </c>
      <c r="P213" s="5" t="s">
        <v>102</v>
      </c>
      <c r="Q213" s="5" t="s">
        <v>102</v>
      </c>
      <c r="R213" s="5" t="s">
        <v>105</v>
      </c>
      <c r="S213" s="5" t="s">
        <v>102</v>
      </c>
      <c r="T213" s="5" t="s">
        <v>102</v>
      </c>
      <c r="U213" s="5">
        <v>100</v>
      </c>
      <c r="V213" s="5">
        <v>1</v>
      </c>
      <c r="W213" s="5" t="s">
        <v>106</v>
      </c>
      <c r="X213" s="24">
        <v>0.37</v>
      </c>
      <c r="Y213" s="5" t="s">
        <v>106</v>
      </c>
      <c r="Z213" s="5"/>
      <c r="AA213" s="5"/>
      <c r="AB213" s="24">
        <v>1</v>
      </c>
      <c r="AC213" s="5"/>
      <c r="AD213" s="5" t="str">
        <f t="shared" si="14"/>
        <v>kg_co2e_excl_luc</v>
      </c>
      <c r="AE213" s="24">
        <f>IF(CropLCAs[[#This Row],[Product fraction]]="",CropLCAs[[#This Row],[CO2e (value)]]*CropLCAs[[#This Row],[Conversion factor (value)]],CropLCAs[[#This Row],[CO2e (value)]]*CropLCAs[[#This Row],[Conversion factor (value)]]/CropLCAs[[#This Row],[Product fraction]]*CropLCAs[[#This Row],[Value fraction]])</f>
        <v>0.37</v>
      </c>
      <c r="AF213" s="5"/>
      <c r="AG213" s="5" t="str">
        <f t="shared" si="15"/>
        <v>processed_ghg</v>
      </c>
      <c r="AH213" s="5"/>
      <c r="AI213" s="5"/>
      <c r="AJ213" s="8" t="str">
        <f>IF(CropLCAs[[#This Row],[product_fraction]]&gt;0,CropLCAs[[#This Row],[footprint]]/CropLCAs[[#This Row],[product_fraction]]*CropLCAs[[#This Row],[value_fraction]],"")</f>
        <v/>
      </c>
      <c r="AK213" s="23">
        <f t="shared" si="16"/>
        <v>8.3333333333333329E-2</v>
      </c>
      <c r="AL213" s="5" t="s">
        <v>109</v>
      </c>
      <c r="AM213" s="5" t="s">
        <v>644</v>
      </c>
      <c r="AN213" s="5"/>
      <c r="AO213" s="5"/>
      <c r="AP213" s="5"/>
      <c r="AQ213" s="5"/>
      <c r="AR213" s="5"/>
      <c r="AS213" s="5"/>
      <c r="AT213" s="5"/>
      <c r="AU213" s="5"/>
    </row>
    <row r="214" spans="1:47" ht="44.1" customHeight="1" x14ac:dyDescent="0.2">
      <c r="A214" s="5" t="s">
        <v>215</v>
      </c>
      <c r="B214" s="7" t="s">
        <v>1451</v>
      </c>
      <c r="C214" s="5">
        <v>2012</v>
      </c>
      <c r="D214" s="5" t="s">
        <v>641</v>
      </c>
      <c r="E214" s="5" t="s">
        <v>1324</v>
      </c>
      <c r="F214" s="5" t="s">
        <v>5</v>
      </c>
      <c r="G214" s="5" t="str">
        <f>IF(CropLCAs[[#This Row],[fbs_item]]="Insects","insect_ghg","plant_ghg")</f>
        <v>plant_ghg</v>
      </c>
      <c r="H214" s="49" t="s">
        <v>642</v>
      </c>
      <c r="I214" s="49"/>
      <c r="J214" s="49"/>
      <c r="K214" s="5" t="s">
        <v>778</v>
      </c>
      <c r="L214" s="5" t="s">
        <v>648</v>
      </c>
      <c r="M214" s="5" t="s">
        <v>102</v>
      </c>
      <c r="N214" s="5" t="s">
        <v>102</v>
      </c>
      <c r="O214" s="5" t="s">
        <v>109</v>
      </c>
      <c r="P214" s="5" t="s">
        <v>102</v>
      </c>
      <c r="Q214" s="5" t="s">
        <v>102</v>
      </c>
      <c r="R214" s="5" t="s">
        <v>105</v>
      </c>
      <c r="S214" s="5" t="s">
        <v>102</v>
      </c>
      <c r="T214" s="5" t="s">
        <v>102</v>
      </c>
      <c r="U214" s="5">
        <v>100</v>
      </c>
      <c r="V214" s="5">
        <v>1</v>
      </c>
      <c r="W214" s="5" t="s">
        <v>106</v>
      </c>
      <c r="X214" s="24">
        <v>0.34</v>
      </c>
      <c r="Y214" s="5" t="s">
        <v>106</v>
      </c>
      <c r="Z214" s="5"/>
      <c r="AA214" s="5"/>
      <c r="AB214" s="24">
        <v>1</v>
      </c>
      <c r="AC214" s="5"/>
      <c r="AD214" s="5" t="str">
        <f t="shared" si="14"/>
        <v>kg_co2e_excl_luc</v>
      </c>
      <c r="AE214" s="24">
        <f>IF(CropLCAs[[#This Row],[Product fraction]]="",CropLCAs[[#This Row],[CO2e (value)]]*CropLCAs[[#This Row],[Conversion factor (value)]],CropLCAs[[#This Row],[CO2e (value)]]*CropLCAs[[#This Row],[Conversion factor (value)]]/CropLCAs[[#This Row],[Product fraction]]*CropLCAs[[#This Row],[Value fraction]])</f>
        <v>0.34</v>
      </c>
      <c r="AF214" s="5"/>
      <c r="AG214" s="5" t="str">
        <f t="shared" si="15"/>
        <v>processed_ghg</v>
      </c>
      <c r="AH214" s="5"/>
      <c r="AI214" s="5"/>
      <c r="AJ214" s="8" t="str">
        <f>IF(CropLCAs[[#This Row],[product_fraction]]&gt;0,CropLCAs[[#This Row],[footprint]]/CropLCAs[[#This Row],[product_fraction]]*CropLCAs[[#This Row],[value_fraction]],"")</f>
        <v/>
      </c>
      <c r="AK214" s="23">
        <f t="shared" si="16"/>
        <v>8.3333333333333329E-2</v>
      </c>
      <c r="AL214" s="5" t="s">
        <v>109</v>
      </c>
      <c r="AM214" s="5" t="s">
        <v>644</v>
      </c>
      <c r="AN214" s="5"/>
      <c r="AO214" s="5"/>
      <c r="AP214" s="5"/>
      <c r="AQ214" s="5"/>
      <c r="AR214" s="5"/>
      <c r="AS214" s="5"/>
      <c r="AT214" s="5"/>
      <c r="AU214" s="5"/>
    </row>
    <row r="215" spans="1:47" ht="44.1" customHeight="1" x14ac:dyDescent="0.2">
      <c r="A215" s="5" t="s">
        <v>215</v>
      </c>
      <c r="B215" s="7" t="s">
        <v>1451</v>
      </c>
      <c r="C215" s="5">
        <v>2012</v>
      </c>
      <c r="D215" s="5" t="s">
        <v>641</v>
      </c>
      <c r="E215" s="5" t="s">
        <v>1324</v>
      </c>
      <c r="F215" s="5" t="s">
        <v>5</v>
      </c>
      <c r="G215" s="5" t="str">
        <f>IF(CropLCAs[[#This Row],[fbs_item]]="Insects","insect_ghg","plant_ghg")</f>
        <v>plant_ghg</v>
      </c>
      <c r="H215" s="49" t="s">
        <v>642</v>
      </c>
      <c r="I215" s="49"/>
      <c r="J215" s="49"/>
      <c r="K215" s="5" t="s">
        <v>778</v>
      </c>
      <c r="L215" s="5" t="s">
        <v>649</v>
      </c>
      <c r="M215" s="5" t="s">
        <v>102</v>
      </c>
      <c r="N215" s="5" t="s">
        <v>102</v>
      </c>
      <c r="O215" s="5" t="s">
        <v>109</v>
      </c>
      <c r="P215" s="5" t="s">
        <v>102</v>
      </c>
      <c r="Q215" s="5" t="s">
        <v>102</v>
      </c>
      <c r="R215" s="5" t="s">
        <v>105</v>
      </c>
      <c r="S215" s="5" t="s">
        <v>102</v>
      </c>
      <c r="T215" s="5" t="s">
        <v>102</v>
      </c>
      <c r="U215" s="5">
        <v>100</v>
      </c>
      <c r="V215" s="5">
        <v>1</v>
      </c>
      <c r="W215" s="5" t="s">
        <v>106</v>
      </c>
      <c r="X215" s="24">
        <v>0.28999999999999998</v>
      </c>
      <c r="Y215" s="5" t="s">
        <v>106</v>
      </c>
      <c r="Z215" s="5"/>
      <c r="AA215" s="5"/>
      <c r="AB215" s="24">
        <v>1</v>
      </c>
      <c r="AC215" s="5"/>
      <c r="AD215" s="5" t="str">
        <f t="shared" si="14"/>
        <v>kg_co2e_excl_luc</v>
      </c>
      <c r="AE215" s="24">
        <f>IF(CropLCAs[[#This Row],[Product fraction]]="",CropLCAs[[#This Row],[CO2e (value)]]*CropLCAs[[#This Row],[Conversion factor (value)]],CropLCAs[[#This Row],[CO2e (value)]]*CropLCAs[[#This Row],[Conversion factor (value)]]/CropLCAs[[#This Row],[Product fraction]]*CropLCAs[[#This Row],[Value fraction]])</f>
        <v>0.28999999999999998</v>
      </c>
      <c r="AF215" s="5"/>
      <c r="AG215" s="5" t="str">
        <f t="shared" si="15"/>
        <v>processed_ghg</v>
      </c>
      <c r="AH215" s="5"/>
      <c r="AI215" s="5"/>
      <c r="AJ215" s="8" t="str">
        <f>IF(CropLCAs[[#This Row],[product_fraction]]&gt;0,CropLCAs[[#This Row],[footprint]]/CropLCAs[[#This Row],[product_fraction]]*CropLCAs[[#This Row],[value_fraction]],"")</f>
        <v/>
      </c>
      <c r="AK215" s="23">
        <f t="shared" si="16"/>
        <v>8.3333333333333329E-2</v>
      </c>
      <c r="AL215" s="5" t="s">
        <v>109</v>
      </c>
      <c r="AM215" s="5" t="s">
        <v>644</v>
      </c>
      <c r="AN215" s="5"/>
      <c r="AO215" s="5"/>
      <c r="AP215" s="5"/>
      <c r="AQ215" s="5"/>
      <c r="AR215" s="5"/>
      <c r="AS215" s="5"/>
      <c r="AT215" s="5"/>
      <c r="AU215" s="5"/>
    </row>
    <row r="216" spans="1:47" ht="44.1" customHeight="1" x14ac:dyDescent="0.2">
      <c r="A216" s="5" t="s">
        <v>215</v>
      </c>
      <c r="B216" s="7" t="s">
        <v>1451</v>
      </c>
      <c r="C216" s="5">
        <v>2012</v>
      </c>
      <c r="D216" s="5" t="s">
        <v>641</v>
      </c>
      <c r="E216" s="5" t="s">
        <v>1324</v>
      </c>
      <c r="F216" s="5" t="s">
        <v>5</v>
      </c>
      <c r="G216" s="5" t="str">
        <f>IF(CropLCAs[[#This Row],[fbs_item]]="Insects","insect_ghg","plant_ghg")</f>
        <v>plant_ghg</v>
      </c>
      <c r="H216" s="49" t="s">
        <v>642</v>
      </c>
      <c r="I216" s="49"/>
      <c r="J216" s="49"/>
      <c r="K216" s="5" t="s">
        <v>778</v>
      </c>
      <c r="L216" s="5" t="s">
        <v>650</v>
      </c>
      <c r="M216" s="5" t="s">
        <v>102</v>
      </c>
      <c r="N216" s="5" t="s">
        <v>102</v>
      </c>
      <c r="O216" s="5" t="s">
        <v>109</v>
      </c>
      <c r="P216" s="5" t="s">
        <v>102</v>
      </c>
      <c r="Q216" s="5" t="s">
        <v>102</v>
      </c>
      <c r="R216" s="5" t="s">
        <v>105</v>
      </c>
      <c r="S216" s="5" t="s">
        <v>102</v>
      </c>
      <c r="T216" s="5" t="s">
        <v>102</v>
      </c>
      <c r="U216" s="5">
        <v>100</v>
      </c>
      <c r="V216" s="5">
        <v>1</v>
      </c>
      <c r="W216" s="5" t="s">
        <v>106</v>
      </c>
      <c r="X216" s="24">
        <v>0.32</v>
      </c>
      <c r="Y216" s="5" t="s">
        <v>106</v>
      </c>
      <c r="Z216" s="5"/>
      <c r="AA216" s="5"/>
      <c r="AB216" s="24">
        <v>1</v>
      </c>
      <c r="AC216" s="5"/>
      <c r="AD216" s="5" t="str">
        <f t="shared" si="14"/>
        <v>kg_co2e_excl_luc</v>
      </c>
      <c r="AE216" s="24">
        <f>IF(CropLCAs[[#This Row],[Product fraction]]="",CropLCAs[[#This Row],[CO2e (value)]]*CropLCAs[[#This Row],[Conversion factor (value)]],CropLCAs[[#This Row],[CO2e (value)]]*CropLCAs[[#This Row],[Conversion factor (value)]]/CropLCAs[[#This Row],[Product fraction]]*CropLCAs[[#This Row],[Value fraction]])</f>
        <v>0.32</v>
      </c>
      <c r="AF216" s="5"/>
      <c r="AG216" s="5" t="str">
        <f t="shared" si="15"/>
        <v>processed_ghg</v>
      </c>
      <c r="AH216" s="5"/>
      <c r="AI216" s="5"/>
      <c r="AJ216" s="8" t="str">
        <f>IF(CropLCAs[[#This Row],[product_fraction]]&gt;0,CropLCAs[[#This Row],[footprint]]/CropLCAs[[#This Row],[product_fraction]]*CropLCAs[[#This Row],[value_fraction]],"")</f>
        <v/>
      </c>
      <c r="AK216" s="23">
        <f t="shared" si="16"/>
        <v>8.3333333333333329E-2</v>
      </c>
      <c r="AL216" s="5" t="s">
        <v>109</v>
      </c>
      <c r="AM216" s="5" t="s">
        <v>644</v>
      </c>
      <c r="AN216" s="5"/>
      <c r="AO216" s="5"/>
      <c r="AP216" s="5"/>
      <c r="AQ216" s="5"/>
      <c r="AR216" s="5"/>
      <c r="AS216" s="5"/>
      <c r="AT216" s="5"/>
      <c r="AU216" s="5"/>
    </row>
    <row r="217" spans="1:47" ht="44.1" customHeight="1" x14ac:dyDescent="0.2">
      <c r="A217" s="5" t="s">
        <v>215</v>
      </c>
      <c r="B217" s="7" t="s">
        <v>1451</v>
      </c>
      <c r="C217" s="5">
        <v>2012</v>
      </c>
      <c r="D217" s="5" t="s">
        <v>641</v>
      </c>
      <c r="E217" s="5" t="s">
        <v>1324</v>
      </c>
      <c r="F217" s="5" t="s">
        <v>5</v>
      </c>
      <c r="G217" s="5" t="str">
        <f>IF(CropLCAs[[#This Row],[fbs_item]]="Insects","insect_ghg","plant_ghg")</f>
        <v>plant_ghg</v>
      </c>
      <c r="H217" s="49" t="s">
        <v>642</v>
      </c>
      <c r="I217" s="49"/>
      <c r="J217" s="49"/>
      <c r="K217" s="5" t="s">
        <v>778</v>
      </c>
      <c r="L217" s="5" t="s">
        <v>651</v>
      </c>
      <c r="M217" s="5" t="s">
        <v>102</v>
      </c>
      <c r="N217" s="5" t="s">
        <v>102</v>
      </c>
      <c r="O217" s="5" t="s">
        <v>109</v>
      </c>
      <c r="P217" s="5" t="s">
        <v>102</v>
      </c>
      <c r="Q217" s="5" t="s">
        <v>102</v>
      </c>
      <c r="R217" s="5" t="s">
        <v>105</v>
      </c>
      <c r="S217" s="5" t="s">
        <v>102</v>
      </c>
      <c r="T217" s="5" t="s">
        <v>102</v>
      </c>
      <c r="U217" s="5">
        <v>100</v>
      </c>
      <c r="V217" s="5">
        <v>1</v>
      </c>
      <c r="W217" s="5" t="s">
        <v>106</v>
      </c>
      <c r="X217" s="24">
        <v>0.34</v>
      </c>
      <c r="Y217" s="5" t="s">
        <v>106</v>
      </c>
      <c r="Z217" s="5"/>
      <c r="AA217" s="5"/>
      <c r="AB217" s="24">
        <v>1</v>
      </c>
      <c r="AC217" s="5"/>
      <c r="AD217" s="5" t="str">
        <f t="shared" si="14"/>
        <v>kg_co2e_excl_luc</v>
      </c>
      <c r="AE217" s="24">
        <f>IF(CropLCAs[[#This Row],[Product fraction]]="",CropLCAs[[#This Row],[CO2e (value)]]*CropLCAs[[#This Row],[Conversion factor (value)]],CropLCAs[[#This Row],[CO2e (value)]]*CropLCAs[[#This Row],[Conversion factor (value)]]/CropLCAs[[#This Row],[Product fraction]]*CropLCAs[[#This Row],[Value fraction]])</f>
        <v>0.34</v>
      </c>
      <c r="AF217" s="5"/>
      <c r="AG217" s="5" t="str">
        <f t="shared" si="15"/>
        <v>processed_ghg</v>
      </c>
      <c r="AH217" s="5"/>
      <c r="AI217" s="5"/>
      <c r="AJ217" s="8" t="str">
        <f>IF(CropLCAs[[#This Row],[product_fraction]]&gt;0,CropLCAs[[#This Row],[footprint]]/CropLCAs[[#This Row],[product_fraction]]*CropLCAs[[#This Row],[value_fraction]],"")</f>
        <v/>
      </c>
      <c r="AK217" s="23">
        <f t="shared" si="16"/>
        <v>8.3333333333333329E-2</v>
      </c>
      <c r="AL217" s="5" t="s">
        <v>109</v>
      </c>
      <c r="AM217" s="5" t="s">
        <v>644</v>
      </c>
      <c r="AN217" s="5"/>
      <c r="AO217" s="5"/>
      <c r="AP217" s="5"/>
      <c r="AQ217" s="5"/>
      <c r="AR217" s="5"/>
      <c r="AS217" s="5"/>
      <c r="AT217" s="5"/>
      <c r="AU217" s="5"/>
    </row>
    <row r="218" spans="1:47" ht="44.1" customHeight="1" x14ac:dyDescent="0.2">
      <c r="A218" s="5" t="s">
        <v>215</v>
      </c>
      <c r="B218" s="7" t="s">
        <v>1451</v>
      </c>
      <c r="C218" s="5">
        <v>2012</v>
      </c>
      <c r="D218" s="5" t="s">
        <v>641</v>
      </c>
      <c r="E218" s="5" t="s">
        <v>1324</v>
      </c>
      <c r="F218" s="5" t="s">
        <v>5</v>
      </c>
      <c r="G218" s="5" t="str">
        <f>IF(CropLCAs[[#This Row],[fbs_item]]="Insects","insect_ghg","plant_ghg")</f>
        <v>plant_ghg</v>
      </c>
      <c r="H218" s="49" t="s">
        <v>642</v>
      </c>
      <c r="I218" s="49"/>
      <c r="J218" s="49"/>
      <c r="K218" s="5" t="s">
        <v>778</v>
      </c>
      <c r="L218" s="5" t="s">
        <v>652</v>
      </c>
      <c r="M218" s="5" t="s">
        <v>102</v>
      </c>
      <c r="N218" s="5" t="s">
        <v>102</v>
      </c>
      <c r="O218" s="5" t="s">
        <v>109</v>
      </c>
      <c r="P218" s="5" t="s">
        <v>102</v>
      </c>
      <c r="Q218" s="5" t="s">
        <v>102</v>
      </c>
      <c r="R218" s="5" t="s">
        <v>105</v>
      </c>
      <c r="S218" s="5" t="s">
        <v>102</v>
      </c>
      <c r="T218" s="5" t="s">
        <v>102</v>
      </c>
      <c r="U218" s="5">
        <v>100</v>
      </c>
      <c r="V218" s="5">
        <v>1</v>
      </c>
      <c r="W218" s="5" t="s">
        <v>106</v>
      </c>
      <c r="X218" s="24">
        <v>0.34</v>
      </c>
      <c r="Y218" s="5" t="s">
        <v>106</v>
      </c>
      <c r="Z218" s="5"/>
      <c r="AA218" s="5"/>
      <c r="AB218" s="24">
        <v>1</v>
      </c>
      <c r="AC218" s="5"/>
      <c r="AD218" s="5" t="str">
        <f t="shared" si="14"/>
        <v>kg_co2e_excl_luc</v>
      </c>
      <c r="AE218" s="24">
        <f>IF(CropLCAs[[#This Row],[Product fraction]]="",CropLCAs[[#This Row],[CO2e (value)]]*CropLCAs[[#This Row],[Conversion factor (value)]],CropLCAs[[#This Row],[CO2e (value)]]*CropLCAs[[#This Row],[Conversion factor (value)]]/CropLCAs[[#This Row],[Product fraction]]*CropLCAs[[#This Row],[Value fraction]])</f>
        <v>0.34</v>
      </c>
      <c r="AF218" s="5"/>
      <c r="AG218" s="5" t="str">
        <f t="shared" si="15"/>
        <v>processed_ghg</v>
      </c>
      <c r="AH218" s="5"/>
      <c r="AI218" s="5"/>
      <c r="AJ218" s="8" t="str">
        <f>IF(CropLCAs[[#This Row],[product_fraction]]&gt;0,CropLCAs[[#This Row],[footprint]]/CropLCAs[[#This Row],[product_fraction]]*CropLCAs[[#This Row],[value_fraction]],"")</f>
        <v/>
      </c>
      <c r="AK218" s="23">
        <f t="shared" si="16"/>
        <v>8.3333333333333329E-2</v>
      </c>
      <c r="AL218" s="5" t="s">
        <v>109</v>
      </c>
      <c r="AM218" s="5" t="s">
        <v>644</v>
      </c>
      <c r="AN218" s="5"/>
      <c r="AO218" s="5"/>
      <c r="AP218" s="5"/>
      <c r="AQ218" s="5"/>
      <c r="AR218" s="5"/>
      <c r="AS218" s="5"/>
      <c r="AT218" s="5"/>
      <c r="AU218" s="5"/>
    </row>
    <row r="219" spans="1:47" ht="44.1" customHeight="1" x14ac:dyDescent="0.2">
      <c r="A219" s="5" t="s">
        <v>215</v>
      </c>
      <c r="B219" s="7" t="s">
        <v>1451</v>
      </c>
      <c r="C219" s="5">
        <v>2012</v>
      </c>
      <c r="D219" s="5" t="s">
        <v>641</v>
      </c>
      <c r="E219" s="5" t="s">
        <v>1324</v>
      </c>
      <c r="F219" s="5" t="s">
        <v>5</v>
      </c>
      <c r="G219" s="5" t="str">
        <f>IF(CropLCAs[[#This Row],[fbs_item]]="Insects","insect_ghg","plant_ghg")</f>
        <v>plant_ghg</v>
      </c>
      <c r="H219" s="49" t="s">
        <v>642</v>
      </c>
      <c r="I219" s="49"/>
      <c r="J219" s="49"/>
      <c r="K219" s="5" t="s">
        <v>778</v>
      </c>
      <c r="L219" s="5" t="s">
        <v>653</v>
      </c>
      <c r="M219" s="5" t="s">
        <v>102</v>
      </c>
      <c r="N219" s="5" t="s">
        <v>102</v>
      </c>
      <c r="O219" s="5" t="s">
        <v>109</v>
      </c>
      <c r="P219" s="5" t="s">
        <v>102</v>
      </c>
      <c r="Q219" s="5" t="s">
        <v>102</v>
      </c>
      <c r="R219" s="5" t="s">
        <v>105</v>
      </c>
      <c r="S219" s="5" t="s">
        <v>102</v>
      </c>
      <c r="T219" s="5" t="s">
        <v>102</v>
      </c>
      <c r="U219" s="5">
        <v>100</v>
      </c>
      <c r="V219" s="5">
        <v>1</v>
      </c>
      <c r="W219" s="5" t="s">
        <v>106</v>
      </c>
      <c r="X219" s="24">
        <v>0.38</v>
      </c>
      <c r="Y219" s="5" t="s">
        <v>106</v>
      </c>
      <c r="Z219" s="5"/>
      <c r="AA219" s="5"/>
      <c r="AB219" s="24">
        <v>1</v>
      </c>
      <c r="AC219" s="5"/>
      <c r="AD219" s="5" t="str">
        <f t="shared" si="14"/>
        <v>kg_co2e_excl_luc</v>
      </c>
      <c r="AE219" s="24">
        <f>IF(CropLCAs[[#This Row],[Product fraction]]="",CropLCAs[[#This Row],[CO2e (value)]]*CropLCAs[[#This Row],[Conversion factor (value)]],CropLCAs[[#This Row],[CO2e (value)]]*CropLCAs[[#This Row],[Conversion factor (value)]]/CropLCAs[[#This Row],[Product fraction]]*CropLCAs[[#This Row],[Value fraction]])</f>
        <v>0.38</v>
      </c>
      <c r="AF219" s="5"/>
      <c r="AG219" s="5" t="str">
        <f t="shared" si="15"/>
        <v>processed_ghg</v>
      </c>
      <c r="AH219" s="5"/>
      <c r="AI219" s="5"/>
      <c r="AJ219" s="8" t="str">
        <f>IF(CropLCAs[[#This Row],[product_fraction]]&gt;0,CropLCAs[[#This Row],[footprint]]/CropLCAs[[#This Row],[product_fraction]]*CropLCAs[[#This Row],[value_fraction]],"")</f>
        <v/>
      </c>
      <c r="AK219" s="23">
        <f t="shared" si="16"/>
        <v>8.3333333333333329E-2</v>
      </c>
      <c r="AL219" s="5" t="s">
        <v>109</v>
      </c>
      <c r="AM219" s="5" t="s">
        <v>644</v>
      </c>
      <c r="AN219" s="5"/>
      <c r="AO219" s="5"/>
      <c r="AP219" s="5"/>
      <c r="AQ219" s="5"/>
      <c r="AR219" s="5"/>
      <c r="AS219" s="5"/>
      <c r="AT219" s="5"/>
      <c r="AU219" s="5"/>
    </row>
    <row r="220" spans="1:47" ht="44.1" customHeight="1" x14ac:dyDescent="0.2">
      <c r="A220" s="5" t="s">
        <v>215</v>
      </c>
      <c r="B220" s="7" t="s">
        <v>1451</v>
      </c>
      <c r="C220" s="5">
        <v>2012</v>
      </c>
      <c r="D220" s="5" t="s">
        <v>641</v>
      </c>
      <c r="E220" s="5" t="s">
        <v>1324</v>
      </c>
      <c r="F220" s="5" t="s">
        <v>5</v>
      </c>
      <c r="G220" s="5" t="str">
        <f>IF(CropLCAs[[#This Row],[fbs_item]]="Insects","insect_ghg","plant_ghg")</f>
        <v>plant_ghg</v>
      </c>
      <c r="H220" s="49" t="s">
        <v>642</v>
      </c>
      <c r="I220" s="49"/>
      <c r="J220" s="49"/>
      <c r="K220" s="5" t="s">
        <v>778</v>
      </c>
      <c r="L220" s="5" t="s">
        <v>654</v>
      </c>
      <c r="M220" s="5" t="s">
        <v>102</v>
      </c>
      <c r="N220" s="5" t="s">
        <v>102</v>
      </c>
      <c r="O220" s="5" t="s">
        <v>109</v>
      </c>
      <c r="P220" s="5" t="s">
        <v>102</v>
      </c>
      <c r="Q220" s="5" t="s">
        <v>102</v>
      </c>
      <c r="R220" s="5" t="s">
        <v>105</v>
      </c>
      <c r="S220" s="5" t="s">
        <v>102</v>
      </c>
      <c r="T220" s="5" t="s">
        <v>102</v>
      </c>
      <c r="U220" s="5">
        <v>100</v>
      </c>
      <c r="V220" s="5">
        <v>1</v>
      </c>
      <c r="W220" s="5" t="s">
        <v>106</v>
      </c>
      <c r="X220" s="24">
        <v>0.35</v>
      </c>
      <c r="Y220" s="5" t="s">
        <v>106</v>
      </c>
      <c r="Z220" s="5"/>
      <c r="AA220" s="5"/>
      <c r="AB220" s="24">
        <v>1</v>
      </c>
      <c r="AC220" s="5"/>
      <c r="AD220" s="5" t="str">
        <f t="shared" si="14"/>
        <v>kg_co2e_excl_luc</v>
      </c>
      <c r="AE220" s="24">
        <f>IF(CropLCAs[[#This Row],[Product fraction]]="",CropLCAs[[#This Row],[CO2e (value)]]*CropLCAs[[#This Row],[Conversion factor (value)]],CropLCAs[[#This Row],[CO2e (value)]]*CropLCAs[[#This Row],[Conversion factor (value)]]/CropLCAs[[#This Row],[Product fraction]]*CropLCAs[[#This Row],[Value fraction]])</f>
        <v>0.35</v>
      </c>
      <c r="AF220" s="5"/>
      <c r="AG220" s="5" t="str">
        <f t="shared" si="15"/>
        <v>processed_ghg</v>
      </c>
      <c r="AH220" s="5"/>
      <c r="AI220" s="5"/>
      <c r="AJ220" s="8" t="str">
        <f>IF(CropLCAs[[#This Row],[product_fraction]]&gt;0,CropLCAs[[#This Row],[footprint]]/CropLCAs[[#This Row],[product_fraction]]*CropLCAs[[#This Row],[value_fraction]],"")</f>
        <v/>
      </c>
      <c r="AK220" s="23">
        <f t="shared" si="16"/>
        <v>8.3333333333333329E-2</v>
      </c>
      <c r="AL220" s="5" t="s">
        <v>109</v>
      </c>
      <c r="AM220" s="5" t="s">
        <v>644</v>
      </c>
      <c r="AN220" s="5"/>
      <c r="AO220" s="5"/>
      <c r="AP220" s="5"/>
      <c r="AQ220" s="5"/>
      <c r="AR220" s="5"/>
      <c r="AS220" s="5"/>
      <c r="AT220" s="5"/>
      <c r="AU220" s="5"/>
    </row>
    <row r="221" spans="1:47" ht="44.1" customHeight="1" x14ac:dyDescent="0.2">
      <c r="A221" s="5" t="s">
        <v>215</v>
      </c>
      <c r="B221" s="7" t="s">
        <v>1451</v>
      </c>
      <c r="C221" s="5">
        <v>2012</v>
      </c>
      <c r="D221" s="5" t="s">
        <v>641</v>
      </c>
      <c r="E221" s="5" t="s">
        <v>1324</v>
      </c>
      <c r="F221" s="5" t="s">
        <v>5</v>
      </c>
      <c r="G221" s="5" t="str">
        <f>IF(CropLCAs[[#This Row],[fbs_item]]="Insects","insect_ghg","plant_ghg")</f>
        <v>plant_ghg</v>
      </c>
      <c r="H221" s="49" t="s">
        <v>642</v>
      </c>
      <c r="I221" s="49"/>
      <c r="J221" s="49"/>
      <c r="K221" s="5" t="s">
        <v>778</v>
      </c>
      <c r="L221" s="5" t="s">
        <v>655</v>
      </c>
      <c r="M221" s="5" t="s">
        <v>102</v>
      </c>
      <c r="N221" s="5" t="s">
        <v>102</v>
      </c>
      <c r="O221" s="5" t="s">
        <v>109</v>
      </c>
      <c r="P221" s="5" t="s">
        <v>102</v>
      </c>
      <c r="Q221" s="5" t="s">
        <v>102</v>
      </c>
      <c r="R221" s="5" t="s">
        <v>105</v>
      </c>
      <c r="S221" s="5" t="s">
        <v>102</v>
      </c>
      <c r="T221" s="5" t="s">
        <v>102</v>
      </c>
      <c r="U221" s="5">
        <v>100</v>
      </c>
      <c r="V221" s="5">
        <v>1</v>
      </c>
      <c r="W221" s="5" t="s">
        <v>106</v>
      </c>
      <c r="X221" s="24">
        <v>0.32</v>
      </c>
      <c r="Y221" s="5" t="s">
        <v>106</v>
      </c>
      <c r="Z221" s="5"/>
      <c r="AA221" s="5"/>
      <c r="AB221" s="24">
        <v>1</v>
      </c>
      <c r="AC221" s="5"/>
      <c r="AD221" s="5" t="str">
        <f t="shared" si="14"/>
        <v>kg_co2e_excl_luc</v>
      </c>
      <c r="AE221" s="24">
        <f>IF(CropLCAs[[#This Row],[Product fraction]]="",CropLCAs[[#This Row],[CO2e (value)]]*CropLCAs[[#This Row],[Conversion factor (value)]],CropLCAs[[#This Row],[CO2e (value)]]*CropLCAs[[#This Row],[Conversion factor (value)]]/CropLCAs[[#This Row],[Product fraction]]*CropLCAs[[#This Row],[Value fraction]])</f>
        <v>0.32</v>
      </c>
      <c r="AF221" s="5"/>
      <c r="AG221" s="5" t="str">
        <f t="shared" si="15"/>
        <v>processed_ghg</v>
      </c>
      <c r="AH221" s="5"/>
      <c r="AI221" s="5"/>
      <c r="AJ221" s="8" t="str">
        <f>IF(CropLCAs[[#This Row],[product_fraction]]&gt;0,CropLCAs[[#This Row],[footprint]]/CropLCAs[[#This Row],[product_fraction]]*CropLCAs[[#This Row],[value_fraction]],"")</f>
        <v/>
      </c>
      <c r="AK221" s="23">
        <f t="shared" si="16"/>
        <v>8.3333333333333329E-2</v>
      </c>
      <c r="AL221" s="5" t="s">
        <v>109</v>
      </c>
      <c r="AM221" s="5" t="s">
        <v>644</v>
      </c>
      <c r="AN221" s="5"/>
      <c r="AO221" s="5"/>
      <c r="AP221" s="5"/>
      <c r="AQ221" s="5"/>
      <c r="AR221" s="5"/>
      <c r="AS221" s="5"/>
      <c r="AT221" s="5"/>
      <c r="AU221" s="5"/>
    </row>
    <row r="222" spans="1:47" ht="44.1" customHeight="1" x14ac:dyDescent="0.2">
      <c r="A222" s="5" t="s">
        <v>215</v>
      </c>
      <c r="B222" s="5" t="s">
        <v>1452</v>
      </c>
      <c r="C222" s="5">
        <v>2014</v>
      </c>
      <c r="D222" s="5" t="s">
        <v>656</v>
      </c>
      <c r="E222" s="5" t="s">
        <v>1321</v>
      </c>
      <c r="F222" s="5" t="s">
        <v>5</v>
      </c>
      <c r="G222" s="5" t="str">
        <f>IF(CropLCAs[[#This Row],[fbs_item]]="Insects","insect_ghg","plant_ghg")</f>
        <v>plant_ghg</v>
      </c>
      <c r="H222" s="49" t="s">
        <v>180</v>
      </c>
      <c r="I222" s="49"/>
      <c r="J222" s="49"/>
      <c r="K222" s="5" t="s">
        <v>1362</v>
      </c>
      <c r="L222" s="5" t="s">
        <v>657</v>
      </c>
      <c r="M222" s="5" t="s">
        <v>102</v>
      </c>
      <c r="N222" s="5" t="s">
        <v>109</v>
      </c>
      <c r="O222" s="5" t="s">
        <v>109</v>
      </c>
      <c r="P222" s="5" t="s">
        <v>102</v>
      </c>
      <c r="Q222" s="5" t="s">
        <v>102</v>
      </c>
      <c r="R222" s="5" t="s">
        <v>105</v>
      </c>
      <c r="S222" s="5" t="s">
        <v>102</v>
      </c>
      <c r="T222" s="5" t="s">
        <v>1234</v>
      </c>
      <c r="U222" s="5" t="s">
        <v>126</v>
      </c>
      <c r="V222" s="5">
        <v>1</v>
      </c>
      <c r="W222" s="5" t="s">
        <v>165</v>
      </c>
      <c r="X222" s="24">
        <v>413</v>
      </c>
      <c r="Y222" s="5" t="s">
        <v>106</v>
      </c>
      <c r="Z222" s="5"/>
      <c r="AA222" s="5"/>
      <c r="AB222" s="24">
        <v>1E-3</v>
      </c>
      <c r="AC222" s="5" t="s">
        <v>166</v>
      </c>
      <c r="AD222" s="5" t="str">
        <f t="shared" si="14"/>
        <v>kg_co2e_excl_luc</v>
      </c>
      <c r="AE222" s="24">
        <f>IF(CropLCAs[[#This Row],[Product fraction]]="",CropLCAs[[#This Row],[CO2e (value)]]*CropLCAs[[#This Row],[Conversion factor (value)]],CropLCAs[[#This Row],[CO2e (value)]]*CropLCAs[[#This Row],[Conversion factor (value)]]/CropLCAs[[#This Row],[Product fraction]]*CropLCAs[[#This Row],[Value fraction]])</f>
        <v>0.41300000000000003</v>
      </c>
      <c r="AF222" s="5"/>
      <c r="AG222" s="5" t="str">
        <f t="shared" si="15"/>
        <v>processed_ghg</v>
      </c>
      <c r="AH222" s="5"/>
      <c r="AI222" s="5"/>
      <c r="AJ222" s="8" t="str">
        <f>IF(CropLCAs[[#This Row],[product_fraction]]&gt;0,CropLCAs[[#This Row],[footprint]]/CropLCAs[[#This Row],[product_fraction]]*CropLCAs[[#This Row],[value_fraction]],"")</f>
        <v/>
      </c>
      <c r="AK222" s="23">
        <f>1/2</f>
        <v>0.5</v>
      </c>
      <c r="AL222" s="5" t="s">
        <v>109</v>
      </c>
      <c r="AM222" s="5" t="s">
        <v>658</v>
      </c>
      <c r="AN222" s="5"/>
      <c r="AO222" s="5"/>
      <c r="AP222" s="5"/>
      <c r="AQ222" s="5"/>
      <c r="AR222" s="5"/>
      <c r="AS222" s="5"/>
      <c r="AT222" s="5"/>
      <c r="AU222" s="5"/>
    </row>
    <row r="223" spans="1:47" ht="44.1" customHeight="1" x14ac:dyDescent="0.2">
      <c r="A223" s="5" t="s">
        <v>215</v>
      </c>
      <c r="B223" s="5" t="s">
        <v>1452</v>
      </c>
      <c r="C223" s="5">
        <v>2014</v>
      </c>
      <c r="D223" s="5" t="s">
        <v>656</v>
      </c>
      <c r="E223" s="5" t="s">
        <v>1321</v>
      </c>
      <c r="F223" s="5" t="s">
        <v>5</v>
      </c>
      <c r="G223" s="5" t="str">
        <f>IF(CropLCAs[[#This Row],[fbs_item]]="Insects","insect_ghg","plant_ghg")</f>
        <v>plant_ghg</v>
      </c>
      <c r="H223" s="49" t="s">
        <v>180</v>
      </c>
      <c r="I223" s="49"/>
      <c r="J223" s="49"/>
      <c r="K223" s="5" t="s">
        <v>1363</v>
      </c>
      <c r="L223" s="5" t="s">
        <v>659</v>
      </c>
      <c r="M223" s="5" t="s">
        <v>102</v>
      </c>
      <c r="N223" s="5" t="s">
        <v>109</v>
      </c>
      <c r="O223" s="5" t="s">
        <v>109</v>
      </c>
      <c r="P223" s="5" t="s">
        <v>102</v>
      </c>
      <c r="Q223" s="5" t="s">
        <v>102</v>
      </c>
      <c r="R223" s="5" t="s">
        <v>105</v>
      </c>
      <c r="S223" s="5" t="s">
        <v>102</v>
      </c>
      <c r="T223" s="5" t="s">
        <v>1234</v>
      </c>
      <c r="U223" s="5" t="s">
        <v>126</v>
      </c>
      <c r="V223" s="5">
        <v>1</v>
      </c>
      <c r="W223" s="5" t="s">
        <v>165</v>
      </c>
      <c r="X223" s="24">
        <v>303</v>
      </c>
      <c r="Y223" s="5" t="s">
        <v>106</v>
      </c>
      <c r="Z223" s="5"/>
      <c r="AA223" s="5"/>
      <c r="AB223" s="24">
        <v>1E-3</v>
      </c>
      <c r="AC223" s="5" t="s">
        <v>166</v>
      </c>
      <c r="AD223" s="5" t="str">
        <f t="shared" si="14"/>
        <v>kg_co2e_excl_luc</v>
      </c>
      <c r="AE223" s="24">
        <f>IF(CropLCAs[[#This Row],[Product fraction]]="",CropLCAs[[#This Row],[CO2e (value)]]*CropLCAs[[#This Row],[Conversion factor (value)]],CropLCAs[[#This Row],[CO2e (value)]]*CropLCAs[[#This Row],[Conversion factor (value)]]/CropLCAs[[#This Row],[Product fraction]]*CropLCAs[[#This Row],[Value fraction]])</f>
        <v>0.30299999999999999</v>
      </c>
      <c r="AF223" s="5"/>
      <c r="AG223" s="5" t="str">
        <f t="shared" si="15"/>
        <v>processed_ghg</v>
      </c>
      <c r="AH223" s="5"/>
      <c r="AI223" s="5"/>
      <c r="AJ223" s="8" t="str">
        <f>IF(CropLCAs[[#This Row],[product_fraction]]&gt;0,CropLCAs[[#This Row],[footprint]]/CropLCAs[[#This Row],[product_fraction]]*CropLCAs[[#This Row],[value_fraction]],"")</f>
        <v/>
      </c>
      <c r="AK223" s="23">
        <f>1/2</f>
        <v>0.5</v>
      </c>
      <c r="AL223" s="5" t="s">
        <v>109</v>
      </c>
      <c r="AM223" s="5" t="s">
        <v>658</v>
      </c>
      <c r="AN223" s="5"/>
      <c r="AO223" s="5"/>
      <c r="AP223" s="5"/>
      <c r="AQ223" s="5"/>
      <c r="AR223" s="5"/>
      <c r="AS223" s="5"/>
      <c r="AT223" s="5"/>
      <c r="AU223" s="5"/>
    </row>
    <row r="224" spans="1:47" ht="44.1" customHeight="1" x14ac:dyDescent="0.2">
      <c r="A224" s="5" t="s">
        <v>215</v>
      </c>
      <c r="B224" s="7" t="s">
        <v>1453</v>
      </c>
      <c r="C224" s="7">
        <v>2012</v>
      </c>
      <c r="D224" s="7" t="s">
        <v>217</v>
      </c>
      <c r="E224" s="6" t="s">
        <v>1647</v>
      </c>
      <c r="F224" s="5" t="s">
        <v>31</v>
      </c>
      <c r="G224" s="5" t="str">
        <f>IF(CropLCAs[[#This Row],[fbs_item]]="Insects","insect_ghg","plant_ghg")</f>
        <v>plant_ghg</v>
      </c>
      <c r="H224" s="49" t="s">
        <v>218</v>
      </c>
      <c r="I224" s="49"/>
      <c r="J224" s="49"/>
      <c r="K224" s="5" t="s">
        <v>219</v>
      </c>
      <c r="L224" s="5"/>
      <c r="M224" s="5" t="s">
        <v>102</v>
      </c>
      <c r="N224" s="5" t="s">
        <v>102</v>
      </c>
      <c r="O224" s="5" t="s">
        <v>109</v>
      </c>
      <c r="P224" s="5" t="s">
        <v>102</v>
      </c>
      <c r="Q224" s="5" t="s">
        <v>102</v>
      </c>
      <c r="R224" s="5" t="s">
        <v>102</v>
      </c>
      <c r="S224" s="5" t="s">
        <v>102</v>
      </c>
      <c r="T224" s="5" t="s">
        <v>102</v>
      </c>
      <c r="U224" s="5" t="s">
        <v>152</v>
      </c>
      <c r="V224" s="5">
        <v>1</v>
      </c>
      <c r="W224" s="5" t="s">
        <v>127</v>
      </c>
      <c r="X224" s="24">
        <v>168.03</v>
      </c>
      <c r="Y224" s="5" t="s">
        <v>106</v>
      </c>
      <c r="Z224" s="5"/>
      <c r="AA224" s="5"/>
      <c r="AB224" s="24">
        <v>1E-3</v>
      </c>
      <c r="AC224" s="5" t="s">
        <v>166</v>
      </c>
      <c r="AD224" s="5" t="str">
        <f t="shared" si="14"/>
        <v>kg_co2e_excl_luc</v>
      </c>
      <c r="AE224" s="24">
        <f>IF(CropLCAs[[#This Row],[Product fraction]]="",CropLCAs[[#This Row],[CO2e (value)]]*CropLCAs[[#This Row],[Conversion factor (value)]],CropLCAs[[#This Row],[CO2e (value)]]*CropLCAs[[#This Row],[Conversion factor (value)]]/CropLCAs[[#This Row],[Product fraction]]*CropLCAs[[#This Row],[Value fraction]])</f>
        <v>0.16803000000000001</v>
      </c>
      <c r="AF224" s="5"/>
      <c r="AG224" s="5" t="str">
        <f t="shared" si="15"/>
        <v>processed_ghg</v>
      </c>
      <c r="AH224" s="5"/>
      <c r="AI224" s="5"/>
      <c r="AJ224" s="8" t="str">
        <f>IF(CropLCAs[[#This Row],[product_fraction]]&gt;0,CropLCAs[[#This Row],[footprint]]/CropLCAs[[#This Row],[product_fraction]]*CropLCAs[[#This Row],[value_fraction]],"")</f>
        <v/>
      </c>
      <c r="AK224" s="23">
        <v>1</v>
      </c>
      <c r="AL224" s="5" t="s">
        <v>109</v>
      </c>
      <c r="AM224" s="5" t="s">
        <v>220</v>
      </c>
      <c r="AN224" s="5"/>
      <c r="AO224" s="5"/>
      <c r="AP224" s="5"/>
      <c r="AQ224" s="5"/>
      <c r="AR224" s="5"/>
      <c r="AS224" s="5"/>
      <c r="AT224" s="5"/>
      <c r="AU224" s="5"/>
    </row>
    <row r="225" spans="1:47" ht="44.1" customHeight="1" x14ac:dyDescent="0.2">
      <c r="A225" s="5" t="s">
        <v>215</v>
      </c>
      <c r="B225" s="7" t="s">
        <v>1453</v>
      </c>
      <c r="C225" s="7">
        <v>2012</v>
      </c>
      <c r="D225" s="5" t="s">
        <v>217</v>
      </c>
      <c r="E225" s="5" t="s">
        <v>567</v>
      </c>
      <c r="F225" s="5" t="s">
        <v>3</v>
      </c>
      <c r="G225" s="5" t="str">
        <f>IF(CropLCAs[[#This Row],[fbs_item]]="Insects","insect_ghg","plant_ghg")</f>
        <v>plant_ghg</v>
      </c>
      <c r="H225" s="49" t="s">
        <v>218</v>
      </c>
      <c r="I225" s="49"/>
      <c r="J225" s="49"/>
      <c r="K225" s="5" t="s">
        <v>219</v>
      </c>
      <c r="L225" s="5"/>
      <c r="M225" s="5" t="s">
        <v>102</v>
      </c>
      <c r="N225" s="5" t="s">
        <v>102</v>
      </c>
      <c r="O225" s="5" t="s">
        <v>109</v>
      </c>
      <c r="P225" s="5" t="s">
        <v>102</v>
      </c>
      <c r="Q225" s="5" t="s">
        <v>102</v>
      </c>
      <c r="R225" s="5" t="s">
        <v>102</v>
      </c>
      <c r="S225" s="5" t="s">
        <v>102</v>
      </c>
      <c r="T225" s="5" t="s">
        <v>102</v>
      </c>
      <c r="U225" s="5" t="s">
        <v>152</v>
      </c>
      <c r="V225" s="5">
        <v>1</v>
      </c>
      <c r="W225" s="5" t="s">
        <v>127</v>
      </c>
      <c r="X225" s="24">
        <v>166.76</v>
      </c>
      <c r="Y225" s="5" t="s">
        <v>106</v>
      </c>
      <c r="Z225" s="5"/>
      <c r="AA225" s="5"/>
      <c r="AB225" s="24">
        <v>1E-3</v>
      </c>
      <c r="AC225" s="5" t="s">
        <v>166</v>
      </c>
      <c r="AD225" s="5" t="str">
        <f t="shared" si="14"/>
        <v>kg_co2e_excl_luc</v>
      </c>
      <c r="AE225" s="24">
        <f>IF(CropLCAs[[#This Row],[Product fraction]]="",CropLCAs[[#This Row],[CO2e (value)]]*CropLCAs[[#This Row],[Conversion factor (value)]],CropLCAs[[#This Row],[CO2e (value)]]*CropLCAs[[#This Row],[Conversion factor (value)]]/CropLCAs[[#This Row],[Product fraction]]*CropLCAs[[#This Row],[Value fraction]])</f>
        <v>0.16675999999999999</v>
      </c>
      <c r="AF225" s="5"/>
      <c r="AG225" s="5" t="str">
        <f t="shared" si="15"/>
        <v>processed_ghg</v>
      </c>
      <c r="AH225" s="5"/>
      <c r="AI225" s="5"/>
      <c r="AJ225" s="8" t="str">
        <f>IF(CropLCAs[[#This Row],[product_fraction]]&gt;0,CropLCAs[[#This Row],[footprint]]/CropLCAs[[#This Row],[product_fraction]]*CropLCAs[[#This Row],[value_fraction]],"")</f>
        <v/>
      </c>
      <c r="AK225" s="23">
        <v>1</v>
      </c>
      <c r="AL225" s="5" t="s">
        <v>109</v>
      </c>
      <c r="AM225" s="5" t="s">
        <v>220</v>
      </c>
      <c r="AN225" s="5"/>
      <c r="AO225" s="5"/>
      <c r="AP225" s="5"/>
      <c r="AQ225" s="5"/>
      <c r="AR225" s="5"/>
      <c r="AS225" s="5"/>
      <c r="AT225" s="5"/>
      <c r="AU225" s="5"/>
    </row>
    <row r="226" spans="1:47" ht="44.1" customHeight="1" x14ac:dyDescent="0.2">
      <c r="A226" s="5" t="s">
        <v>215</v>
      </c>
      <c r="B226" s="7" t="s">
        <v>1453</v>
      </c>
      <c r="C226" s="7">
        <v>2012</v>
      </c>
      <c r="D226" s="7" t="s">
        <v>217</v>
      </c>
      <c r="E226" s="6" t="s">
        <v>221</v>
      </c>
      <c r="F226" s="5" t="s">
        <v>31</v>
      </c>
      <c r="G226" s="5" t="str">
        <f>IF(CropLCAs[[#This Row],[fbs_item]]="Insects","insect_ghg","plant_ghg")</f>
        <v>plant_ghg</v>
      </c>
      <c r="H226" s="49" t="s">
        <v>218</v>
      </c>
      <c r="I226" s="49"/>
      <c r="J226" s="49"/>
      <c r="K226" s="5" t="s">
        <v>219</v>
      </c>
      <c r="L226" s="5"/>
      <c r="M226" s="5" t="s">
        <v>102</v>
      </c>
      <c r="N226" s="5" t="s">
        <v>102</v>
      </c>
      <c r="O226" s="5" t="s">
        <v>109</v>
      </c>
      <c r="P226" s="5" t="s">
        <v>102</v>
      </c>
      <c r="Q226" s="5" t="s">
        <v>102</v>
      </c>
      <c r="R226" s="5" t="s">
        <v>102</v>
      </c>
      <c r="S226" s="5" t="s">
        <v>102</v>
      </c>
      <c r="T226" s="5" t="s">
        <v>102</v>
      </c>
      <c r="U226" s="5" t="s">
        <v>152</v>
      </c>
      <c r="V226" s="5">
        <v>1</v>
      </c>
      <c r="W226" s="5" t="s">
        <v>127</v>
      </c>
      <c r="X226" s="24">
        <v>186.76</v>
      </c>
      <c r="Y226" s="5" t="s">
        <v>106</v>
      </c>
      <c r="Z226" s="5"/>
      <c r="AA226" s="5"/>
      <c r="AB226" s="24">
        <v>1E-3</v>
      </c>
      <c r="AC226" s="5" t="s">
        <v>166</v>
      </c>
      <c r="AD226" s="5" t="str">
        <f t="shared" si="14"/>
        <v>kg_co2e_excl_luc</v>
      </c>
      <c r="AE226" s="24">
        <f>IF(CropLCAs[[#This Row],[Product fraction]]="",CropLCAs[[#This Row],[CO2e (value)]]*CropLCAs[[#This Row],[Conversion factor (value)]],CropLCAs[[#This Row],[CO2e (value)]]*CropLCAs[[#This Row],[Conversion factor (value)]]/CropLCAs[[#This Row],[Product fraction]]*CropLCAs[[#This Row],[Value fraction]])</f>
        <v>0.18675999999999998</v>
      </c>
      <c r="AF226" s="5"/>
      <c r="AG226" s="5" t="str">
        <f t="shared" si="15"/>
        <v>processed_ghg</v>
      </c>
      <c r="AH226" s="5"/>
      <c r="AI226" s="5"/>
      <c r="AJ226" s="8" t="str">
        <f>IF(CropLCAs[[#This Row],[product_fraction]]&gt;0,CropLCAs[[#This Row],[footprint]]/CropLCAs[[#This Row],[product_fraction]]*CropLCAs[[#This Row],[value_fraction]],"")</f>
        <v/>
      </c>
      <c r="AK226" s="23">
        <v>1</v>
      </c>
      <c r="AL226" s="5" t="s">
        <v>109</v>
      </c>
      <c r="AM226" s="5" t="s">
        <v>220</v>
      </c>
      <c r="AN226" s="5"/>
      <c r="AO226" s="5"/>
      <c r="AP226" s="5"/>
      <c r="AQ226" s="5"/>
      <c r="AR226" s="5"/>
      <c r="AS226" s="5"/>
      <c r="AT226" s="5"/>
      <c r="AU226" s="5"/>
    </row>
    <row r="227" spans="1:47" ht="44.1" customHeight="1" x14ac:dyDescent="0.2">
      <c r="A227" s="5" t="s">
        <v>215</v>
      </c>
      <c r="B227" s="7" t="s">
        <v>1453</v>
      </c>
      <c r="C227" s="7">
        <v>2012</v>
      </c>
      <c r="D227" s="7" t="s">
        <v>217</v>
      </c>
      <c r="E227" s="6" t="s">
        <v>222</v>
      </c>
      <c r="F227" s="5" t="s">
        <v>31</v>
      </c>
      <c r="G227" s="5" t="str">
        <f>IF(CropLCAs[[#This Row],[fbs_item]]="Insects","insect_ghg","plant_ghg")</f>
        <v>plant_ghg</v>
      </c>
      <c r="H227" s="49" t="s">
        <v>218</v>
      </c>
      <c r="I227" s="49"/>
      <c r="J227" s="49"/>
      <c r="K227" s="5" t="s">
        <v>219</v>
      </c>
      <c r="L227" s="5"/>
      <c r="M227" s="5" t="s">
        <v>102</v>
      </c>
      <c r="N227" s="5" t="s">
        <v>102</v>
      </c>
      <c r="O227" s="5" t="s">
        <v>109</v>
      </c>
      <c r="P227" s="5" t="s">
        <v>102</v>
      </c>
      <c r="Q227" s="5" t="s">
        <v>102</v>
      </c>
      <c r="R227" s="5" t="s">
        <v>102</v>
      </c>
      <c r="S227" s="5" t="s">
        <v>102</v>
      </c>
      <c r="T227" s="5" t="s">
        <v>102</v>
      </c>
      <c r="U227" s="5" t="s">
        <v>152</v>
      </c>
      <c r="V227" s="5">
        <v>1</v>
      </c>
      <c r="W227" s="5" t="s">
        <v>127</v>
      </c>
      <c r="X227" s="24">
        <v>41.9</v>
      </c>
      <c r="Y227" s="5" t="s">
        <v>106</v>
      </c>
      <c r="Z227" s="5"/>
      <c r="AA227" s="5"/>
      <c r="AB227" s="24">
        <v>1E-3</v>
      </c>
      <c r="AC227" s="5" t="s">
        <v>166</v>
      </c>
      <c r="AD227" s="5" t="str">
        <f t="shared" si="14"/>
        <v>kg_co2e_excl_luc</v>
      </c>
      <c r="AE227" s="24">
        <f>IF(CropLCAs[[#This Row],[Product fraction]]="",CropLCAs[[#This Row],[CO2e (value)]]*CropLCAs[[#This Row],[Conversion factor (value)]],CropLCAs[[#This Row],[CO2e (value)]]*CropLCAs[[#This Row],[Conversion factor (value)]]/CropLCAs[[#This Row],[Product fraction]]*CropLCAs[[#This Row],[Value fraction]])</f>
        <v>4.19E-2</v>
      </c>
      <c r="AF227" s="5"/>
      <c r="AG227" s="5" t="str">
        <f t="shared" si="15"/>
        <v>processed_ghg</v>
      </c>
      <c r="AH227" s="5"/>
      <c r="AI227" s="5"/>
      <c r="AJ227" s="8" t="str">
        <f>IF(CropLCAs[[#This Row],[product_fraction]]&gt;0,CropLCAs[[#This Row],[footprint]]/CropLCAs[[#This Row],[product_fraction]]*CropLCAs[[#This Row],[value_fraction]],"")</f>
        <v/>
      </c>
      <c r="AK227" s="23">
        <v>1</v>
      </c>
      <c r="AL227" s="5" t="s">
        <v>109</v>
      </c>
      <c r="AM227" s="5" t="s">
        <v>220</v>
      </c>
      <c r="AN227" s="5"/>
      <c r="AO227" s="5"/>
      <c r="AP227" s="5"/>
      <c r="AQ227" s="5"/>
      <c r="AR227" s="5"/>
      <c r="AS227" s="5"/>
      <c r="AT227" s="5"/>
      <c r="AU227" s="5"/>
    </row>
    <row r="228" spans="1:47" ht="44.1" customHeight="1" x14ac:dyDescent="0.2">
      <c r="A228" s="5" t="s">
        <v>215</v>
      </c>
      <c r="B228" s="7" t="s">
        <v>1453</v>
      </c>
      <c r="C228" s="7">
        <v>2012</v>
      </c>
      <c r="D228" s="7" t="s">
        <v>217</v>
      </c>
      <c r="E228" s="6" t="s">
        <v>223</v>
      </c>
      <c r="F228" s="5" t="s">
        <v>31</v>
      </c>
      <c r="G228" s="5" t="str">
        <f>IF(CropLCAs[[#This Row],[fbs_item]]="Insects","insect_ghg","plant_ghg")</f>
        <v>plant_ghg</v>
      </c>
      <c r="H228" s="49" t="s">
        <v>218</v>
      </c>
      <c r="I228" s="49"/>
      <c r="J228" s="49"/>
      <c r="K228" s="5" t="s">
        <v>219</v>
      </c>
      <c r="L228" s="5"/>
      <c r="M228" s="5" t="s">
        <v>102</v>
      </c>
      <c r="N228" s="5" t="s">
        <v>102</v>
      </c>
      <c r="O228" s="5" t="s">
        <v>109</v>
      </c>
      <c r="P228" s="5" t="s">
        <v>102</v>
      </c>
      <c r="Q228" s="5" t="s">
        <v>102</v>
      </c>
      <c r="R228" s="5" t="s">
        <v>102</v>
      </c>
      <c r="S228" s="5" t="s">
        <v>102</v>
      </c>
      <c r="T228" s="5" t="s">
        <v>102</v>
      </c>
      <c r="U228" s="5" t="s">
        <v>152</v>
      </c>
      <c r="V228" s="5">
        <v>1</v>
      </c>
      <c r="W228" s="5" t="s">
        <v>127</v>
      </c>
      <c r="X228" s="24">
        <v>120.88</v>
      </c>
      <c r="Y228" s="5" t="s">
        <v>106</v>
      </c>
      <c r="Z228" s="5"/>
      <c r="AA228" s="5"/>
      <c r="AB228" s="24">
        <v>1E-3</v>
      </c>
      <c r="AC228" s="5" t="s">
        <v>166</v>
      </c>
      <c r="AD228" s="5" t="str">
        <f t="shared" si="14"/>
        <v>kg_co2e_excl_luc</v>
      </c>
      <c r="AE228" s="24">
        <f>IF(CropLCAs[[#This Row],[Product fraction]]="",CropLCAs[[#This Row],[CO2e (value)]]*CropLCAs[[#This Row],[Conversion factor (value)]],CropLCAs[[#This Row],[CO2e (value)]]*CropLCAs[[#This Row],[Conversion factor (value)]]/CropLCAs[[#This Row],[Product fraction]]*CropLCAs[[#This Row],[Value fraction]])</f>
        <v>0.12088</v>
      </c>
      <c r="AF228" s="5"/>
      <c r="AG228" s="5" t="str">
        <f t="shared" si="15"/>
        <v>processed_ghg</v>
      </c>
      <c r="AH228" s="5"/>
      <c r="AI228" s="5"/>
      <c r="AJ228" s="8" t="str">
        <f>IF(CropLCAs[[#This Row],[product_fraction]]&gt;0,CropLCAs[[#This Row],[footprint]]/CropLCAs[[#This Row],[product_fraction]]*CropLCAs[[#This Row],[value_fraction]],"")</f>
        <v/>
      </c>
      <c r="AK228" s="23">
        <v>1</v>
      </c>
      <c r="AL228" s="5" t="s">
        <v>109</v>
      </c>
      <c r="AM228" s="5" t="s">
        <v>220</v>
      </c>
      <c r="AN228" s="5"/>
      <c r="AO228" s="5"/>
      <c r="AP228" s="5"/>
      <c r="AQ228" s="5"/>
      <c r="AR228" s="5"/>
      <c r="AS228" s="5"/>
      <c r="AT228" s="5"/>
      <c r="AU228" s="5"/>
    </row>
    <row r="229" spans="1:47" ht="44.1" customHeight="1" x14ac:dyDescent="0.2">
      <c r="A229" s="5" t="s">
        <v>215</v>
      </c>
      <c r="B229" s="7" t="s">
        <v>1453</v>
      </c>
      <c r="C229" s="7">
        <v>2012</v>
      </c>
      <c r="D229" s="5" t="s">
        <v>217</v>
      </c>
      <c r="E229" s="5" t="s">
        <v>375</v>
      </c>
      <c r="F229" s="5" t="s">
        <v>32</v>
      </c>
      <c r="G229" s="5" t="str">
        <f>IF(CropLCAs[[#This Row],[fbs_item]]="Insects","insect_ghg","plant_ghg")</f>
        <v>plant_ghg</v>
      </c>
      <c r="H229" s="49" t="s">
        <v>218</v>
      </c>
      <c r="I229" s="49"/>
      <c r="J229" s="49"/>
      <c r="K229" s="5" t="s">
        <v>219</v>
      </c>
      <c r="L229" s="5"/>
      <c r="M229" s="5" t="s">
        <v>102</v>
      </c>
      <c r="N229" s="5" t="s">
        <v>102</v>
      </c>
      <c r="O229" s="5" t="s">
        <v>109</v>
      </c>
      <c r="P229" s="5" t="s">
        <v>102</v>
      </c>
      <c r="Q229" s="5" t="s">
        <v>102</v>
      </c>
      <c r="R229" s="5" t="s">
        <v>102</v>
      </c>
      <c r="S229" s="5" t="s">
        <v>102</v>
      </c>
      <c r="T229" s="5" t="s">
        <v>102</v>
      </c>
      <c r="U229" s="5" t="s">
        <v>152</v>
      </c>
      <c r="V229" s="5">
        <v>1</v>
      </c>
      <c r="W229" s="5" t="s">
        <v>127</v>
      </c>
      <c r="X229" s="24">
        <v>57.49</v>
      </c>
      <c r="Y229" s="5" t="s">
        <v>106</v>
      </c>
      <c r="Z229" s="5"/>
      <c r="AA229" s="5"/>
      <c r="AB229" s="24">
        <v>1E-3</v>
      </c>
      <c r="AC229" s="5" t="s">
        <v>166</v>
      </c>
      <c r="AD229" s="5" t="str">
        <f t="shared" si="14"/>
        <v>kg_co2e_excl_luc</v>
      </c>
      <c r="AE229" s="24">
        <f>IF(CropLCAs[[#This Row],[Product fraction]]="",CropLCAs[[#This Row],[CO2e (value)]]*CropLCAs[[#This Row],[Conversion factor (value)]],CropLCAs[[#This Row],[CO2e (value)]]*CropLCAs[[#This Row],[Conversion factor (value)]]/CropLCAs[[#This Row],[Product fraction]]*CropLCAs[[#This Row],[Value fraction]])</f>
        <v>5.7490000000000006E-2</v>
      </c>
      <c r="AF229" s="5"/>
      <c r="AG229" s="5" t="str">
        <f t="shared" si="15"/>
        <v>processed_ghg</v>
      </c>
      <c r="AH229" s="5"/>
      <c r="AI229" s="5"/>
      <c r="AJ229" s="8" t="str">
        <f>IF(CropLCAs[[#This Row],[product_fraction]]&gt;0,CropLCAs[[#This Row],[footprint]]/CropLCAs[[#This Row],[product_fraction]]*CropLCAs[[#This Row],[value_fraction]],"")</f>
        <v/>
      </c>
      <c r="AK229" s="23">
        <v>1</v>
      </c>
      <c r="AL229" s="5" t="s">
        <v>109</v>
      </c>
      <c r="AM229" s="5" t="s">
        <v>220</v>
      </c>
      <c r="AN229" s="5"/>
      <c r="AO229" s="5"/>
      <c r="AP229" s="5"/>
      <c r="AQ229" s="5"/>
      <c r="AR229" s="5"/>
      <c r="AS229" s="5"/>
      <c r="AT229" s="5"/>
      <c r="AU229" s="5"/>
    </row>
    <row r="230" spans="1:47" ht="44.1" customHeight="1" x14ac:dyDescent="0.2">
      <c r="A230" s="17" t="s">
        <v>215</v>
      </c>
      <c r="B230" s="17" t="s">
        <v>216</v>
      </c>
      <c r="C230" s="17"/>
      <c r="D230" s="17" t="s">
        <v>217</v>
      </c>
      <c r="E230" s="19" t="s">
        <v>737</v>
      </c>
      <c r="F230" s="17" t="s">
        <v>31</v>
      </c>
      <c r="G230" s="17" t="str">
        <f>IF(CropLCAs[[#This Row],[fbs_item]]="Insects","insect_ghg","plant_ghg")</f>
        <v>plant_ghg</v>
      </c>
      <c r="H230" s="50" t="s">
        <v>218</v>
      </c>
      <c r="I230" s="50"/>
      <c r="J230" s="50"/>
      <c r="K230" s="17" t="s">
        <v>219</v>
      </c>
      <c r="L230" s="17"/>
      <c r="M230" s="17" t="s">
        <v>102</v>
      </c>
      <c r="N230" s="17" t="s">
        <v>102</v>
      </c>
      <c r="O230" s="17" t="s">
        <v>109</v>
      </c>
      <c r="P230" s="17" t="s">
        <v>102</v>
      </c>
      <c r="Q230" s="17" t="s">
        <v>102</v>
      </c>
      <c r="R230" s="17" t="s">
        <v>102</v>
      </c>
      <c r="S230" s="17" t="s">
        <v>102</v>
      </c>
      <c r="T230" s="17" t="s">
        <v>102</v>
      </c>
      <c r="U230" s="17" t="s">
        <v>152</v>
      </c>
      <c r="V230" s="17">
        <v>1</v>
      </c>
      <c r="W230" s="17" t="s">
        <v>127</v>
      </c>
      <c r="X230" s="30">
        <v>383.72</v>
      </c>
      <c r="Y230" s="17" t="s">
        <v>106</v>
      </c>
      <c r="Z230" s="17"/>
      <c r="AA230" s="17"/>
      <c r="AB230" s="30">
        <v>1E-3</v>
      </c>
      <c r="AC230" s="17" t="s">
        <v>166</v>
      </c>
      <c r="AD230" s="17" t="str">
        <f t="shared" si="14"/>
        <v>kg_co2e_excl_luc</v>
      </c>
      <c r="AE230" s="30">
        <f>IF(CropLCAs[[#This Row],[Product fraction]]="",CropLCAs[[#This Row],[CO2e (value)]]*CropLCAs[[#This Row],[Conversion factor (value)]],CropLCAs[[#This Row],[CO2e (value)]]*CropLCAs[[#This Row],[Conversion factor (value)]]/CropLCAs[[#This Row],[Product fraction]]*CropLCAs[[#This Row],[Value fraction]])</f>
        <v>0.38372000000000006</v>
      </c>
      <c r="AF230" s="19"/>
      <c r="AG230" s="19" t="str">
        <f t="shared" si="15"/>
        <v>processed_ghg</v>
      </c>
      <c r="AH230" s="19"/>
      <c r="AI230" s="19"/>
      <c r="AJ230" s="18" t="str">
        <f>IF(CropLCAs[[#This Row],[product_fraction]]&gt;0,CropLCAs[[#This Row],[footprint]]/CropLCAs[[#This Row],[product_fraction]]*CropLCAs[[#This Row],[value_fraction]],"")</f>
        <v/>
      </c>
      <c r="AK230" s="29"/>
      <c r="AL230" s="19" t="s">
        <v>738</v>
      </c>
      <c r="AM230" s="17" t="s">
        <v>220</v>
      </c>
      <c r="AN230" s="17"/>
      <c r="AO230" s="17"/>
      <c r="AP230" s="17"/>
      <c r="AQ230" s="5"/>
      <c r="AR230" s="5"/>
      <c r="AS230" s="5"/>
      <c r="AT230" s="5"/>
      <c r="AU230" s="5"/>
    </row>
    <row r="231" spans="1:47" ht="44.1" customHeight="1" x14ac:dyDescent="0.2">
      <c r="A231" s="17" t="s">
        <v>215</v>
      </c>
      <c r="B231" s="17" t="s">
        <v>216</v>
      </c>
      <c r="C231" s="17"/>
      <c r="D231" s="17" t="s">
        <v>217</v>
      </c>
      <c r="E231" s="19" t="s">
        <v>739</v>
      </c>
      <c r="F231" s="17" t="s">
        <v>31</v>
      </c>
      <c r="G231" s="17" t="str">
        <f>IF(CropLCAs[[#This Row],[fbs_item]]="Insects","insect_ghg","plant_ghg")</f>
        <v>plant_ghg</v>
      </c>
      <c r="H231" s="50" t="s">
        <v>218</v>
      </c>
      <c r="I231" s="50"/>
      <c r="J231" s="50"/>
      <c r="K231" s="17" t="s">
        <v>219</v>
      </c>
      <c r="L231" s="17"/>
      <c r="M231" s="17" t="s">
        <v>102</v>
      </c>
      <c r="N231" s="17" t="s">
        <v>102</v>
      </c>
      <c r="O231" s="17" t="s">
        <v>109</v>
      </c>
      <c r="P231" s="17" t="s">
        <v>102</v>
      </c>
      <c r="Q231" s="17" t="s">
        <v>102</v>
      </c>
      <c r="R231" s="17" t="s">
        <v>102</v>
      </c>
      <c r="S231" s="17" t="s">
        <v>102</v>
      </c>
      <c r="T231" s="17" t="s">
        <v>102</v>
      </c>
      <c r="U231" s="17" t="s">
        <v>152</v>
      </c>
      <c r="V231" s="17">
        <v>1</v>
      </c>
      <c r="W231" s="17" t="s">
        <v>127</v>
      </c>
      <c r="X231" s="30">
        <v>343.91</v>
      </c>
      <c r="Y231" s="17" t="s">
        <v>106</v>
      </c>
      <c r="Z231" s="17"/>
      <c r="AA231" s="17"/>
      <c r="AB231" s="30">
        <v>1E-3</v>
      </c>
      <c r="AC231" s="17" t="s">
        <v>166</v>
      </c>
      <c r="AD231" s="17" t="str">
        <f t="shared" si="14"/>
        <v>kg_co2e_excl_luc</v>
      </c>
      <c r="AE231" s="30">
        <f>IF(CropLCAs[[#This Row],[Product fraction]]="",CropLCAs[[#This Row],[CO2e (value)]]*CropLCAs[[#This Row],[Conversion factor (value)]],CropLCAs[[#This Row],[CO2e (value)]]*CropLCAs[[#This Row],[Conversion factor (value)]]/CropLCAs[[#This Row],[Product fraction]]*CropLCAs[[#This Row],[Value fraction]])</f>
        <v>0.34391000000000005</v>
      </c>
      <c r="AF231" s="19"/>
      <c r="AG231" s="19" t="str">
        <f t="shared" si="15"/>
        <v>processed_ghg</v>
      </c>
      <c r="AH231" s="19"/>
      <c r="AI231" s="19"/>
      <c r="AJ231" s="18" t="str">
        <f>IF(CropLCAs[[#This Row],[product_fraction]]&gt;0,CropLCAs[[#This Row],[footprint]]/CropLCAs[[#This Row],[product_fraction]]*CropLCAs[[#This Row],[value_fraction]],"")</f>
        <v/>
      </c>
      <c r="AK231" s="29"/>
      <c r="AL231" s="19" t="s">
        <v>738</v>
      </c>
      <c r="AM231" s="17" t="s">
        <v>220</v>
      </c>
      <c r="AN231" s="17"/>
      <c r="AO231" s="17"/>
      <c r="AP231" s="17"/>
      <c r="AQ231" s="5"/>
      <c r="AR231" s="5"/>
      <c r="AS231" s="5"/>
      <c r="AT231" s="5"/>
      <c r="AU231" s="5"/>
    </row>
    <row r="232" spans="1:47" ht="44.1" customHeight="1" x14ac:dyDescent="0.2">
      <c r="A232" s="5" t="s">
        <v>251</v>
      </c>
      <c r="B232" s="7" t="s">
        <v>1454</v>
      </c>
      <c r="C232" s="7">
        <v>2012</v>
      </c>
      <c r="D232" s="5" t="s">
        <v>270</v>
      </c>
      <c r="E232" s="6" t="s">
        <v>271</v>
      </c>
      <c r="F232" s="5" t="s">
        <v>13</v>
      </c>
      <c r="G232" s="5" t="str">
        <f>IF(CropLCAs[[#This Row],[fbs_item]]="Insects","insect_ghg","plant_ghg")</f>
        <v>plant_ghg</v>
      </c>
      <c r="H232" s="49" t="s">
        <v>253</v>
      </c>
      <c r="I232" s="49"/>
      <c r="J232" s="49" t="s">
        <v>1291</v>
      </c>
      <c r="K232" s="5" t="s">
        <v>1668</v>
      </c>
      <c r="L232" s="5" t="s">
        <v>272</v>
      </c>
      <c r="M232" s="5" t="s">
        <v>102</v>
      </c>
      <c r="N232" s="5" t="s">
        <v>109</v>
      </c>
      <c r="O232" s="5" t="s">
        <v>109</v>
      </c>
      <c r="P232" s="5" t="s">
        <v>164</v>
      </c>
      <c r="Q232" s="5" t="s">
        <v>102</v>
      </c>
      <c r="R232" s="5" t="s">
        <v>102</v>
      </c>
      <c r="S232" s="5" t="s">
        <v>102</v>
      </c>
      <c r="T232" s="5" t="s">
        <v>102</v>
      </c>
      <c r="U232" s="5">
        <v>100</v>
      </c>
      <c r="V232" s="5">
        <v>1</v>
      </c>
      <c r="W232" s="5" t="s">
        <v>273</v>
      </c>
      <c r="X232" s="24">
        <v>209.51</v>
      </c>
      <c r="Y232" s="5" t="s">
        <v>106</v>
      </c>
      <c r="Z232" s="5"/>
      <c r="AA232" s="5"/>
      <c r="AB232" s="24">
        <v>1E-3</v>
      </c>
      <c r="AC232" s="5" t="s">
        <v>274</v>
      </c>
      <c r="AD232" s="5" t="str">
        <f t="shared" si="14"/>
        <v>kg_co2e_excl_luc</v>
      </c>
      <c r="AE232" s="24">
        <f>IF(CropLCAs[[#This Row],[Product fraction]]="",CropLCAs[[#This Row],[CO2e (value)]]*CropLCAs[[#This Row],[Conversion factor (value)]],CropLCAs[[#This Row],[CO2e (value)]]*CropLCAs[[#This Row],[Conversion factor (value)]]/CropLCAs[[#This Row],[Product fraction]]*CropLCAs[[#This Row],[Value fraction]])</f>
        <v>0.20951</v>
      </c>
      <c r="AF232" s="5" t="s">
        <v>47</v>
      </c>
      <c r="AG232" s="5" t="str">
        <f t="shared" si="15"/>
        <v>processed_ghg</v>
      </c>
      <c r="AH232" s="5">
        <f t="shared" ref="AH232:AH239" si="17">0.06*0.45</f>
        <v>2.7E-2</v>
      </c>
      <c r="AI232" s="5">
        <v>0.06</v>
      </c>
      <c r="AJ232" s="8">
        <f>IF(CropLCAs[[#This Row],[product_fraction]]&gt;0,CropLCAs[[#This Row],[footprint]]/CropLCAs[[#This Row],[product_fraction]]*CropLCAs[[#This Row],[value_fraction]],"")</f>
        <v>0.46557777777777776</v>
      </c>
      <c r="AK232" s="23">
        <f t="shared" ref="AK232:AK239" si="18">1/8</f>
        <v>0.125</v>
      </c>
      <c r="AL232" s="5" t="s">
        <v>109</v>
      </c>
      <c r="AM232" s="5" t="s">
        <v>275</v>
      </c>
      <c r="AN232" s="5" t="s">
        <v>276</v>
      </c>
      <c r="AO232" s="5"/>
      <c r="AP232" s="5"/>
      <c r="AQ232" s="5"/>
      <c r="AR232" s="5"/>
      <c r="AS232" s="5"/>
      <c r="AT232" s="5"/>
      <c r="AU232" s="5"/>
    </row>
    <row r="233" spans="1:47" ht="44.1" customHeight="1" x14ac:dyDescent="0.2">
      <c r="A233" s="5" t="s">
        <v>251</v>
      </c>
      <c r="B233" s="7" t="s">
        <v>1454</v>
      </c>
      <c r="C233" s="7">
        <v>2012</v>
      </c>
      <c r="D233" s="5" t="s">
        <v>270</v>
      </c>
      <c r="E233" s="6" t="s">
        <v>271</v>
      </c>
      <c r="F233" s="5" t="s">
        <v>13</v>
      </c>
      <c r="G233" s="5" t="str">
        <f>IF(CropLCAs[[#This Row],[fbs_item]]="Insects","insect_ghg","plant_ghg")</f>
        <v>plant_ghg</v>
      </c>
      <c r="H233" s="49" t="s">
        <v>253</v>
      </c>
      <c r="I233" s="49"/>
      <c r="J233" s="49" t="s">
        <v>1291</v>
      </c>
      <c r="K233" s="5" t="s">
        <v>1668</v>
      </c>
      <c r="L233" s="5" t="s">
        <v>277</v>
      </c>
      <c r="M233" s="5" t="s">
        <v>102</v>
      </c>
      <c r="N233" s="5" t="s">
        <v>109</v>
      </c>
      <c r="O233" s="5" t="s">
        <v>109</v>
      </c>
      <c r="P233" s="5" t="s">
        <v>164</v>
      </c>
      <c r="Q233" s="5" t="s">
        <v>102</v>
      </c>
      <c r="R233" s="5" t="s">
        <v>102</v>
      </c>
      <c r="S233" s="5" t="s">
        <v>102</v>
      </c>
      <c r="T233" s="5" t="s">
        <v>102</v>
      </c>
      <c r="U233" s="5">
        <v>100</v>
      </c>
      <c r="V233" s="5">
        <v>1</v>
      </c>
      <c r="W233" s="5" t="s">
        <v>273</v>
      </c>
      <c r="X233" s="24">
        <v>195.3</v>
      </c>
      <c r="Y233" s="5" t="s">
        <v>106</v>
      </c>
      <c r="Z233" s="5"/>
      <c r="AA233" s="5"/>
      <c r="AB233" s="24">
        <v>1E-3</v>
      </c>
      <c r="AC233" s="5" t="s">
        <v>274</v>
      </c>
      <c r="AD233" s="5" t="str">
        <f t="shared" si="14"/>
        <v>kg_co2e_excl_luc</v>
      </c>
      <c r="AE233" s="24">
        <f>IF(CropLCAs[[#This Row],[Product fraction]]="",CropLCAs[[#This Row],[CO2e (value)]]*CropLCAs[[#This Row],[Conversion factor (value)]],CropLCAs[[#This Row],[CO2e (value)]]*CropLCAs[[#This Row],[Conversion factor (value)]]/CropLCAs[[#This Row],[Product fraction]]*CropLCAs[[#This Row],[Value fraction]])</f>
        <v>0.19530000000000003</v>
      </c>
      <c r="AF233" s="5" t="s">
        <v>47</v>
      </c>
      <c r="AG233" s="5" t="str">
        <f t="shared" si="15"/>
        <v>processed_ghg</v>
      </c>
      <c r="AH233" s="5">
        <f t="shared" si="17"/>
        <v>2.7E-2</v>
      </c>
      <c r="AI233" s="5">
        <v>0.06</v>
      </c>
      <c r="AJ233" s="8">
        <f>IF(CropLCAs[[#This Row],[product_fraction]]&gt;0,CropLCAs[[#This Row],[footprint]]/CropLCAs[[#This Row],[product_fraction]]*CropLCAs[[#This Row],[value_fraction]],"")</f>
        <v>0.43400000000000005</v>
      </c>
      <c r="AK233" s="23">
        <f t="shared" si="18"/>
        <v>0.125</v>
      </c>
      <c r="AL233" s="5" t="s">
        <v>109</v>
      </c>
      <c r="AM233" s="5" t="s">
        <v>275</v>
      </c>
      <c r="AN233" s="5" t="s">
        <v>276</v>
      </c>
      <c r="AO233" s="5"/>
      <c r="AP233" s="5"/>
      <c r="AQ233" s="5"/>
      <c r="AR233" s="5"/>
      <c r="AS233" s="5"/>
      <c r="AT233" s="5"/>
      <c r="AU233" s="5"/>
    </row>
    <row r="234" spans="1:47" ht="44.1" customHeight="1" x14ac:dyDescent="0.2">
      <c r="A234" s="5" t="s">
        <v>251</v>
      </c>
      <c r="B234" s="7" t="s">
        <v>1454</v>
      </c>
      <c r="C234" s="7">
        <v>2012</v>
      </c>
      <c r="D234" s="5" t="s">
        <v>270</v>
      </c>
      <c r="E234" s="6" t="s">
        <v>271</v>
      </c>
      <c r="F234" s="5" t="s">
        <v>13</v>
      </c>
      <c r="G234" s="5" t="str">
        <f>IF(CropLCAs[[#This Row],[fbs_item]]="Insects","insect_ghg","plant_ghg")</f>
        <v>plant_ghg</v>
      </c>
      <c r="H234" s="49" t="s">
        <v>253</v>
      </c>
      <c r="I234" s="49"/>
      <c r="J234" s="49" t="s">
        <v>1291</v>
      </c>
      <c r="K234" s="5" t="s">
        <v>1668</v>
      </c>
      <c r="L234" s="5" t="s">
        <v>278</v>
      </c>
      <c r="M234" s="5" t="s">
        <v>102</v>
      </c>
      <c r="N234" s="5" t="s">
        <v>109</v>
      </c>
      <c r="O234" s="5" t="s">
        <v>109</v>
      </c>
      <c r="P234" s="5" t="s">
        <v>164</v>
      </c>
      <c r="Q234" s="5" t="s">
        <v>102</v>
      </c>
      <c r="R234" s="5" t="s">
        <v>102</v>
      </c>
      <c r="S234" s="5" t="s">
        <v>102</v>
      </c>
      <c r="T234" s="5" t="s">
        <v>102</v>
      </c>
      <c r="U234" s="5">
        <v>100</v>
      </c>
      <c r="V234" s="5">
        <v>1</v>
      </c>
      <c r="W234" s="5" t="s">
        <v>273</v>
      </c>
      <c r="X234" s="24">
        <v>213.33</v>
      </c>
      <c r="Y234" s="5" t="s">
        <v>106</v>
      </c>
      <c r="Z234" s="5"/>
      <c r="AA234" s="5"/>
      <c r="AB234" s="24">
        <v>1E-3</v>
      </c>
      <c r="AC234" s="5" t="s">
        <v>274</v>
      </c>
      <c r="AD234" s="5" t="str">
        <f t="shared" si="14"/>
        <v>kg_co2e_excl_luc</v>
      </c>
      <c r="AE234" s="24">
        <f>IF(CropLCAs[[#This Row],[Product fraction]]="",CropLCAs[[#This Row],[CO2e (value)]]*CropLCAs[[#This Row],[Conversion factor (value)]],CropLCAs[[#This Row],[CO2e (value)]]*CropLCAs[[#This Row],[Conversion factor (value)]]/CropLCAs[[#This Row],[Product fraction]]*CropLCAs[[#This Row],[Value fraction]])</f>
        <v>0.21333000000000002</v>
      </c>
      <c r="AF234" s="5" t="s">
        <v>47</v>
      </c>
      <c r="AG234" s="5" t="str">
        <f t="shared" si="15"/>
        <v>processed_ghg</v>
      </c>
      <c r="AH234" s="5">
        <f t="shared" si="17"/>
        <v>2.7E-2</v>
      </c>
      <c r="AI234" s="5">
        <v>0.06</v>
      </c>
      <c r="AJ234" s="8">
        <f>IF(CropLCAs[[#This Row],[product_fraction]]&gt;0,CropLCAs[[#This Row],[footprint]]/CropLCAs[[#This Row],[product_fraction]]*CropLCAs[[#This Row],[value_fraction]],"")</f>
        <v>0.47406666666666669</v>
      </c>
      <c r="AK234" s="23">
        <f t="shared" si="18"/>
        <v>0.125</v>
      </c>
      <c r="AL234" s="5" t="s">
        <v>109</v>
      </c>
      <c r="AM234" s="5" t="s">
        <v>275</v>
      </c>
      <c r="AN234" s="5" t="s">
        <v>276</v>
      </c>
      <c r="AO234" s="5"/>
      <c r="AP234" s="5"/>
      <c r="AQ234" s="5"/>
      <c r="AR234" s="5"/>
      <c r="AS234" s="5"/>
      <c r="AT234" s="5"/>
      <c r="AU234" s="5"/>
    </row>
    <row r="235" spans="1:47" ht="44.1" customHeight="1" x14ac:dyDescent="0.2">
      <c r="A235" s="5" t="s">
        <v>251</v>
      </c>
      <c r="B235" s="7" t="s">
        <v>1454</v>
      </c>
      <c r="C235" s="7">
        <v>2012</v>
      </c>
      <c r="D235" s="5" t="s">
        <v>270</v>
      </c>
      <c r="E235" s="6" t="s">
        <v>271</v>
      </c>
      <c r="F235" s="5" t="s">
        <v>13</v>
      </c>
      <c r="G235" s="5" t="str">
        <f>IF(CropLCAs[[#This Row],[fbs_item]]="Insects","insect_ghg","plant_ghg")</f>
        <v>plant_ghg</v>
      </c>
      <c r="H235" s="49" t="s">
        <v>253</v>
      </c>
      <c r="I235" s="49"/>
      <c r="J235" s="49" t="s">
        <v>1291</v>
      </c>
      <c r="K235" s="5" t="s">
        <v>1668</v>
      </c>
      <c r="L235" s="5" t="s">
        <v>279</v>
      </c>
      <c r="M235" s="5" t="s">
        <v>102</v>
      </c>
      <c r="N235" s="5" t="s">
        <v>109</v>
      </c>
      <c r="O235" s="5" t="s">
        <v>109</v>
      </c>
      <c r="P235" s="5" t="s">
        <v>164</v>
      </c>
      <c r="Q235" s="5" t="s">
        <v>102</v>
      </c>
      <c r="R235" s="5" t="s">
        <v>102</v>
      </c>
      <c r="S235" s="5" t="s">
        <v>102</v>
      </c>
      <c r="T235" s="5" t="s">
        <v>102</v>
      </c>
      <c r="U235" s="5">
        <v>100</v>
      </c>
      <c r="V235" s="5">
        <v>1</v>
      </c>
      <c r="W235" s="5" t="s">
        <v>273</v>
      </c>
      <c r="X235" s="24">
        <v>211.69</v>
      </c>
      <c r="Y235" s="5" t="s">
        <v>106</v>
      </c>
      <c r="Z235" s="5"/>
      <c r="AA235" s="5"/>
      <c r="AB235" s="24">
        <v>1E-3</v>
      </c>
      <c r="AC235" s="5" t="s">
        <v>274</v>
      </c>
      <c r="AD235" s="5" t="str">
        <f t="shared" si="14"/>
        <v>kg_co2e_excl_luc</v>
      </c>
      <c r="AE235" s="24">
        <f>IF(CropLCAs[[#This Row],[Product fraction]]="",CropLCAs[[#This Row],[CO2e (value)]]*CropLCAs[[#This Row],[Conversion factor (value)]],CropLCAs[[#This Row],[CO2e (value)]]*CropLCAs[[#This Row],[Conversion factor (value)]]/CropLCAs[[#This Row],[Product fraction]]*CropLCAs[[#This Row],[Value fraction]])</f>
        <v>0.21168999999999999</v>
      </c>
      <c r="AF235" s="5" t="s">
        <v>47</v>
      </c>
      <c r="AG235" s="5" t="str">
        <f t="shared" si="15"/>
        <v>processed_ghg</v>
      </c>
      <c r="AH235" s="5">
        <f t="shared" si="17"/>
        <v>2.7E-2</v>
      </c>
      <c r="AI235" s="5">
        <v>0.06</v>
      </c>
      <c r="AJ235" s="8">
        <f>IF(CropLCAs[[#This Row],[product_fraction]]&gt;0,CropLCAs[[#This Row],[footprint]]/CropLCAs[[#This Row],[product_fraction]]*CropLCAs[[#This Row],[value_fraction]],"")</f>
        <v>0.47042222222222219</v>
      </c>
      <c r="AK235" s="23">
        <f t="shared" si="18"/>
        <v>0.125</v>
      </c>
      <c r="AL235" s="5" t="s">
        <v>109</v>
      </c>
      <c r="AM235" s="5" t="s">
        <v>275</v>
      </c>
      <c r="AN235" s="5" t="s">
        <v>276</v>
      </c>
      <c r="AO235" s="5"/>
      <c r="AP235" s="5"/>
      <c r="AQ235" s="5"/>
      <c r="AR235" s="5"/>
      <c r="AS235" s="5"/>
      <c r="AT235" s="5"/>
      <c r="AU235" s="5"/>
    </row>
    <row r="236" spans="1:47" ht="44.1" customHeight="1" x14ac:dyDescent="0.2">
      <c r="A236" s="5" t="s">
        <v>251</v>
      </c>
      <c r="B236" s="7" t="s">
        <v>1454</v>
      </c>
      <c r="C236" s="7">
        <v>2012</v>
      </c>
      <c r="D236" s="5" t="s">
        <v>270</v>
      </c>
      <c r="E236" s="6" t="s">
        <v>271</v>
      </c>
      <c r="F236" s="5" t="s">
        <v>13</v>
      </c>
      <c r="G236" s="5" t="str">
        <f>IF(CropLCAs[[#This Row],[fbs_item]]="Insects","insect_ghg","plant_ghg")</f>
        <v>plant_ghg</v>
      </c>
      <c r="H236" s="49" t="s">
        <v>253</v>
      </c>
      <c r="I236" s="49"/>
      <c r="J236" s="49" t="s">
        <v>1291</v>
      </c>
      <c r="K236" s="5" t="s">
        <v>1668</v>
      </c>
      <c r="L236" s="5" t="s">
        <v>280</v>
      </c>
      <c r="M236" s="5" t="s">
        <v>102</v>
      </c>
      <c r="N236" s="5" t="s">
        <v>109</v>
      </c>
      <c r="O236" s="5" t="s">
        <v>109</v>
      </c>
      <c r="P236" s="5" t="s">
        <v>164</v>
      </c>
      <c r="Q236" s="5" t="s">
        <v>102</v>
      </c>
      <c r="R236" s="5" t="s">
        <v>102</v>
      </c>
      <c r="S236" s="5" t="s">
        <v>102</v>
      </c>
      <c r="T236" s="5" t="s">
        <v>102</v>
      </c>
      <c r="U236" s="5">
        <v>100</v>
      </c>
      <c r="V236" s="5">
        <v>1</v>
      </c>
      <c r="W236" s="5" t="s">
        <v>273</v>
      </c>
      <c r="X236" s="24">
        <v>234.1</v>
      </c>
      <c r="Y236" s="5" t="s">
        <v>106</v>
      </c>
      <c r="Z236" s="5"/>
      <c r="AA236" s="5"/>
      <c r="AB236" s="24">
        <v>1E-3</v>
      </c>
      <c r="AC236" s="5" t="s">
        <v>274</v>
      </c>
      <c r="AD236" s="5" t="str">
        <f t="shared" si="14"/>
        <v>kg_co2e_excl_luc</v>
      </c>
      <c r="AE236" s="24">
        <f>IF(CropLCAs[[#This Row],[Product fraction]]="",CropLCAs[[#This Row],[CO2e (value)]]*CropLCAs[[#This Row],[Conversion factor (value)]],CropLCAs[[#This Row],[CO2e (value)]]*CropLCAs[[#This Row],[Conversion factor (value)]]/CropLCAs[[#This Row],[Product fraction]]*CropLCAs[[#This Row],[Value fraction]])</f>
        <v>0.2341</v>
      </c>
      <c r="AF236" s="5" t="s">
        <v>47</v>
      </c>
      <c r="AG236" s="5" t="str">
        <f t="shared" si="15"/>
        <v>processed_ghg</v>
      </c>
      <c r="AH236" s="5">
        <f t="shared" si="17"/>
        <v>2.7E-2</v>
      </c>
      <c r="AI236" s="5">
        <v>0.06</v>
      </c>
      <c r="AJ236" s="8">
        <f>IF(CropLCAs[[#This Row],[product_fraction]]&gt;0,CropLCAs[[#This Row],[footprint]]/CropLCAs[[#This Row],[product_fraction]]*CropLCAs[[#This Row],[value_fraction]],"")</f>
        <v>0.52022222222222225</v>
      </c>
      <c r="AK236" s="23">
        <f t="shared" si="18"/>
        <v>0.125</v>
      </c>
      <c r="AL236" s="5" t="s">
        <v>109</v>
      </c>
      <c r="AM236" s="5" t="s">
        <v>275</v>
      </c>
      <c r="AN236" s="5" t="s">
        <v>276</v>
      </c>
      <c r="AO236" s="5"/>
      <c r="AP236" s="5"/>
      <c r="AQ236" s="5"/>
      <c r="AR236" s="5"/>
      <c r="AS236" s="5"/>
      <c r="AT236" s="5"/>
      <c r="AU236" s="5"/>
    </row>
    <row r="237" spans="1:47" ht="44.1" customHeight="1" x14ac:dyDescent="0.2">
      <c r="A237" s="5" t="s">
        <v>251</v>
      </c>
      <c r="B237" s="7" t="s">
        <v>1454</v>
      </c>
      <c r="C237" s="7">
        <v>2012</v>
      </c>
      <c r="D237" s="5" t="s">
        <v>270</v>
      </c>
      <c r="E237" s="6" t="s">
        <v>271</v>
      </c>
      <c r="F237" s="5" t="s">
        <v>13</v>
      </c>
      <c r="G237" s="5" t="str">
        <f>IF(CropLCAs[[#This Row],[fbs_item]]="Insects","insect_ghg","plant_ghg")</f>
        <v>plant_ghg</v>
      </c>
      <c r="H237" s="49" t="s">
        <v>253</v>
      </c>
      <c r="I237" s="49"/>
      <c r="J237" s="49" t="s">
        <v>1291</v>
      </c>
      <c r="K237" s="5" t="s">
        <v>1668</v>
      </c>
      <c r="L237" s="5" t="s">
        <v>281</v>
      </c>
      <c r="M237" s="5" t="s">
        <v>102</v>
      </c>
      <c r="N237" s="5" t="s">
        <v>109</v>
      </c>
      <c r="O237" s="5" t="s">
        <v>109</v>
      </c>
      <c r="P237" s="5" t="s">
        <v>164</v>
      </c>
      <c r="Q237" s="5" t="s">
        <v>102</v>
      </c>
      <c r="R237" s="5" t="s">
        <v>102</v>
      </c>
      <c r="S237" s="5" t="s">
        <v>102</v>
      </c>
      <c r="T237" s="5" t="s">
        <v>102</v>
      </c>
      <c r="U237" s="5">
        <v>100</v>
      </c>
      <c r="V237" s="5">
        <v>1</v>
      </c>
      <c r="W237" s="5" t="s">
        <v>273</v>
      </c>
      <c r="X237" s="24">
        <v>225.9</v>
      </c>
      <c r="Y237" s="5" t="s">
        <v>106</v>
      </c>
      <c r="Z237" s="5"/>
      <c r="AA237" s="5"/>
      <c r="AB237" s="24">
        <v>1E-3</v>
      </c>
      <c r="AC237" s="5" t="s">
        <v>274</v>
      </c>
      <c r="AD237" s="5" t="str">
        <f t="shared" si="14"/>
        <v>kg_co2e_excl_luc</v>
      </c>
      <c r="AE237" s="24">
        <f>IF(CropLCAs[[#This Row],[Product fraction]]="",CropLCAs[[#This Row],[CO2e (value)]]*CropLCAs[[#This Row],[Conversion factor (value)]],CropLCAs[[#This Row],[CO2e (value)]]*CropLCAs[[#This Row],[Conversion factor (value)]]/CropLCAs[[#This Row],[Product fraction]]*CropLCAs[[#This Row],[Value fraction]])</f>
        <v>0.22590000000000002</v>
      </c>
      <c r="AF237" s="5" t="s">
        <v>47</v>
      </c>
      <c r="AG237" s="5" t="str">
        <f t="shared" si="15"/>
        <v>processed_ghg</v>
      </c>
      <c r="AH237" s="5">
        <f t="shared" si="17"/>
        <v>2.7E-2</v>
      </c>
      <c r="AI237" s="5">
        <v>0.06</v>
      </c>
      <c r="AJ237" s="8">
        <f>IF(CropLCAs[[#This Row],[product_fraction]]&gt;0,CropLCAs[[#This Row],[footprint]]/CropLCAs[[#This Row],[product_fraction]]*CropLCAs[[#This Row],[value_fraction]],"")</f>
        <v>0.502</v>
      </c>
      <c r="AK237" s="23">
        <f t="shared" si="18"/>
        <v>0.125</v>
      </c>
      <c r="AL237" s="5" t="s">
        <v>109</v>
      </c>
      <c r="AM237" s="5" t="s">
        <v>275</v>
      </c>
      <c r="AN237" s="5" t="s">
        <v>276</v>
      </c>
      <c r="AO237" s="5"/>
      <c r="AP237" s="5"/>
      <c r="AQ237" s="5"/>
      <c r="AR237" s="5"/>
      <c r="AS237" s="5"/>
      <c r="AT237" s="5"/>
      <c r="AU237" s="5"/>
    </row>
    <row r="238" spans="1:47" ht="44.1" customHeight="1" x14ac:dyDescent="0.2">
      <c r="A238" s="5" t="s">
        <v>251</v>
      </c>
      <c r="B238" s="7" t="s">
        <v>1454</v>
      </c>
      <c r="C238" s="7">
        <v>2012</v>
      </c>
      <c r="D238" s="5" t="s">
        <v>270</v>
      </c>
      <c r="E238" s="6" t="s">
        <v>271</v>
      </c>
      <c r="F238" s="5" t="s">
        <v>13</v>
      </c>
      <c r="G238" s="5" t="str">
        <f>IF(CropLCAs[[#This Row],[fbs_item]]="Insects","insect_ghg","plant_ghg")</f>
        <v>plant_ghg</v>
      </c>
      <c r="H238" s="49" t="s">
        <v>253</v>
      </c>
      <c r="I238" s="49"/>
      <c r="J238" s="49" t="s">
        <v>1291</v>
      </c>
      <c r="K238" s="5" t="s">
        <v>1668</v>
      </c>
      <c r="L238" s="5" t="s">
        <v>282</v>
      </c>
      <c r="M238" s="5" t="s">
        <v>102</v>
      </c>
      <c r="N238" s="5" t="s">
        <v>109</v>
      </c>
      <c r="O238" s="5" t="s">
        <v>109</v>
      </c>
      <c r="P238" s="5" t="s">
        <v>164</v>
      </c>
      <c r="Q238" s="5" t="s">
        <v>102</v>
      </c>
      <c r="R238" s="5" t="s">
        <v>102</v>
      </c>
      <c r="S238" s="5" t="s">
        <v>102</v>
      </c>
      <c r="T238" s="5" t="s">
        <v>102</v>
      </c>
      <c r="U238" s="5">
        <v>100</v>
      </c>
      <c r="V238" s="5">
        <v>1</v>
      </c>
      <c r="W238" s="5" t="s">
        <v>273</v>
      </c>
      <c r="X238" s="24">
        <v>251.58</v>
      </c>
      <c r="Y238" s="5" t="s">
        <v>106</v>
      </c>
      <c r="Z238" s="5"/>
      <c r="AA238" s="5"/>
      <c r="AB238" s="24">
        <v>1E-3</v>
      </c>
      <c r="AC238" s="5" t="s">
        <v>274</v>
      </c>
      <c r="AD238" s="5" t="str">
        <f t="shared" si="14"/>
        <v>kg_co2e_excl_luc</v>
      </c>
      <c r="AE238" s="24">
        <f>IF(CropLCAs[[#This Row],[Product fraction]]="",CropLCAs[[#This Row],[CO2e (value)]]*CropLCAs[[#This Row],[Conversion factor (value)]],CropLCAs[[#This Row],[CO2e (value)]]*CropLCAs[[#This Row],[Conversion factor (value)]]/CropLCAs[[#This Row],[Product fraction]]*CropLCAs[[#This Row],[Value fraction]])</f>
        <v>0.25158000000000003</v>
      </c>
      <c r="AF238" s="5" t="s">
        <v>47</v>
      </c>
      <c r="AG238" s="5" t="str">
        <f t="shared" si="15"/>
        <v>processed_ghg</v>
      </c>
      <c r="AH238" s="5">
        <f t="shared" si="17"/>
        <v>2.7E-2</v>
      </c>
      <c r="AI238" s="5">
        <v>0.06</v>
      </c>
      <c r="AJ238" s="8">
        <f>IF(CropLCAs[[#This Row],[product_fraction]]&gt;0,CropLCAs[[#This Row],[footprint]]/CropLCAs[[#This Row],[product_fraction]]*CropLCAs[[#This Row],[value_fraction]],"")</f>
        <v>0.55906666666666671</v>
      </c>
      <c r="AK238" s="23">
        <f t="shared" si="18"/>
        <v>0.125</v>
      </c>
      <c r="AL238" s="5" t="s">
        <v>109</v>
      </c>
      <c r="AM238" s="5" t="s">
        <v>275</v>
      </c>
      <c r="AN238" s="5" t="s">
        <v>276</v>
      </c>
      <c r="AO238" s="5"/>
      <c r="AP238" s="5"/>
      <c r="AQ238" s="5"/>
      <c r="AR238" s="5"/>
      <c r="AS238" s="5"/>
      <c r="AT238" s="5"/>
      <c r="AU238" s="5"/>
    </row>
    <row r="239" spans="1:47" ht="44.1" customHeight="1" x14ac:dyDescent="0.2">
      <c r="A239" s="5" t="s">
        <v>251</v>
      </c>
      <c r="B239" s="7" t="s">
        <v>1454</v>
      </c>
      <c r="C239" s="7">
        <v>2012</v>
      </c>
      <c r="D239" s="5" t="s">
        <v>270</v>
      </c>
      <c r="E239" s="6" t="s">
        <v>271</v>
      </c>
      <c r="F239" s="5" t="s">
        <v>13</v>
      </c>
      <c r="G239" s="5" t="str">
        <f>IF(CropLCAs[[#This Row],[fbs_item]]="Insects","insect_ghg","plant_ghg")</f>
        <v>plant_ghg</v>
      </c>
      <c r="H239" s="49" t="s">
        <v>253</v>
      </c>
      <c r="I239" s="49"/>
      <c r="J239" s="49" t="s">
        <v>1291</v>
      </c>
      <c r="K239" s="5" t="s">
        <v>1668</v>
      </c>
      <c r="L239" s="5" t="s">
        <v>283</v>
      </c>
      <c r="M239" s="5" t="s">
        <v>102</v>
      </c>
      <c r="N239" s="5" t="s">
        <v>109</v>
      </c>
      <c r="O239" s="5" t="s">
        <v>109</v>
      </c>
      <c r="P239" s="5" t="s">
        <v>164</v>
      </c>
      <c r="Q239" s="5" t="s">
        <v>102</v>
      </c>
      <c r="R239" s="5" t="s">
        <v>102</v>
      </c>
      <c r="S239" s="5" t="s">
        <v>102</v>
      </c>
      <c r="T239" s="5" t="s">
        <v>102</v>
      </c>
      <c r="U239" s="5">
        <v>100</v>
      </c>
      <c r="V239" s="5">
        <v>1</v>
      </c>
      <c r="W239" s="5" t="s">
        <v>273</v>
      </c>
      <c r="X239" s="24">
        <v>258.69</v>
      </c>
      <c r="Y239" s="5" t="s">
        <v>106</v>
      </c>
      <c r="Z239" s="5"/>
      <c r="AA239" s="5"/>
      <c r="AB239" s="24">
        <v>1E-3</v>
      </c>
      <c r="AC239" s="5" t="s">
        <v>274</v>
      </c>
      <c r="AD239" s="5" t="str">
        <f t="shared" si="14"/>
        <v>kg_co2e_excl_luc</v>
      </c>
      <c r="AE239" s="24">
        <f>IF(CropLCAs[[#This Row],[Product fraction]]="",CropLCAs[[#This Row],[CO2e (value)]]*CropLCAs[[#This Row],[Conversion factor (value)]],CropLCAs[[#This Row],[CO2e (value)]]*CropLCAs[[#This Row],[Conversion factor (value)]]/CropLCAs[[#This Row],[Product fraction]]*CropLCAs[[#This Row],[Value fraction]])</f>
        <v>0.25868999999999998</v>
      </c>
      <c r="AF239" s="5" t="s">
        <v>47</v>
      </c>
      <c r="AG239" s="5" t="str">
        <f t="shared" si="15"/>
        <v>processed_ghg</v>
      </c>
      <c r="AH239" s="5">
        <f t="shared" si="17"/>
        <v>2.7E-2</v>
      </c>
      <c r="AI239" s="5">
        <v>0.06</v>
      </c>
      <c r="AJ239" s="8">
        <f>IF(CropLCAs[[#This Row],[product_fraction]]&gt;0,CropLCAs[[#This Row],[footprint]]/CropLCAs[[#This Row],[product_fraction]]*CropLCAs[[#This Row],[value_fraction]],"")</f>
        <v>0.57486666666666653</v>
      </c>
      <c r="AK239" s="23">
        <f t="shared" si="18"/>
        <v>0.125</v>
      </c>
      <c r="AL239" s="5" t="s">
        <v>109</v>
      </c>
      <c r="AM239" s="5" t="s">
        <v>275</v>
      </c>
      <c r="AN239" s="5" t="s">
        <v>276</v>
      </c>
      <c r="AO239" s="5"/>
      <c r="AP239" s="5"/>
      <c r="AQ239" s="5"/>
      <c r="AR239" s="5"/>
      <c r="AS239" s="5"/>
      <c r="AT239" s="5"/>
      <c r="AU239" s="5"/>
    </row>
    <row r="240" spans="1:47" ht="44.1" customHeight="1" x14ac:dyDescent="0.2">
      <c r="A240" s="5" t="s">
        <v>123</v>
      </c>
      <c r="B240" s="5" t="s">
        <v>1455</v>
      </c>
      <c r="C240" s="5">
        <v>2012</v>
      </c>
      <c r="D240" s="10" t="s">
        <v>224</v>
      </c>
      <c r="E240" s="6" t="s">
        <v>568</v>
      </c>
      <c r="F240" s="5" t="s">
        <v>3</v>
      </c>
      <c r="G240" s="5" t="str">
        <f>IF(CropLCAs[[#This Row],[fbs_item]]="Insects","insect_ghg","plant_ghg")</f>
        <v>plant_ghg</v>
      </c>
      <c r="H240" s="49" t="s">
        <v>225</v>
      </c>
      <c r="I240" s="49"/>
      <c r="J240" s="49"/>
      <c r="K240" s="5" t="s">
        <v>111</v>
      </c>
      <c r="L240" s="5"/>
      <c r="M240" s="5" t="s">
        <v>102</v>
      </c>
      <c r="N240" s="5" t="s">
        <v>102</v>
      </c>
      <c r="O240" s="5" t="s">
        <v>109</v>
      </c>
      <c r="P240" s="5" t="s">
        <v>102</v>
      </c>
      <c r="Q240" s="5" t="s">
        <v>102</v>
      </c>
      <c r="R240" s="5" t="s">
        <v>102</v>
      </c>
      <c r="S240" s="5" t="s">
        <v>105</v>
      </c>
      <c r="T240" s="5" t="s">
        <v>102</v>
      </c>
      <c r="U240" s="5">
        <v>100</v>
      </c>
      <c r="V240" s="8">
        <v>1.38</v>
      </c>
      <c r="W240" s="5" t="s">
        <v>107</v>
      </c>
      <c r="X240" s="24">
        <v>3.17</v>
      </c>
      <c r="Y240" s="5" t="s">
        <v>107</v>
      </c>
      <c r="Z240" s="5"/>
      <c r="AA240" s="5"/>
      <c r="AB240" s="24">
        <f>1/1.38</f>
        <v>0.7246376811594204</v>
      </c>
      <c r="AC240" s="5"/>
      <c r="AD240" s="5" t="str">
        <f t="shared" si="14"/>
        <v>kg_co2e_excl_luc</v>
      </c>
      <c r="AE240" s="24">
        <f>IF(CropLCAs[[#This Row],[Product fraction]]="",CropLCAs[[#This Row],[CO2e (value)]]*CropLCAs[[#This Row],[Conversion factor (value)]],CropLCAs[[#This Row],[CO2e (value)]]*CropLCAs[[#This Row],[Conversion factor (value)]]/CropLCAs[[#This Row],[Product fraction]]*CropLCAs[[#This Row],[Value fraction]])</f>
        <v>2.2971014492753628</v>
      </c>
      <c r="AF240" s="5"/>
      <c r="AG240" s="5" t="str">
        <f t="shared" si="15"/>
        <v>processed_ghg</v>
      </c>
      <c r="AH240" s="5"/>
      <c r="AI240" s="5"/>
      <c r="AJ240" s="8" t="str">
        <f>IF(CropLCAs[[#This Row],[product_fraction]]&gt;0,CropLCAs[[#This Row],[footprint]]/CropLCAs[[#This Row],[product_fraction]]*CropLCAs[[#This Row],[value_fraction]],"")</f>
        <v/>
      </c>
      <c r="AK240" s="23">
        <v>1</v>
      </c>
      <c r="AL240" s="5" t="s">
        <v>109</v>
      </c>
      <c r="AM240" s="5" t="s">
        <v>226</v>
      </c>
      <c r="AN240" s="5" t="s">
        <v>227</v>
      </c>
      <c r="AO240" s="5"/>
      <c r="AP240" s="5"/>
      <c r="AQ240" s="5"/>
      <c r="AR240" s="5"/>
      <c r="AS240" s="5"/>
      <c r="AT240" s="5"/>
      <c r="AU240" s="5"/>
    </row>
    <row r="241" spans="1:47" ht="44.1" customHeight="1" x14ac:dyDescent="0.2">
      <c r="A241" s="5" t="s">
        <v>123</v>
      </c>
      <c r="B241" s="5" t="s">
        <v>1455</v>
      </c>
      <c r="C241" s="5">
        <v>2012</v>
      </c>
      <c r="D241" s="10" t="s">
        <v>224</v>
      </c>
      <c r="E241" s="6" t="s">
        <v>569</v>
      </c>
      <c r="F241" s="5" t="s">
        <v>3</v>
      </c>
      <c r="G241" s="5" t="str">
        <f>IF(CropLCAs[[#This Row],[fbs_item]]="Insects","insect_ghg","plant_ghg")</f>
        <v>plant_ghg</v>
      </c>
      <c r="H241" s="49" t="s">
        <v>225</v>
      </c>
      <c r="I241" s="49"/>
      <c r="J241" s="49"/>
      <c r="K241" s="5" t="s">
        <v>111</v>
      </c>
      <c r="L241" s="5"/>
      <c r="M241" s="5" t="s">
        <v>102</v>
      </c>
      <c r="N241" s="5" t="s">
        <v>102</v>
      </c>
      <c r="O241" s="5" t="s">
        <v>109</v>
      </c>
      <c r="P241" s="5" t="s">
        <v>102</v>
      </c>
      <c r="Q241" s="5" t="s">
        <v>102</v>
      </c>
      <c r="R241" s="5" t="s">
        <v>102</v>
      </c>
      <c r="S241" s="5" t="s">
        <v>105</v>
      </c>
      <c r="T241" s="5" t="s">
        <v>102</v>
      </c>
      <c r="U241" s="5">
        <v>100</v>
      </c>
      <c r="V241" s="8">
        <v>1.0900000000000001</v>
      </c>
      <c r="W241" s="5" t="s">
        <v>107</v>
      </c>
      <c r="X241" s="24">
        <v>2.34</v>
      </c>
      <c r="Y241" s="5" t="s">
        <v>107</v>
      </c>
      <c r="Z241" s="5"/>
      <c r="AA241" s="5"/>
      <c r="AB241" s="24">
        <f>1/1.09</f>
        <v>0.9174311926605504</v>
      </c>
      <c r="AC241" s="5"/>
      <c r="AD241" s="5" t="str">
        <f t="shared" si="14"/>
        <v>kg_co2e_excl_luc</v>
      </c>
      <c r="AE241" s="24">
        <f>IF(CropLCAs[[#This Row],[Product fraction]]="",CropLCAs[[#This Row],[CO2e (value)]]*CropLCAs[[#This Row],[Conversion factor (value)]],CropLCAs[[#This Row],[CO2e (value)]]*CropLCAs[[#This Row],[Conversion factor (value)]]/CropLCAs[[#This Row],[Product fraction]]*CropLCAs[[#This Row],[Value fraction]])</f>
        <v>2.1467889908256876</v>
      </c>
      <c r="AF241" s="5"/>
      <c r="AG241" s="5" t="str">
        <f t="shared" si="15"/>
        <v>processed_ghg</v>
      </c>
      <c r="AH241" s="5"/>
      <c r="AI241" s="5"/>
      <c r="AJ241" s="8" t="str">
        <f>IF(CropLCAs[[#This Row],[product_fraction]]&gt;0,CropLCAs[[#This Row],[footprint]]/CropLCAs[[#This Row],[product_fraction]]*CropLCAs[[#This Row],[value_fraction]],"")</f>
        <v/>
      </c>
      <c r="AK241" s="23">
        <v>1</v>
      </c>
      <c r="AL241" s="5" t="s">
        <v>109</v>
      </c>
      <c r="AM241" s="5" t="s">
        <v>226</v>
      </c>
      <c r="AN241" s="5" t="s">
        <v>227</v>
      </c>
      <c r="AO241" s="5"/>
      <c r="AP241" s="5"/>
      <c r="AQ241" s="5"/>
      <c r="AR241" s="5"/>
      <c r="AS241" s="5"/>
      <c r="AT241" s="5"/>
      <c r="AU241" s="5"/>
    </row>
    <row r="242" spans="1:47" ht="44.1" customHeight="1" x14ac:dyDescent="0.2">
      <c r="A242" s="5" t="s">
        <v>123</v>
      </c>
      <c r="B242" s="5" t="s">
        <v>1455</v>
      </c>
      <c r="C242" s="5">
        <v>2012</v>
      </c>
      <c r="D242" s="10" t="s">
        <v>224</v>
      </c>
      <c r="E242" s="6" t="s">
        <v>214</v>
      </c>
      <c r="F242" s="5" t="s">
        <v>31</v>
      </c>
      <c r="G242" s="5" t="str">
        <f>IF(CropLCAs[[#This Row],[fbs_item]]="Insects","insect_ghg","plant_ghg")</f>
        <v>plant_ghg</v>
      </c>
      <c r="H242" s="49" t="s">
        <v>225</v>
      </c>
      <c r="I242" s="49"/>
      <c r="J242" s="49"/>
      <c r="K242" s="5" t="s">
        <v>111</v>
      </c>
      <c r="L242" s="5"/>
      <c r="M242" s="5" t="s">
        <v>102</v>
      </c>
      <c r="N242" s="5" t="s">
        <v>102</v>
      </c>
      <c r="O242" s="5" t="s">
        <v>109</v>
      </c>
      <c r="P242" s="5" t="s">
        <v>102</v>
      </c>
      <c r="Q242" s="5" t="s">
        <v>102</v>
      </c>
      <c r="R242" s="5" t="s">
        <v>102</v>
      </c>
      <c r="S242" s="5" t="s">
        <v>105</v>
      </c>
      <c r="T242" s="5" t="s">
        <v>102</v>
      </c>
      <c r="U242" s="5">
        <v>100</v>
      </c>
      <c r="V242" s="5">
        <v>0.746</v>
      </c>
      <c r="W242" s="5" t="s">
        <v>107</v>
      </c>
      <c r="X242" s="24">
        <v>1.66</v>
      </c>
      <c r="Y242" s="5" t="s">
        <v>107</v>
      </c>
      <c r="Z242" s="5"/>
      <c r="AA242" s="5"/>
      <c r="AB242" s="24">
        <f>1/0.746</f>
        <v>1.3404825737265416</v>
      </c>
      <c r="AC242" s="5"/>
      <c r="AD242" s="5" t="str">
        <f t="shared" si="14"/>
        <v>kg_co2e_excl_luc</v>
      </c>
      <c r="AE242" s="24">
        <f>IF(CropLCAs[[#This Row],[Product fraction]]="",CropLCAs[[#This Row],[CO2e (value)]]*CropLCAs[[#This Row],[Conversion factor (value)]],CropLCAs[[#This Row],[CO2e (value)]]*CropLCAs[[#This Row],[Conversion factor (value)]]/CropLCAs[[#This Row],[Product fraction]]*CropLCAs[[#This Row],[Value fraction]])</f>
        <v>2.2252010723860587</v>
      </c>
      <c r="AF242" s="5"/>
      <c r="AG242" s="5" t="str">
        <f t="shared" si="15"/>
        <v>processed_ghg</v>
      </c>
      <c r="AH242" s="5"/>
      <c r="AI242" s="5"/>
      <c r="AJ242" s="8" t="str">
        <f>IF(CropLCAs[[#This Row],[product_fraction]]&gt;0,CropLCAs[[#This Row],[footprint]]/CropLCAs[[#This Row],[product_fraction]]*CropLCAs[[#This Row],[value_fraction]],"")</f>
        <v/>
      </c>
      <c r="AK242" s="23">
        <v>1</v>
      </c>
      <c r="AL242" s="5" t="s">
        <v>109</v>
      </c>
      <c r="AM242" s="5" t="s">
        <v>226</v>
      </c>
      <c r="AN242" s="5" t="s">
        <v>227</v>
      </c>
      <c r="AO242" s="5"/>
      <c r="AP242" s="5"/>
      <c r="AQ242" s="5"/>
      <c r="AR242" s="5"/>
      <c r="AS242" s="5"/>
      <c r="AT242" s="5"/>
      <c r="AU242" s="5"/>
    </row>
    <row r="243" spans="1:47" ht="44.1" customHeight="1" x14ac:dyDescent="0.2">
      <c r="A243" s="17" t="s">
        <v>251</v>
      </c>
      <c r="B243" s="17" t="s">
        <v>857</v>
      </c>
      <c r="C243" s="17"/>
      <c r="D243" s="17" t="s">
        <v>858</v>
      </c>
      <c r="E243" s="19" t="s">
        <v>859</v>
      </c>
      <c r="F243" s="17" t="s">
        <v>10</v>
      </c>
      <c r="G243" s="17" t="str">
        <f>IF(CropLCAs[[#This Row],[fbs_item]]="Insects","insect_ghg","plant_ghg")</f>
        <v>plant_ghg</v>
      </c>
      <c r="H243" s="50" t="s">
        <v>860</v>
      </c>
      <c r="I243" s="50"/>
      <c r="J243" s="50"/>
      <c r="K243" s="17" t="s">
        <v>861</v>
      </c>
      <c r="L243" s="17"/>
      <c r="M243" s="17" t="s">
        <v>102</v>
      </c>
      <c r="N243" s="17" t="s">
        <v>102</v>
      </c>
      <c r="O243" s="17" t="s">
        <v>109</v>
      </c>
      <c r="P243" s="17" t="s">
        <v>102</v>
      </c>
      <c r="Q243" s="17" t="s">
        <v>102</v>
      </c>
      <c r="R243" s="17" t="s">
        <v>102</v>
      </c>
      <c r="S243" s="17" t="s">
        <v>102</v>
      </c>
      <c r="T243" s="17" t="s">
        <v>102</v>
      </c>
      <c r="U243" s="17">
        <v>100</v>
      </c>
      <c r="V243" s="17"/>
      <c r="W243" s="17"/>
      <c r="X243" s="30"/>
      <c r="Y243" s="17"/>
      <c r="Z243" s="17"/>
      <c r="AA243" s="17"/>
      <c r="AB243" s="30"/>
      <c r="AC243" s="17"/>
      <c r="AD243" s="17" t="str">
        <f t="shared" si="14"/>
        <v>kg_co2e_excl_luc</v>
      </c>
      <c r="AE243" s="30">
        <f>IF(CropLCAs[[#This Row],[Product fraction]]="",CropLCAs[[#This Row],[CO2e (value)]]*CropLCAs[[#This Row],[Conversion factor (value)]],CropLCAs[[#This Row],[CO2e (value)]]*CropLCAs[[#This Row],[Conversion factor (value)]]/CropLCAs[[#This Row],[Product fraction]]*CropLCAs[[#This Row],[Value fraction]])</f>
        <v>0</v>
      </c>
      <c r="AF243" s="19"/>
      <c r="AG243" s="19" t="str">
        <f t="shared" si="15"/>
        <v>processed_ghg</v>
      </c>
      <c r="AH243" s="19"/>
      <c r="AI243" s="19"/>
      <c r="AJ243" s="18" t="str">
        <f>IF(CropLCAs[[#This Row],[product_fraction]]&gt;0,CropLCAs[[#This Row],[footprint]]/CropLCAs[[#This Row],[product_fraction]]*CropLCAs[[#This Row],[value_fraction]],"")</f>
        <v/>
      </c>
      <c r="AK243" s="29">
        <v>1</v>
      </c>
      <c r="AL243" s="19" t="s">
        <v>862</v>
      </c>
      <c r="AM243" s="20" t="s">
        <v>863</v>
      </c>
      <c r="AN243" s="17"/>
      <c r="AO243" s="17"/>
      <c r="AP243" s="17"/>
      <c r="AQ243" s="5"/>
      <c r="AR243" s="5"/>
      <c r="AS243" s="5"/>
      <c r="AT243" s="5"/>
      <c r="AU243" s="5"/>
    </row>
    <row r="244" spans="1:47" ht="44.1" customHeight="1" x14ac:dyDescent="0.2">
      <c r="A244" s="17" t="s">
        <v>251</v>
      </c>
      <c r="B244" s="17" t="s">
        <v>857</v>
      </c>
      <c r="C244" s="17"/>
      <c r="D244" s="17" t="s">
        <v>858</v>
      </c>
      <c r="E244" s="19" t="s">
        <v>864</v>
      </c>
      <c r="F244" s="17" t="s">
        <v>11</v>
      </c>
      <c r="G244" s="17" t="str">
        <f>IF(CropLCAs[[#This Row],[fbs_item]]="Insects","insect_ghg","plant_ghg")</f>
        <v>plant_ghg</v>
      </c>
      <c r="H244" s="50" t="s">
        <v>860</v>
      </c>
      <c r="I244" s="50"/>
      <c r="J244" s="50"/>
      <c r="K244" s="17" t="s">
        <v>861</v>
      </c>
      <c r="L244" s="17"/>
      <c r="M244" s="17" t="s">
        <v>102</v>
      </c>
      <c r="N244" s="17" t="s">
        <v>102</v>
      </c>
      <c r="O244" s="17" t="s">
        <v>109</v>
      </c>
      <c r="P244" s="17" t="s">
        <v>102</v>
      </c>
      <c r="Q244" s="17" t="s">
        <v>102</v>
      </c>
      <c r="R244" s="17" t="s">
        <v>102</v>
      </c>
      <c r="S244" s="17" t="s">
        <v>102</v>
      </c>
      <c r="T244" s="17" t="s">
        <v>102</v>
      </c>
      <c r="U244" s="17">
        <v>100</v>
      </c>
      <c r="V244" s="17"/>
      <c r="W244" s="17"/>
      <c r="X244" s="30"/>
      <c r="Y244" s="17"/>
      <c r="Z244" s="17"/>
      <c r="AA244" s="17"/>
      <c r="AB244" s="30"/>
      <c r="AC244" s="17"/>
      <c r="AD244" s="17" t="str">
        <f t="shared" si="14"/>
        <v>kg_co2e_excl_luc</v>
      </c>
      <c r="AE244" s="30">
        <f>IF(CropLCAs[[#This Row],[Product fraction]]="",CropLCAs[[#This Row],[CO2e (value)]]*CropLCAs[[#This Row],[Conversion factor (value)]],CropLCAs[[#This Row],[CO2e (value)]]*CropLCAs[[#This Row],[Conversion factor (value)]]/CropLCAs[[#This Row],[Product fraction]]*CropLCAs[[#This Row],[Value fraction]])</f>
        <v>0</v>
      </c>
      <c r="AF244" s="19"/>
      <c r="AG244" s="19" t="str">
        <f t="shared" si="15"/>
        <v>processed_ghg</v>
      </c>
      <c r="AH244" s="19"/>
      <c r="AI244" s="19"/>
      <c r="AJ244" s="18" t="str">
        <f>IF(CropLCAs[[#This Row],[product_fraction]]&gt;0,CropLCAs[[#This Row],[footprint]]/CropLCAs[[#This Row],[product_fraction]]*CropLCAs[[#This Row],[value_fraction]],"")</f>
        <v/>
      </c>
      <c r="AK244" s="29">
        <v>1</v>
      </c>
      <c r="AL244" s="19" t="s">
        <v>862</v>
      </c>
      <c r="AM244" s="20" t="s">
        <v>863</v>
      </c>
      <c r="AN244" s="17"/>
      <c r="AO244" s="17"/>
      <c r="AP244" s="17"/>
      <c r="AQ244" s="5"/>
      <c r="AR244" s="5"/>
      <c r="AS244" s="5"/>
      <c r="AT244" s="5"/>
      <c r="AU244" s="5"/>
    </row>
    <row r="245" spans="1:47" ht="44.1" customHeight="1" x14ac:dyDescent="0.2">
      <c r="A245" s="17" t="s">
        <v>251</v>
      </c>
      <c r="B245" s="17" t="s">
        <v>857</v>
      </c>
      <c r="C245" s="17"/>
      <c r="D245" s="17" t="s">
        <v>858</v>
      </c>
      <c r="E245" s="19" t="s">
        <v>859</v>
      </c>
      <c r="F245" s="17" t="s">
        <v>14</v>
      </c>
      <c r="G245" s="17" t="str">
        <f>IF(CropLCAs[[#This Row],[fbs_item]]="Insects","insect_ghg","plant_ghg")</f>
        <v>plant_ghg</v>
      </c>
      <c r="H245" s="50" t="s">
        <v>860</v>
      </c>
      <c r="I245" s="50"/>
      <c r="J245" s="50"/>
      <c r="K245" s="17" t="s">
        <v>861</v>
      </c>
      <c r="L245" s="17"/>
      <c r="M245" s="17" t="s">
        <v>102</v>
      </c>
      <c r="N245" s="17" t="s">
        <v>102</v>
      </c>
      <c r="O245" s="17" t="s">
        <v>109</v>
      </c>
      <c r="P245" s="17" t="s">
        <v>102</v>
      </c>
      <c r="Q245" s="17" t="s">
        <v>102</v>
      </c>
      <c r="R245" s="17" t="s">
        <v>102</v>
      </c>
      <c r="S245" s="17" t="s">
        <v>102</v>
      </c>
      <c r="T245" s="17" t="s">
        <v>102</v>
      </c>
      <c r="U245" s="17">
        <v>100</v>
      </c>
      <c r="V245" s="17"/>
      <c r="W245" s="17"/>
      <c r="X245" s="30"/>
      <c r="Y245" s="17"/>
      <c r="Z245" s="17"/>
      <c r="AA245" s="17"/>
      <c r="AB245" s="30"/>
      <c r="AC245" s="17"/>
      <c r="AD245" s="17" t="str">
        <f t="shared" si="14"/>
        <v>kg_co2e_excl_luc</v>
      </c>
      <c r="AE245" s="30">
        <f>IF(CropLCAs[[#This Row],[Product fraction]]="",CropLCAs[[#This Row],[CO2e (value)]]*CropLCAs[[#This Row],[Conversion factor (value)]],CropLCAs[[#This Row],[CO2e (value)]]*CropLCAs[[#This Row],[Conversion factor (value)]]/CropLCAs[[#This Row],[Product fraction]]*CropLCAs[[#This Row],[Value fraction]])</f>
        <v>0</v>
      </c>
      <c r="AF245" s="19"/>
      <c r="AG245" s="19" t="str">
        <f t="shared" si="15"/>
        <v>processed_ghg</v>
      </c>
      <c r="AH245" s="19"/>
      <c r="AI245" s="19"/>
      <c r="AJ245" s="18" t="str">
        <f>IF(CropLCAs[[#This Row],[product_fraction]]&gt;0,CropLCAs[[#This Row],[footprint]]/CropLCAs[[#This Row],[product_fraction]]*CropLCAs[[#This Row],[value_fraction]],"")</f>
        <v/>
      </c>
      <c r="AK245" s="29">
        <v>1</v>
      </c>
      <c r="AL245" s="19" t="s">
        <v>862</v>
      </c>
      <c r="AM245" s="20" t="s">
        <v>863</v>
      </c>
      <c r="AN245" s="17"/>
      <c r="AO245" s="17"/>
      <c r="AP245" s="17"/>
      <c r="AQ245" s="5"/>
      <c r="AR245" s="5"/>
      <c r="AS245" s="5"/>
      <c r="AT245" s="5"/>
      <c r="AU245" s="5"/>
    </row>
    <row r="246" spans="1:47" ht="44.1" customHeight="1" x14ac:dyDescent="0.2">
      <c r="A246" s="17" t="s">
        <v>251</v>
      </c>
      <c r="B246" s="17" t="s">
        <v>857</v>
      </c>
      <c r="C246" s="17"/>
      <c r="D246" s="17" t="s">
        <v>858</v>
      </c>
      <c r="E246" s="19" t="s">
        <v>864</v>
      </c>
      <c r="F246" s="17" t="s">
        <v>0</v>
      </c>
      <c r="G246" s="17" t="str">
        <f>IF(CropLCAs[[#This Row],[fbs_item]]="Insects","insect_ghg","plant_ghg")</f>
        <v>plant_ghg</v>
      </c>
      <c r="H246" s="50" t="s">
        <v>860</v>
      </c>
      <c r="I246" s="50"/>
      <c r="J246" s="50"/>
      <c r="K246" s="17" t="s">
        <v>861</v>
      </c>
      <c r="L246" s="17"/>
      <c r="M246" s="17" t="s">
        <v>102</v>
      </c>
      <c r="N246" s="17" t="s">
        <v>102</v>
      </c>
      <c r="O246" s="17" t="s">
        <v>109</v>
      </c>
      <c r="P246" s="17" t="s">
        <v>102</v>
      </c>
      <c r="Q246" s="17" t="s">
        <v>102</v>
      </c>
      <c r="R246" s="17" t="s">
        <v>102</v>
      </c>
      <c r="S246" s="17" t="s">
        <v>102</v>
      </c>
      <c r="T246" s="17" t="s">
        <v>102</v>
      </c>
      <c r="U246" s="17">
        <v>100</v>
      </c>
      <c r="V246" s="17"/>
      <c r="W246" s="17"/>
      <c r="X246" s="30"/>
      <c r="Y246" s="17"/>
      <c r="Z246" s="17"/>
      <c r="AA246" s="17"/>
      <c r="AB246" s="30"/>
      <c r="AC246" s="17"/>
      <c r="AD246" s="17" t="str">
        <f t="shared" si="14"/>
        <v>kg_co2e_excl_luc</v>
      </c>
      <c r="AE246" s="30">
        <f>IF(CropLCAs[[#This Row],[Product fraction]]="",CropLCAs[[#This Row],[CO2e (value)]]*CropLCAs[[#This Row],[Conversion factor (value)]],CropLCAs[[#This Row],[CO2e (value)]]*CropLCAs[[#This Row],[Conversion factor (value)]]/CropLCAs[[#This Row],[Product fraction]]*CropLCAs[[#This Row],[Value fraction]])</f>
        <v>0</v>
      </c>
      <c r="AF246" s="19"/>
      <c r="AG246" s="19" t="str">
        <f t="shared" si="15"/>
        <v>processed_ghg</v>
      </c>
      <c r="AH246" s="19"/>
      <c r="AI246" s="19"/>
      <c r="AJ246" s="18" t="str">
        <f>IF(CropLCAs[[#This Row],[product_fraction]]&gt;0,CropLCAs[[#This Row],[footprint]]/CropLCAs[[#This Row],[product_fraction]]*CropLCAs[[#This Row],[value_fraction]],"")</f>
        <v/>
      </c>
      <c r="AK246" s="29">
        <v>1</v>
      </c>
      <c r="AL246" s="19" t="s">
        <v>862</v>
      </c>
      <c r="AM246" s="20" t="s">
        <v>863</v>
      </c>
      <c r="AN246" s="17"/>
      <c r="AO246" s="17"/>
      <c r="AP246" s="17"/>
      <c r="AQ246" s="5"/>
      <c r="AR246" s="5"/>
      <c r="AS246" s="5"/>
      <c r="AT246" s="5"/>
      <c r="AU246" s="5"/>
    </row>
    <row r="247" spans="1:47" ht="44.1" customHeight="1" x14ac:dyDescent="0.2">
      <c r="A247" s="17" t="s">
        <v>251</v>
      </c>
      <c r="B247" s="17" t="s">
        <v>857</v>
      </c>
      <c r="C247" s="17"/>
      <c r="D247" s="17" t="s">
        <v>858</v>
      </c>
      <c r="E247" s="19" t="s">
        <v>384</v>
      </c>
      <c r="F247" s="17" t="s">
        <v>16</v>
      </c>
      <c r="G247" s="17" t="str">
        <f>IF(CropLCAs[[#This Row],[fbs_item]]="Insects","insect_ghg","plant_ghg")</f>
        <v>plant_ghg</v>
      </c>
      <c r="H247" s="50" t="s">
        <v>860</v>
      </c>
      <c r="I247" s="50"/>
      <c r="J247" s="50"/>
      <c r="K247" s="17" t="s">
        <v>861</v>
      </c>
      <c r="L247" s="17"/>
      <c r="M247" s="17" t="s">
        <v>102</v>
      </c>
      <c r="N247" s="17" t="s">
        <v>102</v>
      </c>
      <c r="O247" s="17" t="s">
        <v>109</v>
      </c>
      <c r="P247" s="17" t="s">
        <v>102</v>
      </c>
      <c r="Q247" s="17" t="s">
        <v>102</v>
      </c>
      <c r="R247" s="17" t="s">
        <v>102</v>
      </c>
      <c r="S247" s="17" t="s">
        <v>102</v>
      </c>
      <c r="T247" s="17" t="s">
        <v>102</v>
      </c>
      <c r="U247" s="17">
        <v>100</v>
      </c>
      <c r="V247" s="17"/>
      <c r="W247" s="17"/>
      <c r="X247" s="30"/>
      <c r="Y247" s="17"/>
      <c r="Z247" s="17"/>
      <c r="AA247" s="17"/>
      <c r="AB247" s="30"/>
      <c r="AC247" s="17"/>
      <c r="AD247" s="17" t="str">
        <f t="shared" si="14"/>
        <v>kg_co2e_excl_luc</v>
      </c>
      <c r="AE247" s="30">
        <f>IF(CropLCAs[[#This Row],[Product fraction]]="",CropLCAs[[#This Row],[CO2e (value)]]*CropLCAs[[#This Row],[Conversion factor (value)]],CropLCAs[[#This Row],[CO2e (value)]]*CropLCAs[[#This Row],[Conversion factor (value)]]/CropLCAs[[#This Row],[Product fraction]]*CropLCAs[[#This Row],[Value fraction]])</f>
        <v>0</v>
      </c>
      <c r="AF247" s="19"/>
      <c r="AG247" s="19" t="str">
        <f t="shared" si="15"/>
        <v>processed_ghg</v>
      </c>
      <c r="AH247" s="19"/>
      <c r="AI247" s="19"/>
      <c r="AJ247" s="18" t="str">
        <f>IF(CropLCAs[[#This Row],[product_fraction]]&gt;0,CropLCAs[[#This Row],[footprint]]/CropLCAs[[#This Row],[product_fraction]]*CropLCAs[[#This Row],[value_fraction]],"")</f>
        <v/>
      </c>
      <c r="AK247" s="29">
        <v>1</v>
      </c>
      <c r="AL247" s="19" t="s">
        <v>862</v>
      </c>
      <c r="AM247" s="20" t="s">
        <v>863</v>
      </c>
      <c r="AN247" s="17"/>
      <c r="AO247" s="17"/>
      <c r="AP247" s="17"/>
      <c r="AQ247" s="5"/>
      <c r="AR247" s="5"/>
      <c r="AS247" s="5"/>
      <c r="AT247" s="5"/>
      <c r="AU247" s="5"/>
    </row>
    <row r="248" spans="1:47" ht="44.1" customHeight="1" x14ac:dyDescent="0.2">
      <c r="A248" s="17" t="s">
        <v>251</v>
      </c>
      <c r="B248" s="17" t="s">
        <v>857</v>
      </c>
      <c r="C248" s="17"/>
      <c r="D248" s="17" t="s">
        <v>858</v>
      </c>
      <c r="E248" s="19" t="s">
        <v>865</v>
      </c>
      <c r="F248" s="17" t="s">
        <v>23</v>
      </c>
      <c r="G248" s="17" t="str">
        <f>IF(CropLCAs[[#This Row],[fbs_item]]="Insects","insect_ghg","plant_ghg")</f>
        <v>plant_ghg</v>
      </c>
      <c r="H248" s="50" t="s">
        <v>860</v>
      </c>
      <c r="I248" s="50"/>
      <c r="J248" s="50"/>
      <c r="K248" s="17" t="s">
        <v>861</v>
      </c>
      <c r="L248" s="17"/>
      <c r="M248" s="17" t="s">
        <v>102</v>
      </c>
      <c r="N248" s="17" t="s">
        <v>102</v>
      </c>
      <c r="O248" s="17" t="s">
        <v>109</v>
      </c>
      <c r="P248" s="17" t="s">
        <v>102</v>
      </c>
      <c r="Q248" s="17" t="s">
        <v>102</v>
      </c>
      <c r="R248" s="17" t="s">
        <v>102</v>
      </c>
      <c r="S248" s="17" t="s">
        <v>102</v>
      </c>
      <c r="T248" s="17" t="s">
        <v>102</v>
      </c>
      <c r="U248" s="17">
        <v>100</v>
      </c>
      <c r="V248" s="17"/>
      <c r="W248" s="17"/>
      <c r="X248" s="30"/>
      <c r="Y248" s="17"/>
      <c r="Z248" s="17"/>
      <c r="AA248" s="17"/>
      <c r="AB248" s="30"/>
      <c r="AC248" s="17"/>
      <c r="AD248" s="17" t="str">
        <f t="shared" si="14"/>
        <v>kg_co2e_excl_luc</v>
      </c>
      <c r="AE248" s="30">
        <f>IF(CropLCAs[[#This Row],[Product fraction]]="",CropLCAs[[#This Row],[CO2e (value)]]*CropLCAs[[#This Row],[Conversion factor (value)]],CropLCAs[[#This Row],[CO2e (value)]]*CropLCAs[[#This Row],[Conversion factor (value)]]/CropLCAs[[#This Row],[Product fraction]]*CropLCAs[[#This Row],[Value fraction]])</f>
        <v>0</v>
      </c>
      <c r="AF248" s="36" t="s">
        <v>42</v>
      </c>
      <c r="AG248" s="36" t="str">
        <f t="shared" si="15"/>
        <v>processed_ghg</v>
      </c>
      <c r="AH248" s="17">
        <v>0.38</v>
      </c>
      <c r="AI248" s="17"/>
      <c r="AJ248" s="18">
        <f>IF(CropLCAs[[#This Row],[product_fraction]]&gt;0,CropLCAs[[#This Row],[footprint]]/CropLCAs[[#This Row],[product_fraction]]*CropLCAs[[#This Row],[value_fraction]],"")</f>
        <v>0</v>
      </c>
      <c r="AK248" s="29">
        <v>1</v>
      </c>
      <c r="AL248" s="19" t="s">
        <v>862</v>
      </c>
      <c r="AM248" s="20" t="s">
        <v>863</v>
      </c>
      <c r="AN248" s="17"/>
      <c r="AO248" s="17"/>
      <c r="AP248" s="17"/>
      <c r="AQ248" s="5"/>
      <c r="AR248" s="5"/>
      <c r="AS248" s="5"/>
      <c r="AT248" s="5"/>
      <c r="AU248" s="5"/>
    </row>
    <row r="249" spans="1:47" ht="44.1" customHeight="1" x14ac:dyDescent="0.2">
      <c r="A249" s="17" t="s">
        <v>251</v>
      </c>
      <c r="B249" s="17" t="s">
        <v>857</v>
      </c>
      <c r="C249" s="17"/>
      <c r="D249" s="17" t="s">
        <v>858</v>
      </c>
      <c r="E249" s="19" t="s">
        <v>866</v>
      </c>
      <c r="F249" s="17" t="s">
        <v>5</v>
      </c>
      <c r="G249" s="17" t="str">
        <f>IF(CropLCAs[[#This Row],[fbs_item]]="Insects","insect_ghg","plant_ghg")</f>
        <v>plant_ghg</v>
      </c>
      <c r="H249" s="50" t="s">
        <v>860</v>
      </c>
      <c r="I249" s="50"/>
      <c r="J249" s="50"/>
      <c r="K249" s="17" t="s">
        <v>861</v>
      </c>
      <c r="L249" s="17"/>
      <c r="M249" s="17" t="s">
        <v>102</v>
      </c>
      <c r="N249" s="17" t="s">
        <v>102</v>
      </c>
      <c r="O249" s="17" t="s">
        <v>109</v>
      </c>
      <c r="P249" s="17" t="s">
        <v>102</v>
      </c>
      <c r="Q249" s="17" t="s">
        <v>102</v>
      </c>
      <c r="R249" s="17" t="s">
        <v>102</v>
      </c>
      <c r="S249" s="17" t="s">
        <v>102</v>
      </c>
      <c r="T249" s="17" t="s">
        <v>102</v>
      </c>
      <c r="U249" s="17">
        <v>100</v>
      </c>
      <c r="V249" s="17"/>
      <c r="W249" s="17"/>
      <c r="X249" s="30"/>
      <c r="Y249" s="17"/>
      <c r="Z249" s="17"/>
      <c r="AA249" s="17"/>
      <c r="AB249" s="30"/>
      <c r="AC249" s="17"/>
      <c r="AD249" s="17" t="str">
        <f t="shared" si="14"/>
        <v>kg_co2e_excl_luc</v>
      </c>
      <c r="AE249" s="30">
        <f>IF(CropLCAs[[#This Row],[Product fraction]]="",CropLCAs[[#This Row],[CO2e (value)]]*CropLCAs[[#This Row],[Conversion factor (value)]],CropLCAs[[#This Row],[CO2e (value)]]*CropLCAs[[#This Row],[Conversion factor (value)]]/CropLCAs[[#This Row],[Product fraction]]*CropLCAs[[#This Row],[Value fraction]])</f>
        <v>0</v>
      </c>
      <c r="AF249" s="19"/>
      <c r="AG249" s="19" t="str">
        <f t="shared" si="15"/>
        <v>processed_ghg</v>
      </c>
      <c r="AH249" s="19"/>
      <c r="AI249" s="19"/>
      <c r="AJ249" s="18" t="str">
        <f>IF(CropLCAs[[#This Row],[product_fraction]]&gt;0,CropLCAs[[#This Row],[footprint]]/CropLCAs[[#This Row],[product_fraction]]*CropLCAs[[#This Row],[value_fraction]],"")</f>
        <v/>
      </c>
      <c r="AK249" s="29">
        <v>1</v>
      </c>
      <c r="AL249" s="19" t="s">
        <v>862</v>
      </c>
      <c r="AM249" s="20" t="s">
        <v>863</v>
      </c>
      <c r="AN249" s="17"/>
      <c r="AO249" s="17"/>
      <c r="AP249" s="17"/>
      <c r="AQ249" s="5"/>
      <c r="AR249" s="5"/>
      <c r="AS249" s="5"/>
      <c r="AT249" s="5"/>
      <c r="AU249" s="5"/>
    </row>
    <row r="250" spans="1:47" ht="44.1" customHeight="1" x14ac:dyDescent="0.2">
      <c r="A250" s="5" t="s">
        <v>1384</v>
      </c>
      <c r="B250" s="7" t="s">
        <v>1456</v>
      </c>
      <c r="C250" s="7">
        <v>2017</v>
      </c>
      <c r="D250" s="5" t="s">
        <v>1385</v>
      </c>
      <c r="E250" s="6" t="s">
        <v>1400</v>
      </c>
      <c r="F250" s="7" t="s">
        <v>1386</v>
      </c>
      <c r="G250" s="7" t="str">
        <f>IF(CropLCAs[[#This Row],[fbs_item]]="Insects","insect_ghg","plant_ghg")</f>
        <v>insect_ghg</v>
      </c>
      <c r="H250" s="49" t="s">
        <v>1387</v>
      </c>
      <c r="I250" s="49"/>
      <c r="J250" s="49"/>
      <c r="K250" s="5" t="s">
        <v>111</v>
      </c>
      <c r="L250" s="5"/>
      <c r="M250" s="5" t="s">
        <v>102</v>
      </c>
      <c r="N250" s="5" t="s">
        <v>109</v>
      </c>
      <c r="O250" s="5" t="s">
        <v>109</v>
      </c>
      <c r="P250" s="5" t="s">
        <v>109</v>
      </c>
      <c r="Q250" s="5" t="s">
        <v>102</v>
      </c>
      <c r="R250" s="5" t="s">
        <v>102</v>
      </c>
      <c r="S250" s="5" t="s">
        <v>1403</v>
      </c>
      <c r="T250" s="5" t="s">
        <v>1388</v>
      </c>
      <c r="U250" s="5" t="s">
        <v>126</v>
      </c>
      <c r="V250" s="5">
        <v>1</v>
      </c>
      <c r="W250" s="5" t="s">
        <v>1389</v>
      </c>
      <c r="X250" s="28">
        <v>2.57</v>
      </c>
      <c r="Y250" s="5" t="s">
        <v>106</v>
      </c>
      <c r="Z250" s="5"/>
      <c r="AA250" s="5"/>
      <c r="AB250" s="28">
        <v>1</v>
      </c>
      <c r="AC250" s="5"/>
      <c r="AD250" s="5" t="str">
        <f t="shared" si="14"/>
        <v>kg_co2e_excl_luc</v>
      </c>
      <c r="AE250" s="28">
        <f>IF(CropLCAs[[#This Row],[Product fraction]]="",CropLCAs[[#This Row],[CO2e (value)]]*CropLCAs[[#This Row],[Conversion factor (value)]],CropLCAs[[#This Row],[CO2e (value)]]*CropLCAs[[#This Row],[Conversion factor (value)]]/CropLCAs[[#This Row],[Product fraction]]*CropLCAs[[#This Row],[Value fraction]])</f>
        <v>2.57</v>
      </c>
      <c r="AF250" s="6"/>
      <c r="AG250" s="6" t="str">
        <f t="shared" si="15"/>
        <v>processed_ghg</v>
      </c>
      <c r="AH250" s="6"/>
      <c r="AI250" s="6"/>
      <c r="AJ250" s="8" t="str">
        <f>IF(CropLCAs[[#This Row],[product_fraction]]&gt;0,CropLCAs[[#This Row],[footprint]]/CropLCAs[[#This Row],[product_fraction]]*CropLCAs[[#This Row],[value_fraction]],"")</f>
        <v/>
      </c>
      <c r="AK250" s="23">
        <v>1</v>
      </c>
      <c r="AL250" s="6" t="s">
        <v>109</v>
      </c>
      <c r="AM250" s="60" t="s">
        <v>1401</v>
      </c>
      <c r="AN250" s="5" t="s">
        <v>1415</v>
      </c>
      <c r="AO250" s="5" t="s">
        <v>1390</v>
      </c>
      <c r="AP250" s="5"/>
      <c r="AQ250" s="5"/>
      <c r="AR250" s="5"/>
      <c r="AS250" s="5"/>
      <c r="AT250" s="5"/>
      <c r="AU250" s="5"/>
    </row>
    <row r="251" spans="1:47" ht="44.1" customHeight="1" x14ac:dyDescent="0.2">
      <c r="A251" s="5" t="s">
        <v>123</v>
      </c>
      <c r="B251" s="5" t="s">
        <v>1457</v>
      </c>
      <c r="C251" s="5">
        <v>2012</v>
      </c>
      <c r="D251" s="7" t="s">
        <v>438</v>
      </c>
      <c r="E251" s="6" t="s">
        <v>431</v>
      </c>
      <c r="F251" s="5" t="s">
        <v>18</v>
      </c>
      <c r="G251" s="5" t="str">
        <f>IF(CropLCAs[[#This Row],[fbs_item]]="Insects","insect_ghg","plant_ghg")</f>
        <v>plant_ghg</v>
      </c>
      <c r="H251" s="49" t="s">
        <v>440</v>
      </c>
      <c r="I251" s="49"/>
      <c r="J251" s="49"/>
      <c r="K251" s="5" t="s">
        <v>1374</v>
      </c>
      <c r="L251" s="5" t="s">
        <v>441</v>
      </c>
      <c r="M251" s="5" t="s">
        <v>102</v>
      </c>
      <c r="N251" s="5" t="s">
        <v>109</v>
      </c>
      <c r="O251" s="5" t="s">
        <v>109</v>
      </c>
      <c r="P251" s="5" t="s">
        <v>102</v>
      </c>
      <c r="Q251" s="5" t="s">
        <v>102</v>
      </c>
      <c r="R251" s="5" t="s">
        <v>102</v>
      </c>
      <c r="S251" s="5" t="s">
        <v>102</v>
      </c>
      <c r="T251" s="5" t="s">
        <v>442</v>
      </c>
      <c r="U251" s="5">
        <v>100</v>
      </c>
      <c r="V251" s="5">
        <v>1</v>
      </c>
      <c r="W251" s="5" t="s">
        <v>1431</v>
      </c>
      <c r="X251" s="24">
        <f>1.58*0.77</f>
        <v>1.2166000000000001</v>
      </c>
      <c r="Y251" s="5" t="s">
        <v>106</v>
      </c>
      <c r="Z251" s="5">
        <f>0.77*0.9</f>
        <v>0.69300000000000006</v>
      </c>
      <c r="AA251" s="5">
        <v>0.81</v>
      </c>
      <c r="AB251" s="28">
        <f>1</f>
        <v>1</v>
      </c>
      <c r="AC251" s="5"/>
      <c r="AD251" s="5" t="str">
        <f t="shared" si="14"/>
        <v>kg_co2e_excl_luc</v>
      </c>
      <c r="AE251" s="24">
        <f>IF(CropLCAs[[#This Row],[Product fraction]]="",CropLCAs[[#This Row],[CO2e (value)]]*CropLCAs[[#This Row],[Conversion factor (value)]],CropLCAs[[#This Row],[CO2e (value)]]*CropLCAs[[#This Row],[Conversion factor (value)]]/CropLCAs[[#This Row],[Product fraction]]*CropLCAs[[#This Row],[Value fraction]])</f>
        <v>1.4220000000000002</v>
      </c>
      <c r="AF251" s="5" t="s">
        <v>46</v>
      </c>
      <c r="AG251" s="5" t="str">
        <f t="shared" si="15"/>
        <v>processed_ghg</v>
      </c>
      <c r="AH251" s="5">
        <f>0.08*0.14</f>
        <v>1.1200000000000002E-2</v>
      </c>
      <c r="AI251" s="5">
        <f>0.19*0.33</f>
        <v>6.2700000000000006E-2</v>
      </c>
      <c r="AJ251" s="8">
        <f>IF(CropLCAs[[#This Row],[product_fraction]]&gt;0,CropLCAs[[#This Row],[footprint]]/CropLCAs[[#This Row],[product_fraction]]*CropLCAs[[#This Row],[value_fraction]],"")</f>
        <v>7.9606607142857149</v>
      </c>
      <c r="AK251" s="23">
        <f>1/2</f>
        <v>0.5</v>
      </c>
      <c r="AL251" s="5" t="s">
        <v>109</v>
      </c>
      <c r="AM251" s="5"/>
      <c r="AN251" s="5"/>
      <c r="AO251" s="5"/>
      <c r="AP251" s="5"/>
      <c r="AQ251" s="5"/>
      <c r="AR251" s="5"/>
      <c r="AS251" s="5"/>
      <c r="AT251" s="5"/>
      <c r="AU251" s="5"/>
    </row>
    <row r="252" spans="1:47" ht="44.1" customHeight="1" x14ac:dyDescent="0.2">
      <c r="A252" s="17" t="s">
        <v>123</v>
      </c>
      <c r="B252" s="17" t="s">
        <v>437</v>
      </c>
      <c r="C252" s="17"/>
      <c r="D252" s="21" t="s">
        <v>438</v>
      </c>
      <c r="E252" s="19" t="s">
        <v>439</v>
      </c>
      <c r="F252" s="17" t="s">
        <v>18</v>
      </c>
      <c r="G252" s="17" t="str">
        <f>IF(CropLCAs[[#This Row],[fbs_item]]="Insects","insect_ghg","plant_ghg")</f>
        <v>plant_ghg</v>
      </c>
      <c r="H252" s="50" t="s">
        <v>440</v>
      </c>
      <c r="I252" s="50"/>
      <c r="J252" s="50"/>
      <c r="K252" s="17" t="s">
        <v>836</v>
      </c>
      <c r="L252" s="17"/>
      <c r="M252" s="17" t="s">
        <v>102</v>
      </c>
      <c r="N252" s="17" t="s">
        <v>109</v>
      </c>
      <c r="O252" s="17" t="s">
        <v>109</v>
      </c>
      <c r="P252" s="17" t="s">
        <v>102</v>
      </c>
      <c r="Q252" s="21" t="s">
        <v>102</v>
      </c>
      <c r="R252" s="21" t="s">
        <v>102</v>
      </c>
      <c r="S252" s="17" t="s">
        <v>102</v>
      </c>
      <c r="T252" s="17" t="s">
        <v>837</v>
      </c>
      <c r="U252" s="17">
        <v>100</v>
      </c>
      <c r="V252" s="17">
        <v>1</v>
      </c>
      <c r="W252" s="17" t="s">
        <v>106</v>
      </c>
      <c r="X252" s="30">
        <v>2</v>
      </c>
      <c r="Y252" s="17" t="s">
        <v>106</v>
      </c>
      <c r="Z252" s="17"/>
      <c r="AA252" s="17"/>
      <c r="AB252" s="30">
        <v>1</v>
      </c>
      <c r="AC252" s="17"/>
      <c r="AD252" s="17" t="str">
        <f t="shared" si="14"/>
        <v>kg_co2e_excl_luc</v>
      </c>
      <c r="AE252" s="30">
        <f>IF(CropLCAs[[#This Row],[Product fraction]]="",CropLCAs[[#This Row],[CO2e (value)]]*CropLCAs[[#This Row],[Conversion factor (value)]],CropLCAs[[#This Row],[CO2e (value)]]*CropLCAs[[#This Row],[Conversion factor (value)]]/CropLCAs[[#This Row],[Product fraction]]*CropLCAs[[#This Row],[Value fraction]])</f>
        <v>2</v>
      </c>
      <c r="AF252" s="17" t="s">
        <v>46</v>
      </c>
      <c r="AG252" s="17" t="str">
        <f t="shared" si="15"/>
        <v>processed_ghg</v>
      </c>
      <c r="AH252" s="19"/>
      <c r="AI252" s="19"/>
      <c r="AJ252" s="18" t="str">
        <f>IF(CropLCAs[[#This Row],[product_fraction]]&gt;0,CropLCAs[[#This Row],[footprint]]/CropLCAs[[#This Row],[product_fraction]]*CropLCAs[[#This Row],[value_fraction]],"")</f>
        <v/>
      </c>
      <c r="AK252" s="29"/>
      <c r="AL252" s="19" t="s">
        <v>838</v>
      </c>
      <c r="AM252" s="17"/>
      <c r="AN252" s="17"/>
      <c r="AO252" s="17"/>
      <c r="AP252" s="17"/>
      <c r="AQ252" s="5"/>
      <c r="AR252" s="5"/>
      <c r="AS252" s="5"/>
      <c r="AT252" s="5"/>
      <c r="AU252" s="5"/>
    </row>
    <row r="253" spans="1:47" ht="44.1" customHeight="1" x14ac:dyDescent="0.2">
      <c r="A253" s="17" t="s">
        <v>215</v>
      </c>
      <c r="B253" s="17" t="s">
        <v>789</v>
      </c>
      <c r="C253" s="17"/>
      <c r="D253" s="17" t="s">
        <v>790</v>
      </c>
      <c r="E253" s="17" t="s">
        <v>568</v>
      </c>
      <c r="F253" s="17" t="s">
        <v>3</v>
      </c>
      <c r="G253" s="17" t="str">
        <f>IF(CropLCAs[[#This Row],[fbs_item]]="Insects","insect_ghg","plant_ghg")</f>
        <v>plant_ghg</v>
      </c>
      <c r="H253" s="50" t="s">
        <v>791</v>
      </c>
      <c r="I253" s="50"/>
      <c r="J253" s="50"/>
      <c r="K253" s="17" t="s">
        <v>792</v>
      </c>
      <c r="L253" s="17"/>
      <c r="M253" s="17" t="s">
        <v>102</v>
      </c>
      <c r="N253" s="17" t="s">
        <v>109</v>
      </c>
      <c r="O253" s="17" t="s">
        <v>109</v>
      </c>
      <c r="P253" s="17" t="s">
        <v>102</v>
      </c>
      <c r="Q253" s="17" t="s">
        <v>102</v>
      </c>
      <c r="R253" s="17" t="s">
        <v>793</v>
      </c>
      <c r="S253" s="17" t="s">
        <v>105</v>
      </c>
      <c r="T253" s="17" t="s">
        <v>102</v>
      </c>
      <c r="U253" s="17" t="s">
        <v>126</v>
      </c>
      <c r="V253" s="17">
        <v>1</v>
      </c>
      <c r="W253" s="17" t="s">
        <v>106</v>
      </c>
      <c r="X253" s="30">
        <v>0.27400000000000002</v>
      </c>
      <c r="Y253" s="17" t="s">
        <v>106</v>
      </c>
      <c r="Z253" s="17"/>
      <c r="AA253" s="17"/>
      <c r="AB253" s="30">
        <v>1</v>
      </c>
      <c r="AC253" s="17"/>
      <c r="AD253" s="17" t="str">
        <f t="shared" si="14"/>
        <v>kg_co2e_excl_luc</v>
      </c>
      <c r="AE253" s="30">
        <f>IF(CropLCAs[[#This Row],[Product fraction]]="",CropLCAs[[#This Row],[CO2e (value)]]*CropLCAs[[#This Row],[Conversion factor (value)]],CropLCAs[[#This Row],[CO2e (value)]]*CropLCAs[[#This Row],[Conversion factor (value)]]/CropLCAs[[#This Row],[Product fraction]]*CropLCAs[[#This Row],[Value fraction]])</f>
        <v>0.27400000000000002</v>
      </c>
      <c r="AF253" s="17"/>
      <c r="AG253" s="17" t="str">
        <f t="shared" si="15"/>
        <v>processed_ghg</v>
      </c>
      <c r="AH253" s="17"/>
      <c r="AI253" s="17"/>
      <c r="AJ253" s="18" t="str">
        <f>IF(CropLCAs[[#This Row],[product_fraction]]&gt;0,CropLCAs[[#This Row],[footprint]]/CropLCAs[[#This Row],[product_fraction]]*CropLCAs[[#This Row],[value_fraction]],"")</f>
        <v/>
      </c>
      <c r="AK253" s="29"/>
      <c r="AL253" s="17" t="s">
        <v>774</v>
      </c>
      <c r="AM253" s="17" t="s">
        <v>794</v>
      </c>
      <c r="AN253" s="17"/>
      <c r="AO253" s="17"/>
      <c r="AP253" s="17"/>
      <c r="AQ253" s="7"/>
      <c r="AR253" s="7"/>
      <c r="AS253" s="7"/>
      <c r="AT253" s="7"/>
      <c r="AU253" s="7"/>
    </row>
    <row r="254" spans="1:47" ht="44.1" customHeight="1" x14ac:dyDescent="0.2">
      <c r="A254" s="17" t="s">
        <v>215</v>
      </c>
      <c r="B254" s="17" t="s">
        <v>789</v>
      </c>
      <c r="C254" s="17"/>
      <c r="D254" s="17" t="s">
        <v>790</v>
      </c>
      <c r="E254" s="17" t="s">
        <v>568</v>
      </c>
      <c r="F254" s="17" t="s">
        <v>3</v>
      </c>
      <c r="G254" s="17" t="str">
        <f>IF(CropLCAs[[#This Row],[fbs_item]]="Insects","insect_ghg","plant_ghg")</f>
        <v>plant_ghg</v>
      </c>
      <c r="H254" s="50" t="s">
        <v>77</v>
      </c>
      <c r="I254" s="50"/>
      <c r="J254" s="50"/>
      <c r="K254" s="17" t="s">
        <v>792</v>
      </c>
      <c r="L254" s="17"/>
      <c r="M254" s="17" t="s">
        <v>102</v>
      </c>
      <c r="N254" s="17" t="s">
        <v>109</v>
      </c>
      <c r="O254" s="17" t="s">
        <v>109</v>
      </c>
      <c r="P254" s="17" t="s">
        <v>102</v>
      </c>
      <c r="Q254" s="17" t="s">
        <v>102</v>
      </c>
      <c r="R254" s="17" t="s">
        <v>793</v>
      </c>
      <c r="S254" s="17" t="s">
        <v>105</v>
      </c>
      <c r="T254" s="17" t="s">
        <v>102</v>
      </c>
      <c r="U254" s="17" t="s">
        <v>126</v>
      </c>
      <c r="V254" s="17">
        <v>1</v>
      </c>
      <c r="W254" s="17" t="s">
        <v>106</v>
      </c>
      <c r="X254" s="30">
        <v>0.25900000000000001</v>
      </c>
      <c r="Y254" s="17" t="s">
        <v>106</v>
      </c>
      <c r="Z254" s="17"/>
      <c r="AA254" s="17"/>
      <c r="AB254" s="30">
        <v>1</v>
      </c>
      <c r="AC254" s="17"/>
      <c r="AD254" s="17" t="str">
        <f t="shared" si="14"/>
        <v>kg_co2e_excl_luc</v>
      </c>
      <c r="AE254" s="30">
        <f>IF(CropLCAs[[#This Row],[Product fraction]]="",CropLCAs[[#This Row],[CO2e (value)]]*CropLCAs[[#This Row],[Conversion factor (value)]],CropLCAs[[#This Row],[CO2e (value)]]*CropLCAs[[#This Row],[Conversion factor (value)]]/CropLCAs[[#This Row],[Product fraction]]*CropLCAs[[#This Row],[Value fraction]])</f>
        <v>0.25900000000000001</v>
      </c>
      <c r="AF254" s="17"/>
      <c r="AG254" s="17" t="str">
        <f t="shared" si="15"/>
        <v>processed_ghg</v>
      </c>
      <c r="AH254" s="17"/>
      <c r="AI254" s="17"/>
      <c r="AJ254" s="18" t="str">
        <f>IF(CropLCAs[[#This Row],[product_fraction]]&gt;0,CropLCAs[[#This Row],[footprint]]/CropLCAs[[#This Row],[product_fraction]]*CropLCAs[[#This Row],[value_fraction]],"")</f>
        <v/>
      </c>
      <c r="AK254" s="29"/>
      <c r="AL254" s="17" t="s">
        <v>774</v>
      </c>
      <c r="AM254" s="17" t="s">
        <v>794</v>
      </c>
      <c r="AN254" s="17"/>
      <c r="AO254" s="17"/>
      <c r="AP254" s="17"/>
      <c r="AQ254" s="5"/>
      <c r="AR254" s="5"/>
      <c r="AS254" s="5"/>
      <c r="AT254" s="5"/>
      <c r="AU254" s="5"/>
    </row>
    <row r="255" spans="1:47" ht="44.1" customHeight="1" x14ac:dyDescent="0.2">
      <c r="A255" s="17" t="s">
        <v>215</v>
      </c>
      <c r="B255" s="17" t="s">
        <v>789</v>
      </c>
      <c r="C255" s="17"/>
      <c r="D255" s="17" t="s">
        <v>790</v>
      </c>
      <c r="E255" s="17" t="s">
        <v>568</v>
      </c>
      <c r="F255" s="17" t="s">
        <v>3</v>
      </c>
      <c r="G255" s="17" t="str">
        <f>IF(CropLCAs[[#This Row],[fbs_item]]="Insects","insect_ghg","plant_ghg")</f>
        <v>plant_ghg</v>
      </c>
      <c r="H255" s="50" t="s">
        <v>791</v>
      </c>
      <c r="I255" s="50"/>
      <c r="J255" s="50"/>
      <c r="K255" s="17" t="s">
        <v>795</v>
      </c>
      <c r="L255" s="17"/>
      <c r="M255" s="17" t="s">
        <v>231</v>
      </c>
      <c r="N255" s="17" t="s">
        <v>109</v>
      </c>
      <c r="O255" s="17" t="s">
        <v>109</v>
      </c>
      <c r="P255" s="17" t="s">
        <v>102</v>
      </c>
      <c r="Q255" s="17" t="s">
        <v>102</v>
      </c>
      <c r="R255" s="17" t="s">
        <v>793</v>
      </c>
      <c r="S255" s="17" t="s">
        <v>105</v>
      </c>
      <c r="T255" s="17" t="s">
        <v>102</v>
      </c>
      <c r="U255" s="17" t="s">
        <v>126</v>
      </c>
      <c r="V255" s="17">
        <v>1</v>
      </c>
      <c r="W255" s="17" t="s">
        <v>106</v>
      </c>
      <c r="X255" s="30">
        <v>0.184</v>
      </c>
      <c r="Y255" s="17" t="s">
        <v>106</v>
      </c>
      <c r="Z255" s="17"/>
      <c r="AA255" s="17"/>
      <c r="AB255" s="30">
        <v>1</v>
      </c>
      <c r="AC255" s="17"/>
      <c r="AD255" s="17" t="str">
        <f t="shared" si="14"/>
        <v>kg_co2e_excl_luc</v>
      </c>
      <c r="AE255" s="30">
        <f>IF(CropLCAs[[#This Row],[Product fraction]]="",CropLCAs[[#This Row],[CO2e (value)]]*CropLCAs[[#This Row],[Conversion factor (value)]],CropLCAs[[#This Row],[CO2e (value)]]*CropLCAs[[#This Row],[Conversion factor (value)]]/CropLCAs[[#This Row],[Product fraction]]*CropLCAs[[#This Row],[Value fraction]])</f>
        <v>0.184</v>
      </c>
      <c r="AF255" s="17"/>
      <c r="AG255" s="17" t="str">
        <f t="shared" si="15"/>
        <v>processed_ghg</v>
      </c>
      <c r="AH255" s="17"/>
      <c r="AI255" s="17"/>
      <c r="AJ255" s="18" t="str">
        <f>IF(CropLCAs[[#This Row],[product_fraction]]&gt;0,CropLCAs[[#This Row],[footprint]]/CropLCAs[[#This Row],[product_fraction]]*CropLCAs[[#This Row],[value_fraction]],"")</f>
        <v/>
      </c>
      <c r="AK255" s="29"/>
      <c r="AL255" s="17" t="s">
        <v>774</v>
      </c>
      <c r="AM255" s="17" t="s">
        <v>794</v>
      </c>
      <c r="AN255" s="17"/>
      <c r="AO255" s="17"/>
      <c r="AP255" s="17"/>
      <c r="AQ255" s="5"/>
      <c r="AR255" s="5"/>
      <c r="AS255" s="5"/>
      <c r="AT255" s="5"/>
      <c r="AU255" s="5"/>
    </row>
    <row r="256" spans="1:47" ht="44.1" customHeight="1" x14ac:dyDescent="0.2">
      <c r="A256" s="17" t="s">
        <v>215</v>
      </c>
      <c r="B256" s="17" t="s">
        <v>789</v>
      </c>
      <c r="C256" s="17"/>
      <c r="D256" s="17" t="s">
        <v>790</v>
      </c>
      <c r="E256" s="17" t="s">
        <v>568</v>
      </c>
      <c r="F256" s="17" t="s">
        <v>3</v>
      </c>
      <c r="G256" s="17" t="str">
        <f>IF(CropLCAs[[#This Row],[fbs_item]]="Insects","insect_ghg","plant_ghg")</f>
        <v>plant_ghg</v>
      </c>
      <c r="H256" s="50" t="s">
        <v>791</v>
      </c>
      <c r="I256" s="50"/>
      <c r="J256" s="50"/>
      <c r="K256" s="17" t="s">
        <v>796</v>
      </c>
      <c r="L256" s="17"/>
      <c r="M256" s="17" t="s">
        <v>529</v>
      </c>
      <c r="N256" s="17" t="s">
        <v>109</v>
      </c>
      <c r="O256" s="17" t="s">
        <v>109</v>
      </c>
      <c r="P256" s="17" t="s">
        <v>102</v>
      </c>
      <c r="Q256" s="17" t="s">
        <v>102</v>
      </c>
      <c r="R256" s="17" t="s">
        <v>793</v>
      </c>
      <c r="S256" s="17" t="s">
        <v>105</v>
      </c>
      <c r="T256" s="17" t="s">
        <v>102</v>
      </c>
      <c r="U256" s="17" t="s">
        <v>126</v>
      </c>
      <c r="V256" s="17">
        <v>1</v>
      </c>
      <c r="W256" s="17" t="s">
        <v>106</v>
      </c>
      <c r="X256" s="30">
        <v>2.5489999999999999</v>
      </c>
      <c r="Y256" s="17" t="s">
        <v>106</v>
      </c>
      <c r="Z256" s="17"/>
      <c r="AA256" s="17"/>
      <c r="AB256" s="30">
        <v>1</v>
      </c>
      <c r="AC256" s="17"/>
      <c r="AD256" s="17" t="str">
        <f t="shared" si="14"/>
        <v>kg_co2e_excl_luc</v>
      </c>
      <c r="AE256" s="30">
        <f>IF(CropLCAs[[#This Row],[Product fraction]]="",CropLCAs[[#This Row],[CO2e (value)]]*CropLCAs[[#This Row],[Conversion factor (value)]],CropLCAs[[#This Row],[CO2e (value)]]*CropLCAs[[#This Row],[Conversion factor (value)]]/CropLCAs[[#This Row],[Product fraction]]*CropLCAs[[#This Row],[Value fraction]])</f>
        <v>2.5489999999999999</v>
      </c>
      <c r="AF256" s="17"/>
      <c r="AG256" s="17" t="str">
        <f t="shared" si="15"/>
        <v>processed_ghg</v>
      </c>
      <c r="AH256" s="17"/>
      <c r="AI256" s="17"/>
      <c r="AJ256" s="18" t="str">
        <f>IF(CropLCAs[[#This Row],[product_fraction]]&gt;0,CropLCAs[[#This Row],[footprint]]/CropLCAs[[#This Row],[product_fraction]]*CropLCAs[[#This Row],[value_fraction]],"")</f>
        <v/>
      </c>
      <c r="AK256" s="29"/>
      <c r="AL256" s="17" t="s">
        <v>774</v>
      </c>
      <c r="AM256" s="17" t="s">
        <v>794</v>
      </c>
      <c r="AN256" s="17"/>
      <c r="AO256" s="17"/>
      <c r="AP256" s="17"/>
      <c r="AQ256" s="5"/>
      <c r="AR256" s="5"/>
      <c r="AS256" s="5"/>
      <c r="AT256" s="5"/>
      <c r="AU256" s="5"/>
    </row>
    <row r="257" spans="1:47" ht="44.1" customHeight="1" x14ac:dyDescent="0.2">
      <c r="A257" s="17" t="s">
        <v>99</v>
      </c>
      <c r="B257" s="17" t="s">
        <v>825</v>
      </c>
      <c r="C257" s="17"/>
      <c r="D257" s="21" t="s">
        <v>826</v>
      </c>
      <c r="E257" s="19" t="s">
        <v>375</v>
      </c>
      <c r="F257" s="17" t="s">
        <v>32</v>
      </c>
      <c r="G257" s="17" t="str">
        <f>IF(CropLCAs[[#This Row],[fbs_item]]="Insects","insect_ghg","plant_ghg")</f>
        <v>plant_ghg</v>
      </c>
      <c r="H257" s="50" t="s">
        <v>827</v>
      </c>
      <c r="I257" s="50"/>
      <c r="J257" s="50"/>
      <c r="K257" s="17" t="s">
        <v>828</v>
      </c>
      <c r="L257" s="17"/>
      <c r="M257" s="17" t="s">
        <v>102</v>
      </c>
      <c r="N257" s="17" t="s">
        <v>102</v>
      </c>
      <c r="O257" s="17" t="s">
        <v>109</v>
      </c>
      <c r="P257" s="17" t="s">
        <v>829</v>
      </c>
      <c r="Q257" s="17" t="s">
        <v>102</v>
      </c>
      <c r="R257" s="17" t="s">
        <v>102</v>
      </c>
      <c r="S257" s="17" t="s">
        <v>105</v>
      </c>
      <c r="T257" s="17" t="s">
        <v>102</v>
      </c>
      <c r="U257" s="17" t="s">
        <v>126</v>
      </c>
      <c r="V257" s="17">
        <v>1</v>
      </c>
      <c r="W257" s="17" t="s">
        <v>830</v>
      </c>
      <c r="X257" s="30">
        <v>0.06</v>
      </c>
      <c r="Y257" s="17" t="s">
        <v>106</v>
      </c>
      <c r="Z257" s="17"/>
      <c r="AA257" s="17"/>
      <c r="AB257" s="30">
        <f>1/0.165</f>
        <v>6.0606060606060606</v>
      </c>
      <c r="AC257" s="17" t="s">
        <v>831</v>
      </c>
      <c r="AD257" s="17" t="str">
        <f t="shared" si="14"/>
        <v>kg_co2e_excl_luc</v>
      </c>
      <c r="AE257" s="30">
        <f>IF(CropLCAs[[#This Row],[Product fraction]]="",CropLCAs[[#This Row],[CO2e (value)]]*CropLCAs[[#This Row],[Conversion factor (value)]],CropLCAs[[#This Row],[CO2e (value)]]*CropLCAs[[#This Row],[Conversion factor (value)]]/CropLCAs[[#This Row],[Product fraction]]*CropLCAs[[#This Row],[Value fraction]])</f>
        <v>0.36363636363636365</v>
      </c>
      <c r="AF257" s="19"/>
      <c r="AG257" s="19" t="str">
        <f t="shared" si="15"/>
        <v>processed_ghg</v>
      </c>
      <c r="AH257" s="19"/>
      <c r="AI257" s="19"/>
      <c r="AJ257" s="18" t="str">
        <f>IF(CropLCAs[[#This Row],[product_fraction]]&gt;0,CropLCAs[[#This Row],[footprint]]/CropLCAs[[#This Row],[product_fraction]]*CropLCAs[[#This Row],[value_fraction]],"")</f>
        <v/>
      </c>
      <c r="AK257" s="29"/>
      <c r="AL257" s="19" t="s">
        <v>832</v>
      </c>
      <c r="AM257" s="17" t="s">
        <v>235</v>
      </c>
      <c r="AN257" s="17"/>
      <c r="AO257" s="17"/>
      <c r="AP257" s="17"/>
      <c r="AQ257" s="5"/>
      <c r="AR257" s="5"/>
      <c r="AS257" s="5"/>
      <c r="AT257" s="5"/>
      <c r="AU257" s="5"/>
    </row>
    <row r="258" spans="1:47" ht="44.1" customHeight="1" x14ac:dyDescent="0.2">
      <c r="A258" s="5" t="s">
        <v>123</v>
      </c>
      <c r="B258" s="5" t="s">
        <v>1457</v>
      </c>
      <c r="C258" s="5">
        <v>2012</v>
      </c>
      <c r="D258" s="7" t="s">
        <v>438</v>
      </c>
      <c r="E258" s="6" t="s">
        <v>431</v>
      </c>
      <c r="F258" s="5" t="s">
        <v>18</v>
      </c>
      <c r="G258" s="5" t="str">
        <f>IF(CropLCAs[[#This Row],[fbs_item]]="Insects","insect_ghg","plant_ghg")</f>
        <v>plant_ghg</v>
      </c>
      <c r="H258" s="49" t="s">
        <v>440</v>
      </c>
      <c r="I258" s="49"/>
      <c r="J258" s="49"/>
      <c r="K258" s="5" t="s">
        <v>111</v>
      </c>
      <c r="L258" s="5"/>
      <c r="M258" s="5" t="s">
        <v>102</v>
      </c>
      <c r="N258" s="5" t="s">
        <v>109</v>
      </c>
      <c r="O258" s="5" t="s">
        <v>109</v>
      </c>
      <c r="P258" s="5" t="s">
        <v>102</v>
      </c>
      <c r="Q258" s="5" t="s">
        <v>102</v>
      </c>
      <c r="R258" s="5" t="s">
        <v>102</v>
      </c>
      <c r="S258" s="5" t="s">
        <v>102</v>
      </c>
      <c r="T258" s="5" t="s">
        <v>442</v>
      </c>
      <c r="U258" s="5">
        <v>100</v>
      </c>
      <c r="V258" s="5">
        <v>1</v>
      </c>
      <c r="W258" s="5" t="s">
        <v>1431</v>
      </c>
      <c r="X258" s="24">
        <f>1.46*0.77</f>
        <v>1.1242000000000001</v>
      </c>
      <c r="Y258" s="5" t="s">
        <v>106</v>
      </c>
      <c r="Z258" s="5">
        <f>0.77*0.9</f>
        <v>0.69300000000000006</v>
      </c>
      <c r="AA258" s="5">
        <v>0.81</v>
      </c>
      <c r="AB258" s="28">
        <f>1</f>
        <v>1</v>
      </c>
      <c r="AC258" s="5"/>
      <c r="AD258" s="5" t="str">
        <f t="shared" si="14"/>
        <v>kg_co2e_excl_luc</v>
      </c>
      <c r="AE258" s="24">
        <f>IF(CropLCAs[[#This Row],[Product fraction]]="",CropLCAs[[#This Row],[CO2e (value)]]*CropLCAs[[#This Row],[Conversion factor (value)]],CropLCAs[[#This Row],[CO2e (value)]]*CropLCAs[[#This Row],[Conversion factor (value)]]/CropLCAs[[#This Row],[Product fraction]]*CropLCAs[[#This Row],[Value fraction]])</f>
        <v>1.3140000000000001</v>
      </c>
      <c r="AF258" s="5" t="s">
        <v>46</v>
      </c>
      <c r="AG258" s="5" t="str">
        <f t="shared" si="15"/>
        <v>processed_ghg</v>
      </c>
      <c r="AH258" s="5">
        <f>0.08*0.14</f>
        <v>1.1200000000000002E-2</v>
      </c>
      <c r="AI258" s="5">
        <f>0.19*0.33</f>
        <v>6.2700000000000006E-2</v>
      </c>
      <c r="AJ258" s="8">
        <f>IF(CropLCAs[[#This Row],[product_fraction]]&gt;0,CropLCAs[[#This Row],[footprint]]/CropLCAs[[#This Row],[product_fraction]]*CropLCAs[[#This Row],[value_fraction]],"")</f>
        <v>7.3560535714285713</v>
      </c>
      <c r="AK258" s="23">
        <f>1/2</f>
        <v>0.5</v>
      </c>
      <c r="AL258" s="5" t="s">
        <v>109</v>
      </c>
      <c r="AM258" s="5" t="s">
        <v>443</v>
      </c>
      <c r="AN258" s="5"/>
      <c r="AO258" s="5"/>
      <c r="AP258" s="5"/>
      <c r="AQ258" s="5"/>
      <c r="AR258" s="5"/>
      <c r="AS258" s="5"/>
      <c r="AT258" s="5"/>
      <c r="AU258" s="5"/>
    </row>
    <row r="259" spans="1:47" ht="44.1" customHeight="1" x14ac:dyDescent="0.2">
      <c r="A259" s="17" t="s">
        <v>123</v>
      </c>
      <c r="B259" s="17" t="s">
        <v>306</v>
      </c>
      <c r="C259" s="17"/>
      <c r="D259" s="19" t="s">
        <v>307</v>
      </c>
      <c r="E259" s="19" t="s">
        <v>725</v>
      </c>
      <c r="F259" s="17" t="s">
        <v>726</v>
      </c>
      <c r="G259" s="17" t="str">
        <f>IF(CropLCAs[[#This Row],[fbs_item]]="Insects","insect_ghg","plant_ghg")</f>
        <v>plant_ghg</v>
      </c>
      <c r="H259" s="50" t="s">
        <v>308</v>
      </c>
      <c r="I259" s="50"/>
      <c r="J259" s="50"/>
      <c r="K259" s="17" t="s">
        <v>309</v>
      </c>
      <c r="L259" s="17"/>
      <c r="M259" s="17" t="s">
        <v>102</v>
      </c>
      <c r="N259" s="17" t="s">
        <v>102</v>
      </c>
      <c r="O259" s="17" t="s">
        <v>109</v>
      </c>
      <c r="P259" s="17" t="s">
        <v>102</v>
      </c>
      <c r="Q259" s="17" t="s">
        <v>102</v>
      </c>
      <c r="R259" s="17" t="s">
        <v>102</v>
      </c>
      <c r="S259" s="17" t="s">
        <v>109</v>
      </c>
      <c r="T259" s="17" t="s">
        <v>109</v>
      </c>
      <c r="U259" s="17">
        <v>100</v>
      </c>
      <c r="V259" s="17">
        <v>1</v>
      </c>
      <c r="W259" s="17" t="s">
        <v>310</v>
      </c>
      <c r="X259" s="30">
        <f>3.63</f>
        <v>3.63</v>
      </c>
      <c r="Y259" s="17" t="s">
        <v>106</v>
      </c>
      <c r="Z259" s="17"/>
      <c r="AA259" s="17"/>
      <c r="AB259" s="30">
        <v>1</v>
      </c>
      <c r="AC259" s="17"/>
      <c r="AD259" s="17" t="str">
        <f t="shared" si="14"/>
        <v>kg_co2e_excl_luc</v>
      </c>
      <c r="AE259" s="30">
        <f>IF(CropLCAs[[#This Row],[Product fraction]]="",CropLCAs[[#This Row],[CO2e (value)]]*CropLCAs[[#This Row],[Conversion factor (value)]],CropLCAs[[#This Row],[CO2e (value)]]*CropLCAs[[#This Row],[Conversion factor (value)]]/CropLCAs[[#This Row],[Product fraction]]*CropLCAs[[#This Row],[Value fraction]])</f>
        <v>3.63</v>
      </c>
      <c r="AF259" s="19"/>
      <c r="AG259" s="19" t="str">
        <f t="shared" si="15"/>
        <v>processed_ghg</v>
      </c>
      <c r="AH259" s="19"/>
      <c r="AI259" s="19"/>
      <c r="AJ259" s="18" t="str">
        <f>IF(CropLCAs[[#This Row],[product_fraction]]&gt;0,CropLCAs[[#This Row],[footprint]]/CropLCAs[[#This Row],[product_fraction]]*CropLCAs[[#This Row],[value_fraction]],"")</f>
        <v/>
      </c>
      <c r="AK259" s="29"/>
      <c r="AL259" s="19" t="s">
        <v>727</v>
      </c>
      <c r="AM259" s="17" t="s">
        <v>728</v>
      </c>
      <c r="AN259" s="17" t="s">
        <v>312</v>
      </c>
      <c r="AO259" s="17"/>
      <c r="AP259" s="17"/>
      <c r="AQ259" s="5"/>
      <c r="AR259" s="5"/>
      <c r="AS259" s="5"/>
      <c r="AT259" s="5"/>
      <c r="AU259" s="5"/>
    </row>
    <row r="260" spans="1:47" ht="44.1" customHeight="1" x14ac:dyDescent="0.2">
      <c r="A260" s="5" t="s">
        <v>99</v>
      </c>
      <c r="B260" s="5" t="s">
        <v>1458</v>
      </c>
      <c r="C260" s="5">
        <v>2013</v>
      </c>
      <c r="D260" s="6" t="s">
        <v>307</v>
      </c>
      <c r="E260" s="6" t="s">
        <v>305</v>
      </c>
      <c r="F260" s="5" t="s">
        <v>25</v>
      </c>
      <c r="G260" s="5" t="str">
        <f>IF(CropLCAs[[#This Row],[fbs_item]]="Insects","insect_ghg","plant_ghg")</f>
        <v>plant_ghg</v>
      </c>
      <c r="H260" s="49" t="s">
        <v>308</v>
      </c>
      <c r="I260" s="49"/>
      <c r="J260" s="49"/>
      <c r="K260" s="5" t="s">
        <v>1361</v>
      </c>
      <c r="L260" s="5" t="s">
        <v>309</v>
      </c>
      <c r="M260" s="5" t="s">
        <v>102</v>
      </c>
      <c r="N260" s="5" t="s">
        <v>102</v>
      </c>
      <c r="O260" s="5" t="s">
        <v>109</v>
      </c>
      <c r="P260" s="5" t="s">
        <v>102</v>
      </c>
      <c r="Q260" s="5" t="s">
        <v>102</v>
      </c>
      <c r="R260" s="5" t="s">
        <v>102</v>
      </c>
      <c r="S260" s="5" t="s">
        <v>105</v>
      </c>
      <c r="T260" s="5" t="s">
        <v>109</v>
      </c>
      <c r="U260" s="5">
        <v>100</v>
      </c>
      <c r="V260" s="5">
        <v>1</v>
      </c>
      <c r="W260" s="5" t="s">
        <v>310</v>
      </c>
      <c r="X260" s="24">
        <f>3.63*0.7079</f>
        <v>2.569677</v>
      </c>
      <c r="Y260" s="5" t="s">
        <v>106</v>
      </c>
      <c r="Z260" s="5"/>
      <c r="AA260" s="5"/>
      <c r="AB260" s="24">
        <f>1/6.52</f>
        <v>0.15337423312883436</v>
      </c>
      <c r="AC260" s="5" t="s">
        <v>311</v>
      </c>
      <c r="AD260" s="5" t="str">
        <f t="shared" si="14"/>
        <v>kg_co2e_excl_luc</v>
      </c>
      <c r="AE260" s="24">
        <f>IF(CropLCAs[[#This Row],[Product fraction]]="",CropLCAs[[#This Row],[CO2e (value)]]*CropLCAs[[#This Row],[Conversion factor (value)]],CropLCAs[[#This Row],[CO2e (value)]]*CropLCAs[[#This Row],[Conversion factor (value)]]/CropLCAs[[#This Row],[Product fraction]]*CropLCAs[[#This Row],[Value fraction]])</f>
        <v>0.39412223926380369</v>
      </c>
      <c r="AF260" s="5" t="s">
        <v>45</v>
      </c>
      <c r="AG260" s="5" t="str">
        <f t="shared" si="15"/>
        <v>processed_ghg</v>
      </c>
      <c r="AH260" s="9">
        <v>0.2</v>
      </c>
      <c r="AI260" s="9">
        <v>0.96</v>
      </c>
      <c r="AJ260" s="8">
        <f>IF(CropLCAs[[#This Row],[product_fraction]]&gt;0,CropLCAs[[#This Row],[footprint]]/CropLCAs[[#This Row],[product_fraction]]*CropLCAs[[#This Row],[value_fraction]],"")</f>
        <v>1.8917867484662574</v>
      </c>
      <c r="AK260" s="23">
        <v>1</v>
      </c>
      <c r="AL260" s="5" t="s">
        <v>109</v>
      </c>
      <c r="AM260" s="11" t="s">
        <v>1428</v>
      </c>
      <c r="AN260" s="5" t="s">
        <v>1237</v>
      </c>
      <c r="AO260" s="5" t="s">
        <v>312</v>
      </c>
      <c r="AP260" s="5"/>
      <c r="AQ260" s="5"/>
      <c r="AR260" s="5"/>
      <c r="AS260" s="5"/>
      <c r="AT260" s="5"/>
      <c r="AU260" s="5"/>
    </row>
    <row r="261" spans="1:47" ht="44.1" customHeight="1" x14ac:dyDescent="0.2">
      <c r="A261" s="5" t="s">
        <v>112</v>
      </c>
      <c r="B261" s="5" t="s">
        <v>1459</v>
      </c>
      <c r="C261" s="7">
        <v>2014</v>
      </c>
      <c r="D261" s="6" t="s">
        <v>147</v>
      </c>
      <c r="E261" s="6" t="s">
        <v>148</v>
      </c>
      <c r="F261" s="5" t="s">
        <v>29</v>
      </c>
      <c r="G261" s="5" t="str">
        <f>IF(CropLCAs[[#This Row],[fbs_item]]="Insects","insect_ghg","plant_ghg")</f>
        <v>plant_ghg</v>
      </c>
      <c r="H261" s="49" t="s">
        <v>149</v>
      </c>
      <c r="I261" s="49"/>
      <c r="J261" s="49"/>
      <c r="K261" s="5" t="s">
        <v>111</v>
      </c>
      <c r="L261" s="5">
        <v>2009</v>
      </c>
      <c r="M261" s="5" t="s">
        <v>102</v>
      </c>
      <c r="N261" s="5" t="s">
        <v>150</v>
      </c>
      <c r="O261" s="5" t="s">
        <v>109</v>
      </c>
      <c r="P261" s="5" t="s">
        <v>151</v>
      </c>
      <c r="Q261" s="5" t="s">
        <v>102</v>
      </c>
      <c r="R261" s="5" t="s">
        <v>102</v>
      </c>
      <c r="S261" s="5" t="s">
        <v>105</v>
      </c>
      <c r="T261" s="5" t="s">
        <v>102</v>
      </c>
      <c r="U261" s="5" t="s">
        <v>152</v>
      </c>
      <c r="V261" s="5">
        <v>1</v>
      </c>
      <c r="W261" s="5" t="s">
        <v>106</v>
      </c>
      <c r="X261" s="24">
        <v>0.21099999999999999</v>
      </c>
      <c r="Y261" s="5" t="s">
        <v>106</v>
      </c>
      <c r="Z261" s="5"/>
      <c r="AA261" s="5"/>
      <c r="AB261" s="24">
        <v>1</v>
      </c>
      <c r="AC261" s="5"/>
      <c r="AD261" s="5" t="str">
        <f t="shared" ref="AD261:AD324" si="19">"kg_co2e_excl_luc"</f>
        <v>kg_co2e_excl_luc</v>
      </c>
      <c r="AE261" s="24">
        <f>IF(CropLCAs[[#This Row],[Product fraction]]="",CropLCAs[[#This Row],[CO2e (value)]]*CropLCAs[[#This Row],[Conversion factor (value)]],CropLCAs[[#This Row],[CO2e (value)]]*CropLCAs[[#This Row],[Conversion factor (value)]]/CropLCAs[[#This Row],[Product fraction]]*CropLCAs[[#This Row],[Value fraction]])</f>
        <v>0.21099999999999999</v>
      </c>
      <c r="AF261" s="5"/>
      <c r="AG261" s="5" t="str">
        <f t="shared" ref="AG261:AG324" si="20">"processed_ghg"</f>
        <v>processed_ghg</v>
      </c>
      <c r="AH261" s="5"/>
      <c r="AI261" s="5"/>
      <c r="AJ261" s="8" t="str">
        <f>IF(CropLCAs[[#This Row],[product_fraction]]&gt;0,CropLCAs[[#This Row],[footprint]]/CropLCAs[[#This Row],[product_fraction]]*CropLCAs[[#This Row],[value_fraction]],"")</f>
        <v/>
      </c>
      <c r="AK261" s="23">
        <f>1/3</f>
        <v>0.33333333333333331</v>
      </c>
      <c r="AL261" s="5" t="s">
        <v>109</v>
      </c>
      <c r="AM261" s="5" t="s">
        <v>153</v>
      </c>
      <c r="AN261" s="5" t="s">
        <v>154</v>
      </c>
      <c r="AO261" s="7"/>
      <c r="AP261" s="5"/>
      <c r="AQ261" s="5"/>
      <c r="AR261" s="5"/>
      <c r="AS261" s="5"/>
      <c r="AT261" s="5"/>
      <c r="AU261" s="5"/>
    </row>
    <row r="262" spans="1:47" ht="44.1" customHeight="1" x14ac:dyDescent="0.2">
      <c r="A262" s="5" t="s">
        <v>112</v>
      </c>
      <c r="B262" s="5" t="s">
        <v>1459</v>
      </c>
      <c r="C262" s="7">
        <v>2014</v>
      </c>
      <c r="D262" s="6" t="s">
        <v>147</v>
      </c>
      <c r="E262" s="6" t="s">
        <v>148</v>
      </c>
      <c r="F262" s="5" t="s">
        <v>29</v>
      </c>
      <c r="G262" s="5" t="str">
        <f>IF(CropLCAs[[#This Row],[fbs_item]]="Insects","insect_ghg","plant_ghg")</f>
        <v>plant_ghg</v>
      </c>
      <c r="H262" s="49" t="s">
        <v>149</v>
      </c>
      <c r="I262" s="49"/>
      <c r="J262" s="49"/>
      <c r="K262" s="5" t="s">
        <v>111</v>
      </c>
      <c r="L262" s="5">
        <v>2010</v>
      </c>
      <c r="M262" s="5" t="s">
        <v>102</v>
      </c>
      <c r="N262" s="5" t="s">
        <v>150</v>
      </c>
      <c r="O262" s="5" t="s">
        <v>109</v>
      </c>
      <c r="P262" s="5" t="s">
        <v>151</v>
      </c>
      <c r="Q262" s="5" t="s">
        <v>102</v>
      </c>
      <c r="R262" s="5" t="s">
        <v>102</v>
      </c>
      <c r="S262" s="5" t="s">
        <v>105</v>
      </c>
      <c r="T262" s="5" t="s">
        <v>102</v>
      </c>
      <c r="U262" s="5" t="s">
        <v>152</v>
      </c>
      <c r="V262" s="5">
        <v>1</v>
      </c>
      <c r="W262" s="5" t="s">
        <v>106</v>
      </c>
      <c r="X262" s="24">
        <v>0.24099999999999999</v>
      </c>
      <c r="Y262" s="5" t="s">
        <v>106</v>
      </c>
      <c r="Z262" s="5"/>
      <c r="AA262" s="5"/>
      <c r="AB262" s="24">
        <v>1</v>
      </c>
      <c r="AC262" s="5"/>
      <c r="AD262" s="5" t="str">
        <f t="shared" si="19"/>
        <v>kg_co2e_excl_luc</v>
      </c>
      <c r="AE262" s="24">
        <f>IF(CropLCAs[[#This Row],[Product fraction]]="",CropLCAs[[#This Row],[CO2e (value)]]*CropLCAs[[#This Row],[Conversion factor (value)]],CropLCAs[[#This Row],[CO2e (value)]]*CropLCAs[[#This Row],[Conversion factor (value)]]/CropLCAs[[#This Row],[Product fraction]]*CropLCAs[[#This Row],[Value fraction]])</f>
        <v>0.24099999999999999</v>
      </c>
      <c r="AF262" s="5"/>
      <c r="AG262" s="5" t="str">
        <f t="shared" si="20"/>
        <v>processed_ghg</v>
      </c>
      <c r="AH262" s="5"/>
      <c r="AI262" s="5"/>
      <c r="AJ262" s="8" t="str">
        <f>IF(CropLCAs[[#This Row],[product_fraction]]&gt;0,CropLCAs[[#This Row],[footprint]]/CropLCAs[[#This Row],[product_fraction]]*CropLCAs[[#This Row],[value_fraction]],"")</f>
        <v/>
      </c>
      <c r="AK262" s="23">
        <f>1/3</f>
        <v>0.33333333333333331</v>
      </c>
      <c r="AL262" s="5" t="s">
        <v>109</v>
      </c>
      <c r="AM262" s="5" t="s">
        <v>153</v>
      </c>
      <c r="AN262" s="5" t="s">
        <v>154</v>
      </c>
      <c r="AO262" s="7"/>
      <c r="AP262" s="5"/>
      <c r="AQ262" s="5"/>
      <c r="AR262" s="5"/>
      <c r="AS262" s="5"/>
      <c r="AT262" s="5"/>
      <c r="AU262" s="5"/>
    </row>
    <row r="263" spans="1:47" ht="44.1" customHeight="1" x14ac:dyDescent="0.2">
      <c r="A263" s="5" t="s">
        <v>112</v>
      </c>
      <c r="B263" s="5" t="s">
        <v>1459</v>
      </c>
      <c r="C263" s="7">
        <v>2014</v>
      </c>
      <c r="D263" s="6" t="s">
        <v>147</v>
      </c>
      <c r="E263" s="6" t="s">
        <v>148</v>
      </c>
      <c r="F263" s="5" t="s">
        <v>29</v>
      </c>
      <c r="G263" s="5" t="str">
        <f>IF(CropLCAs[[#This Row],[fbs_item]]="Insects","insect_ghg","plant_ghg")</f>
        <v>plant_ghg</v>
      </c>
      <c r="H263" s="49" t="s">
        <v>149</v>
      </c>
      <c r="I263" s="49"/>
      <c r="J263" s="49"/>
      <c r="K263" s="5" t="s">
        <v>111</v>
      </c>
      <c r="L263" s="5">
        <v>2011</v>
      </c>
      <c r="M263" s="5" t="s">
        <v>102</v>
      </c>
      <c r="N263" s="5" t="s">
        <v>150</v>
      </c>
      <c r="O263" s="5" t="s">
        <v>109</v>
      </c>
      <c r="P263" s="5" t="s">
        <v>151</v>
      </c>
      <c r="Q263" s="5" t="s">
        <v>102</v>
      </c>
      <c r="R263" s="5" t="s">
        <v>102</v>
      </c>
      <c r="S263" s="5" t="s">
        <v>105</v>
      </c>
      <c r="T263" s="5" t="s">
        <v>102</v>
      </c>
      <c r="U263" s="5" t="s">
        <v>152</v>
      </c>
      <c r="V263" s="5">
        <v>1</v>
      </c>
      <c r="W263" s="5" t="s">
        <v>106</v>
      </c>
      <c r="X263" s="24">
        <v>0.26500000000000001</v>
      </c>
      <c r="Y263" s="5" t="s">
        <v>106</v>
      </c>
      <c r="Z263" s="5"/>
      <c r="AA263" s="5"/>
      <c r="AB263" s="24">
        <v>1</v>
      </c>
      <c r="AC263" s="5"/>
      <c r="AD263" s="5" t="str">
        <f t="shared" si="19"/>
        <v>kg_co2e_excl_luc</v>
      </c>
      <c r="AE263" s="24">
        <f>IF(CropLCAs[[#This Row],[Product fraction]]="",CropLCAs[[#This Row],[CO2e (value)]]*CropLCAs[[#This Row],[Conversion factor (value)]],CropLCAs[[#This Row],[CO2e (value)]]*CropLCAs[[#This Row],[Conversion factor (value)]]/CropLCAs[[#This Row],[Product fraction]]*CropLCAs[[#This Row],[Value fraction]])</f>
        <v>0.26500000000000001</v>
      </c>
      <c r="AF263" s="5"/>
      <c r="AG263" s="5" t="str">
        <f t="shared" si="20"/>
        <v>processed_ghg</v>
      </c>
      <c r="AH263" s="5"/>
      <c r="AI263" s="5"/>
      <c r="AJ263" s="8" t="str">
        <f>IF(CropLCAs[[#This Row],[product_fraction]]&gt;0,CropLCAs[[#This Row],[footprint]]/CropLCAs[[#This Row],[product_fraction]]*CropLCAs[[#This Row],[value_fraction]],"")</f>
        <v/>
      </c>
      <c r="AK263" s="23">
        <f>1/3</f>
        <v>0.33333333333333331</v>
      </c>
      <c r="AL263" s="5" t="s">
        <v>109</v>
      </c>
      <c r="AM263" s="5" t="s">
        <v>153</v>
      </c>
      <c r="AN263" s="5" t="s">
        <v>154</v>
      </c>
      <c r="AO263" s="7"/>
      <c r="AP263" s="5"/>
      <c r="AQ263" s="5"/>
      <c r="AR263" s="5"/>
      <c r="AS263" s="5"/>
      <c r="AT263" s="5"/>
      <c r="AU263" s="5"/>
    </row>
    <row r="264" spans="1:47" ht="44.1" customHeight="1" x14ac:dyDescent="0.2">
      <c r="A264" s="5" t="s">
        <v>123</v>
      </c>
      <c r="B264" s="5" t="s">
        <v>1460</v>
      </c>
      <c r="C264" s="5">
        <v>2014</v>
      </c>
      <c r="D264" s="7" t="s">
        <v>178</v>
      </c>
      <c r="E264" s="6" t="s">
        <v>450</v>
      </c>
      <c r="F264" s="5" t="s">
        <v>19</v>
      </c>
      <c r="G264" s="5" t="str">
        <f>IF(CropLCAs[[#This Row],[fbs_item]]="Insects","insect_ghg","plant_ghg")</f>
        <v>plant_ghg</v>
      </c>
      <c r="H264" s="49" t="s">
        <v>180</v>
      </c>
      <c r="I264" s="49"/>
      <c r="J264" s="49"/>
      <c r="K264" s="5" t="s">
        <v>111</v>
      </c>
      <c r="L264" s="5"/>
      <c r="M264" s="5" t="s">
        <v>102</v>
      </c>
      <c r="N264" s="5" t="s">
        <v>181</v>
      </c>
      <c r="O264" s="5" t="s">
        <v>109</v>
      </c>
      <c r="P264" s="5" t="s">
        <v>102</v>
      </c>
      <c r="Q264" s="5" t="s">
        <v>102</v>
      </c>
      <c r="R264" s="5" t="s">
        <v>102</v>
      </c>
      <c r="S264" s="5" t="s">
        <v>105</v>
      </c>
      <c r="T264" s="5" t="s">
        <v>182</v>
      </c>
      <c r="U264" s="5">
        <v>100</v>
      </c>
      <c r="V264" s="5">
        <v>1</v>
      </c>
      <c r="W264" s="5" t="s">
        <v>106</v>
      </c>
      <c r="X264" s="24">
        <v>223</v>
      </c>
      <c r="Y264" s="5" t="s">
        <v>107</v>
      </c>
      <c r="Z264" s="5"/>
      <c r="AA264" s="5"/>
      <c r="AB264" s="24">
        <f>1/1000</f>
        <v>1E-3</v>
      </c>
      <c r="AC264" s="5" t="s">
        <v>451</v>
      </c>
      <c r="AD264" s="5" t="str">
        <f t="shared" si="19"/>
        <v>kg_co2e_excl_luc</v>
      </c>
      <c r="AE264" s="24">
        <f>IF(CropLCAs[[#This Row],[Product fraction]]="",CropLCAs[[#This Row],[CO2e (value)]]*CropLCAs[[#This Row],[Conversion factor (value)]],CropLCAs[[#This Row],[CO2e (value)]]*CropLCAs[[#This Row],[Conversion factor (value)]]/CropLCAs[[#This Row],[Product fraction]]*CropLCAs[[#This Row],[Value fraction]])</f>
        <v>0.223</v>
      </c>
      <c r="AF264" s="5"/>
      <c r="AG264" s="5" t="str">
        <f t="shared" si="20"/>
        <v>processed_ghg</v>
      </c>
      <c r="AH264" s="5"/>
      <c r="AI264" s="5"/>
      <c r="AJ264" s="8" t="str">
        <f>IF(CropLCAs[[#This Row],[product_fraction]]&gt;0,CropLCAs[[#This Row],[footprint]]/CropLCAs[[#This Row],[product_fraction]]*CropLCAs[[#This Row],[value_fraction]],"")</f>
        <v/>
      </c>
      <c r="AK264" s="23">
        <v>1</v>
      </c>
      <c r="AL264" s="5" t="s">
        <v>109</v>
      </c>
      <c r="AM264" s="5" t="s">
        <v>184</v>
      </c>
      <c r="AN264" s="5"/>
      <c r="AO264" s="5"/>
      <c r="AP264" s="5"/>
      <c r="AQ264" s="5"/>
      <c r="AR264" s="5"/>
      <c r="AS264" s="5"/>
      <c r="AT264" s="5"/>
      <c r="AU264" s="5"/>
    </row>
    <row r="265" spans="1:47" ht="44.1" customHeight="1" x14ac:dyDescent="0.2">
      <c r="A265" s="17" t="s">
        <v>251</v>
      </c>
      <c r="B265" s="17" t="s">
        <v>775</v>
      </c>
      <c r="C265" s="17"/>
      <c r="D265" s="19" t="s">
        <v>776</v>
      </c>
      <c r="E265" s="19" t="s">
        <v>777</v>
      </c>
      <c r="F265" s="17" t="s">
        <v>13</v>
      </c>
      <c r="G265" s="17" t="str">
        <f>IF(CropLCAs[[#This Row],[fbs_item]]="Insects","insect_ghg","plant_ghg")</f>
        <v>plant_ghg</v>
      </c>
      <c r="H265" s="50" t="s">
        <v>253</v>
      </c>
      <c r="I265" s="50"/>
      <c r="J265" s="50"/>
      <c r="K265" s="17" t="s">
        <v>778</v>
      </c>
      <c r="L265" s="17"/>
      <c r="M265" s="17" t="s">
        <v>102</v>
      </c>
      <c r="N265" s="17" t="s">
        <v>102</v>
      </c>
      <c r="O265" s="17" t="s">
        <v>109</v>
      </c>
      <c r="P265" s="17" t="s">
        <v>102</v>
      </c>
      <c r="Q265" s="17" t="s">
        <v>102</v>
      </c>
      <c r="R265" s="17" t="s">
        <v>109</v>
      </c>
      <c r="S265" s="17" t="s">
        <v>102</v>
      </c>
      <c r="T265" s="17" t="s">
        <v>102</v>
      </c>
      <c r="U265" s="17">
        <v>100</v>
      </c>
      <c r="V265" s="17"/>
      <c r="W265" s="17"/>
      <c r="X265" s="41"/>
      <c r="Y265" s="17"/>
      <c r="Z265" s="17"/>
      <c r="AA265" s="17"/>
      <c r="AB265" s="41"/>
      <c r="AC265" s="17"/>
      <c r="AD265" s="17" t="str">
        <f t="shared" si="19"/>
        <v>kg_co2e_excl_luc</v>
      </c>
      <c r="AE265" s="41">
        <f>IF(CropLCAs[[#This Row],[Product fraction]]="",CropLCAs[[#This Row],[CO2e (value)]]*CropLCAs[[#This Row],[Conversion factor (value)]],CropLCAs[[#This Row],[CO2e (value)]]*CropLCAs[[#This Row],[Conversion factor (value)]]/CropLCAs[[#This Row],[Product fraction]]*CropLCAs[[#This Row],[Value fraction]])</f>
        <v>0</v>
      </c>
      <c r="AF265" s="17" t="s">
        <v>47</v>
      </c>
      <c r="AG265" s="17" t="str">
        <f t="shared" si="20"/>
        <v>processed_ghg</v>
      </c>
      <c r="AH265" s="17">
        <f>0.06*0.45</f>
        <v>2.7E-2</v>
      </c>
      <c r="AI265" s="17"/>
      <c r="AJ265" s="18">
        <f>IF(CropLCAs[[#This Row],[product_fraction]]&gt;0,CropLCAs[[#This Row],[footprint]]/CropLCAs[[#This Row],[product_fraction]]*CropLCAs[[#This Row],[value_fraction]],"")</f>
        <v>0</v>
      </c>
      <c r="AK265" s="42"/>
      <c r="AL265" s="19" t="s">
        <v>774</v>
      </c>
      <c r="AM265" s="17"/>
      <c r="AN265" s="17"/>
      <c r="AO265" s="17"/>
      <c r="AP265" s="17"/>
      <c r="AQ265" s="5"/>
      <c r="AR265" s="5"/>
      <c r="AS265" s="5"/>
      <c r="AT265" s="5"/>
      <c r="AU265" s="5"/>
    </row>
    <row r="266" spans="1:47" ht="44.1" customHeight="1" x14ac:dyDescent="0.2">
      <c r="A266" s="17" t="s">
        <v>251</v>
      </c>
      <c r="B266" s="17" t="s">
        <v>775</v>
      </c>
      <c r="C266" s="17"/>
      <c r="D266" s="19" t="s">
        <v>776</v>
      </c>
      <c r="E266" s="19" t="s">
        <v>431</v>
      </c>
      <c r="F266" s="17" t="s">
        <v>18</v>
      </c>
      <c r="G266" s="17" t="str">
        <f>IF(CropLCAs[[#This Row],[fbs_item]]="Insects","insect_ghg","plant_ghg")</f>
        <v>plant_ghg</v>
      </c>
      <c r="H266" s="50" t="s">
        <v>253</v>
      </c>
      <c r="I266" s="50"/>
      <c r="J266" s="50"/>
      <c r="K266" s="17" t="s">
        <v>778</v>
      </c>
      <c r="L266" s="17"/>
      <c r="M266" s="17" t="s">
        <v>102</v>
      </c>
      <c r="N266" s="17" t="s">
        <v>102</v>
      </c>
      <c r="O266" s="17" t="s">
        <v>109</v>
      </c>
      <c r="P266" s="17" t="s">
        <v>102</v>
      </c>
      <c r="Q266" s="21" t="s">
        <v>102</v>
      </c>
      <c r="R266" s="21" t="s">
        <v>109</v>
      </c>
      <c r="S266" s="21" t="s">
        <v>102</v>
      </c>
      <c r="T266" s="21" t="s">
        <v>102</v>
      </c>
      <c r="U266" s="21">
        <v>100</v>
      </c>
      <c r="V266" s="17"/>
      <c r="W266" s="17"/>
      <c r="X266" s="30"/>
      <c r="Y266" s="17"/>
      <c r="Z266" s="17"/>
      <c r="AA266" s="17"/>
      <c r="AB266" s="30"/>
      <c r="AC266" s="17"/>
      <c r="AD266" s="17" t="str">
        <f t="shared" si="19"/>
        <v>kg_co2e_excl_luc</v>
      </c>
      <c r="AE266" s="30">
        <f>IF(CropLCAs[[#This Row],[Product fraction]]="",CropLCAs[[#This Row],[CO2e (value)]]*CropLCAs[[#This Row],[Conversion factor (value)]],CropLCAs[[#This Row],[CO2e (value)]]*CropLCAs[[#This Row],[Conversion factor (value)]]/CropLCAs[[#This Row],[Product fraction]]*CropLCAs[[#This Row],[Value fraction]])</f>
        <v>0</v>
      </c>
      <c r="AF266" s="17" t="s">
        <v>46</v>
      </c>
      <c r="AG266" s="17" t="str">
        <f t="shared" si="20"/>
        <v>processed_ghg</v>
      </c>
      <c r="AH266" s="19"/>
      <c r="AI266" s="19"/>
      <c r="AJ266" s="18" t="str">
        <f>IF(CropLCAs[[#This Row],[product_fraction]]&gt;0,CropLCAs[[#This Row],[footprint]]/CropLCAs[[#This Row],[product_fraction]]*CropLCAs[[#This Row],[value_fraction]],"")</f>
        <v/>
      </c>
      <c r="AK266" s="29"/>
      <c r="AL266" s="19" t="s">
        <v>774</v>
      </c>
      <c r="AM266" s="17"/>
      <c r="AN266" s="17"/>
      <c r="AO266" s="17"/>
      <c r="AP266" s="17"/>
      <c r="AQ266" s="5"/>
      <c r="AR266" s="5"/>
      <c r="AS266" s="5"/>
      <c r="AT266" s="5"/>
      <c r="AU266" s="5"/>
    </row>
    <row r="267" spans="1:47" ht="44.1" customHeight="1" x14ac:dyDescent="0.2">
      <c r="A267" s="17" t="s">
        <v>251</v>
      </c>
      <c r="B267" s="17" t="s">
        <v>775</v>
      </c>
      <c r="C267" s="17"/>
      <c r="D267" s="19" t="s">
        <v>776</v>
      </c>
      <c r="E267" s="19" t="s">
        <v>784</v>
      </c>
      <c r="F267" s="17" t="s">
        <v>21</v>
      </c>
      <c r="G267" s="17" t="str">
        <f>IF(CropLCAs[[#This Row],[fbs_item]]="Insects","insect_ghg","plant_ghg")</f>
        <v>plant_ghg</v>
      </c>
      <c r="H267" s="50" t="s">
        <v>253</v>
      </c>
      <c r="I267" s="50"/>
      <c r="J267" s="50"/>
      <c r="K267" s="17" t="s">
        <v>778</v>
      </c>
      <c r="L267" s="17"/>
      <c r="M267" s="17" t="s">
        <v>102</v>
      </c>
      <c r="N267" s="17" t="s">
        <v>102</v>
      </c>
      <c r="O267" s="17" t="s">
        <v>109</v>
      </c>
      <c r="P267" s="17" t="s">
        <v>102</v>
      </c>
      <c r="Q267" s="17" t="s">
        <v>102</v>
      </c>
      <c r="R267" s="17" t="s">
        <v>109</v>
      </c>
      <c r="S267" s="17" t="s">
        <v>102</v>
      </c>
      <c r="T267" s="17" t="s">
        <v>102</v>
      </c>
      <c r="U267" s="17">
        <v>100</v>
      </c>
      <c r="V267" s="17"/>
      <c r="W267" s="17"/>
      <c r="X267" s="41"/>
      <c r="Y267" s="17"/>
      <c r="Z267" s="17"/>
      <c r="AA267" s="17"/>
      <c r="AB267" s="41"/>
      <c r="AC267" s="17"/>
      <c r="AD267" s="17" t="str">
        <f t="shared" si="19"/>
        <v>kg_co2e_excl_luc</v>
      </c>
      <c r="AE267" s="41">
        <f>IF(CropLCAs[[#This Row],[Product fraction]]="",CropLCAs[[#This Row],[CO2e (value)]]*CropLCAs[[#This Row],[Conversion factor (value)]],CropLCAs[[#This Row],[CO2e (value)]]*CropLCAs[[#This Row],[Conversion factor (value)]]/CropLCAs[[#This Row],[Product fraction]]*CropLCAs[[#This Row],[Value fraction]])</f>
        <v>0</v>
      </c>
      <c r="AF267" s="19"/>
      <c r="AG267" s="19" t="str">
        <f t="shared" si="20"/>
        <v>processed_ghg</v>
      </c>
      <c r="AH267" s="19"/>
      <c r="AI267" s="19"/>
      <c r="AJ267" s="18" t="str">
        <f>IF(CropLCAs[[#This Row],[product_fraction]]&gt;0,CropLCAs[[#This Row],[footprint]]/CropLCAs[[#This Row],[product_fraction]]*CropLCAs[[#This Row],[value_fraction]],"")</f>
        <v/>
      </c>
      <c r="AK267" s="42"/>
      <c r="AL267" s="19" t="s">
        <v>774</v>
      </c>
      <c r="AM267" s="17"/>
      <c r="AN267" s="17"/>
      <c r="AO267" s="17"/>
      <c r="AP267" s="17"/>
      <c r="AQ267" s="5"/>
      <c r="AR267" s="5"/>
      <c r="AS267" s="5"/>
      <c r="AT267" s="5"/>
      <c r="AU267" s="5"/>
    </row>
    <row r="268" spans="1:47" ht="44.1" customHeight="1" x14ac:dyDescent="0.2">
      <c r="A268" s="17" t="s">
        <v>251</v>
      </c>
      <c r="B268" s="17" t="s">
        <v>775</v>
      </c>
      <c r="C268" s="17"/>
      <c r="D268" s="19" t="s">
        <v>776</v>
      </c>
      <c r="E268" s="19" t="s">
        <v>453</v>
      </c>
      <c r="F268" s="17" t="s">
        <v>20</v>
      </c>
      <c r="G268" s="17" t="str">
        <f>IF(CropLCAs[[#This Row],[fbs_item]]="Insects","insect_ghg","plant_ghg")</f>
        <v>plant_ghg</v>
      </c>
      <c r="H268" s="50" t="s">
        <v>253</v>
      </c>
      <c r="I268" s="50"/>
      <c r="J268" s="50"/>
      <c r="K268" s="17" t="s">
        <v>778</v>
      </c>
      <c r="L268" s="17"/>
      <c r="M268" s="17" t="s">
        <v>102</v>
      </c>
      <c r="N268" s="17" t="s">
        <v>102</v>
      </c>
      <c r="O268" s="17" t="s">
        <v>109</v>
      </c>
      <c r="P268" s="17" t="s">
        <v>102</v>
      </c>
      <c r="Q268" s="21" t="s">
        <v>102</v>
      </c>
      <c r="R268" s="21" t="s">
        <v>109</v>
      </c>
      <c r="S268" s="21" t="s">
        <v>102</v>
      </c>
      <c r="T268" s="21" t="s">
        <v>102</v>
      </c>
      <c r="U268" s="21">
        <v>100</v>
      </c>
      <c r="V268" s="17"/>
      <c r="W268" s="17"/>
      <c r="X268" s="30"/>
      <c r="Y268" s="17"/>
      <c r="Z268" s="17"/>
      <c r="AA268" s="17"/>
      <c r="AB268" s="30"/>
      <c r="AC268" s="17"/>
      <c r="AD268" s="17" t="str">
        <f t="shared" si="19"/>
        <v>kg_co2e_excl_luc</v>
      </c>
      <c r="AE268" s="30">
        <f>IF(CropLCAs[[#This Row],[Product fraction]]="",CropLCAs[[#This Row],[CO2e (value)]]*CropLCAs[[#This Row],[Conversion factor (value)]],CropLCAs[[#This Row],[CO2e (value)]]*CropLCAs[[#This Row],[Conversion factor (value)]]/CropLCAs[[#This Row],[Product fraction]]*CropLCAs[[#This Row],[Value fraction]])</f>
        <v>0</v>
      </c>
      <c r="AF268" s="17" t="s">
        <v>39</v>
      </c>
      <c r="AG268" s="17" t="str">
        <f t="shared" si="20"/>
        <v>processed_ghg</v>
      </c>
      <c r="AH268" s="17">
        <v>0.18</v>
      </c>
      <c r="AI268" s="17"/>
      <c r="AJ268" s="18">
        <f>IF(CropLCAs[[#This Row],[product_fraction]]&gt;0,CropLCAs[[#This Row],[footprint]]/CropLCAs[[#This Row],[product_fraction]]*CropLCAs[[#This Row],[value_fraction]],"")</f>
        <v>0</v>
      </c>
      <c r="AK268" s="29"/>
      <c r="AL268" s="19" t="s">
        <v>774</v>
      </c>
      <c r="AM268" s="17"/>
      <c r="AN268" s="17"/>
      <c r="AO268" s="17"/>
      <c r="AP268" s="17"/>
      <c r="AQ268" s="5"/>
      <c r="AR268" s="5"/>
      <c r="AS268" s="5"/>
      <c r="AT268" s="5"/>
      <c r="AU268" s="5"/>
    </row>
    <row r="269" spans="1:47" ht="44.1" customHeight="1" x14ac:dyDescent="0.2">
      <c r="A269" s="17" t="s">
        <v>251</v>
      </c>
      <c r="B269" s="17" t="s">
        <v>775</v>
      </c>
      <c r="C269" s="17"/>
      <c r="D269" s="19" t="s">
        <v>776</v>
      </c>
      <c r="E269" s="19" t="s">
        <v>630</v>
      </c>
      <c r="F269" s="17" t="s">
        <v>5</v>
      </c>
      <c r="G269" s="17" t="str">
        <f>IF(CropLCAs[[#This Row],[fbs_item]]="Insects","insect_ghg","plant_ghg")</f>
        <v>plant_ghg</v>
      </c>
      <c r="H269" s="50" t="s">
        <v>253</v>
      </c>
      <c r="I269" s="50"/>
      <c r="J269" s="50"/>
      <c r="K269" s="17" t="s">
        <v>778</v>
      </c>
      <c r="L269" s="17"/>
      <c r="M269" s="17" t="s">
        <v>102</v>
      </c>
      <c r="N269" s="17" t="s">
        <v>102</v>
      </c>
      <c r="O269" s="17" t="s">
        <v>109</v>
      </c>
      <c r="P269" s="17" t="s">
        <v>102</v>
      </c>
      <c r="Q269" s="17" t="s">
        <v>102</v>
      </c>
      <c r="R269" s="17" t="s">
        <v>109</v>
      </c>
      <c r="S269" s="17" t="s">
        <v>102</v>
      </c>
      <c r="T269" s="17" t="s">
        <v>102</v>
      </c>
      <c r="U269" s="17">
        <v>100</v>
      </c>
      <c r="V269" s="17"/>
      <c r="W269" s="17"/>
      <c r="X269" s="41"/>
      <c r="Y269" s="17"/>
      <c r="Z269" s="17"/>
      <c r="AA269" s="17"/>
      <c r="AB269" s="41"/>
      <c r="AC269" s="17"/>
      <c r="AD269" s="17" t="str">
        <f t="shared" si="19"/>
        <v>kg_co2e_excl_luc</v>
      </c>
      <c r="AE269" s="41">
        <f>IF(CropLCAs[[#This Row],[Product fraction]]="",CropLCAs[[#This Row],[CO2e (value)]]*CropLCAs[[#This Row],[Conversion factor (value)]],CropLCAs[[#This Row],[CO2e (value)]]*CropLCAs[[#This Row],[Conversion factor (value)]]/CropLCAs[[#This Row],[Product fraction]]*CropLCAs[[#This Row],[Value fraction]])</f>
        <v>0</v>
      </c>
      <c r="AF269" s="19"/>
      <c r="AG269" s="19" t="str">
        <f t="shared" si="20"/>
        <v>processed_ghg</v>
      </c>
      <c r="AH269" s="19"/>
      <c r="AI269" s="19"/>
      <c r="AJ269" s="18" t="str">
        <f>IF(CropLCAs[[#This Row],[product_fraction]]&gt;0,CropLCAs[[#This Row],[footprint]]/CropLCAs[[#This Row],[product_fraction]]*CropLCAs[[#This Row],[value_fraction]],"")</f>
        <v/>
      </c>
      <c r="AK269" s="42"/>
      <c r="AL269" s="19" t="s">
        <v>774</v>
      </c>
      <c r="AM269" s="17"/>
      <c r="AN269" s="17"/>
      <c r="AO269" s="17"/>
      <c r="AP269" s="17"/>
      <c r="AQ269" s="5"/>
      <c r="AR269" s="5"/>
      <c r="AS269" s="5"/>
      <c r="AT269" s="5"/>
      <c r="AU269" s="5"/>
    </row>
    <row r="270" spans="1:47" ht="44.1" customHeight="1" x14ac:dyDescent="0.2">
      <c r="A270" s="5" t="s">
        <v>123</v>
      </c>
      <c r="B270" s="5" t="s">
        <v>1460</v>
      </c>
      <c r="C270" s="5">
        <v>2014</v>
      </c>
      <c r="D270" s="7" t="s">
        <v>178</v>
      </c>
      <c r="E270" s="6" t="s">
        <v>1325</v>
      </c>
      <c r="F270" s="5" t="s">
        <v>10</v>
      </c>
      <c r="G270" s="5" t="str">
        <f>IF(CropLCAs[[#This Row],[fbs_item]]="Insects","insect_ghg","plant_ghg")</f>
        <v>plant_ghg</v>
      </c>
      <c r="H270" s="49" t="s">
        <v>180</v>
      </c>
      <c r="I270" s="49"/>
      <c r="J270" s="49"/>
      <c r="K270" s="5" t="s">
        <v>111</v>
      </c>
      <c r="L270" s="5"/>
      <c r="M270" s="5" t="s">
        <v>102</v>
      </c>
      <c r="N270" s="5" t="s">
        <v>181</v>
      </c>
      <c r="O270" s="5" t="s">
        <v>109</v>
      </c>
      <c r="P270" s="5" t="s">
        <v>102</v>
      </c>
      <c r="Q270" s="5" t="s">
        <v>102</v>
      </c>
      <c r="R270" s="5" t="s">
        <v>102</v>
      </c>
      <c r="S270" s="5" t="s">
        <v>105</v>
      </c>
      <c r="T270" s="5" t="s">
        <v>182</v>
      </c>
      <c r="U270" s="5">
        <v>100</v>
      </c>
      <c r="V270" s="5">
        <v>1</v>
      </c>
      <c r="W270" s="5" t="s">
        <v>106</v>
      </c>
      <c r="X270" s="24">
        <v>298</v>
      </c>
      <c r="Y270" s="5" t="s">
        <v>107</v>
      </c>
      <c r="Z270" s="5"/>
      <c r="AA270" s="5"/>
      <c r="AB270" s="24">
        <f>1/1000</f>
        <v>1E-3</v>
      </c>
      <c r="AC270" s="5" t="s">
        <v>183</v>
      </c>
      <c r="AD270" s="5" t="str">
        <f t="shared" si="19"/>
        <v>kg_co2e_excl_luc</v>
      </c>
      <c r="AE270" s="24">
        <f>IF(CropLCAs[[#This Row],[Product fraction]]="",CropLCAs[[#This Row],[CO2e (value)]]*CropLCAs[[#This Row],[Conversion factor (value)]],CropLCAs[[#This Row],[CO2e (value)]]*CropLCAs[[#This Row],[Conversion factor (value)]]/CropLCAs[[#This Row],[Product fraction]]*CropLCAs[[#This Row],[Value fraction]])</f>
        <v>0.29799999999999999</v>
      </c>
      <c r="AF270" s="5"/>
      <c r="AG270" s="5" t="str">
        <f t="shared" si="20"/>
        <v>processed_ghg</v>
      </c>
      <c r="AH270" s="5"/>
      <c r="AI270" s="5"/>
      <c r="AJ270" s="8" t="str">
        <f>IF(CropLCAs[[#This Row],[product_fraction]]&gt;0,CropLCAs[[#This Row],[footprint]]/CropLCAs[[#This Row],[product_fraction]]*CropLCAs[[#This Row],[value_fraction]],"")</f>
        <v/>
      </c>
      <c r="AK270" s="23">
        <v>1</v>
      </c>
      <c r="AL270" s="5" t="s">
        <v>109</v>
      </c>
      <c r="AM270" s="5" t="s">
        <v>184</v>
      </c>
      <c r="AN270" s="7"/>
      <c r="AO270" s="7"/>
      <c r="AP270" s="5"/>
      <c r="AQ270" s="5"/>
      <c r="AR270" s="5"/>
      <c r="AS270" s="5"/>
      <c r="AT270" s="5"/>
      <c r="AU270" s="5"/>
    </row>
    <row r="271" spans="1:47" ht="44.1" customHeight="1" x14ac:dyDescent="0.2">
      <c r="A271" s="5" t="s">
        <v>215</v>
      </c>
      <c r="B271" s="5" t="s">
        <v>1461</v>
      </c>
      <c r="C271" s="5">
        <v>2012</v>
      </c>
      <c r="D271" s="5" t="s">
        <v>507</v>
      </c>
      <c r="E271" s="5" t="s">
        <v>503</v>
      </c>
      <c r="F271" s="5" t="s">
        <v>9</v>
      </c>
      <c r="G271" s="5" t="str">
        <f>IF(CropLCAs[[#This Row],[fbs_item]]="Insects","insect_ghg","plant_ghg")</f>
        <v>plant_ghg</v>
      </c>
      <c r="H271" s="49" t="s">
        <v>253</v>
      </c>
      <c r="I271" s="49"/>
      <c r="J271" s="49"/>
      <c r="K271" s="5" t="s">
        <v>1360</v>
      </c>
      <c r="L271" s="5" t="s">
        <v>508</v>
      </c>
      <c r="M271" s="5" t="s">
        <v>102</v>
      </c>
      <c r="N271" s="5" t="s">
        <v>102</v>
      </c>
      <c r="O271" s="5" t="s">
        <v>109</v>
      </c>
      <c r="P271" s="5" t="s">
        <v>102</v>
      </c>
      <c r="Q271" s="5" t="s">
        <v>102</v>
      </c>
      <c r="R271" s="5" t="s">
        <v>102</v>
      </c>
      <c r="S271" s="5" t="s">
        <v>102</v>
      </c>
      <c r="T271" s="5" t="s">
        <v>102</v>
      </c>
      <c r="U271" s="5" t="s">
        <v>126</v>
      </c>
      <c r="V271" s="5">
        <v>1</v>
      </c>
      <c r="W271" s="5" t="s">
        <v>106</v>
      </c>
      <c r="X271" s="24">
        <v>0.19</v>
      </c>
      <c r="Y271" s="5" t="s">
        <v>106</v>
      </c>
      <c r="Z271" s="5"/>
      <c r="AA271" s="5"/>
      <c r="AB271" s="24">
        <v>1</v>
      </c>
      <c r="AC271" s="5"/>
      <c r="AD271" s="5" t="str">
        <f t="shared" si="19"/>
        <v>kg_co2e_excl_luc</v>
      </c>
      <c r="AE271" s="24">
        <f>IF(CropLCAs[[#This Row],[Product fraction]]="",CropLCAs[[#This Row],[CO2e (value)]]*CropLCAs[[#This Row],[Conversion factor (value)]],CropLCAs[[#This Row],[CO2e (value)]]*CropLCAs[[#This Row],[Conversion factor (value)]]/CropLCAs[[#This Row],[Product fraction]]*CropLCAs[[#This Row],[Value fraction]])</f>
        <v>0.19</v>
      </c>
      <c r="AF271" s="5"/>
      <c r="AG271" s="5" t="str">
        <f t="shared" si="20"/>
        <v>processed_ghg</v>
      </c>
      <c r="AH271" s="5"/>
      <c r="AI271" s="5"/>
      <c r="AJ271" s="8" t="str">
        <f>IF(CropLCAs[[#This Row],[product_fraction]]&gt;0,CropLCAs[[#This Row],[footprint]]/CropLCAs[[#This Row],[product_fraction]]*CropLCAs[[#This Row],[value_fraction]],"")</f>
        <v/>
      </c>
      <c r="AK271" s="23">
        <f>1/4</f>
        <v>0.25</v>
      </c>
      <c r="AL271" s="5" t="s">
        <v>109</v>
      </c>
      <c r="AM271" s="5" t="s">
        <v>509</v>
      </c>
      <c r="AN271" s="5"/>
      <c r="AO271" s="5"/>
      <c r="AP271" s="5"/>
      <c r="AQ271" s="5"/>
      <c r="AR271" s="5"/>
      <c r="AS271" s="5"/>
      <c r="AT271" s="5"/>
      <c r="AU271" s="5"/>
    </row>
    <row r="272" spans="1:47" ht="44.1" customHeight="1" x14ac:dyDescent="0.2">
      <c r="A272" s="5" t="s">
        <v>215</v>
      </c>
      <c r="B272" s="5" t="s">
        <v>1461</v>
      </c>
      <c r="C272" s="5">
        <v>2012</v>
      </c>
      <c r="D272" s="5" t="s">
        <v>507</v>
      </c>
      <c r="E272" s="5" t="s">
        <v>503</v>
      </c>
      <c r="F272" s="5" t="s">
        <v>9</v>
      </c>
      <c r="G272" s="5" t="str">
        <f>IF(CropLCAs[[#This Row],[fbs_item]]="Insects","insect_ghg","plant_ghg")</f>
        <v>plant_ghg</v>
      </c>
      <c r="H272" s="49" t="s">
        <v>253</v>
      </c>
      <c r="I272" s="49"/>
      <c r="J272" s="49"/>
      <c r="K272" s="5" t="s">
        <v>1360</v>
      </c>
      <c r="L272" s="5" t="s">
        <v>510</v>
      </c>
      <c r="M272" s="5" t="s">
        <v>102</v>
      </c>
      <c r="N272" s="5" t="s">
        <v>102</v>
      </c>
      <c r="O272" s="5" t="s">
        <v>109</v>
      </c>
      <c r="P272" s="5" t="s">
        <v>102</v>
      </c>
      <c r="Q272" s="5" t="s">
        <v>102</v>
      </c>
      <c r="R272" s="5" t="s">
        <v>102</v>
      </c>
      <c r="S272" s="5" t="s">
        <v>102</v>
      </c>
      <c r="T272" s="5" t="s">
        <v>102</v>
      </c>
      <c r="U272" s="5" t="s">
        <v>126</v>
      </c>
      <c r="V272" s="5">
        <v>1</v>
      </c>
      <c r="W272" s="5" t="s">
        <v>106</v>
      </c>
      <c r="X272" s="24">
        <v>0.22</v>
      </c>
      <c r="Y272" s="5" t="s">
        <v>106</v>
      </c>
      <c r="Z272" s="5"/>
      <c r="AA272" s="5"/>
      <c r="AB272" s="24">
        <v>1</v>
      </c>
      <c r="AC272" s="5"/>
      <c r="AD272" s="5" t="str">
        <f t="shared" si="19"/>
        <v>kg_co2e_excl_luc</v>
      </c>
      <c r="AE272" s="24">
        <f>IF(CropLCAs[[#This Row],[Product fraction]]="",CropLCAs[[#This Row],[CO2e (value)]]*CropLCAs[[#This Row],[Conversion factor (value)]],CropLCAs[[#This Row],[CO2e (value)]]*CropLCAs[[#This Row],[Conversion factor (value)]]/CropLCAs[[#This Row],[Product fraction]]*CropLCAs[[#This Row],[Value fraction]])</f>
        <v>0.22</v>
      </c>
      <c r="AF272" s="5"/>
      <c r="AG272" s="5" t="str">
        <f t="shared" si="20"/>
        <v>processed_ghg</v>
      </c>
      <c r="AH272" s="5"/>
      <c r="AI272" s="5"/>
      <c r="AJ272" s="8" t="str">
        <f>IF(CropLCAs[[#This Row],[product_fraction]]&gt;0,CropLCAs[[#This Row],[footprint]]/CropLCAs[[#This Row],[product_fraction]]*CropLCAs[[#This Row],[value_fraction]],"")</f>
        <v/>
      </c>
      <c r="AK272" s="23">
        <f>1/4</f>
        <v>0.25</v>
      </c>
      <c r="AL272" s="5" t="s">
        <v>109</v>
      </c>
      <c r="AM272" s="5" t="s">
        <v>509</v>
      </c>
      <c r="AN272" s="5"/>
      <c r="AO272" s="5"/>
      <c r="AP272" s="5"/>
      <c r="AQ272" s="5"/>
      <c r="AR272" s="5"/>
      <c r="AS272" s="5"/>
      <c r="AT272" s="5"/>
      <c r="AU272" s="5"/>
    </row>
    <row r="273" spans="1:47" ht="44.1" customHeight="1" x14ac:dyDescent="0.2">
      <c r="A273" s="5" t="s">
        <v>215</v>
      </c>
      <c r="B273" s="5" t="s">
        <v>1461</v>
      </c>
      <c r="C273" s="5">
        <v>2012</v>
      </c>
      <c r="D273" s="5" t="s">
        <v>507</v>
      </c>
      <c r="E273" s="5" t="s">
        <v>503</v>
      </c>
      <c r="F273" s="5" t="s">
        <v>9</v>
      </c>
      <c r="G273" s="5" t="str">
        <f>IF(CropLCAs[[#This Row],[fbs_item]]="Insects","insect_ghg","plant_ghg")</f>
        <v>plant_ghg</v>
      </c>
      <c r="H273" s="49" t="s">
        <v>253</v>
      </c>
      <c r="I273" s="49"/>
      <c r="J273" s="49"/>
      <c r="K273" s="5" t="s">
        <v>1360</v>
      </c>
      <c r="L273" s="5" t="s">
        <v>511</v>
      </c>
      <c r="M273" s="5" t="s">
        <v>102</v>
      </c>
      <c r="N273" s="5" t="s">
        <v>102</v>
      </c>
      <c r="O273" s="5" t="s">
        <v>109</v>
      </c>
      <c r="P273" s="5" t="s">
        <v>102</v>
      </c>
      <c r="Q273" s="5" t="s">
        <v>102</v>
      </c>
      <c r="R273" s="5" t="s">
        <v>102</v>
      </c>
      <c r="S273" s="5" t="s">
        <v>102</v>
      </c>
      <c r="T273" s="5" t="s">
        <v>102</v>
      </c>
      <c r="U273" s="5" t="s">
        <v>126</v>
      </c>
      <c r="V273" s="5">
        <v>1</v>
      </c>
      <c r="W273" s="5" t="s">
        <v>106</v>
      </c>
      <c r="X273" s="24">
        <v>0.21</v>
      </c>
      <c r="Y273" s="5" t="s">
        <v>106</v>
      </c>
      <c r="Z273" s="5"/>
      <c r="AA273" s="5"/>
      <c r="AB273" s="24">
        <v>1</v>
      </c>
      <c r="AC273" s="5"/>
      <c r="AD273" s="5" t="str">
        <f t="shared" si="19"/>
        <v>kg_co2e_excl_luc</v>
      </c>
      <c r="AE273" s="24">
        <f>IF(CropLCAs[[#This Row],[Product fraction]]="",CropLCAs[[#This Row],[CO2e (value)]]*CropLCAs[[#This Row],[Conversion factor (value)]],CropLCAs[[#This Row],[CO2e (value)]]*CropLCAs[[#This Row],[Conversion factor (value)]]/CropLCAs[[#This Row],[Product fraction]]*CropLCAs[[#This Row],[Value fraction]])</f>
        <v>0.21</v>
      </c>
      <c r="AF273" s="5"/>
      <c r="AG273" s="5" t="str">
        <f t="shared" si="20"/>
        <v>processed_ghg</v>
      </c>
      <c r="AH273" s="5"/>
      <c r="AI273" s="5"/>
      <c r="AJ273" s="8" t="str">
        <f>IF(CropLCAs[[#This Row],[product_fraction]]&gt;0,CropLCAs[[#This Row],[footprint]]/CropLCAs[[#This Row],[product_fraction]]*CropLCAs[[#This Row],[value_fraction]],"")</f>
        <v/>
      </c>
      <c r="AK273" s="23">
        <f>1/4</f>
        <v>0.25</v>
      </c>
      <c r="AL273" s="5" t="s">
        <v>109</v>
      </c>
      <c r="AM273" s="5" t="s">
        <v>509</v>
      </c>
      <c r="AN273" s="5"/>
      <c r="AO273" s="5"/>
      <c r="AP273" s="5"/>
      <c r="AQ273" s="5"/>
      <c r="AR273" s="5"/>
      <c r="AS273" s="5"/>
      <c r="AT273" s="5"/>
      <c r="AU273" s="5"/>
    </row>
    <row r="274" spans="1:47" ht="44.1" customHeight="1" x14ac:dyDescent="0.2">
      <c r="A274" s="5" t="s">
        <v>215</v>
      </c>
      <c r="B274" s="5" t="s">
        <v>1461</v>
      </c>
      <c r="C274" s="5">
        <v>2012</v>
      </c>
      <c r="D274" s="5" t="s">
        <v>507</v>
      </c>
      <c r="E274" s="5" t="s">
        <v>503</v>
      </c>
      <c r="F274" s="5" t="s">
        <v>9</v>
      </c>
      <c r="G274" s="5" t="str">
        <f>IF(CropLCAs[[#This Row],[fbs_item]]="Insects","insect_ghg","plant_ghg")</f>
        <v>plant_ghg</v>
      </c>
      <c r="H274" s="49" t="s">
        <v>253</v>
      </c>
      <c r="I274" s="49"/>
      <c r="J274" s="49"/>
      <c r="K274" s="5" t="s">
        <v>1360</v>
      </c>
      <c r="L274" s="5" t="s">
        <v>512</v>
      </c>
      <c r="M274" s="5" t="s">
        <v>102</v>
      </c>
      <c r="N274" s="5" t="s">
        <v>102</v>
      </c>
      <c r="O274" s="5" t="s">
        <v>109</v>
      </c>
      <c r="P274" s="5" t="s">
        <v>102</v>
      </c>
      <c r="Q274" s="5" t="s">
        <v>102</v>
      </c>
      <c r="R274" s="5" t="s">
        <v>102</v>
      </c>
      <c r="S274" s="5" t="s">
        <v>102</v>
      </c>
      <c r="T274" s="5" t="s">
        <v>102</v>
      </c>
      <c r="U274" s="5" t="s">
        <v>126</v>
      </c>
      <c r="V274" s="5">
        <v>1</v>
      </c>
      <c r="W274" s="5" t="s">
        <v>106</v>
      </c>
      <c r="X274" s="24">
        <v>0.27</v>
      </c>
      <c r="Y274" s="5" t="s">
        <v>106</v>
      </c>
      <c r="Z274" s="5"/>
      <c r="AA274" s="5"/>
      <c r="AB274" s="24">
        <v>1</v>
      </c>
      <c r="AC274" s="5"/>
      <c r="AD274" s="5" t="str">
        <f t="shared" si="19"/>
        <v>kg_co2e_excl_luc</v>
      </c>
      <c r="AE274" s="24">
        <f>IF(CropLCAs[[#This Row],[Product fraction]]="",CropLCAs[[#This Row],[CO2e (value)]]*CropLCAs[[#This Row],[Conversion factor (value)]],CropLCAs[[#This Row],[CO2e (value)]]*CropLCAs[[#This Row],[Conversion factor (value)]]/CropLCAs[[#This Row],[Product fraction]]*CropLCAs[[#This Row],[Value fraction]])</f>
        <v>0.27</v>
      </c>
      <c r="AF274" s="5"/>
      <c r="AG274" s="5" t="str">
        <f t="shared" si="20"/>
        <v>processed_ghg</v>
      </c>
      <c r="AH274" s="5"/>
      <c r="AI274" s="5"/>
      <c r="AJ274" s="8" t="str">
        <f>IF(CropLCAs[[#This Row],[product_fraction]]&gt;0,CropLCAs[[#This Row],[footprint]]/CropLCAs[[#This Row],[product_fraction]]*CropLCAs[[#This Row],[value_fraction]],"")</f>
        <v/>
      </c>
      <c r="AK274" s="23">
        <f>1/4</f>
        <v>0.25</v>
      </c>
      <c r="AL274" s="5" t="s">
        <v>109</v>
      </c>
      <c r="AM274" s="5" t="s">
        <v>509</v>
      </c>
      <c r="AN274" s="5"/>
      <c r="AO274" s="5"/>
      <c r="AP274" s="5"/>
      <c r="AQ274" s="5"/>
      <c r="AR274" s="5"/>
      <c r="AS274" s="5"/>
      <c r="AT274" s="5"/>
      <c r="AU274" s="5"/>
    </row>
    <row r="275" spans="1:47" ht="44.1" customHeight="1" x14ac:dyDescent="0.2">
      <c r="A275" s="5" t="s">
        <v>123</v>
      </c>
      <c r="B275" s="5" t="s">
        <v>1462</v>
      </c>
      <c r="C275" s="7">
        <v>2013</v>
      </c>
      <c r="D275" s="10" t="s">
        <v>513</v>
      </c>
      <c r="E275" s="6" t="s">
        <v>570</v>
      </c>
      <c r="F275" s="5" t="s">
        <v>3</v>
      </c>
      <c r="G275" s="5" t="str">
        <f>IF(CropLCAs[[#This Row],[fbs_item]]="Insects","insect_ghg","plant_ghg")</f>
        <v>plant_ghg</v>
      </c>
      <c r="H275" s="49" t="s">
        <v>170</v>
      </c>
      <c r="I275" s="49"/>
      <c r="J275" s="49"/>
      <c r="K275" s="5" t="s">
        <v>230</v>
      </c>
      <c r="L275" s="5" t="s">
        <v>571</v>
      </c>
      <c r="M275" s="5" t="s">
        <v>231</v>
      </c>
      <c r="N275" s="5" t="s">
        <v>109</v>
      </c>
      <c r="O275" s="5" t="s">
        <v>109</v>
      </c>
      <c r="P275" s="5" t="s">
        <v>102</v>
      </c>
      <c r="Q275" s="5" t="s">
        <v>102</v>
      </c>
      <c r="R275" s="5" t="s">
        <v>102</v>
      </c>
      <c r="S275" s="5" t="s">
        <v>102</v>
      </c>
      <c r="T275" s="5" t="s">
        <v>102</v>
      </c>
      <c r="U275" s="5">
        <v>100</v>
      </c>
      <c r="V275" s="5">
        <v>1</v>
      </c>
      <c r="W275" s="5" t="s">
        <v>165</v>
      </c>
      <c r="X275" s="24">
        <v>244.93</v>
      </c>
      <c r="Y275" s="5" t="s">
        <v>106</v>
      </c>
      <c r="Z275" s="5"/>
      <c r="AA275" s="5"/>
      <c r="AB275" s="24">
        <v>1E-3</v>
      </c>
      <c r="AC275" s="5" t="s">
        <v>274</v>
      </c>
      <c r="AD275" s="5" t="str">
        <f t="shared" si="19"/>
        <v>kg_co2e_excl_luc</v>
      </c>
      <c r="AE275" s="24">
        <f>IF(CropLCAs[[#This Row],[Product fraction]]="",CropLCAs[[#This Row],[CO2e (value)]]*CropLCAs[[#This Row],[Conversion factor (value)]],CropLCAs[[#This Row],[CO2e (value)]]*CropLCAs[[#This Row],[Conversion factor (value)]]/CropLCAs[[#This Row],[Product fraction]]*CropLCAs[[#This Row],[Value fraction]])</f>
        <v>0.24493000000000001</v>
      </c>
      <c r="AF275" s="5"/>
      <c r="AG275" s="5" t="str">
        <f t="shared" si="20"/>
        <v>processed_ghg</v>
      </c>
      <c r="AH275" s="5"/>
      <c r="AI275" s="5"/>
      <c r="AJ275" s="8" t="str">
        <f>IF(CropLCAs[[#This Row],[product_fraction]]&gt;0,CropLCAs[[#This Row],[footprint]]/CropLCAs[[#This Row],[product_fraction]]*CropLCAs[[#This Row],[value_fraction]],"")</f>
        <v/>
      </c>
      <c r="AK275" s="23">
        <v>1</v>
      </c>
      <c r="AL275" s="5" t="s">
        <v>109</v>
      </c>
      <c r="AM275" s="5"/>
      <c r="AN275" s="5"/>
      <c r="AO275" s="5"/>
      <c r="AP275" s="5"/>
      <c r="AQ275" s="5"/>
      <c r="AR275" s="5"/>
      <c r="AS275" s="5"/>
      <c r="AT275" s="5"/>
      <c r="AU275" s="5"/>
    </row>
    <row r="276" spans="1:47" ht="44.1" customHeight="1" x14ac:dyDescent="0.2">
      <c r="A276" s="5" t="s">
        <v>112</v>
      </c>
      <c r="B276" s="5" t="s">
        <v>1462</v>
      </c>
      <c r="C276" s="7">
        <v>2013</v>
      </c>
      <c r="D276" s="5" t="s">
        <v>377</v>
      </c>
      <c r="E276" s="5" t="s">
        <v>376</v>
      </c>
      <c r="F276" s="5" t="s">
        <v>16</v>
      </c>
      <c r="G276" s="5" t="str">
        <f>IF(CropLCAs[[#This Row],[fbs_item]]="Insects","insect_ghg","plant_ghg")</f>
        <v>plant_ghg</v>
      </c>
      <c r="H276" s="49" t="s">
        <v>170</v>
      </c>
      <c r="I276" s="49"/>
      <c r="J276" s="49"/>
      <c r="K276" s="5" t="s">
        <v>1357</v>
      </c>
      <c r="L276" s="5" t="s">
        <v>378</v>
      </c>
      <c r="M276" s="5" t="s">
        <v>102</v>
      </c>
      <c r="N276" s="5" t="s">
        <v>1238</v>
      </c>
      <c r="O276" s="5" t="s">
        <v>1238</v>
      </c>
      <c r="P276" s="5" t="s">
        <v>102</v>
      </c>
      <c r="Q276" s="5" t="s">
        <v>102</v>
      </c>
      <c r="R276" s="5" t="s">
        <v>102</v>
      </c>
      <c r="S276" s="5" t="s">
        <v>102</v>
      </c>
      <c r="T276" s="5" t="s">
        <v>102</v>
      </c>
      <c r="U276" s="5">
        <v>100</v>
      </c>
      <c r="V276" s="5">
        <v>1</v>
      </c>
      <c r="W276" s="5" t="s">
        <v>127</v>
      </c>
      <c r="X276" s="24">
        <v>78.099999999999994</v>
      </c>
      <c r="Y276" s="5" t="s">
        <v>106</v>
      </c>
      <c r="Z276" s="5"/>
      <c r="AA276" s="5"/>
      <c r="AB276" s="24">
        <v>1E-3</v>
      </c>
      <c r="AC276" s="5" t="s">
        <v>195</v>
      </c>
      <c r="AD276" s="5" t="str">
        <f t="shared" si="19"/>
        <v>kg_co2e_excl_luc</v>
      </c>
      <c r="AE276" s="24">
        <f>IF(CropLCAs[[#This Row],[Product fraction]]="",CropLCAs[[#This Row],[CO2e (value)]]*CropLCAs[[#This Row],[Conversion factor (value)]],CropLCAs[[#This Row],[CO2e (value)]]*CropLCAs[[#This Row],[Conversion factor (value)]]/CropLCAs[[#This Row],[Product fraction]]*CropLCAs[[#This Row],[Value fraction]])</f>
        <v>7.8100000000000003E-2</v>
      </c>
      <c r="AF276" s="5"/>
      <c r="AG276" s="5" t="str">
        <f t="shared" si="20"/>
        <v>processed_ghg</v>
      </c>
      <c r="AH276" s="5"/>
      <c r="AI276" s="5"/>
      <c r="AJ276" s="8" t="str">
        <f>IF(CropLCAs[[#This Row],[product_fraction]]&gt;0,CropLCAs[[#This Row],[footprint]]/CropLCAs[[#This Row],[product_fraction]]*CropLCAs[[#This Row],[value_fraction]],"")</f>
        <v/>
      </c>
      <c r="AK276" s="23">
        <f>1/3</f>
        <v>0.33333333333333331</v>
      </c>
      <c r="AL276" s="5" t="s">
        <v>109</v>
      </c>
      <c r="AM276" s="5" t="s">
        <v>380</v>
      </c>
      <c r="AN276" s="5"/>
      <c r="AO276" s="5"/>
      <c r="AP276" s="5"/>
      <c r="AQ276" s="5"/>
      <c r="AR276" s="5"/>
      <c r="AS276" s="5"/>
      <c r="AT276" s="5"/>
      <c r="AU276" s="5"/>
    </row>
    <row r="277" spans="1:47" ht="44.1" customHeight="1" x14ac:dyDescent="0.2">
      <c r="A277" s="5" t="s">
        <v>112</v>
      </c>
      <c r="B277" s="5" t="s">
        <v>1462</v>
      </c>
      <c r="C277" s="7">
        <v>2013</v>
      </c>
      <c r="D277" s="5" t="s">
        <v>377</v>
      </c>
      <c r="E277" s="5" t="s">
        <v>376</v>
      </c>
      <c r="F277" s="5" t="s">
        <v>16</v>
      </c>
      <c r="G277" s="5" t="str">
        <f>IF(CropLCAs[[#This Row],[fbs_item]]="Insects","insect_ghg","plant_ghg")</f>
        <v>plant_ghg</v>
      </c>
      <c r="H277" s="49" t="s">
        <v>170</v>
      </c>
      <c r="I277" s="49"/>
      <c r="J277" s="49"/>
      <c r="K277" s="5" t="s">
        <v>1358</v>
      </c>
      <c r="L277" s="5" t="s">
        <v>381</v>
      </c>
      <c r="M277" s="5" t="s">
        <v>102</v>
      </c>
      <c r="N277" s="5" t="s">
        <v>150</v>
      </c>
      <c r="O277" s="5" t="s">
        <v>150</v>
      </c>
      <c r="P277" s="5" t="s">
        <v>102</v>
      </c>
      <c r="Q277" s="5" t="s">
        <v>102</v>
      </c>
      <c r="R277" s="5" t="s">
        <v>102</v>
      </c>
      <c r="S277" s="5" t="s">
        <v>102</v>
      </c>
      <c r="T277" s="5" t="s">
        <v>102</v>
      </c>
      <c r="U277" s="5">
        <v>100</v>
      </c>
      <c r="V277" s="5">
        <v>1</v>
      </c>
      <c r="W277" s="5" t="s">
        <v>127</v>
      </c>
      <c r="X277" s="24">
        <v>171.48</v>
      </c>
      <c r="Y277" s="5" t="s">
        <v>106</v>
      </c>
      <c r="Z277" s="5"/>
      <c r="AA277" s="5"/>
      <c r="AB277" s="26">
        <v>1E-3</v>
      </c>
      <c r="AC277" s="5" t="s">
        <v>195</v>
      </c>
      <c r="AD277" s="5" t="str">
        <f t="shared" si="19"/>
        <v>kg_co2e_excl_luc</v>
      </c>
      <c r="AE277" s="24">
        <f>IF(CropLCAs[[#This Row],[Product fraction]]="",CropLCAs[[#This Row],[CO2e (value)]]*CropLCAs[[#This Row],[Conversion factor (value)]],CropLCAs[[#This Row],[CO2e (value)]]*CropLCAs[[#This Row],[Conversion factor (value)]]/CropLCAs[[#This Row],[Product fraction]]*CropLCAs[[#This Row],[Value fraction]])</f>
        <v>0.17147999999999999</v>
      </c>
      <c r="AF277" s="5"/>
      <c r="AG277" s="5" t="str">
        <f t="shared" si="20"/>
        <v>processed_ghg</v>
      </c>
      <c r="AH277" s="5"/>
      <c r="AI277" s="5"/>
      <c r="AJ277" s="8" t="str">
        <f>IF(CropLCAs[[#This Row],[product_fraction]]&gt;0,CropLCAs[[#This Row],[footprint]]/CropLCAs[[#This Row],[product_fraction]]*CropLCAs[[#This Row],[value_fraction]],"")</f>
        <v/>
      </c>
      <c r="AK277" s="23">
        <f>1/3</f>
        <v>0.33333333333333331</v>
      </c>
      <c r="AL277" s="5" t="s">
        <v>109</v>
      </c>
      <c r="AM277" s="5" t="s">
        <v>380</v>
      </c>
      <c r="AN277" s="5"/>
      <c r="AO277" s="5"/>
      <c r="AP277" s="5"/>
      <c r="AQ277" s="5"/>
      <c r="AR277" s="5"/>
      <c r="AS277" s="5"/>
      <c r="AT277" s="5"/>
      <c r="AU277" s="5"/>
    </row>
    <row r="278" spans="1:47" ht="44.1" customHeight="1" x14ac:dyDescent="0.2">
      <c r="A278" s="5" t="s">
        <v>112</v>
      </c>
      <c r="B278" s="5" t="s">
        <v>1462</v>
      </c>
      <c r="C278" s="7">
        <v>2013</v>
      </c>
      <c r="D278" s="5" t="s">
        <v>377</v>
      </c>
      <c r="E278" s="5" t="s">
        <v>376</v>
      </c>
      <c r="F278" s="5" t="s">
        <v>16</v>
      </c>
      <c r="G278" s="5" t="str">
        <f>IF(CropLCAs[[#This Row],[fbs_item]]="Insects","insect_ghg","plant_ghg")</f>
        <v>plant_ghg</v>
      </c>
      <c r="H278" s="49" t="s">
        <v>170</v>
      </c>
      <c r="I278" s="49"/>
      <c r="J278" s="49"/>
      <c r="K278" s="5" t="s">
        <v>1359</v>
      </c>
      <c r="L278" s="5" t="s">
        <v>382</v>
      </c>
      <c r="M278" s="5" t="s">
        <v>102</v>
      </c>
      <c r="N278" s="5" t="s">
        <v>150</v>
      </c>
      <c r="O278" s="5" t="s">
        <v>150</v>
      </c>
      <c r="P278" s="5" t="s">
        <v>102</v>
      </c>
      <c r="Q278" s="5" t="s">
        <v>102</v>
      </c>
      <c r="R278" s="5" t="s">
        <v>102</v>
      </c>
      <c r="S278" s="5" t="s">
        <v>102</v>
      </c>
      <c r="T278" s="5" t="s">
        <v>102</v>
      </c>
      <c r="U278" s="5">
        <v>100</v>
      </c>
      <c r="V278" s="5">
        <v>1</v>
      </c>
      <c r="W278" s="5" t="s">
        <v>127</v>
      </c>
      <c r="X278" s="24">
        <v>122.1</v>
      </c>
      <c r="Y278" s="5" t="s">
        <v>106</v>
      </c>
      <c r="Z278" s="5"/>
      <c r="AA278" s="5"/>
      <c r="AB278" s="24">
        <v>1E-3</v>
      </c>
      <c r="AC278" s="5" t="s">
        <v>195</v>
      </c>
      <c r="AD278" s="5" t="str">
        <f t="shared" si="19"/>
        <v>kg_co2e_excl_luc</v>
      </c>
      <c r="AE278" s="24">
        <f>IF(CropLCAs[[#This Row],[Product fraction]]="",CropLCAs[[#This Row],[CO2e (value)]]*CropLCAs[[#This Row],[Conversion factor (value)]],CropLCAs[[#This Row],[CO2e (value)]]*CropLCAs[[#This Row],[Conversion factor (value)]]/CropLCAs[[#This Row],[Product fraction]]*CropLCAs[[#This Row],[Value fraction]])</f>
        <v>0.1221</v>
      </c>
      <c r="AF278" s="5"/>
      <c r="AG278" s="5" t="str">
        <f t="shared" si="20"/>
        <v>processed_ghg</v>
      </c>
      <c r="AH278" s="5"/>
      <c r="AI278" s="5"/>
      <c r="AJ278" s="8" t="str">
        <f>IF(CropLCAs[[#This Row],[product_fraction]]&gt;0,CropLCAs[[#This Row],[footprint]]/CropLCAs[[#This Row],[product_fraction]]*CropLCAs[[#This Row],[value_fraction]],"")</f>
        <v/>
      </c>
      <c r="AK278" s="23">
        <f>1/3</f>
        <v>0.33333333333333331</v>
      </c>
      <c r="AL278" s="5" t="s">
        <v>109</v>
      </c>
      <c r="AM278" s="5" t="s">
        <v>380</v>
      </c>
      <c r="AN278" s="5"/>
      <c r="AO278" s="5"/>
      <c r="AP278" s="5"/>
      <c r="AQ278" s="5"/>
      <c r="AR278" s="5"/>
      <c r="AS278" s="5"/>
      <c r="AT278" s="5"/>
      <c r="AU278" s="5"/>
    </row>
    <row r="279" spans="1:47" ht="44.1" customHeight="1" x14ac:dyDescent="0.2">
      <c r="A279" s="5" t="s">
        <v>123</v>
      </c>
      <c r="B279" s="5" t="s">
        <v>1462</v>
      </c>
      <c r="C279" s="7">
        <v>2013</v>
      </c>
      <c r="D279" s="7" t="s">
        <v>228</v>
      </c>
      <c r="E279" s="6" t="s">
        <v>214</v>
      </c>
      <c r="F279" s="5" t="s">
        <v>31</v>
      </c>
      <c r="G279" s="5" t="str">
        <f>IF(CropLCAs[[#This Row],[fbs_item]]="Insects","insect_ghg","plant_ghg")</f>
        <v>plant_ghg</v>
      </c>
      <c r="H279" s="49" t="s">
        <v>170</v>
      </c>
      <c r="I279" s="49"/>
      <c r="J279" s="49"/>
      <c r="K279" s="5" t="s">
        <v>590</v>
      </c>
      <c r="L279" s="5" t="s">
        <v>229</v>
      </c>
      <c r="M279" s="5" t="s">
        <v>102</v>
      </c>
      <c r="N279" s="5" t="s">
        <v>150</v>
      </c>
      <c r="O279" s="5" t="s">
        <v>109</v>
      </c>
      <c r="P279" s="5" t="s">
        <v>102</v>
      </c>
      <c r="Q279" s="5" t="s">
        <v>102</v>
      </c>
      <c r="R279" s="5" t="s">
        <v>102</v>
      </c>
      <c r="S279" s="5" t="s">
        <v>102</v>
      </c>
      <c r="T279" s="5" t="s">
        <v>102</v>
      </c>
      <c r="U279" s="5">
        <v>100</v>
      </c>
      <c r="V279" s="5">
        <v>1</v>
      </c>
      <c r="W279" s="5" t="s">
        <v>127</v>
      </c>
      <c r="X279" s="24">
        <v>585.19000000000005</v>
      </c>
      <c r="Y279" s="5" t="s">
        <v>106</v>
      </c>
      <c r="Z279" s="5"/>
      <c r="AA279" s="5"/>
      <c r="AB279" s="24">
        <v>1E-3</v>
      </c>
      <c r="AC279" s="5" t="s">
        <v>195</v>
      </c>
      <c r="AD279" s="5" t="str">
        <f t="shared" si="19"/>
        <v>kg_co2e_excl_luc</v>
      </c>
      <c r="AE279" s="24">
        <f>IF(CropLCAs[[#This Row],[Product fraction]]="",CropLCAs[[#This Row],[CO2e (value)]]*CropLCAs[[#This Row],[Conversion factor (value)]],CropLCAs[[#This Row],[CO2e (value)]]*CropLCAs[[#This Row],[Conversion factor (value)]]/CropLCAs[[#This Row],[Product fraction]]*CropLCAs[[#This Row],[Value fraction]])</f>
        <v>0.5851900000000001</v>
      </c>
      <c r="AF279" s="5"/>
      <c r="AG279" s="5" t="str">
        <f t="shared" si="20"/>
        <v>processed_ghg</v>
      </c>
      <c r="AH279" s="5"/>
      <c r="AI279" s="5"/>
      <c r="AJ279" s="8" t="str">
        <f>IF(CropLCAs[[#This Row],[product_fraction]]&gt;0,CropLCAs[[#This Row],[footprint]]/CropLCAs[[#This Row],[product_fraction]]*CropLCAs[[#This Row],[value_fraction]],"")</f>
        <v/>
      </c>
      <c r="AK279" s="23">
        <f>1/2</f>
        <v>0.5</v>
      </c>
      <c r="AL279" s="5" t="s">
        <v>109</v>
      </c>
      <c r="AM279" s="5"/>
      <c r="AN279" s="5"/>
      <c r="AO279" s="5"/>
      <c r="AP279" s="5"/>
      <c r="AQ279" s="5"/>
      <c r="AR279" s="5"/>
      <c r="AS279" s="5"/>
      <c r="AT279" s="5"/>
      <c r="AU279" s="5"/>
    </row>
    <row r="280" spans="1:47" ht="44.1" customHeight="1" x14ac:dyDescent="0.2">
      <c r="A280" s="5" t="s">
        <v>123</v>
      </c>
      <c r="B280" s="5" t="s">
        <v>1462</v>
      </c>
      <c r="C280" s="7">
        <v>2013</v>
      </c>
      <c r="D280" s="7" t="s">
        <v>228</v>
      </c>
      <c r="E280" s="6" t="s">
        <v>214</v>
      </c>
      <c r="F280" s="5" t="s">
        <v>31</v>
      </c>
      <c r="G280" s="5" t="str">
        <f>IF(CropLCAs[[#This Row],[fbs_item]]="Insects","insect_ghg","plant_ghg")</f>
        <v>plant_ghg</v>
      </c>
      <c r="H280" s="49" t="s">
        <v>170</v>
      </c>
      <c r="I280" s="49"/>
      <c r="J280" s="49"/>
      <c r="K280" s="5" t="s">
        <v>230</v>
      </c>
      <c r="L280" s="5"/>
      <c r="M280" s="5" t="s">
        <v>231</v>
      </c>
      <c r="N280" s="5" t="s">
        <v>150</v>
      </c>
      <c r="O280" s="5" t="s">
        <v>109</v>
      </c>
      <c r="P280" s="5" t="s">
        <v>102</v>
      </c>
      <c r="Q280" s="5" t="s">
        <v>102</v>
      </c>
      <c r="R280" s="5" t="s">
        <v>102</v>
      </c>
      <c r="S280" s="5" t="s">
        <v>102</v>
      </c>
      <c r="T280" s="5" t="s">
        <v>102</v>
      </c>
      <c r="U280" s="5">
        <v>100</v>
      </c>
      <c r="V280" s="5">
        <v>1</v>
      </c>
      <c r="W280" s="5" t="s">
        <v>127</v>
      </c>
      <c r="X280" s="24">
        <v>695</v>
      </c>
      <c r="Y280" s="5" t="s">
        <v>106</v>
      </c>
      <c r="Z280" s="5"/>
      <c r="AA280" s="5"/>
      <c r="AB280" s="24">
        <v>1E-3</v>
      </c>
      <c r="AC280" s="5" t="s">
        <v>195</v>
      </c>
      <c r="AD280" s="5" t="str">
        <f t="shared" si="19"/>
        <v>kg_co2e_excl_luc</v>
      </c>
      <c r="AE280" s="24">
        <f>IF(CropLCAs[[#This Row],[Product fraction]]="",CropLCAs[[#This Row],[CO2e (value)]]*CropLCAs[[#This Row],[Conversion factor (value)]],CropLCAs[[#This Row],[CO2e (value)]]*CropLCAs[[#This Row],[Conversion factor (value)]]/CropLCAs[[#This Row],[Product fraction]]*CropLCAs[[#This Row],[Value fraction]])</f>
        <v>0.69500000000000006</v>
      </c>
      <c r="AF280" s="5"/>
      <c r="AG280" s="5" t="str">
        <f t="shared" si="20"/>
        <v>processed_ghg</v>
      </c>
      <c r="AH280" s="5"/>
      <c r="AI280" s="5"/>
      <c r="AJ280" s="8" t="str">
        <f>IF(CropLCAs[[#This Row],[product_fraction]]&gt;0,CropLCAs[[#This Row],[footprint]]/CropLCAs[[#This Row],[product_fraction]]*CropLCAs[[#This Row],[value_fraction]],"")</f>
        <v/>
      </c>
      <c r="AK280" s="23">
        <f>1/2</f>
        <v>0.5</v>
      </c>
      <c r="AL280" s="5" t="s">
        <v>109</v>
      </c>
      <c r="AM280" s="5"/>
      <c r="AN280" s="5"/>
      <c r="AO280" s="5"/>
      <c r="AP280" s="5"/>
      <c r="AQ280" s="5"/>
      <c r="AR280" s="5"/>
      <c r="AS280" s="5"/>
      <c r="AT280" s="5"/>
      <c r="AU280" s="5"/>
    </row>
    <row r="281" spans="1:47" ht="44.1" customHeight="1" x14ac:dyDescent="0.2">
      <c r="A281" s="5" t="s">
        <v>123</v>
      </c>
      <c r="B281" s="5" t="s">
        <v>1462</v>
      </c>
      <c r="C281" s="7">
        <v>2013</v>
      </c>
      <c r="D281" s="10" t="s">
        <v>513</v>
      </c>
      <c r="E281" s="6" t="s">
        <v>503</v>
      </c>
      <c r="F281" s="5" t="s">
        <v>9</v>
      </c>
      <c r="G281" s="5" t="str">
        <f>IF(CropLCAs[[#This Row],[fbs_item]]="Insects","insect_ghg","plant_ghg")</f>
        <v>plant_ghg</v>
      </c>
      <c r="H281" s="49" t="s">
        <v>170</v>
      </c>
      <c r="I281" s="49"/>
      <c r="J281" s="49"/>
      <c r="K281" s="5" t="s">
        <v>230</v>
      </c>
      <c r="L281" s="5" t="s">
        <v>514</v>
      </c>
      <c r="M281" s="5" t="s">
        <v>231</v>
      </c>
      <c r="N281" s="5" t="s">
        <v>109</v>
      </c>
      <c r="O281" s="5" t="s">
        <v>109</v>
      </c>
      <c r="P281" s="5" t="s">
        <v>102</v>
      </c>
      <c r="Q281" s="5" t="s">
        <v>102</v>
      </c>
      <c r="R281" s="5" t="s">
        <v>102</v>
      </c>
      <c r="S281" s="5" t="s">
        <v>102</v>
      </c>
      <c r="T281" s="5" t="s">
        <v>102</v>
      </c>
      <c r="U281" s="5">
        <v>100</v>
      </c>
      <c r="V281" s="5">
        <v>1</v>
      </c>
      <c r="W281" s="5" t="s">
        <v>165</v>
      </c>
      <c r="X281" s="24">
        <v>129.38999999999999</v>
      </c>
      <c r="Y281" s="5" t="s">
        <v>106</v>
      </c>
      <c r="Z281" s="5"/>
      <c r="AA281" s="5"/>
      <c r="AB281" s="24">
        <v>1E-3</v>
      </c>
      <c r="AC281" s="5" t="s">
        <v>274</v>
      </c>
      <c r="AD281" s="5" t="str">
        <f t="shared" si="19"/>
        <v>kg_co2e_excl_luc</v>
      </c>
      <c r="AE281" s="24">
        <f>IF(CropLCAs[[#This Row],[Product fraction]]="",CropLCAs[[#This Row],[CO2e (value)]]*CropLCAs[[#This Row],[Conversion factor (value)]],CropLCAs[[#This Row],[CO2e (value)]]*CropLCAs[[#This Row],[Conversion factor (value)]]/CropLCAs[[#This Row],[Product fraction]]*CropLCAs[[#This Row],[Value fraction]])</f>
        <v>0.12938999999999998</v>
      </c>
      <c r="AF281" s="5"/>
      <c r="AG281" s="5" t="str">
        <f t="shared" si="20"/>
        <v>processed_ghg</v>
      </c>
      <c r="AH281" s="5"/>
      <c r="AI281" s="5"/>
      <c r="AJ281" s="8" t="str">
        <f>IF(CropLCAs[[#This Row],[product_fraction]]&gt;0,CropLCAs[[#This Row],[footprint]]/CropLCAs[[#This Row],[product_fraction]]*CropLCAs[[#This Row],[value_fraction]],"")</f>
        <v/>
      </c>
      <c r="AK281" s="23">
        <v>1</v>
      </c>
      <c r="AL281" s="5" t="s">
        <v>109</v>
      </c>
      <c r="AM281" s="5"/>
      <c r="AN281" s="5"/>
      <c r="AO281" s="5"/>
      <c r="AP281" s="5"/>
      <c r="AQ281" s="5"/>
      <c r="AR281" s="5"/>
      <c r="AS281" s="5"/>
      <c r="AT281" s="5"/>
      <c r="AU281" s="5"/>
    </row>
    <row r="282" spans="1:47" ht="44.1" customHeight="1" x14ac:dyDescent="0.2">
      <c r="A282" s="5" t="s">
        <v>123</v>
      </c>
      <c r="B282" s="5" t="s">
        <v>1462</v>
      </c>
      <c r="C282" s="7">
        <v>2014</v>
      </c>
      <c r="D282" s="10" t="s">
        <v>444</v>
      </c>
      <c r="E282" s="6" t="s">
        <v>431</v>
      </c>
      <c r="F282" s="5" t="s">
        <v>18</v>
      </c>
      <c r="G282" s="5" t="str">
        <f>IF(CropLCAs[[#This Row],[fbs_item]]="Insects","insect_ghg","plant_ghg")</f>
        <v>plant_ghg</v>
      </c>
      <c r="H282" s="49" t="s">
        <v>170</v>
      </c>
      <c r="I282" s="49"/>
      <c r="J282" s="49"/>
      <c r="K282" s="5" t="s">
        <v>1355</v>
      </c>
      <c r="L282" s="5" t="s">
        <v>445</v>
      </c>
      <c r="M282" s="5" t="s">
        <v>102</v>
      </c>
      <c r="N282" s="5" t="s">
        <v>109</v>
      </c>
      <c r="O282" s="5" t="s">
        <v>109</v>
      </c>
      <c r="P282" s="5" t="s">
        <v>102</v>
      </c>
      <c r="Q282" s="5" t="s">
        <v>102</v>
      </c>
      <c r="R282" s="5" t="s">
        <v>102</v>
      </c>
      <c r="S282" s="5" t="s">
        <v>102</v>
      </c>
      <c r="T282" s="5" t="s">
        <v>102</v>
      </c>
      <c r="U282" s="5">
        <v>100</v>
      </c>
      <c r="V282" s="5">
        <v>1</v>
      </c>
      <c r="W282" s="5" t="s">
        <v>1424</v>
      </c>
      <c r="X282" s="24">
        <f>762.98</f>
        <v>762.98</v>
      </c>
      <c r="Y282" s="5" t="s">
        <v>106</v>
      </c>
      <c r="Z282" s="5">
        <f>0.77*0.9</f>
        <v>0.69300000000000006</v>
      </c>
      <c r="AA282" s="5">
        <v>0.81</v>
      </c>
      <c r="AB282" s="28">
        <f>0.001</f>
        <v>1E-3</v>
      </c>
      <c r="AC282" s="5" t="s">
        <v>195</v>
      </c>
      <c r="AD282" s="5" t="str">
        <f t="shared" si="19"/>
        <v>kg_co2e_excl_luc</v>
      </c>
      <c r="AE282" s="24">
        <f>IF(CropLCAs[[#This Row],[Product fraction]]="",CropLCAs[[#This Row],[CO2e (value)]]*CropLCAs[[#This Row],[Conversion factor (value)]],CropLCAs[[#This Row],[CO2e (value)]]*CropLCAs[[#This Row],[Conversion factor (value)]]/CropLCAs[[#This Row],[Product fraction]]*CropLCAs[[#This Row],[Value fraction]])</f>
        <v>0.89179480519480525</v>
      </c>
      <c r="AF282" s="5" t="s">
        <v>46</v>
      </c>
      <c r="AG282" s="5" t="str">
        <f t="shared" si="20"/>
        <v>processed_ghg</v>
      </c>
      <c r="AH282" s="5">
        <f>0.08*0.14</f>
        <v>1.1200000000000002E-2</v>
      </c>
      <c r="AI282" s="5">
        <f>0.19*0.33</f>
        <v>6.2700000000000006E-2</v>
      </c>
      <c r="AJ282" s="8">
        <f>IF(CropLCAs[[#This Row],[product_fraction]]&gt;0,CropLCAs[[#This Row],[footprint]]/CropLCAs[[#This Row],[product_fraction]]*CropLCAs[[#This Row],[value_fraction]],"")</f>
        <v>4.9924584183673471</v>
      </c>
      <c r="AK282" s="23">
        <f>1/2</f>
        <v>0.5</v>
      </c>
      <c r="AL282" s="5" t="s">
        <v>109</v>
      </c>
      <c r="AM282" s="5"/>
      <c r="AN282" s="5" t="s">
        <v>446</v>
      </c>
      <c r="AO282" s="5"/>
      <c r="AP282" s="5"/>
      <c r="AQ282" s="5"/>
      <c r="AR282" s="5"/>
      <c r="AS282" s="5"/>
      <c r="AT282" s="5"/>
      <c r="AU282" s="5"/>
    </row>
    <row r="283" spans="1:47" ht="44.1" customHeight="1" x14ac:dyDescent="0.2">
      <c r="A283" s="5" t="s">
        <v>123</v>
      </c>
      <c r="B283" s="5" t="s">
        <v>1462</v>
      </c>
      <c r="C283" s="7">
        <v>2014</v>
      </c>
      <c r="D283" s="10" t="s">
        <v>444</v>
      </c>
      <c r="E283" s="6" t="s">
        <v>431</v>
      </c>
      <c r="F283" s="5" t="s">
        <v>18</v>
      </c>
      <c r="G283" s="5" t="str">
        <f>IF(CropLCAs[[#This Row],[fbs_item]]="Insects","insect_ghg","plant_ghg")</f>
        <v>plant_ghg</v>
      </c>
      <c r="H283" s="49" t="s">
        <v>170</v>
      </c>
      <c r="I283" s="49"/>
      <c r="J283" s="49"/>
      <c r="K283" s="5" t="s">
        <v>1356</v>
      </c>
      <c r="L283" s="5" t="s">
        <v>447</v>
      </c>
      <c r="M283" s="5" t="s">
        <v>102</v>
      </c>
      <c r="N283" s="5" t="s">
        <v>109</v>
      </c>
      <c r="O283" s="5" t="s">
        <v>109</v>
      </c>
      <c r="P283" s="5" t="s">
        <v>102</v>
      </c>
      <c r="Q283" s="5" t="s">
        <v>102</v>
      </c>
      <c r="R283" s="5" t="s">
        <v>102</v>
      </c>
      <c r="S283" s="5" t="s">
        <v>102</v>
      </c>
      <c r="T283" s="5" t="s">
        <v>102</v>
      </c>
      <c r="U283" s="5">
        <v>100</v>
      </c>
      <c r="V283" s="5">
        <v>1</v>
      </c>
      <c r="W283" s="5" t="s">
        <v>1424</v>
      </c>
      <c r="X283" s="24">
        <f>1312.22</f>
        <v>1312.22</v>
      </c>
      <c r="Y283" s="5" t="s">
        <v>106</v>
      </c>
      <c r="Z283" s="5">
        <f>0.77*0.9</f>
        <v>0.69300000000000006</v>
      </c>
      <c r="AA283" s="5">
        <v>0.81</v>
      </c>
      <c r="AB283" s="28">
        <f>0.001</f>
        <v>1E-3</v>
      </c>
      <c r="AC283" s="5" t="s">
        <v>195</v>
      </c>
      <c r="AD283" s="5" t="str">
        <f t="shared" si="19"/>
        <v>kg_co2e_excl_luc</v>
      </c>
      <c r="AE283" s="24">
        <f>IF(CropLCAs[[#This Row],[Product fraction]]="",CropLCAs[[#This Row],[CO2e (value)]]*CropLCAs[[#This Row],[Conversion factor (value)]],CropLCAs[[#This Row],[CO2e (value)]]*CropLCAs[[#This Row],[Conversion factor (value)]]/CropLCAs[[#This Row],[Product fraction]]*CropLCAs[[#This Row],[Value fraction]])</f>
        <v>1.5337636363636364</v>
      </c>
      <c r="AF283" s="5" t="s">
        <v>46</v>
      </c>
      <c r="AG283" s="5" t="str">
        <f t="shared" si="20"/>
        <v>processed_ghg</v>
      </c>
      <c r="AH283" s="5">
        <f>0.08*0.14</f>
        <v>1.1200000000000002E-2</v>
      </c>
      <c r="AI283" s="5">
        <f>0.19*0.33</f>
        <v>6.2700000000000006E-2</v>
      </c>
      <c r="AJ283" s="8">
        <f>IF(CropLCAs[[#This Row],[product_fraction]]&gt;0,CropLCAs[[#This Row],[footprint]]/CropLCAs[[#This Row],[product_fraction]]*CropLCAs[[#This Row],[value_fraction]],"")</f>
        <v>8.5863375000000008</v>
      </c>
      <c r="AK283" s="23">
        <f>1/2</f>
        <v>0.5</v>
      </c>
      <c r="AL283" s="5" t="s">
        <v>109</v>
      </c>
      <c r="AM283" s="5"/>
      <c r="AN283" s="5" t="s">
        <v>446</v>
      </c>
      <c r="AO283" s="5"/>
      <c r="AP283" s="5"/>
      <c r="AQ283" s="5"/>
      <c r="AR283" s="5"/>
      <c r="AS283" s="5"/>
      <c r="AT283" s="5"/>
      <c r="AU283" s="5"/>
    </row>
    <row r="284" spans="1:47" ht="44.1" customHeight="1" x14ac:dyDescent="0.2">
      <c r="A284" s="5" t="s">
        <v>123</v>
      </c>
      <c r="B284" s="5" t="s">
        <v>1462</v>
      </c>
      <c r="C284" s="5">
        <v>2015</v>
      </c>
      <c r="D284" s="7" t="s">
        <v>660</v>
      </c>
      <c r="E284" s="6" t="s">
        <v>630</v>
      </c>
      <c r="F284" s="5" t="s">
        <v>5</v>
      </c>
      <c r="G284" s="5" t="str">
        <f>IF(CropLCAs[[#This Row],[fbs_item]]="Insects","insect_ghg","plant_ghg")</f>
        <v>plant_ghg</v>
      </c>
      <c r="H284" s="49" t="s">
        <v>170</v>
      </c>
      <c r="I284" s="49"/>
      <c r="J284" s="49"/>
      <c r="K284" s="5" t="s">
        <v>111</v>
      </c>
      <c r="L284" s="5" t="s">
        <v>661</v>
      </c>
      <c r="M284" s="5" t="s">
        <v>102</v>
      </c>
      <c r="N284" s="5" t="s">
        <v>150</v>
      </c>
      <c r="O284" s="5" t="s">
        <v>109</v>
      </c>
      <c r="P284" s="5" t="s">
        <v>102</v>
      </c>
      <c r="Q284" s="5" t="s">
        <v>102</v>
      </c>
      <c r="R284" s="5" t="s">
        <v>102</v>
      </c>
      <c r="S284" s="5" t="s">
        <v>102</v>
      </c>
      <c r="T284" s="5" t="s">
        <v>102</v>
      </c>
      <c r="U284" s="5">
        <v>100</v>
      </c>
      <c r="V284" s="5">
        <v>1</v>
      </c>
      <c r="W284" s="5" t="s">
        <v>127</v>
      </c>
      <c r="X284" s="24">
        <v>3482</v>
      </c>
      <c r="Y284" s="5" t="s">
        <v>106</v>
      </c>
      <c r="Z284" s="5"/>
      <c r="AA284" s="5"/>
      <c r="AB284" s="24">
        <v>1E-3</v>
      </c>
      <c r="AC284" s="5" t="s">
        <v>195</v>
      </c>
      <c r="AD284" s="5" t="str">
        <f t="shared" si="19"/>
        <v>kg_co2e_excl_luc</v>
      </c>
      <c r="AE284" s="24">
        <f>IF(CropLCAs[[#This Row],[Product fraction]]="",CropLCAs[[#This Row],[CO2e (value)]]*CropLCAs[[#This Row],[Conversion factor (value)]],CropLCAs[[#This Row],[CO2e (value)]]*CropLCAs[[#This Row],[Conversion factor (value)]]/CropLCAs[[#This Row],[Product fraction]]*CropLCAs[[#This Row],[Value fraction]])</f>
        <v>3.4820000000000002</v>
      </c>
      <c r="AF284" s="5"/>
      <c r="AG284" s="5" t="str">
        <f t="shared" si="20"/>
        <v>processed_ghg</v>
      </c>
      <c r="AH284" s="5"/>
      <c r="AI284" s="5"/>
      <c r="AJ284" s="8" t="str">
        <f>IF(CropLCAs[[#This Row],[product_fraction]]&gt;0,CropLCAs[[#This Row],[footprint]]/CropLCAs[[#This Row],[product_fraction]]*CropLCAs[[#This Row],[value_fraction]],"")</f>
        <v/>
      </c>
      <c r="AK284" s="23">
        <f>1/3</f>
        <v>0.33333333333333331</v>
      </c>
      <c r="AL284" s="5" t="s">
        <v>109</v>
      </c>
      <c r="AM284" s="5" t="s">
        <v>662</v>
      </c>
      <c r="AN284" s="5" t="s">
        <v>663</v>
      </c>
      <c r="AO284" s="5"/>
      <c r="AP284" s="5"/>
      <c r="AQ284" s="5"/>
      <c r="AR284" s="5"/>
      <c r="AS284" s="5"/>
      <c r="AT284" s="5"/>
      <c r="AU284" s="5"/>
    </row>
    <row r="285" spans="1:47" ht="44.1" customHeight="1" x14ac:dyDescent="0.2">
      <c r="A285" s="5" t="s">
        <v>123</v>
      </c>
      <c r="B285" s="5" t="s">
        <v>1462</v>
      </c>
      <c r="C285" s="5">
        <v>2015</v>
      </c>
      <c r="D285" s="7" t="s">
        <v>660</v>
      </c>
      <c r="E285" s="6" t="s">
        <v>630</v>
      </c>
      <c r="F285" s="5" t="s">
        <v>5</v>
      </c>
      <c r="G285" s="5" t="str">
        <f>IF(CropLCAs[[#This Row],[fbs_item]]="Insects","insect_ghg","plant_ghg")</f>
        <v>plant_ghg</v>
      </c>
      <c r="H285" s="49" t="s">
        <v>170</v>
      </c>
      <c r="I285" s="49"/>
      <c r="J285" s="49"/>
      <c r="K285" s="5" t="s">
        <v>111</v>
      </c>
      <c r="L285" s="5" t="s">
        <v>664</v>
      </c>
      <c r="M285" s="5" t="s">
        <v>102</v>
      </c>
      <c r="N285" s="5" t="s">
        <v>150</v>
      </c>
      <c r="O285" s="5" t="s">
        <v>109</v>
      </c>
      <c r="P285" s="5" t="s">
        <v>102</v>
      </c>
      <c r="Q285" s="5" t="s">
        <v>102</v>
      </c>
      <c r="R285" s="5" t="s">
        <v>102</v>
      </c>
      <c r="S285" s="5" t="s">
        <v>102</v>
      </c>
      <c r="T285" s="5" t="s">
        <v>102</v>
      </c>
      <c r="U285" s="5">
        <v>100</v>
      </c>
      <c r="V285" s="5">
        <v>1</v>
      </c>
      <c r="W285" s="5" t="s">
        <v>127</v>
      </c>
      <c r="X285" s="24">
        <v>3185</v>
      </c>
      <c r="Y285" s="5" t="s">
        <v>106</v>
      </c>
      <c r="Z285" s="5"/>
      <c r="AA285" s="5"/>
      <c r="AB285" s="24">
        <v>1E-3</v>
      </c>
      <c r="AC285" s="5" t="s">
        <v>195</v>
      </c>
      <c r="AD285" s="5" t="str">
        <f t="shared" si="19"/>
        <v>kg_co2e_excl_luc</v>
      </c>
      <c r="AE285" s="24">
        <f>IF(CropLCAs[[#This Row],[Product fraction]]="",CropLCAs[[#This Row],[CO2e (value)]]*CropLCAs[[#This Row],[Conversion factor (value)]],CropLCAs[[#This Row],[CO2e (value)]]*CropLCAs[[#This Row],[Conversion factor (value)]]/CropLCAs[[#This Row],[Product fraction]]*CropLCAs[[#This Row],[Value fraction]])</f>
        <v>3.1850000000000001</v>
      </c>
      <c r="AF285" s="5"/>
      <c r="AG285" s="5" t="str">
        <f t="shared" si="20"/>
        <v>processed_ghg</v>
      </c>
      <c r="AH285" s="5"/>
      <c r="AI285" s="5"/>
      <c r="AJ285" s="8" t="str">
        <f>IF(CropLCAs[[#This Row],[product_fraction]]&gt;0,CropLCAs[[#This Row],[footprint]]/CropLCAs[[#This Row],[product_fraction]]*CropLCAs[[#This Row],[value_fraction]],"")</f>
        <v/>
      </c>
      <c r="AK285" s="23">
        <f>1/3</f>
        <v>0.33333333333333331</v>
      </c>
      <c r="AL285" s="5" t="s">
        <v>109</v>
      </c>
      <c r="AM285" s="5" t="s">
        <v>662</v>
      </c>
      <c r="AN285" s="5" t="s">
        <v>663</v>
      </c>
      <c r="AO285" s="5"/>
      <c r="AP285" s="5"/>
      <c r="AQ285" s="5"/>
      <c r="AR285" s="5"/>
      <c r="AS285" s="5"/>
      <c r="AT285" s="5"/>
      <c r="AU285" s="5"/>
    </row>
    <row r="286" spans="1:47" ht="44.1" customHeight="1" x14ac:dyDescent="0.2">
      <c r="A286" s="17" t="s">
        <v>99</v>
      </c>
      <c r="B286" s="17" t="s">
        <v>819</v>
      </c>
      <c r="C286" s="17"/>
      <c r="D286" s="19" t="s">
        <v>820</v>
      </c>
      <c r="E286" s="19" t="s">
        <v>777</v>
      </c>
      <c r="F286" s="17" t="s">
        <v>13</v>
      </c>
      <c r="G286" s="17" t="str">
        <f>IF(CropLCAs[[#This Row],[fbs_item]]="Insects","insect_ghg","plant_ghg")</f>
        <v>plant_ghg</v>
      </c>
      <c r="H286" s="50" t="s">
        <v>253</v>
      </c>
      <c r="I286" s="50"/>
      <c r="J286" s="50"/>
      <c r="K286" s="17" t="s">
        <v>111</v>
      </c>
      <c r="L286" s="17"/>
      <c r="M286" s="17" t="s">
        <v>102</v>
      </c>
      <c r="N286" s="17" t="s">
        <v>126</v>
      </c>
      <c r="O286" s="17" t="s">
        <v>109</v>
      </c>
      <c r="P286" s="17" t="s">
        <v>102</v>
      </c>
      <c r="Q286" s="17" t="s">
        <v>102</v>
      </c>
      <c r="R286" s="17" t="s">
        <v>105</v>
      </c>
      <c r="S286" s="17" t="s">
        <v>821</v>
      </c>
      <c r="T286" s="17" t="s">
        <v>102</v>
      </c>
      <c r="U286" s="17">
        <v>100</v>
      </c>
      <c r="V286" s="17">
        <v>1</v>
      </c>
      <c r="W286" s="17" t="s">
        <v>106</v>
      </c>
      <c r="X286" s="30">
        <v>396.81</v>
      </c>
      <c r="Y286" s="17" t="s">
        <v>107</v>
      </c>
      <c r="Z286" s="17"/>
      <c r="AA286" s="17"/>
      <c r="AB286" s="30">
        <v>1E-3</v>
      </c>
      <c r="AC286" s="17" t="s">
        <v>108</v>
      </c>
      <c r="AD286" s="17" t="str">
        <f t="shared" si="19"/>
        <v>kg_co2e_excl_luc</v>
      </c>
      <c r="AE286" s="30">
        <f>IF(CropLCAs[[#This Row],[Product fraction]]="",CropLCAs[[#This Row],[CO2e (value)]]*CropLCAs[[#This Row],[Conversion factor (value)]],CropLCAs[[#This Row],[CO2e (value)]]*CropLCAs[[#This Row],[Conversion factor (value)]]/CropLCAs[[#This Row],[Product fraction]]*CropLCAs[[#This Row],[Value fraction]])</f>
        <v>0.39681</v>
      </c>
      <c r="AF286" s="17" t="s">
        <v>47</v>
      </c>
      <c r="AG286" s="17" t="str">
        <f t="shared" si="20"/>
        <v>processed_ghg</v>
      </c>
      <c r="AH286" s="17">
        <f>0.06*0.45</f>
        <v>2.7E-2</v>
      </c>
      <c r="AI286" s="17"/>
      <c r="AJ286" s="18">
        <f>IF(CropLCAs[[#This Row],[product_fraction]]&gt;0,CropLCAs[[#This Row],[footprint]]/CropLCAs[[#This Row],[product_fraction]]*CropLCAs[[#This Row],[value_fraction]],"")</f>
        <v>0</v>
      </c>
      <c r="AK286" s="29"/>
      <c r="AL286" s="19" t="s">
        <v>809</v>
      </c>
      <c r="AM286" s="17" t="s">
        <v>822</v>
      </c>
      <c r="AN286" s="17" t="s">
        <v>823</v>
      </c>
      <c r="AO286" s="17"/>
      <c r="AP286" s="17"/>
      <c r="AQ286" s="5"/>
      <c r="AR286" s="5"/>
      <c r="AS286" s="5"/>
      <c r="AT286" s="5"/>
      <c r="AU286" s="5"/>
    </row>
    <row r="287" spans="1:47" ht="44.1" customHeight="1" x14ac:dyDescent="0.2">
      <c r="A287" s="17" t="s">
        <v>123</v>
      </c>
      <c r="B287" s="17" t="s">
        <v>779</v>
      </c>
      <c r="C287" s="17"/>
      <c r="D287" s="21" t="s">
        <v>780</v>
      </c>
      <c r="E287" s="19" t="s">
        <v>781</v>
      </c>
      <c r="F287" s="17" t="s">
        <v>13</v>
      </c>
      <c r="G287" s="17" t="str">
        <f>IF(CropLCAs[[#This Row],[fbs_item]]="Insects","insect_ghg","plant_ghg")</f>
        <v>plant_ghg</v>
      </c>
      <c r="H287" s="50" t="s">
        <v>253</v>
      </c>
      <c r="I287" s="50"/>
      <c r="J287" s="50"/>
      <c r="K287" s="17" t="s">
        <v>111</v>
      </c>
      <c r="L287" s="17"/>
      <c r="M287" s="17" t="s">
        <v>102</v>
      </c>
      <c r="N287" s="17" t="s">
        <v>102</v>
      </c>
      <c r="O287" s="17" t="s">
        <v>109</v>
      </c>
      <c r="P287" s="17" t="s">
        <v>102</v>
      </c>
      <c r="Q287" s="17" t="s">
        <v>102</v>
      </c>
      <c r="R287" s="17" t="s">
        <v>109</v>
      </c>
      <c r="S287" s="17" t="s">
        <v>102</v>
      </c>
      <c r="T287" s="17" t="s">
        <v>109</v>
      </c>
      <c r="U287" s="17">
        <v>100</v>
      </c>
      <c r="V287" s="17">
        <v>1</v>
      </c>
      <c r="W287" s="17" t="s">
        <v>106</v>
      </c>
      <c r="X287" s="30">
        <v>423.25</v>
      </c>
      <c r="Y287" s="17" t="s">
        <v>107</v>
      </c>
      <c r="Z287" s="17"/>
      <c r="AA287" s="17"/>
      <c r="AB287" s="30">
        <v>1E-3</v>
      </c>
      <c r="AC287" s="17" t="s">
        <v>108</v>
      </c>
      <c r="AD287" s="17" t="str">
        <f t="shared" si="19"/>
        <v>kg_co2e_excl_luc</v>
      </c>
      <c r="AE287" s="30">
        <f>IF(CropLCAs[[#This Row],[Product fraction]]="",CropLCAs[[#This Row],[CO2e (value)]]*CropLCAs[[#This Row],[Conversion factor (value)]],CropLCAs[[#This Row],[CO2e (value)]]*CropLCAs[[#This Row],[Conversion factor (value)]]/CropLCAs[[#This Row],[Product fraction]]*CropLCAs[[#This Row],[Value fraction]])</f>
        <v>0.42325000000000002</v>
      </c>
      <c r="AF287" s="17" t="s">
        <v>47</v>
      </c>
      <c r="AG287" s="17" t="str">
        <f t="shared" si="20"/>
        <v>processed_ghg</v>
      </c>
      <c r="AH287" s="17">
        <f>0.06*0.45</f>
        <v>2.7E-2</v>
      </c>
      <c r="AI287" s="17"/>
      <c r="AJ287" s="18">
        <f>IF(CropLCAs[[#This Row],[product_fraction]]&gt;0,CropLCAs[[#This Row],[footprint]]/CropLCAs[[#This Row],[product_fraction]]*CropLCAs[[#This Row],[value_fraction]],"")</f>
        <v>0</v>
      </c>
      <c r="AK287" s="29"/>
      <c r="AL287" s="19" t="s">
        <v>774</v>
      </c>
      <c r="AM287" s="17" t="s">
        <v>782</v>
      </c>
      <c r="AN287" s="17"/>
      <c r="AO287" s="17"/>
      <c r="AP287" s="17"/>
      <c r="AQ287" s="5"/>
      <c r="AR287" s="5"/>
      <c r="AS287" s="5"/>
      <c r="AT287" s="5"/>
      <c r="AU287" s="5"/>
    </row>
    <row r="288" spans="1:47" ht="44.1" customHeight="1" x14ac:dyDescent="0.2">
      <c r="A288" s="5" t="s">
        <v>123</v>
      </c>
      <c r="B288" s="5" t="s">
        <v>1462</v>
      </c>
      <c r="C288" s="5">
        <v>2015</v>
      </c>
      <c r="D288" s="7" t="s">
        <v>660</v>
      </c>
      <c r="E288" s="6" t="s">
        <v>630</v>
      </c>
      <c r="F288" s="5" t="s">
        <v>5</v>
      </c>
      <c r="G288" s="5" t="str">
        <f>IF(CropLCAs[[#This Row],[fbs_item]]="Insects","insect_ghg","plant_ghg")</f>
        <v>plant_ghg</v>
      </c>
      <c r="H288" s="49" t="s">
        <v>170</v>
      </c>
      <c r="I288" s="49"/>
      <c r="J288" s="49"/>
      <c r="K288" s="5" t="s">
        <v>111</v>
      </c>
      <c r="L288" s="5" t="s">
        <v>665</v>
      </c>
      <c r="M288" s="5" t="s">
        <v>102</v>
      </c>
      <c r="N288" s="5" t="s">
        <v>150</v>
      </c>
      <c r="O288" s="5" t="s">
        <v>109</v>
      </c>
      <c r="P288" s="5" t="s">
        <v>102</v>
      </c>
      <c r="Q288" s="5" t="s">
        <v>102</v>
      </c>
      <c r="R288" s="5" t="s">
        <v>102</v>
      </c>
      <c r="S288" s="5" t="s">
        <v>102</v>
      </c>
      <c r="T288" s="5" t="s">
        <v>102</v>
      </c>
      <c r="U288" s="5">
        <v>100</v>
      </c>
      <c r="V288" s="5">
        <v>1</v>
      </c>
      <c r="W288" s="5" t="s">
        <v>127</v>
      </c>
      <c r="X288" s="24">
        <v>4348.8</v>
      </c>
      <c r="Y288" s="5" t="s">
        <v>106</v>
      </c>
      <c r="Z288" s="5"/>
      <c r="AA288" s="5"/>
      <c r="AB288" s="24">
        <v>1E-3</v>
      </c>
      <c r="AC288" s="5" t="s">
        <v>195</v>
      </c>
      <c r="AD288" s="5" t="str">
        <f t="shared" si="19"/>
        <v>kg_co2e_excl_luc</v>
      </c>
      <c r="AE288" s="24">
        <f>IF(CropLCAs[[#This Row],[Product fraction]]="",CropLCAs[[#This Row],[CO2e (value)]]*CropLCAs[[#This Row],[Conversion factor (value)]],CropLCAs[[#This Row],[CO2e (value)]]*CropLCAs[[#This Row],[Conversion factor (value)]]/CropLCAs[[#This Row],[Product fraction]]*CropLCAs[[#This Row],[Value fraction]])</f>
        <v>4.3488000000000007</v>
      </c>
      <c r="AF288" s="5"/>
      <c r="AG288" s="5" t="str">
        <f t="shared" si="20"/>
        <v>processed_ghg</v>
      </c>
      <c r="AH288" s="5"/>
      <c r="AI288" s="5"/>
      <c r="AJ288" s="8" t="str">
        <f>IF(CropLCAs[[#This Row],[product_fraction]]&gt;0,CropLCAs[[#This Row],[footprint]]/CropLCAs[[#This Row],[product_fraction]]*CropLCAs[[#This Row],[value_fraction]],"")</f>
        <v/>
      </c>
      <c r="AK288" s="23">
        <f>1/3</f>
        <v>0.33333333333333331</v>
      </c>
      <c r="AL288" s="5" t="s">
        <v>109</v>
      </c>
      <c r="AM288" s="5" t="s">
        <v>662</v>
      </c>
      <c r="AN288" s="5" t="s">
        <v>663</v>
      </c>
      <c r="AO288" s="5"/>
      <c r="AP288" s="5"/>
      <c r="AQ288" s="5"/>
      <c r="AR288" s="5"/>
      <c r="AS288" s="5"/>
      <c r="AT288" s="5"/>
      <c r="AU288" s="5"/>
    </row>
    <row r="289" spans="1:47" ht="44.1" customHeight="1" x14ac:dyDescent="0.2">
      <c r="A289" s="5" t="s">
        <v>123</v>
      </c>
      <c r="B289" s="5" t="s">
        <v>1463</v>
      </c>
      <c r="C289" s="5">
        <v>2010</v>
      </c>
      <c r="D289" s="6" t="s">
        <v>457</v>
      </c>
      <c r="E289" s="6" t="s">
        <v>453</v>
      </c>
      <c r="F289" s="5" t="s">
        <v>20</v>
      </c>
      <c r="G289" s="5" t="str">
        <f>IF(CropLCAs[[#This Row],[fbs_item]]="Insects","insect_ghg","plant_ghg")</f>
        <v>plant_ghg</v>
      </c>
      <c r="H289" s="49" t="s">
        <v>143</v>
      </c>
      <c r="I289" s="49"/>
      <c r="J289" s="49"/>
      <c r="K289" s="5" t="s">
        <v>101</v>
      </c>
      <c r="L289" s="5"/>
      <c r="M289" s="5" t="s">
        <v>102</v>
      </c>
      <c r="N289" s="5" t="s">
        <v>102</v>
      </c>
      <c r="O289" s="5" t="s">
        <v>109</v>
      </c>
      <c r="P289" s="5" t="s">
        <v>102</v>
      </c>
      <c r="Q289" s="5" t="s">
        <v>102</v>
      </c>
      <c r="R289" s="5" t="s">
        <v>105</v>
      </c>
      <c r="S289" s="5" t="s">
        <v>105</v>
      </c>
      <c r="T289" s="5" t="s">
        <v>458</v>
      </c>
      <c r="U289" s="5">
        <v>100</v>
      </c>
      <c r="V289" s="5">
        <v>1</v>
      </c>
      <c r="W289" s="5" t="s">
        <v>127</v>
      </c>
      <c r="X289" s="24">
        <v>144</v>
      </c>
      <c r="Y289" s="5" t="s">
        <v>106</v>
      </c>
      <c r="Z289" s="5"/>
      <c r="AA289" s="5"/>
      <c r="AB289" s="24">
        <v>1E-3</v>
      </c>
      <c r="AC289" s="5" t="s">
        <v>128</v>
      </c>
      <c r="AD289" s="5" t="str">
        <f t="shared" si="19"/>
        <v>kg_co2e_excl_luc</v>
      </c>
      <c r="AE289" s="24">
        <f>IF(CropLCAs[[#This Row],[Product fraction]]="",CropLCAs[[#This Row],[CO2e (value)]]*CropLCAs[[#This Row],[Conversion factor (value)]],CropLCAs[[#This Row],[CO2e (value)]]*CropLCAs[[#This Row],[Conversion factor (value)]]/CropLCAs[[#This Row],[Product fraction]]*CropLCAs[[#This Row],[Value fraction]])</f>
        <v>0.14400000000000002</v>
      </c>
      <c r="AF289" s="5" t="s">
        <v>39</v>
      </c>
      <c r="AG289" s="5" t="str">
        <f t="shared" si="20"/>
        <v>processed_ghg</v>
      </c>
      <c r="AH289" s="5">
        <v>0.18</v>
      </c>
      <c r="AI289" s="5">
        <v>0.34</v>
      </c>
      <c r="AJ289" s="8">
        <f>IF(CropLCAs[[#This Row],[product_fraction]]&gt;0,CropLCAs[[#This Row],[footprint]]/CropLCAs[[#This Row],[product_fraction]]*CropLCAs[[#This Row],[value_fraction]],"")</f>
        <v>0.27200000000000008</v>
      </c>
      <c r="AK289" s="23">
        <f>1/2</f>
        <v>0.5</v>
      </c>
      <c r="AL289" s="5" t="s">
        <v>109</v>
      </c>
      <c r="AM289" s="5" t="s">
        <v>459</v>
      </c>
      <c r="AN289" s="5"/>
      <c r="AO289" s="5"/>
      <c r="AP289" s="5"/>
      <c r="AQ289" s="5"/>
      <c r="AR289" s="5"/>
      <c r="AS289" s="5"/>
      <c r="AT289" s="5"/>
      <c r="AU289" s="5"/>
    </row>
    <row r="290" spans="1:47" ht="44.1" customHeight="1" x14ac:dyDescent="0.2">
      <c r="A290" s="5" t="s">
        <v>123</v>
      </c>
      <c r="B290" s="5" t="s">
        <v>1463</v>
      </c>
      <c r="C290" s="5">
        <v>2010</v>
      </c>
      <c r="D290" s="6" t="s">
        <v>457</v>
      </c>
      <c r="E290" s="6" t="s">
        <v>453</v>
      </c>
      <c r="F290" s="5" t="s">
        <v>20</v>
      </c>
      <c r="G290" s="5" t="str">
        <f>IF(CropLCAs[[#This Row],[fbs_item]]="Insects","insect_ghg","plant_ghg")</f>
        <v>plant_ghg</v>
      </c>
      <c r="H290" s="49" t="s">
        <v>143</v>
      </c>
      <c r="I290" s="49"/>
      <c r="J290" s="49"/>
      <c r="K290" s="5" t="s">
        <v>138</v>
      </c>
      <c r="L290" s="5"/>
      <c r="M290" s="5" t="s">
        <v>102</v>
      </c>
      <c r="N290" s="5" t="s">
        <v>102</v>
      </c>
      <c r="O290" s="5" t="s">
        <v>109</v>
      </c>
      <c r="P290" s="5" t="s">
        <v>102</v>
      </c>
      <c r="Q290" s="5" t="s">
        <v>102</v>
      </c>
      <c r="R290" s="5" t="s">
        <v>105</v>
      </c>
      <c r="S290" s="5" t="s">
        <v>105</v>
      </c>
      <c r="T290" s="5" t="s">
        <v>102</v>
      </c>
      <c r="U290" s="5">
        <v>100</v>
      </c>
      <c r="V290" s="5">
        <v>1</v>
      </c>
      <c r="W290" s="5" t="s">
        <v>127</v>
      </c>
      <c r="X290" s="24">
        <v>263</v>
      </c>
      <c r="Y290" s="5" t="s">
        <v>106</v>
      </c>
      <c r="Z290" s="5"/>
      <c r="AA290" s="5"/>
      <c r="AB290" s="24">
        <v>1E-3</v>
      </c>
      <c r="AC290" s="5" t="s">
        <v>128</v>
      </c>
      <c r="AD290" s="5" t="str">
        <f t="shared" si="19"/>
        <v>kg_co2e_excl_luc</v>
      </c>
      <c r="AE290" s="24">
        <f>IF(CropLCAs[[#This Row],[Product fraction]]="",CropLCAs[[#This Row],[CO2e (value)]]*CropLCAs[[#This Row],[Conversion factor (value)]],CropLCAs[[#This Row],[CO2e (value)]]*CropLCAs[[#This Row],[Conversion factor (value)]]/CropLCAs[[#This Row],[Product fraction]]*CropLCAs[[#This Row],[Value fraction]])</f>
        <v>0.26300000000000001</v>
      </c>
      <c r="AF290" s="5" t="s">
        <v>39</v>
      </c>
      <c r="AG290" s="5" t="str">
        <f t="shared" si="20"/>
        <v>processed_ghg</v>
      </c>
      <c r="AH290" s="5">
        <v>0.18</v>
      </c>
      <c r="AI290" s="5">
        <v>0.34</v>
      </c>
      <c r="AJ290" s="8">
        <f>IF(CropLCAs[[#This Row],[product_fraction]]&gt;0,CropLCAs[[#This Row],[footprint]]/CropLCAs[[#This Row],[product_fraction]]*CropLCAs[[#This Row],[value_fraction]],"")</f>
        <v>0.49677777777777787</v>
      </c>
      <c r="AK290" s="23">
        <f>1/2</f>
        <v>0.5</v>
      </c>
      <c r="AL290" s="5" t="s">
        <v>109</v>
      </c>
      <c r="AM290" s="5" t="s">
        <v>460</v>
      </c>
      <c r="AN290" s="5"/>
      <c r="AO290" s="5"/>
      <c r="AP290" s="5"/>
      <c r="AQ290" s="5"/>
      <c r="AR290" s="5"/>
      <c r="AS290" s="5"/>
      <c r="AT290" s="5"/>
      <c r="AU290" s="5"/>
    </row>
    <row r="291" spans="1:47" ht="44.1" customHeight="1" x14ac:dyDescent="0.2">
      <c r="A291" s="5" t="s">
        <v>251</v>
      </c>
      <c r="B291" s="5" t="s">
        <v>1463</v>
      </c>
      <c r="C291" s="5">
        <v>2011</v>
      </c>
      <c r="D291" s="6" t="s">
        <v>349</v>
      </c>
      <c r="E291" s="6" t="s">
        <v>350</v>
      </c>
      <c r="F291" s="5" t="s">
        <v>27</v>
      </c>
      <c r="G291" s="5" t="str">
        <f>IF(CropLCAs[[#This Row],[fbs_item]]="Insects","insect_ghg","plant_ghg")</f>
        <v>plant_ghg</v>
      </c>
      <c r="H291" s="51" t="s">
        <v>351</v>
      </c>
      <c r="I291" s="51"/>
      <c r="J291" s="51"/>
      <c r="K291" s="5" t="s">
        <v>101</v>
      </c>
      <c r="L291" s="5" t="s">
        <v>352</v>
      </c>
      <c r="M291" s="5" t="s">
        <v>102</v>
      </c>
      <c r="N291" s="5" t="s">
        <v>102</v>
      </c>
      <c r="O291" s="5" t="s">
        <v>109</v>
      </c>
      <c r="P291" s="5" t="s">
        <v>102</v>
      </c>
      <c r="Q291" s="5" t="s">
        <v>102</v>
      </c>
      <c r="R291" s="5" t="s">
        <v>353</v>
      </c>
      <c r="S291" s="5" t="s">
        <v>105</v>
      </c>
      <c r="T291" s="5" t="s">
        <v>354</v>
      </c>
      <c r="U291" s="5">
        <v>100</v>
      </c>
      <c r="V291" s="5">
        <v>1</v>
      </c>
      <c r="W291" s="5" t="s">
        <v>355</v>
      </c>
      <c r="X291" s="24">
        <v>75</v>
      </c>
      <c r="Y291" s="5" t="s">
        <v>106</v>
      </c>
      <c r="Z291" s="5"/>
      <c r="AA291" s="5"/>
      <c r="AB291" s="24">
        <v>1E-3</v>
      </c>
      <c r="AC291" s="5" t="s">
        <v>274</v>
      </c>
      <c r="AD291" s="5" t="str">
        <f t="shared" si="19"/>
        <v>kg_co2e_excl_luc</v>
      </c>
      <c r="AE291" s="24">
        <f>IF(CropLCAs[[#This Row],[Product fraction]]="",CropLCAs[[#This Row],[CO2e (value)]]*CropLCAs[[#This Row],[Conversion factor (value)]],CropLCAs[[#This Row],[CO2e (value)]]*CropLCAs[[#This Row],[Conversion factor (value)]]/CropLCAs[[#This Row],[Product fraction]]*CropLCAs[[#This Row],[Value fraction]])</f>
        <v>7.4999999999999997E-2</v>
      </c>
      <c r="AF291" s="5"/>
      <c r="AG291" s="5" t="str">
        <f t="shared" si="20"/>
        <v>processed_ghg</v>
      </c>
      <c r="AH291" s="5"/>
      <c r="AI291" s="5"/>
      <c r="AJ291" s="8" t="str">
        <f>IF(CropLCAs[[#This Row],[product_fraction]]&gt;0,CropLCAs[[#This Row],[footprint]]/CropLCAs[[#This Row],[product_fraction]]*CropLCAs[[#This Row],[value_fraction]],"")</f>
        <v/>
      </c>
      <c r="AK291" s="23">
        <f>1/3</f>
        <v>0.33333333333333331</v>
      </c>
      <c r="AL291" s="5" t="s">
        <v>109</v>
      </c>
      <c r="AM291" s="5" t="s">
        <v>356</v>
      </c>
      <c r="AN291" s="5" t="s">
        <v>357</v>
      </c>
      <c r="AO291" s="5"/>
      <c r="AP291" s="5"/>
      <c r="AQ291" s="5"/>
      <c r="AR291" s="5"/>
      <c r="AS291" s="5"/>
      <c r="AT291" s="5"/>
      <c r="AU291" s="5"/>
    </row>
    <row r="292" spans="1:47" ht="44.1" customHeight="1" x14ac:dyDescent="0.2">
      <c r="A292" s="5" t="s">
        <v>251</v>
      </c>
      <c r="B292" s="5" t="s">
        <v>1463</v>
      </c>
      <c r="C292" s="5">
        <v>2011</v>
      </c>
      <c r="D292" s="6" t="s">
        <v>349</v>
      </c>
      <c r="E292" s="6" t="s">
        <v>350</v>
      </c>
      <c r="F292" s="5" t="s">
        <v>27</v>
      </c>
      <c r="G292" s="5" t="str">
        <f>IF(CropLCAs[[#This Row],[fbs_item]]="Insects","insect_ghg","plant_ghg")</f>
        <v>plant_ghg</v>
      </c>
      <c r="H292" s="51" t="s">
        <v>351</v>
      </c>
      <c r="I292" s="51"/>
      <c r="J292" s="51"/>
      <c r="K292" s="5" t="s">
        <v>101</v>
      </c>
      <c r="L292" s="5" t="s">
        <v>358</v>
      </c>
      <c r="M292" s="5" t="s">
        <v>102</v>
      </c>
      <c r="N292" s="5" t="s">
        <v>102</v>
      </c>
      <c r="O292" s="5" t="s">
        <v>109</v>
      </c>
      <c r="P292" s="5" t="s">
        <v>102</v>
      </c>
      <c r="Q292" s="5" t="s">
        <v>102</v>
      </c>
      <c r="R292" s="5" t="s">
        <v>353</v>
      </c>
      <c r="S292" s="5" t="s">
        <v>105</v>
      </c>
      <c r="T292" s="5" t="s">
        <v>354</v>
      </c>
      <c r="U292" s="5">
        <v>100</v>
      </c>
      <c r="V292" s="5">
        <v>1</v>
      </c>
      <c r="W292" s="5" t="s">
        <v>355</v>
      </c>
      <c r="X292" s="24">
        <v>101</v>
      </c>
      <c r="Y292" s="5" t="s">
        <v>106</v>
      </c>
      <c r="Z292" s="5"/>
      <c r="AA292" s="5"/>
      <c r="AB292" s="24">
        <v>1E-3</v>
      </c>
      <c r="AC292" s="5" t="s">
        <v>274</v>
      </c>
      <c r="AD292" s="5" t="str">
        <f t="shared" si="19"/>
        <v>kg_co2e_excl_luc</v>
      </c>
      <c r="AE292" s="24">
        <f>IF(CropLCAs[[#This Row],[Product fraction]]="",CropLCAs[[#This Row],[CO2e (value)]]*CropLCAs[[#This Row],[Conversion factor (value)]],CropLCAs[[#This Row],[CO2e (value)]]*CropLCAs[[#This Row],[Conversion factor (value)]]/CropLCAs[[#This Row],[Product fraction]]*CropLCAs[[#This Row],[Value fraction]])</f>
        <v>0.10100000000000001</v>
      </c>
      <c r="AF292" s="5"/>
      <c r="AG292" s="5" t="str">
        <f t="shared" si="20"/>
        <v>processed_ghg</v>
      </c>
      <c r="AH292" s="5"/>
      <c r="AI292" s="5"/>
      <c r="AJ292" s="8" t="str">
        <f>IF(CropLCAs[[#This Row],[product_fraction]]&gt;0,CropLCAs[[#This Row],[footprint]]/CropLCAs[[#This Row],[product_fraction]]*CropLCAs[[#This Row],[value_fraction]],"")</f>
        <v/>
      </c>
      <c r="AK292" s="23">
        <f>1/3</f>
        <v>0.33333333333333331</v>
      </c>
      <c r="AL292" s="5" t="s">
        <v>109</v>
      </c>
      <c r="AM292" s="5" t="s">
        <v>356</v>
      </c>
      <c r="AN292" s="5" t="s">
        <v>357</v>
      </c>
      <c r="AO292" s="5"/>
      <c r="AP292" s="5"/>
      <c r="AQ292" s="5"/>
      <c r="AR292" s="5"/>
      <c r="AS292" s="5"/>
      <c r="AT292" s="5"/>
      <c r="AU292" s="5"/>
    </row>
    <row r="293" spans="1:47" ht="44.1" customHeight="1" x14ac:dyDescent="0.2">
      <c r="A293" s="17" t="s">
        <v>123</v>
      </c>
      <c r="B293" s="17" t="s">
        <v>769</v>
      </c>
      <c r="C293" s="17"/>
      <c r="D293" s="17" t="s">
        <v>770</v>
      </c>
      <c r="E293" s="19" t="s">
        <v>771</v>
      </c>
      <c r="F293" s="17" t="s">
        <v>10</v>
      </c>
      <c r="G293" s="17" t="str">
        <f>IF(CropLCAs[[#This Row],[fbs_item]]="Insects","insect_ghg","plant_ghg")</f>
        <v>plant_ghg</v>
      </c>
      <c r="H293" s="50" t="s">
        <v>772</v>
      </c>
      <c r="I293" s="50"/>
      <c r="J293" s="50"/>
      <c r="K293" s="17" t="s">
        <v>111</v>
      </c>
      <c r="L293" s="17"/>
      <c r="M293" s="17" t="s">
        <v>102</v>
      </c>
      <c r="N293" s="17" t="s">
        <v>109</v>
      </c>
      <c r="O293" s="17" t="s">
        <v>109</v>
      </c>
      <c r="P293" s="17" t="s">
        <v>102</v>
      </c>
      <c r="Q293" s="17" t="s">
        <v>102</v>
      </c>
      <c r="R293" s="17" t="s">
        <v>109</v>
      </c>
      <c r="S293" s="17" t="s">
        <v>105</v>
      </c>
      <c r="T293" s="17" t="s">
        <v>773</v>
      </c>
      <c r="U293" s="17" t="s">
        <v>126</v>
      </c>
      <c r="V293" s="17">
        <v>1</v>
      </c>
      <c r="W293" s="17" t="s">
        <v>127</v>
      </c>
      <c r="X293" s="30">
        <v>966</v>
      </c>
      <c r="Y293" s="17" t="s">
        <v>106</v>
      </c>
      <c r="Z293" s="17"/>
      <c r="AA293" s="17"/>
      <c r="AB293" s="30">
        <v>1E-3</v>
      </c>
      <c r="AC293" s="17" t="s">
        <v>195</v>
      </c>
      <c r="AD293" s="17" t="str">
        <f t="shared" si="19"/>
        <v>kg_co2e_excl_luc</v>
      </c>
      <c r="AE293" s="30">
        <f>IF(CropLCAs[[#This Row],[Product fraction]]="",CropLCAs[[#This Row],[CO2e (value)]]*CropLCAs[[#This Row],[Conversion factor (value)]],CropLCAs[[#This Row],[CO2e (value)]]*CropLCAs[[#This Row],[Conversion factor (value)]]/CropLCAs[[#This Row],[Product fraction]]*CropLCAs[[#This Row],[Value fraction]])</f>
        <v>0.96599999999999997</v>
      </c>
      <c r="AF293" s="19"/>
      <c r="AG293" s="19" t="str">
        <f t="shared" si="20"/>
        <v>processed_ghg</v>
      </c>
      <c r="AH293" s="19"/>
      <c r="AI293" s="19"/>
      <c r="AJ293" s="18" t="str">
        <f>IF(CropLCAs[[#This Row],[product_fraction]]&gt;0,CropLCAs[[#This Row],[footprint]]/CropLCAs[[#This Row],[product_fraction]]*CropLCAs[[#This Row],[value_fraction]],"")</f>
        <v/>
      </c>
      <c r="AK293" s="29"/>
      <c r="AL293" s="19" t="s">
        <v>774</v>
      </c>
      <c r="AM293" s="17"/>
      <c r="AN293" s="17"/>
      <c r="AO293" s="17"/>
      <c r="AP293" s="17"/>
      <c r="AQ293" s="5"/>
      <c r="AR293" s="5"/>
      <c r="AS293" s="5"/>
      <c r="AT293" s="5"/>
      <c r="AU293" s="5"/>
    </row>
    <row r="294" spans="1:47" ht="44.1" customHeight="1" x14ac:dyDescent="0.2">
      <c r="A294" s="17" t="s">
        <v>123</v>
      </c>
      <c r="B294" s="17" t="s">
        <v>769</v>
      </c>
      <c r="C294" s="17"/>
      <c r="D294" s="17" t="s">
        <v>770</v>
      </c>
      <c r="E294" s="19" t="s">
        <v>783</v>
      </c>
      <c r="F294" s="17" t="s">
        <v>14</v>
      </c>
      <c r="G294" s="17" t="str">
        <f>IF(CropLCAs[[#This Row],[fbs_item]]="Insects","insect_ghg","plant_ghg")</f>
        <v>plant_ghg</v>
      </c>
      <c r="H294" s="50" t="s">
        <v>772</v>
      </c>
      <c r="I294" s="50"/>
      <c r="J294" s="50"/>
      <c r="K294" s="17" t="s">
        <v>111</v>
      </c>
      <c r="L294" s="17"/>
      <c r="M294" s="17" t="s">
        <v>102</v>
      </c>
      <c r="N294" s="17" t="s">
        <v>109</v>
      </c>
      <c r="O294" s="17" t="s">
        <v>109</v>
      </c>
      <c r="P294" s="17" t="s">
        <v>102</v>
      </c>
      <c r="Q294" s="17" t="s">
        <v>102</v>
      </c>
      <c r="R294" s="17" t="s">
        <v>109</v>
      </c>
      <c r="S294" s="17" t="s">
        <v>105</v>
      </c>
      <c r="T294" s="17" t="s">
        <v>773</v>
      </c>
      <c r="U294" s="17" t="s">
        <v>126</v>
      </c>
      <c r="V294" s="17">
        <v>1</v>
      </c>
      <c r="W294" s="17" t="s">
        <v>127</v>
      </c>
      <c r="X294" s="30">
        <v>963</v>
      </c>
      <c r="Y294" s="17" t="s">
        <v>106</v>
      </c>
      <c r="Z294" s="17"/>
      <c r="AA294" s="17"/>
      <c r="AB294" s="30">
        <v>1E-3</v>
      </c>
      <c r="AC294" s="17" t="s">
        <v>195</v>
      </c>
      <c r="AD294" s="17" t="str">
        <f t="shared" si="19"/>
        <v>kg_co2e_excl_luc</v>
      </c>
      <c r="AE294" s="30">
        <f>IF(CropLCAs[[#This Row],[Product fraction]]="",CropLCAs[[#This Row],[CO2e (value)]]*CropLCAs[[#This Row],[Conversion factor (value)]],CropLCAs[[#This Row],[CO2e (value)]]*CropLCAs[[#This Row],[Conversion factor (value)]]/CropLCAs[[#This Row],[Product fraction]]*CropLCAs[[#This Row],[Value fraction]])</f>
        <v>0.96299999999999997</v>
      </c>
      <c r="AF294" s="19"/>
      <c r="AG294" s="19" t="str">
        <f t="shared" si="20"/>
        <v>processed_ghg</v>
      </c>
      <c r="AH294" s="19"/>
      <c r="AI294" s="19"/>
      <c r="AJ294" s="18" t="str">
        <f>IF(CropLCAs[[#This Row],[product_fraction]]&gt;0,CropLCAs[[#This Row],[footprint]]/CropLCAs[[#This Row],[product_fraction]]*CropLCAs[[#This Row],[value_fraction]],"")</f>
        <v/>
      </c>
      <c r="AK294" s="29"/>
      <c r="AL294" s="19" t="s">
        <v>774</v>
      </c>
      <c r="AM294" s="17"/>
      <c r="AN294" s="17"/>
      <c r="AO294" s="17"/>
      <c r="AP294" s="17"/>
      <c r="AQ294" s="5"/>
      <c r="AR294" s="5"/>
      <c r="AS294" s="5"/>
      <c r="AT294" s="5"/>
      <c r="AU294" s="5"/>
    </row>
    <row r="295" spans="1:47" ht="44.1" customHeight="1" x14ac:dyDescent="0.2">
      <c r="A295" s="17" t="s">
        <v>123</v>
      </c>
      <c r="B295" s="17" t="s">
        <v>769</v>
      </c>
      <c r="C295" s="17"/>
      <c r="D295" s="17" t="s">
        <v>770</v>
      </c>
      <c r="E295" s="19" t="s">
        <v>666</v>
      </c>
      <c r="F295" s="17" t="s">
        <v>5</v>
      </c>
      <c r="G295" s="17" t="str">
        <f>IF(CropLCAs[[#This Row],[fbs_item]]="Insects","insect_ghg","plant_ghg")</f>
        <v>plant_ghg</v>
      </c>
      <c r="H295" s="50" t="s">
        <v>772</v>
      </c>
      <c r="I295" s="50"/>
      <c r="J295" s="50"/>
      <c r="K295" s="17" t="s">
        <v>111</v>
      </c>
      <c r="L295" s="17"/>
      <c r="M295" s="17" t="s">
        <v>102</v>
      </c>
      <c r="N295" s="17" t="s">
        <v>109</v>
      </c>
      <c r="O295" s="17" t="s">
        <v>109</v>
      </c>
      <c r="P295" s="17" t="s">
        <v>102</v>
      </c>
      <c r="Q295" s="17" t="s">
        <v>102</v>
      </c>
      <c r="R295" s="17" t="s">
        <v>109</v>
      </c>
      <c r="S295" s="17" t="s">
        <v>105</v>
      </c>
      <c r="T295" s="17" t="s">
        <v>773</v>
      </c>
      <c r="U295" s="17" t="s">
        <v>126</v>
      </c>
      <c r="V295" s="17">
        <v>1</v>
      </c>
      <c r="W295" s="17" t="s">
        <v>127</v>
      </c>
      <c r="X295" s="30">
        <v>997</v>
      </c>
      <c r="Y295" s="17" t="s">
        <v>106</v>
      </c>
      <c r="Z295" s="17"/>
      <c r="AA295" s="17"/>
      <c r="AB295" s="30">
        <v>1E-3</v>
      </c>
      <c r="AC295" s="17" t="s">
        <v>195</v>
      </c>
      <c r="AD295" s="17" t="str">
        <f t="shared" si="19"/>
        <v>kg_co2e_excl_luc</v>
      </c>
      <c r="AE295" s="30">
        <f>IF(CropLCAs[[#This Row],[Product fraction]]="",CropLCAs[[#This Row],[CO2e (value)]]*CropLCAs[[#This Row],[Conversion factor (value)]],CropLCAs[[#This Row],[CO2e (value)]]*CropLCAs[[#This Row],[Conversion factor (value)]]/CropLCAs[[#This Row],[Product fraction]]*CropLCAs[[#This Row],[Value fraction]])</f>
        <v>0.997</v>
      </c>
      <c r="AF295" s="19"/>
      <c r="AG295" s="19" t="str">
        <f t="shared" si="20"/>
        <v>processed_ghg</v>
      </c>
      <c r="AH295" s="19"/>
      <c r="AI295" s="19"/>
      <c r="AJ295" s="18" t="str">
        <f>IF(CropLCAs[[#This Row],[product_fraction]]&gt;0,CropLCAs[[#This Row],[footprint]]/CropLCAs[[#This Row],[product_fraction]]*CropLCAs[[#This Row],[value_fraction]],"")</f>
        <v/>
      </c>
      <c r="AK295" s="29"/>
      <c r="AL295" s="19" t="s">
        <v>774</v>
      </c>
      <c r="AM295" s="17"/>
      <c r="AN295" s="17"/>
      <c r="AO295" s="17"/>
      <c r="AP295" s="17"/>
      <c r="AQ295" s="5"/>
      <c r="AR295" s="5"/>
      <c r="AS295" s="5"/>
      <c r="AT295" s="5"/>
      <c r="AU295" s="5"/>
    </row>
    <row r="296" spans="1:47" ht="44.1" customHeight="1" x14ac:dyDescent="0.2">
      <c r="A296" s="17" t="s">
        <v>123</v>
      </c>
      <c r="B296" s="17" t="s">
        <v>769</v>
      </c>
      <c r="C296" s="17"/>
      <c r="D296" s="17" t="s">
        <v>770</v>
      </c>
      <c r="E296" s="19" t="s">
        <v>634</v>
      </c>
      <c r="F296" s="17" t="s">
        <v>5</v>
      </c>
      <c r="G296" s="17" t="str">
        <f>IF(CropLCAs[[#This Row],[fbs_item]]="Insects","insect_ghg","plant_ghg")</f>
        <v>plant_ghg</v>
      </c>
      <c r="H296" s="50" t="s">
        <v>772</v>
      </c>
      <c r="I296" s="50"/>
      <c r="J296" s="50"/>
      <c r="K296" s="17" t="s">
        <v>111</v>
      </c>
      <c r="L296" s="17"/>
      <c r="M296" s="17" t="s">
        <v>102</v>
      </c>
      <c r="N296" s="17" t="s">
        <v>109</v>
      </c>
      <c r="O296" s="17" t="s">
        <v>109</v>
      </c>
      <c r="P296" s="17" t="s">
        <v>102</v>
      </c>
      <c r="Q296" s="17" t="s">
        <v>102</v>
      </c>
      <c r="R296" s="17" t="s">
        <v>109</v>
      </c>
      <c r="S296" s="17" t="s">
        <v>105</v>
      </c>
      <c r="T296" s="17" t="s">
        <v>773</v>
      </c>
      <c r="U296" s="17" t="s">
        <v>126</v>
      </c>
      <c r="V296" s="17">
        <v>1</v>
      </c>
      <c r="W296" s="17" t="s">
        <v>127</v>
      </c>
      <c r="X296" s="30">
        <v>879</v>
      </c>
      <c r="Y296" s="17" t="s">
        <v>106</v>
      </c>
      <c r="Z296" s="17"/>
      <c r="AA296" s="17"/>
      <c r="AB296" s="30">
        <v>1E-3</v>
      </c>
      <c r="AC296" s="17" t="s">
        <v>195</v>
      </c>
      <c r="AD296" s="17" t="str">
        <f t="shared" si="19"/>
        <v>kg_co2e_excl_luc</v>
      </c>
      <c r="AE296" s="30">
        <f>IF(CropLCAs[[#This Row],[Product fraction]]="",CropLCAs[[#This Row],[CO2e (value)]]*CropLCAs[[#This Row],[Conversion factor (value)]],CropLCAs[[#This Row],[CO2e (value)]]*CropLCAs[[#This Row],[Conversion factor (value)]]/CropLCAs[[#This Row],[Product fraction]]*CropLCAs[[#This Row],[Value fraction]])</f>
        <v>0.879</v>
      </c>
      <c r="AF296" s="19"/>
      <c r="AG296" s="19" t="str">
        <f t="shared" si="20"/>
        <v>processed_ghg</v>
      </c>
      <c r="AH296" s="19"/>
      <c r="AI296" s="19"/>
      <c r="AJ296" s="18" t="str">
        <f>IF(CropLCAs[[#This Row],[product_fraction]]&gt;0,CropLCAs[[#This Row],[footprint]]/CropLCAs[[#This Row],[product_fraction]]*CropLCAs[[#This Row],[value_fraction]],"")</f>
        <v/>
      </c>
      <c r="AK296" s="29"/>
      <c r="AL296" s="19" t="s">
        <v>774</v>
      </c>
      <c r="AM296" s="17"/>
      <c r="AN296" s="17"/>
      <c r="AO296" s="17"/>
      <c r="AP296" s="17"/>
      <c r="AQ296" s="5"/>
      <c r="AR296" s="5"/>
      <c r="AS296" s="5"/>
      <c r="AT296" s="5"/>
      <c r="AU296" s="5"/>
    </row>
    <row r="297" spans="1:47" ht="44.1" customHeight="1" x14ac:dyDescent="0.2">
      <c r="A297" s="5" t="s">
        <v>251</v>
      </c>
      <c r="B297" s="5" t="s">
        <v>1463</v>
      </c>
      <c r="C297" s="5">
        <v>2011</v>
      </c>
      <c r="D297" s="6" t="s">
        <v>349</v>
      </c>
      <c r="E297" s="6" t="s">
        <v>350</v>
      </c>
      <c r="F297" s="5" t="s">
        <v>27</v>
      </c>
      <c r="G297" s="5" t="str">
        <f>IF(CropLCAs[[#This Row],[fbs_item]]="Insects","insect_ghg","plant_ghg")</f>
        <v>plant_ghg</v>
      </c>
      <c r="H297" s="51" t="s">
        <v>351</v>
      </c>
      <c r="I297" s="51"/>
      <c r="J297" s="51"/>
      <c r="K297" s="5" t="s">
        <v>138</v>
      </c>
      <c r="L297" s="5" t="s">
        <v>359</v>
      </c>
      <c r="M297" s="5" t="s">
        <v>102</v>
      </c>
      <c r="N297" s="5" t="s">
        <v>102</v>
      </c>
      <c r="O297" s="5" t="s">
        <v>109</v>
      </c>
      <c r="P297" s="5" t="s">
        <v>102</v>
      </c>
      <c r="Q297" s="5" t="s">
        <v>102</v>
      </c>
      <c r="R297" s="5" t="s">
        <v>353</v>
      </c>
      <c r="S297" s="5" t="s">
        <v>105</v>
      </c>
      <c r="T297" s="5" t="s">
        <v>354</v>
      </c>
      <c r="U297" s="5">
        <v>100</v>
      </c>
      <c r="V297" s="5">
        <v>1</v>
      </c>
      <c r="W297" s="5" t="s">
        <v>355</v>
      </c>
      <c r="X297" s="24">
        <v>112</v>
      </c>
      <c r="Y297" s="5" t="s">
        <v>106</v>
      </c>
      <c r="Z297" s="5"/>
      <c r="AA297" s="5"/>
      <c r="AB297" s="24">
        <v>1E-3</v>
      </c>
      <c r="AC297" s="5" t="s">
        <v>274</v>
      </c>
      <c r="AD297" s="5" t="str">
        <f t="shared" si="19"/>
        <v>kg_co2e_excl_luc</v>
      </c>
      <c r="AE297" s="24">
        <f>IF(CropLCAs[[#This Row],[Product fraction]]="",CropLCAs[[#This Row],[CO2e (value)]]*CropLCAs[[#This Row],[Conversion factor (value)]],CropLCAs[[#This Row],[CO2e (value)]]*CropLCAs[[#This Row],[Conversion factor (value)]]/CropLCAs[[#This Row],[Product fraction]]*CropLCAs[[#This Row],[Value fraction]])</f>
        <v>0.112</v>
      </c>
      <c r="AF297" s="5"/>
      <c r="AG297" s="5" t="str">
        <f t="shared" si="20"/>
        <v>processed_ghg</v>
      </c>
      <c r="AH297" s="5"/>
      <c r="AI297" s="5"/>
      <c r="AJ297" s="8" t="str">
        <f>IF(CropLCAs[[#This Row],[product_fraction]]&gt;0,CropLCAs[[#This Row],[footprint]]/CropLCAs[[#This Row],[product_fraction]]*CropLCAs[[#This Row],[value_fraction]],"")</f>
        <v/>
      </c>
      <c r="AK297" s="23">
        <f>1/3</f>
        <v>0.33333333333333331</v>
      </c>
      <c r="AL297" s="5" t="s">
        <v>109</v>
      </c>
      <c r="AM297" s="5" t="s">
        <v>360</v>
      </c>
      <c r="AN297" s="5" t="s">
        <v>357</v>
      </c>
      <c r="AO297" s="5"/>
      <c r="AP297" s="5"/>
      <c r="AQ297" s="5"/>
      <c r="AR297" s="5"/>
      <c r="AS297" s="5"/>
      <c r="AT297" s="5"/>
      <c r="AU297" s="5"/>
    </row>
    <row r="298" spans="1:47" ht="44.1" customHeight="1" x14ac:dyDescent="0.2">
      <c r="A298" s="5" t="s">
        <v>99</v>
      </c>
      <c r="B298" s="5" t="s">
        <v>1464</v>
      </c>
      <c r="C298" s="5">
        <v>2014</v>
      </c>
      <c r="D298" s="10" t="s">
        <v>185</v>
      </c>
      <c r="E298" s="6" t="s">
        <v>161</v>
      </c>
      <c r="F298" s="5" t="s">
        <v>10</v>
      </c>
      <c r="G298" s="5" t="str">
        <f>IF(CropLCAs[[#This Row],[fbs_item]]="Insects","insect_ghg","plant_ghg")</f>
        <v>plant_ghg</v>
      </c>
      <c r="H298" s="49" t="s">
        <v>186</v>
      </c>
      <c r="I298" s="49"/>
      <c r="J298" s="49"/>
      <c r="K298" s="5" t="s">
        <v>111</v>
      </c>
      <c r="L298" s="5" t="s">
        <v>187</v>
      </c>
      <c r="M298" s="5" t="s">
        <v>102</v>
      </c>
      <c r="N298" s="5" t="s">
        <v>109</v>
      </c>
      <c r="O298" s="5" t="s">
        <v>109</v>
      </c>
      <c r="P298" s="5" t="s">
        <v>102</v>
      </c>
      <c r="Q298" s="5" t="s">
        <v>102</v>
      </c>
      <c r="R298" s="5" t="s">
        <v>188</v>
      </c>
      <c r="S298" s="5" t="s">
        <v>102</v>
      </c>
      <c r="T298" s="5" t="s">
        <v>102</v>
      </c>
      <c r="U298" s="5" t="s">
        <v>126</v>
      </c>
      <c r="V298" s="5">
        <v>1</v>
      </c>
      <c r="W298" s="5" t="s">
        <v>106</v>
      </c>
      <c r="X298" s="26">
        <v>0.75</v>
      </c>
      <c r="Y298" s="5" t="s">
        <v>106</v>
      </c>
      <c r="Z298" s="5"/>
      <c r="AA298" s="5"/>
      <c r="AB298" s="24">
        <v>1</v>
      </c>
      <c r="AC298" s="5"/>
      <c r="AD298" s="5" t="str">
        <f t="shared" si="19"/>
        <v>kg_co2e_excl_luc</v>
      </c>
      <c r="AE298" s="24">
        <f>IF(CropLCAs[[#This Row],[Product fraction]]="",CropLCAs[[#This Row],[CO2e (value)]]*CropLCAs[[#This Row],[Conversion factor (value)]],CropLCAs[[#This Row],[CO2e (value)]]*CropLCAs[[#This Row],[Conversion factor (value)]]/CropLCAs[[#This Row],[Product fraction]]*CropLCAs[[#This Row],[Value fraction]])</f>
        <v>0.75</v>
      </c>
      <c r="AF298" s="5"/>
      <c r="AG298" s="5" t="str">
        <f t="shared" si="20"/>
        <v>processed_ghg</v>
      </c>
      <c r="AH298" s="5"/>
      <c r="AI298" s="5"/>
      <c r="AJ298" s="8" t="str">
        <f>IF(CropLCAs[[#This Row],[product_fraction]]&gt;0,CropLCAs[[#This Row],[footprint]]/CropLCAs[[#This Row],[product_fraction]]*CropLCAs[[#This Row],[value_fraction]],"")</f>
        <v/>
      </c>
      <c r="AK298" s="23">
        <f>1/3</f>
        <v>0.33333333333333331</v>
      </c>
      <c r="AL298" s="5" t="s">
        <v>109</v>
      </c>
      <c r="AM298" s="5" t="s">
        <v>189</v>
      </c>
      <c r="AN298" s="5"/>
      <c r="AO298" s="5"/>
      <c r="AP298" s="5"/>
      <c r="AQ298" s="5"/>
      <c r="AR298" s="5"/>
      <c r="AS298" s="5"/>
      <c r="AT298" s="5"/>
      <c r="AU298" s="5"/>
    </row>
    <row r="299" spans="1:47" ht="44.1" customHeight="1" x14ac:dyDescent="0.2">
      <c r="A299" s="5" t="s">
        <v>99</v>
      </c>
      <c r="B299" s="5" t="s">
        <v>1464</v>
      </c>
      <c r="C299" s="5">
        <v>2014</v>
      </c>
      <c r="D299" s="10" t="s">
        <v>185</v>
      </c>
      <c r="E299" s="6" t="s">
        <v>161</v>
      </c>
      <c r="F299" s="5" t="s">
        <v>10</v>
      </c>
      <c r="G299" s="5" t="str">
        <f>IF(CropLCAs[[#This Row],[fbs_item]]="Insects","insect_ghg","plant_ghg")</f>
        <v>plant_ghg</v>
      </c>
      <c r="H299" s="49" t="s">
        <v>186</v>
      </c>
      <c r="I299" s="49"/>
      <c r="J299" s="49"/>
      <c r="K299" s="5" t="s">
        <v>111</v>
      </c>
      <c r="L299" s="5" t="s">
        <v>190</v>
      </c>
      <c r="M299" s="5" t="s">
        <v>102</v>
      </c>
      <c r="N299" s="5" t="s">
        <v>109</v>
      </c>
      <c r="O299" s="5" t="s">
        <v>109</v>
      </c>
      <c r="P299" s="5" t="s">
        <v>102</v>
      </c>
      <c r="Q299" s="5" t="s">
        <v>102</v>
      </c>
      <c r="R299" s="5" t="s">
        <v>188</v>
      </c>
      <c r="S299" s="5" t="s">
        <v>102</v>
      </c>
      <c r="T299" s="5" t="s">
        <v>102</v>
      </c>
      <c r="U299" s="5" t="s">
        <v>126</v>
      </c>
      <c r="V299" s="5">
        <v>1</v>
      </c>
      <c r="W299" s="5" t="s">
        <v>106</v>
      </c>
      <c r="X299" s="26">
        <v>0.54</v>
      </c>
      <c r="Y299" s="5" t="s">
        <v>106</v>
      </c>
      <c r="Z299" s="5"/>
      <c r="AA299" s="5"/>
      <c r="AB299" s="24">
        <v>1</v>
      </c>
      <c r="AC299" s="5"/>
      <c r="AD299" s="5" t="str">
        <f t="shared" si="19"/>
        <v>kg_co2e_excl_luc</v>
      </c>
      <c r="AE299" s="24">
        <f>IF(CropLCAs[[#This Row],[Product fraction]]="",CropLCAs[[#This Row],[CO2e (value)]]*CropLCAs[[#This Row],[Conversion factor (value)]],CropLCAs[[#This Row],[CO2e (value)]]*CropLCAs[[#This Row],[Conversion factor (value)]]/CropLCAs[[#This Row],[Product fraction]]*CropLCAs[[#This Row],[Value fraction]])</f>
        <v>0.54</v>
      </c>
      <c r="AF299" s="5"/>
      <c r="AG299" s="5" t="str">
        <f t="shared" si="20"/>
        <v>processed_ghg</v>
      </c>
      <c r="AH299" s="5"/>
      <c r="AI299" s="5"/>
      <c r="AJ299" s="8" t="str">
        <f>IF(CropLCAs[[#This Row],[product_fraction]]&gt;0,CropLCAs[[#This Row],[footprint]]/CropLCAs[[#This Row],[product_fraction]]*CropLCAs[[#This Row],[value_fraction]],"")</f>
        <v/>
      </c>
      <c r="AK299" s="23">
        <f>1/3</f>
        <v>0.33333333333333331</v>
      </c>
      <c r="AL299" s="5" t="s">
        <v>109</v>
      </c>
      <c r="AM299" s="5" t="s">
        <v>189</v>
      </c>
      <c r="AN299" s="5"/>
      <c r="AO299" s="5"/>
      <c r="AP299" s="5"/>
      <c r="AQ299" s="5"/>
      <c r="AR299" s="5"/>
      <c r="AS299" s="5"/>
      <c r="AT299" s="5"/>
      <c r="AU299" s="5"/>
    </row>
    <row r="300" spans="1:47" ht="44.1" customHeight="1" x14ac:dyDescent="0.2">
      <c r="A300" s="5" t="s">
        <v>99</v>
      </c>
      <c r="B300" s="5" t="s">
        <v>1464</v>
      </c>
      <c r="C300" s="5">
        <v>2014</v>
      </c>
      <c r="D300" s="10" t="s">
        <v>185</v>
      </c>
      <c r="E300" s="6" t="s">
        <v>161</v>
      </c>
      <c r="F300" s="5" t="s">
        <v>10</v>
      </c>
      <c r="G300" s="5" t="str">
        <f>IF(CropLCAs[[#This Row],[fbs_item]]="Insects","insect_ghg","plant_ghg")</f>
        <v>plant_ghg</v>
      </c>
      <c r="H300" s="49" t="s">
        <v>186</v>
      </c>
      <c r="I300" s="49"/>
      <c r="J300" s="49"/>
      <c r="K300" s="5" t="s">
        <v>111</v>
      </c>
      <c r="L300" s="5" t="s">
        <v>191</v>
      </c>
      <c r="M300" s="5" t="s">
        <v>102</v>
      </c>
      <c r="N300" s="5" t="s">
        <v>109</v>
      </c>
      <c r="O300" s="5" t="s">
        <v>109</v>
      </c>
      <c r="P300" s="5" t="s">
        <v>102</v>
      </c>
      <c r="Q300" s="5" t="s">
        <v>102</v>
      </c>
      <c r="R300" s="5" t="s">
        <v>188</v>
      </c>
      <c r="S300" s="5" t="s">
        <v>102</v>
      </c>
      <c r="T300" s="5" t="s">
        <v>102</v>
      </c>
      <c r="U300" s="5" t="s">
        <v>126</v>
      </c>
      <c r="V300" s="5">
        <v>1</v>
      </c>
      <c r="W300" s="5" t="s">
        <v>106</v>
      </c>
      <c r="X300" s="26">
        <v>0.66</v>
      </c>
      <c r="Y300" s="5" t="s">
        <v>106</v>
      </c>
      <c r="Z300" s="5"/>
      <c r="AA300" s="5"/>
      <c r="AB300" s="24">
        <v>1</v>
      </c>
      <c r="AC300" s="5"/>
      <c r="AD300" s="5" t="str">
        <f t="shared" si="19"/>
        <v>kg_co2e_excl_luc</v>
      </c>
      <c r="AE300" s="24">
        <f>IF(CropLCAs[[#This Row],[Product fraction]]="",CropLCAs[[#This Row],[CO2e (value)]]*CropLCAs[[#This Row],[Conversion factor (value)]],CropLCAs[[#This Row],[CO2e (value)]]*CropLCAs[[#This Row],[Conversion factor (value)]]/CropLCAs[[#This Row],[Product fraction]]*CropLCAs[[#This Row],[Value fraction]])</f>
        <v>0.66</v>
      </c>
      <c r="AF300" s="5"/>
      <c r="AG300" s="5" t="str">
        <f t="shared" si="20"/>
        <v>processed_ghg</v>
      </c>
      <c r="AH300" s="5"/>
      <c r="AI300" s="5"/>
      <c r="AJ300" s="8" t="str">
        <f>IF(CropLCAs[[#This Row],[product_fraction]]&gt;0,CropLCAs[[#This Row],[footprint]]/CropLCAs[[#This Row],[product_fraction]]*CropLCAs[[#This Row],[value_fraction]],"")</f>
        <v/>
      </c>
      <c r="AK300" s="23">
        <f>1/3</f>
        <v>0.33333333333333331</v>
      </c>
      <c r="AL300" s="5" t="s">
        <v>109</v>
      </c>
      <c r="AM300" s="5" t="s">
        <v>189</v>
      </c>
      <c r="AN300" s="5"/>
      <c r="AO300" s="5"/>
      <c r="AP300" s="5"/>
      <c r="AQ300" s="5"/>
      <c r="AR300" s="5"/>
      <c r="AS300" s="5"/>
      <c r="AT300" s="5"/>
      <c r="AU300" s="5"/>
    </row>
    <row r="301" spans="1:47" ht="44.1" customHeight="1" x14ac:dyDescent="0.2">
      <c r="A301" s="5" t="s">
        <v>99</v>
      </c>
      <c r="B301" s="5" t="s">
        <v>1464</v>
      </c>
      <c r="C301" s="5">
        <v>2014</v>
      </c>
      <c r="D301" s="10" t="s">
        <v>185</v>
      </c>
      <c r="E301" s="6" t="s">
        <v>303</v>
      </c>
      <c r="F301" s="5" t="s">
        <v>14</v>
      </c>
      <c r="G301" s="5" t="str">
        <f>IF(CropLCAs[[#This Row],[fbs_item]]="Insects","insect_ghg","plant_ghg")</f>
        <v>plant_ghg</v>
      </c>
      <c r="H301" s="49" t="s">
        <v>186</v>
      </c>
      <c r="I301" s="49"/>
      <c r="J301" s="49"/>
      <c r="K301" s="5" t="s">
        <v>111</v>
      </c>
      <c r="L301" s="5" t="s">
        <v>191</v>
      </c>
      <c r="M301" s="5" t="s">
        <v>102</v>
      </c>
      <c r="N301" s="5" t="s">
        <v>109</v>
      </c>
      <c r="O301" s="5" t="s">
        <v>109</v>
      </c>
      <c r="P301" s="5" t="s">
        <v>102</v>
      </c>
      <c r="Q301" s="5" t="s">
        <v>102</v>
      </c>
      <c r="R301" s="5" t="s">
        <v>188</v>
      </c>
      <c r="S301" s="5" t="s">
        <v>102</v>
      </c>
      <c r="T301" s="5" t="s">
        <v>102</v>
      </c>
      <c r="U301" s="5" t="s">
        <v>126</v>
      </c>
      <c r="V301" s="5">
        <v>1</v>
      </c>
      <c r="W301" s="5" t="s">
        <v>106</v>
      </c>
      <c r="X301" s="26">
        <v>0.57999999999999996</v>
      </c>
      <c r="Y301" s="5" t="s">
        <v>106</v>
      </c>
      <c r="Z301" s="5"/>
      <c r="AA301" s="5"/>
      <c r="AB301" s="24">
        <v>1</v>
      </c>
      <c r="AC301" s="5"/>
      <c r="AD301" s="5" t="str">
        <f t="shared" si="19"/>
        <v>kg_co2e_excl_luc</v>
      </c>
      <c r="AE301" s="24">
        <f>IF(CropLCAs[[#This Row],[Product fraction]]="",CropLCAs[[#This Row],[CO2e (value)]]*CropLCAs[[#This Row],[Conversion factor (value)]],CropLCAs[[#This Row],[CO2e (value)]]*CropLCAs[[#This Row],[Conversion factor (value)]]/CropLCAs[[#This Row],[Product fraction]]*CropLCAs[[#This Row],[Value fraction]])</f>
        <v>0.57999999999999996</v>
      </c>
      <c r="AF301" s="5"/>
      <c r="AG301" s="5" t="str">
        <f t="shared" si="20"/>
        <v>processed_ghg</v>
      </c>
      <c r="AH301" s="5"/>
      <c r="AI301" s="5"/>
      <c r="AJ301" s="8" t="str">
        <f>IF(CropLCAs[[#This Row],[product_fraction]]&gt;0,CropLCAs[[#This Row],[footprint]]/CropLCAs[[#This Row],[product_fraction]]*CropLCAs[[#This Row],[value_fraction]],"")</f>
        <v/>
      </c>
      <c r="AK301" s="23">
        <f t="shared" ref="AK301:AK306" si="21">1/2</f>
        <v>0.5</v>
      </c>
      <c r="AL301" s="5" t="s">
        <v>109</v>
      </c>
      <c r="AM301" s="5" t="s">
        <v>189</v>
      </c>
      <c r="AN301" s="5"/>
      <c r="AO301" s="5"/>
      <c r="AP301" s="5"/>
      <c r="AQ301" s="5"/>
      <c r="AR301" s="5"/>
      <c r="AS301" s="5"/>
      <c r="AT301" s="5"/>
      <c r="AU301" s="5"/>
    </row>
    <row r="302" spans="1:47" ht="44.1" customHeight="1" x14ac:dyDescent="0.2">
      <c r="A302" s="5" t="s">
        <v>99</v>
      </c>
      <c r="B302" s="5" t="s">
        <v>1464</v>
      </c>
      <c r="C302" s="5">
        <v>2014</v>
      </c>
      <c r="D302" s="10" t="s">
        <v>185</v>
      </c>
      <c r="E302" s="6" t="s">
        <v>304</v>
      </c>
      <c r="F302" s="5" t="s">
        <v>14</v>
      </c>
      <c r="G302" s="5" t="str">
        <f>IF(CropLCAs[[#This Row],[fbs_item]]="Insects","insect_ghg","plant_ghg")</f>
        <v>plant_ghg</v>
      </c>
      <c r="H302" s="49" t="s">
        <v>186</v>
      </c>
      <c r="I302" s="49"/>
      <c r="J302" s="49"/>
      <c r="K302" s="5" t="s">
        <v>111</v>
      </c>
      <c r="L302" s="5" t="s">
        <v>190</v>
      </c>
      <c r="M302" s="5" t="s">
        <v>102</v>
      </c>
      <c r="N302" s="5" t="s">
        <v>109</v>
      </c>
      <c r="O302" s="5" t="s">
        <v>109</v>
      </c>
      <c r="P302" s="5" t="s">
        <v>102</v>
      </c>
      <c r="Q302" s="5" t="s">
        <v>102</v>
      </c>
      <c r="R302" s="5" t="s">
        <v>188</v>
      </c>
      <c r="S302" s="5" t="s">
        <v>102</v>
      </c>
      <c r="T302" s="5" t="s">
        <v>102</v>
      </c>
      <c r="U302" s="5" t="s">
        <v>126</v>
      </c>
      <c r="V302" s="5">
        <v>1</v>
      </c>
      <c r="W302" s="5" t="s">
        <v>106</v>
      </c>
      <c r="X302" s="26">
        <v>0.51</v>
      </c>
      <c r="Y302" s="5" t="s">
        <v>106</v>
      </c>
      <c r="Z302" s="5"/>
      <c r="AA302" s="5"/>
      <c r="AB302" s="24">
        <v>1</v>
      </c>
      <c r="AC302" s="5"/>
      <c r="AD302" s="5" t="str">
        <f t="shared" si="19"/>
        <v>kg_co2e_excl_luc</v>
      </c>
      <c r="AE302" s="24">
        <f>IF(CropLCAs[[#This Row],[Product fraction]]="",CropLCAs[[#This Row],[CO2e (value)]]*CropLCAs[[#This Row],[Conversion factor (value)]],CropLCAs[[#This Row],[CO2e (value)]]*CropLCAs[[#This Row],[Conversion factor (value)]]/CropLCAs[[#This Row],[Product fraction]]*CropLCAs[[#This Row],[Value fraction]])</f>
        <v>0.51</v>
      </c>
      <c r="AF302" s="5"/>
      <c r="AG302" s="5" t="str">
        <f t="shared" si="20"/>
        <v>processed_ghg</v>
      </c>
      <c r="AH302" s="5"/>
      <c r="AI302" s="5"/>
      <c r="AJ302" s="8" t="str">
        <f>IF(CropLCAs[[#This Row],[product_fraction]]&gt;0,CropLCAs[[#This Row],[footprint]]/CropLCAs[[#This Row],[product_fraction]]*CropLCAs[[#This Row],[value_fraction]],"")</f>
        <v/>
      </c>
      <c r="AK302" s="23">
        <f t="shared" si="21"/>
        <v>0.5</v>
      </c>
      <c r="AL302" s="5" t="s">
        <v>109</v>
      </c>
      <c r="AM302" s="5" t="s">
        <v>189</v>
      </c>
      <c r="AN302" s="5"/>
      <c r="AO302" s="5"/>
      <c r="AP302" s="5"/>
      <c r="AQ302" s="5"/>
      <c r="AR302" s="5"/>
      <c r="AS302" s="5"/>
      <c r="AT302" s="5"/>
      <c r="AU302" s="5"/>
    </row>
    <row r="303" spans="1:47" ht="44.1" customHeight="1" x14ac:dyDescent="0.2">
      <c r="A303" s="5" t="s">
        <v>99</v>
      </c>
      <c r="B303" s="5" t="s">
        <v>1464</v>
      </c>
      <c r="C303" s="5">
        <v>2014</v>
      </c>
      <c r="D303" s="10" t="s">
        <v>185</v>
      </c>
      <c r="E303" s="6" t="s">
        <v>1324</v>
      </c>
      <c r="F303" s="5" t="s">
        <v>5</v>
      </c>
      <c r="G303" s="5" t="str">
        <f>IF(CropLCAs[[#This Row],[fbs_item]]="Insects","insect_ghg","plant_ghg")</f>
        <v>plant_ghg</v>
      </c>
      <c r="H303" s="49" t="s">
        <v>186</v>
      </c>
      <c r="I303" s="49"/>
      <c r="J303" s="49"/>
      <c r="K303" s="5" t="s">
        <v>111</v>
      </c>
      <c r="L303" s="5" t="s">
        <v>190</v>
      </c>
      <c r="M303" s="5" t="s">
        <v>102</v>
      </c>
      <c r="N303" s="5" t="s">
        <v>109</v>
      </c>
      <c r="O303" s="5" t="s">
        <v>109</v>
      </c>
      <c r="P303" s="5" t="s">
        <v>102</v>
      </c>
      <c r="Q303" s="5" t="s">
        <v>102</v>
      </c>
      <c r="R303" s="5" t="s">
        <v>188</v>
      </c>
      <c r="S303" s="5" t="s">
        <v>102</v>
      </c>
      <c r="T303" s="5" t="s">
        <v>102</v>
      </c>
      <c r="U303" s="5" t="s">
        <v>126</v>
      </c>
      <c r="V303" s="5">
        <v>1</v>
      </c>
      <c r="W303" s="5" t="s">
        <v>106</v>
      </c>
      <c r="X303" s="26">
        <v>0.5</v>
      </c>
      <c r="Y303" s="5" t="s">
        <v>106</v>
      </c>
      <c r="Z303" s="5"/>
      <c r="AA303" s="5"/>
      <c r="AB303" s="24">
        <v>1</v>
      </c>
      <c r="AC303" s="5"/>
      <c r="AD303" s="5" t="str">
        <f t="shared" si="19"/>
        <v>kg_co2e_excl_luc</v>
      </c>
      <c r="AE303" s="24">
        <f>IF(CropLCAs[[#This Row],[Product fraction]]="",CropLCAs[[#This Row],[CO2e (value)]]*CropLCAs[[#This Row],[Conversion factor (value)]],CropLCAs[[#This Row],[CO2e (value)]]*CropLCAs[[#This Row],[Conversion factor (value)]]/CropLCAs[[#This Row],[Product fraction]]*CropLCAs[[#This Row],[Value fraction]])</f>
        <v>0.5</v>
      </c>
      <c r="AF303" s="5"/>
      <c r="AG303" s="5" t="str">
        <f t="shared" si="20"/>
        <v>processed_ghg</v>
      </c>
      <c r="AH303" s="5"/>
      <c r="AI303" s="5"/>
      <c r="AJ303" s="8" t="str">
        <f>IF(CropLCAs[[#This Row],[product_fraction]]&gt;0,CropLCAs[[#This Row],[footprint]]/CropLCAs[[#This Row],[product_fraction]]*CropLCAs[[#This Row],[value_fraction]],"")</f>
        <v/>
      </c>
      <c r="AK303" s="23">
        <f t="shared" si="21"/>
        <v>0.5</v>
      </c>
      <c r="AL303" s="5" t="s">
        <v>109</v>
      </c>
      <c r="AM303" s="5" t="s">
        <v>189</v>
      </c>
      <c r="AN303" s="5"/>
      <c r="AO303" s="5"/>
      <c r="AP303" s="5"/>
      <c r="AQ303" s="5"/>
      <c r="AR303" s="5"/>
      <c r="AS303" s="5"/>
      <c r="AT303" s="5"/>
      <c r="AU303" s="5"/>
    </row>
    <row r="304" spans="1:47" ht="44.1" customHeight="1" x14ac:dyDescent="0.2">
      <c r="A304" s="5" t="s">
        <v>99</v>
      </c>
      <c r="B304" s="5" t="s">
        <v>1464</v>
      </c>
      <c r="C304" s="5">
        <v>2014</v>
      </c>
      <c r="D304" s="10" t="s">
        <v>185</v>
      </c>
      <c r="E304" s="6" t="s">
        <v>1324</v>
      </c>
      <c r="F304" s="5" t="s">
        <v>5</v>
      </c>
      <c r="G304" s="5" t="str">
        <f>IF(CropLCAs[[#This Row],[fbs_item]]="Insects","insect_ghg","plant_ghg")</f>
        <v>plant_ghg</v>
      </c>
      <c r="H304" s="49" t="s">
        <v>186</v>
      </c>
      <c r="I304" s="49"/>
      <c r="J304" s="49"/>
      <c r="K304" s="5" t="s">
        <v>111</v>
      </c>
      <c r="L304" s="5" t="s">
        <v>191</v>
      </c>
      <c r="M304" s="5" t="s">
        <v>102</v>
      </c>
      <c r="N304" s="5" t="s">
        <v>109</v>
      </c>
      <c r="O304" s="5" t="s">
        <v>109</v>
      </c>
      <c r="P304" s="5" t="s">
        <v>102</v>
      </c>
      <c r="Q304" s="5" t="s">
        <v>102</v>
      </c>
      <c r="R304" s="5" t="s">
        <v>188</v>
      </c>
      <c r="S304" s="5" t="s">
        <v>102</v>
      </c>
      <c r="T304" s="5" t="s">
        <v>102</v>
      </c>
      <c r="U304" s="5" t="s">
        <v>126</v>
      </c>
      <c r="V304" s="5">
        <v>1</v>
      </c>
      <c r="W304" s="5" t="s">
        <v>106</v>
      </c>
      <c r="X304" s="26">
        <v>0.72</v>
      </c>
      <c r="Y304" s="5" t="s">
        <v>106</v>
      </c>
      <c r="Z304" s="5"/>
      <c r="AA304" s="5"/>
      <c r="AB304" s="24">
        <v>1</v>
      </c>
      <c r="AC304" s="5"/>
      <c r="AD304" s="5" t="str">
        <f t="shared" si="19"/>
        <v>kg_co2e_excl_luc</v>
      </c>
      <c r="AE304" s="24">
        <f>IF(CropLCAs[[#This Row],[Product fraction]]="",CropLCAs[[#This Row],[CO2e (value)]]*CropLCAs[[#This Row],[Conversion factor (value)]],CropLCAs[[#This Row],[CO2e (value)]]*CropLCAs[[#This Row],[Conversion factor (value)]]/CropLCAs[[#This Row],[Product fraction]]*CropLCAs[[#This Row],[Value fraction]])</f>
        <v>0.72</v>
      </c>
      <c r="AF304" s="5"/>
      <c r="AG304" s="5" t="str">
        <f t="shared" si="20"/>
        <v>processed_ghg</v>
      </c>
      <c r="AH304" s="5"/>
      <c r="AI304" s="5"/>
      <c r="AJ304" s="8" t="str">
        <f>IF(CropLCAs[[#This Row],[product_fraction]]&gt;0,CropLCAs[[#This Row],[footprint]]/CropLCAs[[#This Row],[product_fraction]]*CropLCAs[[#This Row],[value_fraction]],"")</f>
        <v/>
      </c>
      <c r="AK304" s="23">
        <f t="shared" si="21"/>
        <v>0.5</v>
      </c>
      <c r="AL304" s="5" t="s">
        <v>109</v>
      </c>
      <c r="AM304" s="5" t="s">
        <v>189</v>
      </c>
      <c r="AN304" s="5"/>
      <c r="AO304" s="5"/>
      <c r="AP304" s="5"/>
      <c r="AQ304" s="5"/>
      <c r="AR304" s="5"/>
      <c r="AS304" s="5"/>
      <c r="AT304" s="5"/>
      <c r="AU304" s="5"/>
    </row>
    <row r="305" spans="1:47" ht="44.1" customHeight="1" x14ac:dyDescent="0.2">
      <c r="A305" s="5" t="s">
        <v>99</v>
      </c>
      <c r="B305" s="5" t="s">
        <v>1464</v>
      </c>
      <c r="C305" s="5">
        <v>2014</v>
      </c>
      <c r="D305" s="10" t="s">
        <v>185</v>
      </c>
      <c r="E305" s="6" t="s">
        <v>1321</v>
      </c>
      <c r="F305" s="5" t="s">
        <v>5</v>
      </c>
      <c r="G305" s="5" t="str">
        <f>IF(CropLCAs[[#This Row],[fbs_item]]="Insects","insect_ghg","plant_ghg")</f>
        <v>plant_ghg</v>
      </c>
      <c r="H305" s="49" t="s">
        <v>186</v>
      </c>
      <c r="I305" s="49"/>
      <c r="J305" s="49"/>
      <c r="K305" s="5" t="s">
        <v>111</v>
      </c>
      <c r="L305" s="5" t="s">
        <v>187</v>
      </c>
      <c r="M305" s="5" t="s">
        <v>102</v>
      </c>
      <c r="N305" s="5" t="s">
        <v>109</v>
      </c>
      <c r="O305" s="5" t="s">
        <v>109</v>
      </c>
      <c r="P305" s="5" t="s">
        <v>102</v>
      </c>
      <c r="Q305" s="5" t="s">
        <v>102</v>
      </c>
      <c r="R305" s="5" t="s">
        <v>188</v>
      </c>
      <c r="S305" s="5" t="s">
        <v>102</v>
      </c>
      <c r="T305" s="5" t="s">
        <v>102</v>
      </c>
      <c r="U305" s="5" t="s">
        <v>126</v>
      </c>
      <c r="V305" s="5">
        <v>1</v>
      </c>
      <c r="W305" s="5" t="s">
        <v>106</v>
      </c>
      <c r="X305" s="26">
        <v>0.65</v>
      </c>
      <c r="Y305" s="5" t="s">
        <v>106</v>
      </c>
      <c r="Z305" s="5"/>
      <c r="AA305" s="5"/>
      <c r="AB305" s="24">
        <v>1</v>
      </c>
      <c r="AC305" s="5"/>
      <c r="AD305" s="5" t="str">
        <f t="shared" si="19"/>
        <v>kg_co2e_excl_luc</v>
      </c>
      <c r="AE305" s="24">
        <f>IF(CropLCAs[[#This Row],[Product fraction]]="",CropLCAs[[#This Row],[CO2e (value)]]*CropLCAs[[#This Row],[Conversion factor (value)]],CropLCAs[[#This Row],[CO2e (value)]]*CropLCAs[[#This Row],[Conversion factor (value)]]/CropLCAs[[#This Row],[Product fraction]]*CropLCAs[[#This Row],[Value fraction]])</f>
        <v>0.65</v>
      </c>
      <c r="AF305" s="5"/>
      <c r="AG305" s="5" t="str">
        <f t="shared" si="20"/>
        <v>processed_ghg</v>
      </c>
      <c r="AH305" s="5"/>
      <c r="AI305" s="5"/>
      <c r="AJ305" s="8" t="str">
        <f>IF(CropLCAs[[#This Row],[product_fraction]]&gt;0,CropLCAs[[#This Row],[footprint]]/CropLCAs[[#This Row],[product_fraction]]*CropLCAs[[#This Row],[value_fraction]],"")</f>
        <v/>
      </c>
      <c r="AK305" s="23">
        <f t="shared" si="21"/>
        <v>0.5</v>
      </c>
      <c r="AL305" s="5" t="s">
        <v>109</v>
      </c>
      <c r="AM305" s="5" t="s">
        <v>189</v>
      </c>
      <c r="AN305" s="5"/>
      <c r="AO305" s="5"/>
      <c r="AP305" s="5"/>
      <c r="AQ305" s="5"/>
      <c r="AR305" s="5"/>
      <c r="AS305" s="5"/>
      <c r="AT305" s="5"/>
      <c r="AU305" s="5"/>
    </row>
    <row r="306" spans="1:47" ht="44.1" customHeight="1" x14ac:dyDescent="0.2">
      <c r="A306" s="5" t="s">
        <v>99</v>
      </c>
      <c r="B306" s="5" t="s">
        <v>1464</v>
      </c>
      <c r="C306" s="5">
        <v>2014</v>
      </c>
      <c r="D306" s="10" t="s">
        <v>185</v>
      </c>
      <c r="E306" s="6" t="s">
        <v>1321</v>
      </c>
      <c r="F306" s="5" t="s">
        <v>5</v>
      </c>
      <c r="G306" s="5" t="str">
        <f>IF(CropLCAs[[#This Row],[fbs_item]]="Insects","insect_ghg","plant_ghg")</f>
        <v>plant_ghg</v>
      </c>
      <c r="H306" s="49" t="s">
        <v>186</v>
      </c>
      <c r="I306" s="49"/>
      <c r="J306" s="49"/>
      <c r="K306" s="5" t="s">
        <v>111</v>
      </c>
      <c r="L306" s="5" t="s">
        <v>191</v>
      </c>
      <c r="M306" s="5" t="s">
        <v>102</v>
      </c>
      <c r="N306" s="5" t="s">
        <v>109</v>
      </c>
      <c r="O306" s="5" t="s">
        <v>109</v>
      </c>
      <c r="P306" s="5" t="s">
        <v>102</v>
      </c>
      <c r="Q306" s="5" t="s">
        <v>102</v>
      </c>
      <c r="R306" s="5" t="s">
        <v>188</v>
      </c>
      <c r="S306" s="5" t="s">
        <v>102</v>
      </c>
      <c r="T306" s="5" t="s">
        <v>102</v>
      </c>
      <c r="U306" s="5" t="s">
        <v>126</v>
      </c>
      <c r="V306" s="5">
        <v>1</v>
      </c>
      <c r="W306" s="5" t="s">
        <v>106</v>
      </c>
      <c r="X306" s="26">
        <v>0.59</v>
      </c>
      <c r="Y306" s="5" t="s">
        <v>106</v>
      </c>
      <c r="Z306" s="5"/>
      <c r="AA306" s="5"/>
      <c r="AB306" s="24">
        <v>1</v>
      </c>
      <c r="AC306" s="5"/>
      <c r="AD306" s="5" t="str">
        <f t="shared" si="19"/>
        <v>kg_co2e_excl_luc</v>
      </c>
      <c r="AE306" s="24">
        <f>IF(CropLCAs[[#This Row],[Product fraction]]="",CropLCAs[[#This Row],[CO2e (value)]]*CropLCAs[[#This Row],[Conversion factor (value)]],CropLCAs[[#This Row],[CO2e (value)]]*CropLCAs[[#This Row],[Conversion factor (value)]]/CropLCAs[[#This Row],[Product fraction]]*CropLCAs[[#This Row],[Value fraction]])</f>
        <v>0.59</v>
      </c>
      <c r="AF306" s="5"/>
      <c r="AG306" s="5" t="str">
        <f t="shared" si="20"/>
        <v>processed_ghg</v>
      </c>
      <c r="AH306" s="5"/>
      <c r="AI306" s="5"/>
      <c r="AJ306" s="8" t="str">
        <f>IF(CropLCAs[[#This Row],[product_fraction]]&gt;0,CropLCAs[[#This Row],[footprint]]/CropLCAs[[#This Row],[product_fraction]]*CropLCAs[[#This Row],[value_fraction]],"")</f>
        <v/>
      </c>
      <c r="AK306" s="23">
        <f t="shared" si="21"/>
        <v>0.5</v>
      </c>
      <c r="AL306" s="5" t="s">
        <v>109</v>
      </c>
      <c r="AM306" s="5" t="s">
        <v>189</v>
      </c>
      <c r="AN306" s="5"/>
      <c r="AO306" s="5"/>
      <c r="AP306" s="5"/>
      <c r="AQ306" s="5"/>
      <c r="AR306" s="5"/>
      <c r="AS306" s="5"/>
      <c r="AT306" s="5"/>
      <c r="AU306" s="5"/>
    </row>
    <row r="307" spans="1:47" ht="44.1" customHeight="1" x14ac:dyDescent="0.2">
      <c r="A307" s="5" t="s">
        <v>112</v>
      </c>
      <c r="B307" s="5" t="s">
        <v>1465</v>
      </c>
      <c r="C307" s="7">
        <v>2010</v>
      </c>
      <c r="D307" s="5" t="s">
        <v>232</v>
      </c>
      <c r="E307" s="6" t="s">
        <v>233</v>
      </c>
      <c r="F307" s="5" t="s">
        <v>31</v>
      </c>
      <c r="G307" s="5" t="str">
        <f>IF(CropLCAs[[#This Row],[fbs_item]]="Insects","insect_ghg","plant_ghg")</f>
        <v>plant_ghg</v>
      </c>
      <c r="H307" s="49" t="s">
        <v>143</v>
      </c>
      <c r="I307" s="49"/>
      <c r="J307" s="49"/>
      <c r="K307" s="5" t="s">
        <v>111</v>
      </c>
      <c r="L307" s="5" t="s">
        <v>234</v>
      </c>
      <c r="M307" s="5" t="s">
        <v>102</v>
      </c>
      <c r="N307" s="5" t="s">
        <v>102</v>
      </c>
      <c r="O307" s="5" t="s">
        <v>109</v>
      </c>
      <c r="P307" s="5" t="s">
        <v>102</v>
      </c>
      <c r="Q307" s="5" t="s">
        <v>102</v>
      </c>
      <c r="R307" s="5" t="s">
        <v>102</v>
      </c>
      <c r="S307" s="5" t="s">
        <v>105</v>
      </c>
      <c r="T307" s="5" t="s">
        <v>102</v>
      </c>
      <c r="U307" s="5">
        <v>100</v>
      </c>
      <c r="V307" s="5">
        <v>1</v>
      </c>
      <c r="W307" s="5" t="s">
        <v>165</v>
      </c>
      <c r="X307" s="24">
        <v>289</v>
      </c>
      <c r="Y307" s="5" t="s">
        <v>106</v>
      </c>
      <c r="Z307" s="5"/>
      <c r="AA307" s="5"/>
      <c r="AB307" s="24">
        <v>1E-3</v>
      </c>
      <c r="AC307" s="5" t="s">
        <v>195</v>
      </c>
      <c r="AD307" s="5" t="str">
        <f t="shared" si="19"/>
        <v>kg_co2e_excl_luc</v>
      </c>
      <c r="AE307" s="24">
        <f>IF(CropLCAs[[#This Row],[Product fraction]]="",CropLCAs[[#This Row],[CO2e (value)]]*CropLCAs[[#This Row],[Conversion factor (value)]],CropLCAs[[#This Row],[CO2e (value)]]*CropLCAs[[#This Row],[Conversion factor (value)]]/CropLCAs[[#This Row],[Product fraction]]*CropLCAs[[#This Row],[Value fraction]])</f>
        <v>0.28899999999999998</v>
      </c>
      <c r="AF307" s="5"/>
      <c r="AG307" s="5" t="str">
        <f t="shared" si="20"/>
        <v>processed_ghg</v>
      </c>
      <c r="AH307" s="5"/>
      <c r="AI307" s="5"/>
      <c r="AJ307" s="8" t="str">
        <f>IF(CropLCAs[[#This Row],[product_fraction]]&gt;0,CropLCAs[[#This Row],[footprint]]/CropLCAs[[#This Row],[product_fraction]]*CropLCAs[[#This Row],[value_fraction]],"")</f>
        <v/>
      </c>
      <c r="AK307" s="23">
        <f>1/5</f>
        <v>0.2</v>
      </c>
      <c r="AL307" s="5" t="s">
        <v>109</v>
      </c>
      <c r="AM307" s="5" t="s">
        <v>235</v>
      </c>
      <c r="AN307" s="5"/>
      <c r="AO307" s="5"/>
      <c r="AP307" s="5"/>
      <c r="AQ307" s="5"/>
      <c r="AR307" s="5"/>
      <c r="AS307" s="5"/>
      <c r="AT307" s="5"/>
      <c r="AU307" s="5"/>
    </row>
    <row r="308" spans="1:47" ht="44.1" customHeight="1" x14ac:dyDescent="0.2">
      <c r="A308" s="5" t="s">
        <v>112</v>
      </c>
      <c r="B308" s="5" t="s">
        <v>1465</v>
      </c>
      <c r="C308" s="7">
        <v>2010</v>
      </c>
      <c r="D308" s="5" t="s">
        <v>232</v>
      </c>
      <c r="E308" s="6" t="s">
        <v>233</v>
      </c>
      <c r="F308" s="5" t="s">
        <v>31</v>
      </c>
      <c r="G308" s="5" t="str">
        <f>IF(CropLCAs[[#This Row],[fbs_item]]="Insects","insect_ghg","plant_ghg")</f>
        <v>plant_ghg</v>
      </c>
      <c r="H308" s="49" t="s">
        <v>143</v>
      </c>
      <c r="I308" s="49"/>
      <c r="J308" s="49"/>
      <c r="K308" s="5" t="s">
        <v>101</v>
      </c>
      <c r="L308" s="5" t="s">
        <v>234</v>
      </c>
      <c r="M308" s="5" t="s">
        <v>102</v>
      </c>
      <c r="N308" s="5" t="s">
        <v>102</v>
      </c>
      <c r="O308" s="5" t="s">
        <v>109</v>
      </c>
      <c r="P308" s="5" t="s">
        <v>102</v>
      </c>
      <c r="Q308" s="5" t="s">
        <v>102</v>
      </c>
      <c r="R308" s="5" t="s">
        <v>102</v>
      </c>
      <c r="S308" s="5" t="s">
        <v>105</v>
      </c>
      <c r="T308" s="5" t="s">
        <v>102</v>
      </c>
      <c r="U308" s="5">
        <v>100</v>
      </c>
      <c r="V308" s="5">
        <v>1</v>
      </c>
      <c r="W308" s="5" t="s">
        <v>165</v>
      </c>
      <c r="X308" s="24">
        <v>55.6</v>
      </c>
      <c r="Y308" s="5" t="s">
        <v>106</v>
      </c>
      <c r="Z308" s="5"/>
      <c r="AA308" s="5"/>
      <c r="AB308" s="24">
        <v>1E-3</v>
      </c>
      <c r="AC308" s="5" t="s">
        <v>195</v>
      </c>
      <c r="AD308" s="5" t="str">
        <f t="shared" si="19"/>
        <v>kg_co2e_excl_luc</v>
      </c>
      <c r="AE308" s="24">
        <f>IF(CropLCAs[[#This Row],[Product fraction]]="",CropLCAs[[#This Row],[CO2e (value)]]*CropLCAs[[#This Row],[Conversion factor (value)]],CropLCAs[[#This Row],[CO2e (value)]]*CropLCAs[[#This Row],[Conversion factor (value)]]/CropLCAs[[#This Row],[Product fraction]]*CropLCAs[[#This Row],[Value fraction]])</f>
        <v>5.5600000000000004E-2</v>
      </c>
      <c r="AF308" s="5"/>
      <c r="AG308" s="5" t="str">
        <f t="shared" si="20"/>
        <v>processed_ghg</v>
      </c>
      <c r="AH308" s="5"/>
      <c r="AI308" s="5"/>
      <c r="AJ308" s="8" t="str">
        <f>IF(CropLCAs[[#This Row],[product_fraction]]&gt;0,CropLCAs[[#This Row],[footprint]]/CropLCAs[[#This Row],[product_fraction]]*CropLCAs[[#This Row],[value_fraction]],"")</f>
        <v/>
      </c>
      <c r="AK308" s="23">
        <f>1/5</f>
        <v>0.2</v>
      </c>
      <c r="AL308" s="5" t="s">
        <v>109</v>
      </c>
      <c r="AM308" s="5" t="s">
        <v>235</v>
      </c>
      <c r="AN308" s="5"/>
      <c r="AO308" s="5"/>
      <c r="AP308" s="5"/>
      <c r="AQ308" s="5"/>
      <c r="AR308" s="5"/>
      <c r="AS308" s="5"/>
      <c r="AT308" s="5"/>
      <c r="AU308" s="5"/>
    </row>
    <row r="309" spans="1:47" ht="44.1" customHeight="1" x14ac:dyDescent="0.2">
      <c r="A309" s="5" t="s">
        <v>112</v>
      </c>
      <c r="B309" s="5" t="s">
        <v>1465</v>
      </c>
      <c r="C309" s="7">
        <v>2010</v>
      </c>
      <c r="D309" s="5" t="s">
        <v>232</v>
      </c>
      <c r="E309" s="6" t="s">
        <v>233</v>
      </c>
      <c r="F309" s="5" t="s">
        <v>31</v>
      </c>
      <c r="G309" s="5" t="str">
        <f>IF(CropLCAs[[#This Row],[fbs_item]]="Insects","insect_ghg","plant_ghg")</f>
        <v>plant_ghg</v>
      </c>
      <c r="H309" s="49" t="s">
        <v>143</v>
      </c>
      <c r="I309" s="49"/>
      <c r="J309" s="49"/>
      <c r="K309" s="5" t="s">
        <v>101</v>
      </c>
      <c r="L309" s="5" t="s">
        <v>236</v>
      </c>
      <c r="M309" s="5" t="s">
        <v>102</v>
      </c>
      <c r="N309" s="5" t="s">
        <v>102</v>
      </c>
      <c r="O309" s="5" t="s">
        <v>109</v>
      </c>
      <c r="P309" s="5" t="s">
        <v>102</v>
      </c>
      <c r="Q309" s="5" t="s">
        <v>102</v>
      </c>
      <c r="R309" s="5" t="s">
        <v>102</v>
      </c>
      <c r="S309" s="5" t="s">
        <v>105</v>
      </c>
      <c r="T309" s="5" t="s">
        <v>102</v>
      </c>
      <c r="U309" s="5">
        <v>100</v>
      </c>
      <c r="V309" s="5">
        <v>1</v>
      </c>
      <c r="W309" s="5" t="s">
        <v>165</v>
      </c>
      <c r="X309" s="24">
        <v>155.30000000000001</v>
      </c>
      <c r="Y309" s="5" t="s">
        <v>106</v>
      </c>
      <c r="Z309" s="5"/>
      <c r="AA309" s="5"/>
      <c r="AB309" s="24">
        <v>1E-3</v>
      </c>
      <c r="AC309" s="5" t="s">
        <v>195</v>
      </c>
      <c r="AD309" s="5" t="str">
        <f t="shared" si="19"/>
        <v>kg_co2e_excl_luc</v>
      </c>
      <c r="AE309" s="24">
        <f>IF(CropLCAs[[#This Row],[Product fraction]]="",CropLCAs[[#This Row],[CO2e (value)]]*CropLCAs[[#This Row],[Conversion factor (value)]],CropLCAs[[#This Row],[CO2e (value)]]*CropLCAs[[#This Row],[Conversion factor (value)]]/CropLCAs[[#This Row],[Product fraction]]*CropLCAs[[#This Row],[Value fraction]])</f>
        <v>0.15530000000000002</v>
      </c>
      <c r="AF309" s="5"/>
      <c r="AG309" s="5" t="str">
        <f t="shared" si="20"/>
        <v>processed_ghg</v>
      </c>
      <c r="AH309" s="5"/>
      <c r="AI309" s="5"/>
      <c r="AJ309" s="8" t="str">
        <f>IF(CropLCAs[[#This Row],[product_fraction]]&gt;0,CropLCAs[[#This Row],[footprint]]/CropLCAs[[#This Row],[product_fraction]]*CropLCAs[[#This Row],[value_fraction]],"")</f>
        <v/>
      </c>
      <c r="AK309" s="23">
        <f>1/5</f>
        <v>0.2</v>
      </c>
      <c r="AL309" s="5" t="s">
        <v>109</v>
      </c>
      <c r="AM309" s="5" t="s">
        <v>235</v>
      </c>
      <c r="AN309" s="5"/>
      <c r="AO309" s="5"/>
      <c r="AP309" s="5"/>
      <c r="AQ309" s="5"/>
      <c r="AR309" s="5"/>
      <c r="AS309" s="5"/>
      <c r="AT309" s="5"/>
      <c r="AU309" s="5"/>
    </row>
    <row r="310" spans="1:47" ht="44.1" customHeight="1" x14ac:dyDescent="0.2">
      <c r="A310" s="5" t="s">
        <v>112</v>
      </c>
      <c r="B310" s="5" t="s">
        <v>1465</v>
      </c>
      <c r="C310" s="7">
        <v>2010</v>
      </c>
      <c r="D310" s="5" t="s">
        <v>232</v>
      </c>
      <c r="E310" s="6" t="s">
        <v>233</v>
      </c>
      <c r="F310" s="5" t="s">
        <v>31</v>
      </c>
      <c r="G310" s="5" t="str">
        <f>IF(CropLCAs[[#This Row],[fbs_item]]="Insects","insect_ghg","plant_ghg")</f>
        <v>plant_ghg</v>
      </c>
      <c r="H310" s="49" t="s">
        <v>143</v>
      </c>
      <c r="I310" s="49"/>
      <c r="J310" s="49"/>
      <c r="K310" s="5" t="s">
        <v>111</v>
      </c>
      <c r="L310" s="5" t="s">
        <v>236</v>
      </c>
      <c r="M310" s="5" t="s">
        <v>102</v>
      </c>
      <c r="N310" s="5" t="s">
        <v>102</v>
      </c>
      <c r="O310" s="5" t="s">
        <v>109</v>
      </c>
      <c r="P310" s="5" t="s">
        <v>102</v>
      </c>
      <c r="Q310" s="5" t="s">
        <v>102</v>
      </c>
      <c r="R310" s="5" t="s">
        <v>102</v>
      </c>
      <c r="S310" s="5" t="s">
        <v>105</v>
      </c>
      <c r="T310" s="5" t="s">
        <v>102</v>
      </c>
      <c r="U310" s="5">
        <v>100</v>
      </c>
      <c r="V310" s="5">
        <v>1</v>
      </c>
      <c r="W310" s="5" t="s">
        <v>165</v>
      </c>
      <c r="X310" s="24">
        <v>379</v>
      </c>
      <c r="Y310" s="5" t="s">
        <v>106</v>
      </c>
      <c r="Z310" s="5"/>
      <c r="AA310" s="5"/>
      <c r="AB310" s="24">
        <v>1E-3</v>
      </c>
      <c r="AC310" s="5" t="s">
        <v>195</v>
      </c>
      <c r="AD310" s="5" t="str">
        <f t="shared" si="19"/>
        <v>kg_co2e_excl_luc</v>
      </c>
      <c r="AE310" s="24">
        <f>IF(CropLCAs[[#This Row],[Product fraction]]="",CropLCAs[[#This Row],[CO2e (value)]]*CropLCAs[[#This Row],[Conversion factor (value)]],CropLCAs[[#This Row],[CO2e (value)]]*CropLCAs[[#This Row],[Conversion factor (value)]]/CropLCAs[[#This Row],[Product fraction]]*CropLCAs[[#This Row],[Value fraction]])</f>
        <v>0.379</v>
      </c>
      <c r="AF310" s="5"/>
      <c r="AG310" s="5" t="str">
        <f t="shared" si="20"/>
        <v>processed_ghg</v>
      </c>
      <c r="AH310" s="5"/>
      <c r="AI310" s="5"/>
      <c r="AJ310" s="8" t="str">
        <f>IF(CropLCAs[[#This Row],[product_fraction]]&gt;0,CropLCAs[[#This Row],[footprint]]/CropLCAs[[#This Row],[product_fraction]]*CropLCAs[[#This Row],[value_fraction]],"")</f>
        <v/>
      </c>
      <c r="AK310" s="23">
        <f>1/5</f>
        <v>0.2</v>
      </c>
      <c r="AL310" s="5" t="s">
        <v>109</v>
      </c>
      <c r="AM310" s="5" t="s">
        <v>235</v>
      </c>
      <c r="AN310" s="5"/>
      <c r="AO310" s="5"/>
      <c r="AP310" s="5"/>
      <c r="AQ310" s="5"/>
      <c r="AR310" s="5"/>
      <c r="AS310" s="5"/>
      <c r="AT310" s="5"/>
      <c r="AU310" s="5"/>
    </row>
    <row r="311" spans="1:47" ht="44.1" customHeight="1" x14ac:dyDescent="0.2">
      <c r="A311" s="5" t="s">
        <v>112</v>
      </c>
      <c r="B311" s="5" t="s">
        <v>1465</v>
      </c>
      <c r="C311" s="7">
        <v>2010</v>
      </c>
      <c r="D311" s="5" t="s">
        <v>232</v>
      </c>
      <c r="E311" s="6" t="s">
        <v>233</v>
      </c>
      <c r="F311" s="5" t="s">
        <v>31</v>
      </c>
      <c r="G311" s="5" t="str">
        <f>IF(CropLCAs[[#This Row],[fbs_item]]="Insects","insect_ghg","plant_ghg")</f>
        <v>plant_ghg</v>
      </c>
      <c r="H311" s="49" t="s">
        <v>143</v>
      </c>
      <c r="I311" s="49"/>
      <c r="J311" s="49"/>
      <c r="K311" s="5" t="s">
        <v>101</v>
      </c>
      <c r="L311" s="5" t="s">
        <v>236</v>
      </c>
      <c r="M311" s="5" t="s">
        <v>102</v>
      </c>
      <c r="N311" s="5" t="s">
        <v>102</v>
      </c>
      <c r="O311" s="5" t="s">
        <v>109</v>
      </c>
      <c r="P311" s="5" t="s">
        <v>102</v>
      </c>
      <c r="Q311" s="5" t="s">
        <v>102</v>
      </c>
      <c r="R311" s="5" t="s">
        <v>102</v>
      </c>
      <c r="S311" s="5" t="s">
        <v>105</v>
      </c>
      <c r="T311" s="5" t="s">
        <v>102</v>
      </c>
      <c r="U311" s="5">
        <v>100</v>
      </c>
      <c r="V311" s="5">
        <v>1</v>
      </c>
      <c r="W311" s="5" t="s">
        <v>165</v>
      </c>
      <c r="X311" s="24">
        <v>206.9</v>
      </c>
      <c r="Y311" s="5" t="s">
        <v>106</v>
      </c>
      <c r="Z311" s="5"/>
      <c r="AA311" s="5"/>
      <c r="AB311" s="24">
        <v>1E-3</v>
      </c>
      <c r="AC311" s="5" t="s">
        <v>195</v>
      </c>
      <c r="AD311" s="5" t="str">
        <f t="shared" si="19"/>
        <v>kg_co2e_excl_luc</v>
      </c>
      <c r="AE311" s="24">
        <f>IF(CropLCAs[[#This Row],[Product fraction]]="",CropLCAs[[#This Row],[CO2e (value)]]*CropLCAs[[#This Row],[Conversion factor (value)]],CropLCAs[[#This Row],[CO2e (value)]]*CropLCAs[[#This Row],[Conversion factor (value)]]/CropLCAs[[#This Row],[Product fraction]]*CropLCAs[[#This Row],[Value fraction]])</f>
        <v>0.2069</v>
      </c>
      <c r="AF311" s="5"/>
      <c r="AG311" s="5" t="str">
        <f t="shared" si="20"/>
        <v>processed_ghg</v>
      </c>
      <c r="AH311" s="5"/>
      <c r="AI311" s="5"/>
      <c r="AJ311" s="8" t="str">
        <f>IF(CropLCAs[[#This Row],[product_fraction]]&gt;0,CropLCAs[[#This Row],[footprint]]/CropLCAs[[#This Row],[product_fraction]]*CropLCAs[[#This Row],[value_fraction]],"")</f>
        <v/>
      </c>
      <c r="AK311" s="23">
        <f>1/5</f>
        <v>0.2</v>
      </c>
      <c r="AL311" s="5" t="s">
        <v>109</v>
      </c>
      <c r="AM311" s="5" t="s">
        <v>235</v>
      </c>
      <c r="AN311" s="5"/>
      <c r="AO311" s="5"/>
      <c r="AP311" s="5"/>
      <c r="AQ311" s="5"/>
      <c r="AR311" s="5"/>
      <c r="AS311" s="5"/>
      <c r="AT311" s="5"/>
      <c r="AU311" s="5"/>
    </row>
    <row r="312" spans="1:47" ht="44.1" customHeight="1" x14ac:dyDescent="0.2">
      <c r="A312" s="5" t="s">
        <v>215</v>
      </c>
      <c r="B312" s="5" t="s">
        <v>1466</v>
      </c>
      <c r="C312" s="5">
        <v>2014</v>
      </c>
      <c r="D312" s="5" t="s">
        <v>515</v>
      </c>
      <c r="E312" s="5" t="s">
        <v>503</v>
      </c>
      <c r="F312" s="5" t="s">
        <v>9</v>
      </c>
      <c r="G312" s="5" t="str">
        <f>IF(CropLCAs[[#This Row],[fbs_item]]="Insects","insect_ghg","plant_ghg")</f>
        <v>plant_ghg</v>
      </c>
      <c r="H312" s="49" t="s">
        <v>314</v>
      </c>
      <c r="I312" s="49"/>
      <c r="J312" s="49"/>
      <c r="K312" s="5" t="s">
        <v>690</v>
      </c>
      <c r="L312" s="5" t="s">
        <v>516</v>
      </c>
      <c r="M312" s="5" t="s">
        <v>102</v>
      </c>
      <c r="N312" s="5" t="s">
        <v>102</v>
      </c>
      <c r="O312" s="5" t="s">
        <v>109</v>
      </c>
      <c r="P312" s="5" t="s">
        <v>102</v>
      </c>
      <c r="Q312" s="5" t="s">
        <v>102</v>
      </c>
      <c r="R312" s="5" t="s">
        <v>102</v>
      </c>
      <c r="S312" s="5" t="s">
        <v>105</v>
      </c>
      <c r="T312" s="5" t="s">
        <v>102</v>
      </c>
      <c r="U312" s="5">
        <v>100</v>
      </c>
      <c r="V312" s="5">
        <v>1.39</v>
      </c>
      <c r="W312" s="5" t="s">
        <v>106</v>
      </c>
      <c r="X312" s="24">
        <v>0.18099999999999999</v>
      </c>
      <c r="Y312" s="5" t="s">
        <v>106</v>
      </c>
      <c r="Z312" s="5"/>
      <c r="AA312" s="5"/>
      <c r="AB312" s="24">
        <f>1/1.39</f>
        <v>0.71942446043165476</v>
      </c>
      <c r="AC312" s="5" t="s">
        <v>517</v>
      </c>
      <c r="AD312" s="5" t="str">
        <f t="shared" si="19"/>
        <v>kg_co2e_excl_luc</v>
      </c>
      <c r="AE312" s="24">
        <f>IF(CropLCAs[[#This Row],[Product fraction]]="",CropLCAs[[#This Row],[CO2e (value)]]*CropLCAs[[#This Row],[Conversion factor (value)]],CropLCAs[[#This Row],[CO2e (value)]]*CropLCAs[[#This Row],[Conversion factor (value)]]/CropLCAs[[#This Row],[Product fraction]]*CropLCAs[[#This Row],[Value fraction]])</f>
        <v>0.1302158273381295</v>
      </c>
      <c r="AF312" s="5"/>
      <c r="AG312" s="5" t="str">
        <f t="shared" si="20"/>
        <v>processed_ghg</v>
      </c>
      <c r="AH312" s="5"/>
      <c r="AI312" s="5"/>
      <c r="AJ312" s="8" t="str">
        <f>IF(CropLCAs[[#This Row],[product_fraction]]&gt;0,CropLCAs[[#This Row],[footprint]]/CropLCAs[[#This Row],[product_fraction]]*CropLCAs[[#This Row],[value_fraction]],"")</f>
        <v/>
      </c>
      <c r="AK312" s="23">
        <v>1</v>
      </c>
      <c r="AL312" s="5" t="s">
        <v>109</v>
      </c>
      <c r="AM312" s="5" t="s">
        <v>235</v>
      </c>
      <c r="AN312" s="5" t="s">
        <v>518</v>
      </c>
      <c r="AO312" s="5"/>
      <c r="AP312" s="5"/>
      <c r="AQ312" s="5"/>
      <c r="AR312" s="5"/>
      <c r="AS312" s="5"/>
      <c r="AT312" s="5"/>
      <c r="AU312" s="5"/>
    </row>
    <row r="313" spans="1:47" ht="44.1" customHeight="1" x14ac:dyDescent="0.2">
      <c r="A313" s="5" t="s">
        <v>215</v>
      </c>
      <c r="B313" s="5" t="s">
        <v>1467</v>
      </c>
      <c r="C313" s="5">
        <v>2010</v>
      </c>
      <c r="D313" s="5" t="s">
        <v>341</v>
      </c>
      <c r="E313" s="5" t="s">
        <v>1326</v>
      </c>
      <c r="F313" s="5" t="s">
        <v>3</v>
      </c>
      <c r="G313" s="5" t="str">
        <f>IF(CropLCAs[[#This Row],[fbs_item]]="Insects","insect_ghg","plant_ghg")</f>
        <v>plant_ghg</v>
      </c>
      <c r="H313" s="49" t="s">
        <v>225</v>
      </c>
      <c r="I313" s="49"/>
      <c r="J313" s="49"/>
      <c r="K313" s="5" t="s">
        <v>111</v>
      </c>
      <c r="L313" s="5"/>
      <c r="M313" s="5" t="s">
        <v>102</v>
      </c>
      <c r="N313" s="5" t="s">
        <v>109</v>
      </c>
      <c r="O313" s="5" t="s">
        <v>109</v>
      </c>
      <c r="P313" s="5" t="s">
        <v>102</v>
      </c>
      <c r="Q313" s="5" t="s">
        <v>102</v>
      </c>
      <c r="R313" s="5" t="s">
        <v>102</v>
      </c>
      <c r="S313" s="5" t="s">
        <v>102</v>
      </c>
      <c r="T313" s="5" t="s">
        <v>102</v>
      </c>
      <c r="U313" s="13" t="s">
        <v>194</v>
      </c>
      <c r="V313" s="5">
        <v>1</v>
      </c>
      <c r="W313" s="5" t="s">
        <v>165</v>
      </c>
      <c r="X313" s="26">
        <v>2.54</v>
      </c>
      <c r="Y313" s="5" t="s">
        <v>165</v>
      </c>
      <c r="Z313" s="5"/>
      <c r="AA313" s="5"/>
      <c r="AB313" s="24">
        <v>1</v>
      </c>
      <c r="AC313" s="5"/>
      <c r="AD313" s="5" t="str">
        <f t="shared" si="19"/>
        <v>kg_co2e_excl_luc</v>
      </c>
      <c r="AE313" s="24">
        <f>IF(CropLCAs[[#This Row],[Product fraction]]="",CropLCAs[[#This Row],[CO2e (value)]]*CropLCAs[[#This Row],[Conversion factor (value)]],CropLCAs[[#This Row],[CO2e (value)]]*CropLCAs[[#This Row],[Conversion factor (value)]]/CropLCAs[[#This Row],[Product fraction]]*CropLCAs[[#This Row],[Value fraction]])</f>
        <v>2.54</v>
      </c>
      <c r="AF313" s="5"/>
      <c r="AG313" s="5" t="str">
        <f t="shared" si="20"/>
        <v>processed_ghg</v>
      </c>
      <c r="AH313" s="5"/>
      <c r="AI313" s="5"/>
      <c r="AJ313" s="8" t="str">
        <f>IF(CropLCAs[[#This Row],[product_fraction]]&gt;0,CropLCAs[[#This Row],[footprint]]/CropLCAs[[#This Row],[product_fraction]]*CropLCAs[[#This Row],[value_fraction]],"")</f>
        <v/>
      </c>
      <c r="AK313" s="23">
        <v>1</v>
      </c>
      <c r="AL313" s="5" t="s">
        <v>109</v>
      </c>
      <c r="AM313" s="5" t="s">
        <v>342</v>
      </c>
      <c r="AN313" s="5" t="s">
        <v>196</v>
      </c>
      <c r="AO313" s="5"/>
      <c r="AP313" s="5" t="s">
        <v>572</v>
      </c>
      <c r="AQ313" s="5"/>
      <c r="AR313" s="5"/>
      <c r="AS313" s="5"/>
      <c r="AT313" s="5"/>
      <c r="AU313" s="5"/>
    </row>
    <row r="314" spans="1:47" ht="44.1" customHeight="1" x14ac:dyDescent="0.2">
      <c r="A314" s="5" t="s">
        <v>215</v>
      </c>
      <c r="B314" s="5" t="s">
        <v>1467</v>
      </c>
      <c r="C314" s="5">
        <v>2010</v>
      </c>
      <c r="D314" s="5" t="s">
        <v>341</v>
      </c>
      <c r="E314" s="5" t="s">
        <v>1646</v>
      </c>
      <c r="F314" s="5" t="s">
        <v>3</v>
      </c>
      <c r="G314" s="5" t="str">
        <f>IF(CropLCAs[[#This Row],[fbs_item]]="Insects","insect_ghg","plant_ghg")</f>
        <v>plant_ghg</v>
      </c>
      <c r="H314" s="49" t="s">
        <v>225</v>
      </c>
      <c r="I314" s="49"/>
      <c r="J314" s="49"/>
      <c r="K314" s="5" t="s">
        <v>111</v>
      </c>
      <c r="L314" s="5"/>
      <c r="M314" s="5" t="s">
        <v>102</v>
      </c>
      <c r="N314" s="5" t="s">
        <v>109</v>
      </c>
      <c r="O314" s="5" t="s">
        <v>109</v>
      </c>
      <c r="P314" s="5" t="s">
        <v>102</v>
      </c>
      <c r="Q314" s="5" t="s">
        <v>102</v>
      </c>
      <c r="R314" s="5" t="s">
        <v>102</v>
      </c>
      <c r="S314" s="5" t="s">
        <v>102</v>
      </c>
      <c r="T314" s="5" t="s">
        <v>102</v>
      </c>
      <c r="U314" s="13" t="s">
        <v>194</v>
      </c>
      <c r="V314" s="5">
        <v>1</v>
      </c>
      <c r="W314" s="5" t="s">
        <v>165</v>
      </c>
      <c r="X314" s="26">
        <v>1.37</v>
      </c>
      <c r="Y314" s="5" t="s">
        <v>165</v>
      </c>
      <c r="Z314" s="5"/>
      <c r="AA314" s="5"/>
      <c r="AB314" s="24">
        <v>1</v>
      </c>
      <c r="AC314" s="5"/>
      <c r="AD314" s="5" t="str">
        <f t="shared" si="19"/>
        <v>kg_co2e_excl_luc</v>
      </c>
      <c r="AE314" s="24">
        <f>IF(CropLCAs[[#This Row],[Product fraction]]="",CropLCAs[[#This Row],[CO2e (value)]]*CropLCAs[[#This Row],[Conversion factor (value)]],CropLCAs[[#This Row],[CO2e (value)]]*CropLCAs[[#This Row],[Conversion factor (value)]]/CropLCAs[[#This Row],[Product fraction]]*CropLCAs[[#This Row],[Value fraction]])</f>
        <v>1.37</v>
      </c>
      <c r="AF314" s="5"/>
      <c r="AG314" s="5" t="str">
        <f t="shared" si="20"/>
        <v>processed_ghg</v>
      </c>
      <c r="AH314" s="5"/>
      <c r="AI314" s="5"/>
      <c r="AJ314" s="8" t="str">
        <f>IF(CropLCAs[[#This Row],[product_fraction]]&gt;0,CropLCAs[[#This Row],[footprint]]/CropLCAs[[#This Row],[product_fraction]]*CropLCAs[[#This Row],[value_fraction]],"")</f>
        <v/>
      </c>
      <c r="AK314" s="23">
        <v>1</v>
      </c>
      <c r="AL314" s="5" t="s">
        <v>109</v>
      </c>
      <c r="AM314" s="5" t="s">
        <v>342</v>
      </c>
      <c r="AN314" s="5" t="s">
        <v>196</v>
      </c>
      <c r="AO314" s="5"/>
      <c r="AP314" s="5" t="s">
        <v>572</v>
      </c>
      <c r="AQ314" s="5"/>
      <c r="AR314" s="5"/>
      <c r="AS314" s="5"/>
      <c r="AT314" s="5"/>
      <c r="AU314" s="5"/>
    </row>
    <row r="315" spans="1:47" ht="44.1" customHeight="1" x14ac:dyDescent="0.2">
      <c r="A315" s="5" t="s">
        <v>215</v>
      </c>
      <c r="B315" s="5" t="s">
        <v>1467</v>
      </c>
      <c r="C315" s="5">
        <v>2010</v>
      </c>
      <c r="D315" s="5" t="s">
        <v>341</v>
      </c>
      <c r="E315" s="5" t="s">
        <v>582</v>
      </c>
      <c r="F315" s="5" t="s">
        <v>3</v>
      </c>
      <c r="G315" s="5" t="str">
        <f>IF(CropLCAs[[#This Row],[fbs_item]]="Insects","insect_ghg","plant_ghg")</f>
        <v>plant_ghg</v>
      </c>
      <c r="H315" s="49" t="s">
        <v>225</v>
      </c>
      <c r="I315" s="49"/>
      <c r="J315" s="49"/>
      <c r="K315" s="5" t="s">
        <v>111</v>
      </c>
      <c r="L315" s="5"/>
      <c r="M315" s="5" t="s">
        <v>102</v>
      </c>
      <c r="N315" s="5" t="s">
        <v>109</v>
      </c>
      <c r="O315" s="5" t="s">
        <v>109</v>
      </c>
      <c r="P315" s="5" t="s">
        <v>102</v>
      </c>
      <c r="Q315" s="5" t="s">
        <v>102</v>
      </c>
      <c r="R315" s="5" t="s">
        <v>102</v>
      </c>
      <c r="S315" s="5" t="s">
        <v>102</v>
      </c>
      <c r="T315" s="5" t="s">
        <v>102</v>
      </c>
      <c r="U315" s="13" t="s">
        <v>194</v>
      </c>
      <c r="V315" s="5">
        <v>1</v>
      </c>
      <c r="W315" s="5" t="s">
        <v>165</v>
      </c>
      <c r="X315" s="26">
        <v>1.73</v>
      </c>
      <c r="Y315" s="5" t="s">
        <v>165</v>
      </c>
      <c r="Z315" s="5"/>
      <c r="AA315" s="5"/>
      <c r="AB315" s="24">
        <v>1</v>
      </c>
      <c r="AC315" s="5"/>
      <c r="AD315" s="5" t="str">
        <f t="shared" si="19"/>
        <v>kg_co2e_excl_luc</v>
      </c>
      <c r="AE315" s="24">
        <f>IF(CropLCAs[[#This Row],[Product fraction]]="",CropLCAs[[#This Row],[CO2e (value)]]*CropLCAs[[#This Row],[Conversion factor (value)]],CropLCAs[[#This Row],[CO2e (value)]]*CropLCAs[[#This Row],[Conversion factor (value)]]/CropLCAs[[#This Row],[Product fraction]]*CropLCAs[[#This Row],[Value fraction]])</f>
        <v>1.73</v>
      </c>
      <c r="AF315" s="5"/>
      <c r="AG315" s="5" t="str">
        <f t="shared" si="20"/>
        <v>processed_ghg</v>
      </c>
      <c r="AH315" s="5"/>
      <c r="AI315" s="5"/>
      <c r="AJ315" s="8" t="str">
        <f>IF(CropLCAs[[#This Row],[product_fraction]]&gt;0,CropLCAs[[#This Row],[footprint]]/CropLCAs[[#This Row],[product_fraction]]*CropLCAs[[#This Row],[value_fraction]],"")</f>
        <v/>
      </c>
      <c r="AK315" s="23">
        <v>1</v>
      </c>
      <c r="AL315" s="5" t="s">
        <v>109</v>
      </c>
      <c r="AM315" s="5" t="s">
        <v>342</v>
      </c>
      <c r="AN315" s="5" t="s">
        <v>196</v>
      </c>
      <c r="AO315" s="5"/>
      <c r="AP315" s="5"/>
      <c r="AQ315" s="5"/>
      <c r="AR315" s="5"/>
      <c r="AS315" s="5"/>
      <c r="AT315" s="5"/>
      <c r="AU315" s="5"/>
    </row>
    <row r="316" spans="1:47" ht="44.1" customHeight="1" x14ac:dyDescent="0.2">
      <c r="A316" s="5" t="s">
        <v>215</v>
      </c>
      <c r="B316" s="5" t="s">
        <v>1467</v>
      </c>
      <c r="C316" s="5">
        <v>2010</v>
      </c>
      <c r="D316" s="5" t="s">
        <v>341</v>
      </c>
      <c r="E316" s="5" t="s">
        <v>1328</v>
      </c>
      <c r="F316" s="5" t="s">
        <v>3</v>
      </c>
      <c r="G316" s="5" t="str">
        <f>IF(CropLCAs[[#This Row],[fbs_item]]="Insects","insect_ghg","plant_ghg")</f>
        <v>plant_ghg</v>
      </c>
      <c r="H316" s="49" t="s">
        <v>225</v>
      </c>
      <c r="I316" s="49"/>
      <c r="J316" s="49"/>
      <c r="K316" s="5" t="s">
        <v>111</v>
      </c>
      <c r="L316" s="5"/>
      <c r="M316" s="5" t="s">
        <v>102</v>
      </c>
      <c r="N316" s="5" t="s">
        <v>109</v>
      </c>
      <c r="O316" s="5" t="s">
        <v>109</v>
      </c>
      <c r="P316" s="5" t="s">
        <v>102</v>
      </c>
      <c r="Q316" s="5" t="s">
        <v>102</v>
      </c>
      <c r="R316" s="5" t="s">
        <v>102</v>
      </c>
      <c r="S316" s="5" t="s">
        <v>102</v>
      </c>
      <c r="T316" s="5" t="s">
        <v>102</v>
      </c>
      <c r="U316" s="13" t="s">
        <v>194</v>
      </c>
      <c r="V316" s="5">
        <v>1</v>
      </c>
      <c r="W316" s="5" t="s">
        <v>165</v>
      </c>
      <c r="X316" s="26">
        <v>0.23</v>
      </c>
      <c r="Y316" s="5" t="s">
        <v>165</v>
      </c>
      <c r="Z316" s="5"/>
      <c r="AA316" s="5"/>
      <c r="AB316" s="24">
        <v>1</v>
      </c>
      <c r="AC316" s="5"/>
      <c r="AD316" s="5" t="str">
        <f t="shared" si="19"/>
        <v>kg_co2e_excl_luc</v>
      </c>
      <c r="AE316" s="24">
        <f>IF(CropLCAs[[#This Row],[Product fraction]]="",CropLCAs[[#This Row],[CO2e (value)]]*CropLCAs[[#This Row],[Conversion factor (value)]],CropLCAs[[#This Row],[CO2e (value)]]*CropLCAs[[#This Row],[Conversion factor (value)]]/CropLCAs[[#This Row],[Product fraction]]*CropLCAs[[#This Row],[Value fraction]])</f>
        <v>0.23</v>
      </c>
      <c r="AF316" s="5"/>
      <c r="AG316" s="5" t="str">
        <f t="shared" si="20"/>
        <v>processed_ghg</v>
      </c>
      <c r="AH316" s="5"/>
      <c r="AI316" s="5"/>
      <c r="AJ316" s="8" t="str">
        <f>IF(CropLCAs[[#This Row],[product_fraction]]&gt;0,CropLCAs[[#This Row],[footprint]]/CropLCAs[[#This Row],[product_fraction]]*CropLCAs[[#This Row],[value_fraction]],"")</f>
        <v/>
      </c>
      <c r="AK316" s="23">
        <v>1</v>
      </c>
      <c r="AL316" s="5" t="s">
        <v>109</v>
      </c>
      <c r="AM316" s="5" t="s">
        <v>342</v>
      </c>
      <c r="AN316" s="5" t="s">
        <v>196</v>
      </c>
      <c r="AO316" s="5"/>
      <c r="AP316" s="5"/>
      <c r="AQ316" s="5"/>
      <c r="AR316" s="5"/>
      <c r="AS316" s="5"/>
      <c r="AT316" s="5"/>
      <c r="AU316" s="5"/>
    </row>
    <row r="317" spans="1:47" ht="44.1" customHeight="1" x14ac:dyDescent="0.2">
      <c r="A317" s="5" t="s">
        <v>215</v>
      </c>
      <c r="B317" s="5" t="s">
        <v>1467</v>
      </c>
      <c r="C317" s="5">
        <v>2010</v>
      </c>
      <c r="D317" s="5" t="s">
        <v>341</v>
      </c>
      <c r="E317" s="5" t="s">
        <v>1329</v>
      </c>
      <c r="F317" s="5" t="s">
        <v>3</v>
      </c>
      <c r="G317" s="5" t="str">
        <f>IF(CropLCAs[[#This Row],[fbs_item]]="Insects","insect_ghg","plant_ghg")</f>
        <v>plant_ghg</v>
      </c>
      <c r="H317" s="49" t="s">
        <v>225</v>
      </c>
      <c r="I317" s="49"/>
      <c r="J317" s="49"/>
      <c r="K317" s="5" t="s">
        <v>111</v>
      </c>
      <c r="L317" s="5"/>
      <c r="M317" s="5" t="s">
        <v>102</v>
      </c>
      <c r="N317" s="5" t="s">
        <v>109</v>
      </c>
      <c r="O317" s="5" t="s">
        <v>109</v>
      </c>
      <c r="P317" s="5" t="s">
        <v>102</v>
      </c>
      <c r="Q317" s="5" t="s">
        <v>102</v>
      </c>
      <c r="R317" s="5" t="s">
        <v>102</v>
      </c>
      <c r="S317" s="5" t="s">
        <v>102</v>
      </c>
      <c r="T317" s="5" t="s">
        <v>102</v>
      </c>
      <c r="U317" s="13" t="s">
        <v>194</v>
      </c>
      <c r="V317" s="5">
        <v>1</v>
      </c>
      <c r="W317" s="5" t="s">
        <v>165</v>
      </c>
      <c r="X317" s="26">
        <v>0.59</v>
      </c>
      <c r="Y317" s="5" t="s">
        <v>165</v>
      </c>
      <c r="Z317" s="5"/>
      <c r="AA317" s="5"/>
      <c r="AB317" s="24">
        <v>1</v>
      </c>
      <c r="AC317" s="5"/>
      <c r="AD317" s="5" t="str">
        <f t="shared" si="19"/>
        <v>kg_co2e_excl_luc</v>
      </c>
      <c r="AE317" s="24">
        <f>IF(CropLCAs[[#This Row],[Product fraction]]="",CropLCAs[[#This Row],[CO2e (value)]]*CropLCAs[[#This Row],[Conversion factor (value)]],CropLCAs[[#This Row],[CO2e (value)]]*CropLCAs[[#This Row],[Conversion factor (value)]]/CropLCAs[[#This Row],[Product fraction]]*CropLCAs[[#This Row],[Value fraction]])</f>
        <v>0.59</v>
      </c>
      <c r="AF317" s="5"/>
      <c r="AG317" s="5" t="str">
        <f t="shared" si="20"/>
        <v>processed_ghg</v>
      </c>
      <c r="AH317" s="5"/>
      <c r="AI317" s="5"/>
      <c r="AJ317" s="8" t="str">
        <f>IF(CropLCAs[[#This Row],[product_fraction]]&gt;0,CropLCAs[[#This Row],[footprint]]/CropLCAs[[#This Row],[product_fraction]]*CropLCAs[[#This Row],[value_fraction]],"")</f>
        <v/>
      </c>
      <c r="AK317" s="23">
        <v>1</v>
      </c>
      <c r="AL317" s="5" t="s">
        <v>109</v>
      </c>
      <c r="AM317" s="5" t="s">
        <v>342</v>
      </c>
      <c r="AN317" s="5" t="s">
        <v>196</v>
      </c>
      <c r="AO317" s="5"/>
      <c r="AP317" s="5"/>
      <c r="AQ317" s="5"/>
      <c r="AR317" s="5"/>
      <c r="AS317" s="5"/>
      <c r="AT317" s="5"/>
      <c r="AU317" s="5"/>
    </row>
    <row r="318" spans="1:47" ht="44.1" customHeight="1" x14ac:dyDescent="0.2">
      <c r="A318" s="5" t="s">
        <v>215</v>
      </c>
      <c r="B318" s="5" t="s">
        <v>1467</v>
      </c>
      <c r="C318" s="5">
        <v>2010</v>
      </c>
      <c r="D318" s="5" t="s">
        <v>341</v>
      </c>
      <c r="E318" s="5" t="s">
        <v>1330</v>
      </c>
      <c r="F318" s="5" t="s">
        <v>3</v>
      </c>
      <c r="G318" s="5" t="str">
        <f>IF(CropLCAs[[#This Row],[fbs_item]]="Insects","insect_ghg","plant_ghg")</f>
        <v>plant_ghg</v>
      </c>
      <c r="H318" s="49" t="s">
        <v>225</v>
      </c>
      <c r="I318" s="49"/>
      <c r="J318" s="49"/>
      <c r="K318" s="5" t="s">
        <v>111</v>
      </c>
      <c r="L318" s="5"/>
      <c r="M318" s="5" t="s">
        <v>102</v>
      </c>
      <c r="N318" s="5" t="s">
        <v>109</v>
      </c>
      <c r="O318" s="5" t="s">
        <v>109</v>
      </c>
      <c r="P318" s="5" t="s">
        <v>102</v>
      </c>
      <c r="Q318" s="5" t="s">
        <v>102</v>
      </c>
      <c r="R318" s="5" t="s">
        <v>102</v>
      </c>
      <c r="S318" s="5" t="s">
        <v>102</v>
      </c>
      <c r="T318" s="5" t="s">
        <v>102</v>
      </c>
      <c r="U318" s="13" t="s">
        <v>194</v>
      </c>
      <c r="V318" s="5">
        <v>1</v>
      </c>
      <c r="W318" s="5" t="s">
        <v>165</v>
      </c>
      <c r="X318" s="26">
        <v>0.2</v>
      </c>
      <c r="Y318" s="5" t="s">
        <v>165</v>
      </c>
      <c r="Z318" s="5"/>
      <c r="AA318" s="5"/>
      <c r="AB318" s="24">
        <v>1</v>
      </c>
      <c r="AC318" s="5"/>
      <c r="AD318" s="5" t="str">
        <f t="shared" si="19"/>
        <v>kg_co2e_excl_luc</v>
      </c>
      <c r="AE318" s="24">
        <f>IF(CropLCAs[[#This Row],[Product fraction]]="",CropLCAs[[#This Row],[CO2e (value)]]*CropLCAs[[#This Row],[Conversion factor (value)]],CropLCAs[[#This Row],[CO2e (value)]]*CropLCAs[[#This Row],[Conversion factor (value)]]/CropLCAs[[#This Row],[Product fraction]]*CropLCAs[[#This Row],[Value fraction]])</f>
        <v>0.2</v>
      </c>
      <c r="AF318" s="5"/>
      <c r="AG318" s="5" t="str">
        <f t="shared" si="20"/>
        <v>processed_ghg</v>
      </c>
      <c r="AH318" s="5"/>
      <c r="AI318" s="5"/>
      <c r="AJ318" s="8" t="str">
        <f>IF(CropLCAs[[#This Row],[product_fraction]]&gt;0,CropLCAs[[#This Row],[footprint]]/CropLCAs[[#This Row],[product_fraction]]*CropLCAs[[#This Row],[value_fraction]],"")</f>
        <v/>
      </c>
      <c r="AK318" s="23">
        <v>1</v>
      </c>
      <c r="AL318" s="5" t="s">
        <v>109</v>
      </c>
      <c r="AM318" s="5" t="s">
        <v>342</v>
      </c>
      <c r="AN318" s="5" t="s">
        <v>196</v>
      </c>
      <c r="AO318" s="5"/>
      <c r="AP318" s="5"/>
      <c r="AQ318" s="5"/>
      <c r="AR318" s="5"/>
      <c r="AS318" s="5"/>
      <c r="AT318" s="5"/>
      <c r="AU318" s="5"/>
    </row>
    <row r="319" spans="1:47" ht="44.1" customHeight="1" x14ac:dyDescent="0.2">
      <c r="A319" s="5" t="s">
        <v>215</v>
      </c>
      <c r="B319" s="5" t="s">
        <v>1467</v>
      </c>
      <c r="C319" s="5">
        <v>2010</v>
      </c>
      <c r="D319" s="5" t="s">
        <v>341</v>
      </c>
      <c r="E319" s="5" t="s">
        <v>1331</v>
      </c>
      <c r="F319" s="5" t="s">
        <v>3</v>
      </c>
      <c r="G319" s="5" t="str">
        <f>IF(CropLCAs[[#This Row],[fbs_item]]="Insects","insect_ghg","plant_ghg")</f>
        <v>plant_ghg</v>
      </c>
      <c r="H319" s="49" t="s">
        <v>225</v>
      </c>
      <c r="I319" s="49"/>
      <c r="J319" s="49"/>
      <c r="K319" s="5" t="s">
        <v>111</v>
      </c>
      <c r="L319" s="5"/>
      <c r="M319" s="5" t="s">
        <v>102</v>
      </c>
      <c r="N319" s="5" t="s">
        <v>109</v>
      </c>
      <c r="O319" s="5" t="s">
        <v>109</v>
      </c>
      <c r="P319" s="5" t="s">
        <v>102</v>
      </c>
      <c r="Q319" s="5" t="s">
        <v>102</v>
      </c>
      <c r="R319" s="5" t="s">
        <v>102</v>
      </c>
      <c r="S319" s="5" t="s">
        <v>102</v>
      </c>
      <c r="T319" s="5" t="s">
        <v>102</v>
      </c>
      <c r="U319" s="13" t="s">
        <v>194</v>
      </c>
      <c r="V319" s="5">
        <v>1</v>
      </c>
      <c r="W319" s="5" t="s">
        <v>165</v>
      </c>
      <c r="X319" s="26">
        <v>0.38</v>
      </c>
      <c r="Y319" s="5" t="s">
        <v>165</v>
      </c>
      <c r="Z319" s="5"/>
      <c r="AA319" s="5"/>
      <c r="AB319" s="24">
        <v>1</v>
      </c>
      <c r="AC319" s="5"/>
      <c r="AD319" s="5" t="str">
        <f t="shared" si="19"/>
        <v>kg_co2e_excl_luc</v>
      </c>
      <c r="AE319" s="24">
        <f>IF(CropLCAs[[#This Row],[Product fraction]]="",CropLCAs[[#This Row],[CO2e (value)]]*CropLCAs[[#This Row],[Conversion factor (value)]],CropLCAs[[#This Row],[CO2e (value)]]*CropLCAs[[#This Row],[Conversion factor (value)]]/CropLCAs[[#This Row],[Product fraction]]*CropLCAs[[#This Row],[Value fraction]])</f>
        <v>0.38</v>
      </c>
      <c r="AF319" s="5"/>
      <c r="AG319" s="5" t="str">
        <f t="shared" si="20"/>
        <v>processed_ghg</v>
      </c>
      <c r="AH319" s="5"/>
      <c r="AI319" s="5"/>
      <c r="AJ319" s="8" t="str">
        <f>IF(CropLCAs[[#This Row],[product_fraction]]&gt;0,CropLCAs[[#This Row],[footprint]]/CropLCAs[[#This Row],[product_fraction]]*CropLCAs[[#This Row],[value_fraction]],"")</f>
        <v/>
      </c>
      <c r="AK319" s="23">
        <v>1</v>
      </c>
      <c r="AL319" s="5" t="s">
        <v>109</v>
      </c>
      <c r="AM319" s="5" t="s">
        <v>342</v>
      </c>
      <c r="AN319" s="5" t="s">
        <v>196</v>
      </c>
      <c r="AO319" s="5"/>
      <c r="AP319" s="5"/>
      <c r="AQ319" s="5"/>
      <c r="AR319" s="5"/>
      <c r="AS319" s="5"/>
      <c r="AT319" s="5"/>
      <c r="AU319" s="5"/>
    </row>
    <row r="320" spans="1:47" ht="44.1" customHeight="1" x14ac:dyDescent="0.2">
      <c r="A320" s="5" t="s">
        <v>215</v>
      </c>
      <c r="B320" s="5" t="s">
        <v>1467</v>
      </c>
      <c r="C320" s="5">
        <v>2010</v>
      </c>
      <c r="D320" s="5" t="s">
        <v>341</v>
      </c>
      <c r="E320" s="5" t="s">
        <v>1332</v>
      </c>
      <c r="F320" s="5" t="s">
        <v>3</v>
      </c>
      <c r="G320" s="5" t="str">
        <f>IF(CropLCAs[[#This Row],[fbs_item]]="Insects","insect_ghg","plant_ghg")</f>
        <v>plant_ghg</v>
      </c>
      <c r="H320" s="49" t="s">
        <v>225</v>
      </c>
      <c r="I320" s="49"/>
      <c r="J320" s="49"/>
      <c r="K320" s="5" t="s">
        <v>111</v>
      </c>
      <c r="L320" s="5"/>
      <c r="M320" s="5" t="s">
        <v>102</v>
      </c>
      <c r="N320" s="5" t="s">
        <v>109</v>
      </c>
      <c r="O320" s="5" t="s">
        <v>109</v>
      </c>
      <c r="P320" s="5" t="s">
        <v>102</v>
      </c>
      <c r="Q320" s="5" t="s">
        <v>102</v>
      </c>
      <c r="R320" s="5" t="s">
        <v>102</v>
      </c>
      <c r="S320" s="5" t="s">
        <v>102</v>
      </c>
      <c r="T320" s="5" t="s">
        <v>102</v>
      </c>
      <c r="U320" s="13" t="s">
        <v>194</v>
      </c>
      <c r="V320" s="5">
        <v>1</v>
      </c>
      <c r="W320" s="5" t="s">
        <v>165</v>
      </c>
      <c r="X320" s="26">
        <v>0.18</v>
      </c>
      <c r="Y320" s="5" t="s">
        <v>165</v>
      </c>
      <c r="Z320" s="5"/>
      <c r="AA320" s="5"/>
      <c r="AB320" s="24">
        <v>1</v>
      </c>
      <c r="AC320" s="5"/>
      <c r="AD320" s="5" t="str">
        <f t="shared" si="19"/>
        <v>kg_co2e_excl_luc</v>
      </c>
      <c r="AE320" s="24">
        <f>IF(CropLCAs[[#This Row],[Product fraction]]="",CropLCAs[[#This Row],[CO2e (value)]]*CropLCAs[[#This Row],[Conversion factor (value)]],CropLCAs[[#This Row],[CO2e (value)]]*CropLCAs[[#This Row],[Conversion factor (value)]]/CropLCAs[[#This Row],[Product fraction]]*CropLCAs[[#This Row],[Value fraction]])</f>
        <v>0.18</v>
      </c>
      <c r="AF320" s="5"/>
      <c r="AG320" s="5" t="str">
        <f t="shared" si="20"/>
        <v>processed_ghg</v>
      </c>
      <c r="AH320" s="5"/>
      <c r="AI320" s="5"/>
      <c r="AJ320" s="8" t="str">
        <f>IF(CropLCAs[[#This Row],[product_fraction]]&gt;0,CropLCAs[[#This Row],[footprint]]/CropLCAs[[#This Row],[product_fraction]]*CropLCAs[[#This Row],[value_fraction]],"")</f>
        <v/>
      </c>
      <c r="AK320" s="23">
        <v>1</v>
      </c>
      <c r="AL320" s="5" t="s">
        <v>109</v>
      </c>
      <c r="AM320" s="5" t="s">
        <v>342</v>
      </c>
      <c r="AN320" s="5" t="s">
        <v>196</v>
      </c>
      <c r="AO320" s="5"/>
      <c r="AP320" s="5"/>
      <c r="AQ320" s="5"/>
      <c r="AR320" s="5"/>
      <c r="AS320" s="5"/>
      <c r="AT320" s="5"/>
      <c r="AU320" s="5"/>
    </row>
    <row r="321" spans="1:47" ht="44.1" customHeight="1" x14ac:dyDescent="0.2">
      <c r="A321" s="5" t="s">
        <v>215</v>
      </c>
      <c r="B321" s="5" t="s">
        <v>1467</v>
      </c>
      <c r="C321" s="5">
        <v>2010</v>
      </c>
      <c r="D321" s="5" t="s">
        <v>341</v>
      </c>
      <c r="E321" s="5" t="s">
        <v>1333</v>
      </c>
      <c r="F321" s="5" t="s">
        <v>3</v>
      </c>
      <c r="G321" s="5" t="str">
        <f>IF(CropLCAs[[#This Row],[fbs_item]]="Insects","insect_ghg","plant_ghg")</f>
        <v>plant_ghg</v>
      </c>
      <c r="H321" s="49" t="s">
        <v>225</v>
      </c>
      <c r="I321" s="49"/>
      <c r="J321" s="49"/>
      <c r="K321" s="5" t="s">
        <v>111</v>
      </c>
      <c r="L321" s="5"/>
      <c r="M321" s="5" t="s">
        <v>102</v>
      </c>
      <c r="N321" s="5" t="s">
        <v>109</v>
      </c>
      <c r="O321" s="5" t="s">
        <v>109</v>
      </c>
      <c r="P321" s="5" t="s">
        <v>102</v>
      </c>
      <c r="Q321" s="5" t="s">
        <v>102</v>
      </c>
      <c r="R321" s="5" t="s">
        <v>102</v>
      </c>
      <c r="S321" s="5" t="s">
        <v>102</v>
      </c>
      <c r="T321" s="5" t="s">
        <v>102</v>
      </c>
      <c r="U321" s="13" t="s">
        <v>194</v>
      </c>
      <c r="V321" s="5">
        <v>1</v>
      </c>
      <c r="W321" s="5" t="s">
        <v>165</v>
      </c>
      <c r="X321" s="26">
        <v>0.66</v>
      </c>
      <c r="Y321" s="5" t="s">
        <v>165</v>
      </c>
      <c r="Z321" s="5"/>
      <c r="AA321" s="5"/>
      <c r="AB321" s="24">
        <v>1</v>
      </c>
      <c r="AC321" s="5"/>
      <c r="AD321" s="5" t="str">
        <f t="shared" si="19"/>
        <v>kg_co2e_excl_luc</v>
      </c>
      <c r="AE321" s="24">
        <f>IF(CropLCAs[[#This Row],[Product fraction]]="",CropLCAs[[#This Row],[CO2e (value)]]*CropLCAs[[#This Row],[Conversion factor (value)]],CropLCAs[[#This Row],[CO2e (value)]]*CropLCAs[[#This Row],[Conversion factor (value)]]/CropLCAs[[#This Row],[Product fraction]]*CropLCAs[[#This Row],[Value fraction]])</f>
        <v>0.66</v>
      </c>
      <c r="AF321" s="5"/>
      <c r="AG321" s="5" t="str">
        <f t="shared" si="20"/>
        <v>processed_ghg</v>
      </c>
      <c r="AH321" s="5"/>
      <c r="AI321" s="5"/>
      <c r="AJ321" s="8" t="str">
        <f>IF(CropLCAs[[#This Row],[product_fraction]]&gt;0,CropLCAs[[#This Row],[footprint]]/CropLCAs[[#This Row],[product_fraction]]*CropLCAs[[#This Row],[value_fraction]],"")</f>
        <v/>
      </c>
      <c r="AK321" s="23">
        <v>1</v>
      </c>
      <c r="AL321" s="5" t="s">
        <v>109</v>
      </c>
      <c r="AM321" s="5" t="s">
        <v>342</v>
      </c>
      <c r="AN321" s="5" t="s">
        <v>196</v>
      </c>
      <c r="AO321" s="5"/>
      <c r="AP321" s="5"/>
      <c r="AQ321" s="5"/>
      <c r="AR321" s="5"/>
      <c r="AS321" s="5"/>
      <c r="AT321" s="5"/>
      <c r="AU321" s="5"/>
    </row>
    <row r="322" spans="1:47" ht="44.1" customHeight="1" x14ac:dyDescent="0.2">
      <c r="A322" s="5" t="s">
        <v>215</v>
      </c>
      <c r="B322" s="5" t="s">
        <v>1467</v>
      </c>
      <c r="C322" s="5">
        <v>2010</v>
      </c>
      <c r="D322" s="5" t="s">
        <v>341</v>
      </c>
      <c r="E322" s="5" t="s">
        <v>1334</v>
      </c>
      <c r="F322" s="5" t="s">
        <v>3</v>
      </c>
      <c r="G322" s="5" t="str">
        <f>IF(CropLCAs[[#This Row],[fbs_item]]="Insects","insect_ghg","plant_ghg")</f>
        <v>plant_ghg</v>
      </c>
      <c r="H322" s="49" t="s">
        <v>225</v>
      </c>
      <c r="I322" s="49"/>
      <c r="J322" s="49"/>
      <c r="K322" s="5" t="s">
        <v>111</v>
      </c>
      <c r="L322" s="5"/>
      <c r="M322" s="5" t="s">
        <v>102</v>
      </c>
      <c r="N322" s="5" t="s">
        <v>109</v>
      </c>
      <c r="O322" s="5" t="s">
        <v>109</v>
      </c>
      <c r="P322" s="5" t="s">
        <v>102</v>
      </c>
      <c r="Q322" s="5" t="s">
        <v>102</v>
      </c>
      <c r="R322" s="5" t="s">
        <v>102</v>
      </c>
      <c r="S322" s="5" t="s">
        <v>102</v>
      </c>
      <c r="T322" s="5" t="s">
        <v>102</v>
      </c>
      <c r="U322" s="13" t="s">
        <v>194</v>
      </c>
      <c r="V322" s="5">
        <v>1</v>
      </c>
      <c r="W322" s="5" t="s">
        <v>165</v>
      </c>
      <c r="X322" s="26">
        <v>0.13</v>
      </c>
      <c r="Y322" s="5" t="s">
        <v>165</v>
      </c>
      <c r="Z322" s="5"/>
      <c r="AA322" s="5"/>
      <c r="AB322" s="24">
        <v>1</v>
      </c>
      <c r="AC322" s="5"/>
      <c r="AD322" s="5" t="str">
        <f t="shared" si="19"/>
        <v>kg_co2e_excl_luc</v>
      </c>
      <c r="AE322" s="24">
        <f>IF(CropLCAs[[#This Row],[Product fraction]]="",CropLCAs[[#This Row],[CO2e (value)]]*CropLCAs[[#This Row],[Conversion factor (value)]],CropLCAs[[#This Row],[CO2e (value)]]*CropLCAs[[#This Row],[Conversion factor (value)]]/CropLCAs[[#This Row],[Product fraction]]*CropLCAs[[#This Row],[Value fraction]])</f>
        <v>0.13</v>
      </c>
      <c r="AF322" s="5"/>
      <c r="AG322" s="5" t="str">
        <f t="shared" si="20"/>
        <v>processed_ghg</v>
      </c>
      <c r="AH322" s="5"/>
      <c r="AI322" s="5"/>
      <c r="AJ322" s="8" t="str">
        <f>IF(CropLCAs[[#This Row],[product_fraction]]&gt;0,CropLCAs[[#This Row],[footprint]]/CropLCAs[[#This Row],[product_fraction]]*CropLCAs[[#This Row],[value_fraction]],"")</f>
        <v/>
      </c>
      <c r="AK322" s="23">
        <v>1</v>
      </c>
      <c r="AL322" s="5" t="s">
        <v>109</v>
      </c>
      <c r="AM322" s="5" t="s">
        <v>342</v>
      </c>
      <c r="AN322" s="5" t="s">
        <v>196</v>
      </c>
      <c r="AO322" s="5"/>
      <c r="AP322" s="5"/>
      <c r="AQ322" s="5"/>
      <c r="AR322" s="5"/>
      <c r="AS322" s="5"/>
      <c r="AT322" s="5"/>
      <c r="AU322" s="5"/>
    </row>
    <row r="323" spans="1:47" ht="44.1" customHeight="1" x14ac:dyDescent="0.2">
      <c r="A323" s="5" t="s">
        <v>215</v>
      </c>
      <c r="B323" s="5" t="s">
        <v>1467</v>
      </c>
      <c r="C323" s="5">
        <v>2010</v>
      </c>
      <c r="D323" s="5" t="s">
        <v>341</v>
      </c>
      <c r="E323" s="5" t="s">
        <v>1335</v>
      </c>
      <c r="F323" s="5" t="s">
        <v>3</v>
      </c>
      <c r="G323" s="5" t="str">
        <f>IF(CropLCAs[[#This Row],[fbs_item]]="Insects","insect_ghg","plant_ghg")</f>
        <v>plant_ghg</v>
      </c>
      <c r="H323" s="49" t="s">
        <v>225</v>
      </c>
      <c r="I323" s="49"/>
      <c r="J323" s="49"/>
      <c r="K323" s="5" t="s">
        <v>111</v>
      </c>
      <c r="L323" s="5"/>
      <c r="M323" s="5" t="s">
        <v>102</v>
      </c>
      <c r="N323" s="5" t="s">
        <v>109</v>
      </c>
      <c r="O323" s="5" t="s">
        <v>109</v>
      </c>
      <c r="P323" s="5" t="s">
        <v>102</v>
      </c>
      <c r="Q323" s="5" t="s">
        <v>102</v>
      </c>
      <c r="R323" s="5" t="s">
        <v>102</v>
      </c>
      <c r="S323" s="5" t="s">
        <v>102</v>
      </c>
      <c r="T323" s="5" t="s">
        <v>102</v>
      </c>
      <c r="U323" s="13" t="s">
        <v>194</v>
      </c>
      <c r="V323" s="5">
        <v>1</v>
      </c>
      <c r="W323" s="5" t="s">
        <v>165</v>
      </c>
      <c r="X323" s="26">
        <v>3.94</v>
      </c>
      <c r="Y323" s="5" t="s">
        <v>165</v>
      </c>
      <c r="Z323" s="5"/>
      <c r="AA323" s="5"/>
      <c r="AB323" s="24">
        <v>1</v>
      </c>
      <c r="AC323" s="5"/>
      <c r="AD323" s="5" t="str">
        <f t="shared" si="19"/>
        <v>kg_co2e_excl_luc</v>
      </c>
      <c r="AE323" s="24">
        <f>IF(CropLCAs[[#This Row],[Product fraction]]="",CropLCAs[[#This Row],[CO2e (value)]]*CropLCAs[[#This Row],[Conversion factor (value)]],CropLCAs[[#This Row],[CO2e (value)]]*CropLCAs[[#This Row],[Conversion factor (value)]]/CropLCAs[[#This Row],[Product fraction]]*CropLCAs[[#This Row],[Value fraction]])</f>
        <v>3.94</v>
      </c>
      <c r="AF323" s="5"/>
      <c r="AG323" s="5" t="str">
        <f t="shared" si="20"/>
        <v>processed_ghg</v>
      </c>
      <c r="AH323" s="5"/>
      <c r="AI323" s="5"/>
      <c r="AJ323" s="8" t="str">
        <f>IF(CropLCAs[[#This Row],[product_fraction]]&gt;0,CropLCAs[[#This Row],[footprint]]/CropLCAs[[#This Row],[product_fraction]]*CropLCAs[[#This Row],[value_fraction]],"")</f>
        <v/>
      </c>
      <c r="AK323" s="23">
        <v>1</v>
      </c>
      <c r="AL323" s="5" t="s">
        <v>109</v>
      </c>
      <c r="AM323" s="5" t="s">
        <v>342</v>
      </c>
      <c r="AN323" s="5" t="s">
        <v>196</v>
      </c>
      <c r="AO323" s="5" t="s">
        <v>573</v>
      </c>
      <c r="AP323" s="5"/>
      <c r="AQ323" s="5"/>
      <c r="AR323" s="5"/>
      <c r="AS323" s="5"/>
      <c r="AT323" s="5"/>
      <c r="AU323" s="5"/>
    </row>
    <row r="324" spans="1:47" ht="44.1" customHeight="1" x14ac:dyDescent="0.2">
      <c r="A324" s="5" t="s">
        <v>215</v>
      </c>
      <c r="B324" s="5" t="s">
        <v>1467</v>
      </c>
      <c r="C324" s="5">
        <v>2010</v>
      </c>
      <c r="D324" s="5" t="s">
        <v>341</v>
      </c>
      <c r="E324" s="5" t="s">
        <v>1528</v>
      </c>
      <c r="F324" s="5" t="s">
        <v>3</v>
      </c>
      <c r="G324" s="5" t="str">
        <f>IF(CropLCAs[[#This Row],[fbs_item]]="Insects","insect_ghg","plant_ghg")</f>
        <v>plant_ghg</v>
      </c>
      <c r="H324" s="49" t="s">
        <v>225</v>
      </c>
      <c r="I324" s="49"/>
      <c r="J324" s="49"/>
      <c r="K324" s="5" t="s">
        <v>111</v>
      </c>
      <c r="L324" s="5"/>
      <c r="M324" s="5" t="s">
        <v>102</v>
      </c>
      <c r="N324" s="5" t="s">
        <v>109</v>
      </c>
      <c r="O324" s="5" t="s">
        <v>109</v>
      </c>
      <c r="P324" s="5" t="s">
        <v>102</v>
      </c>
      <c r="Q324" s="5" t="s">
        <v>102</v>
      </c>
      <c r="R324" s="5" t="s">
        <v>102</v>
      </c>
      <c r="S324" s="5" t="s">
        <v>102</v>
      </c>
      <c r="T324" s="5" t="s">
        <v>102</v>
      </c>
      <c r="U324" s="13" t="s">
        <v>194</v>
      </c>
      <c r="V324" s="5">
        <v>1</v>
      </c>
      <c r="W324" s="5" t="s">
        <v>165</v>
      </c>
      <c r="X324" s="26">
        <v>2.46</v>
      </c>
      <c r="Y324" s="5" t="s">
        <v>165</v>
      </c>
      <c r="Z324" s="5"/>
      <c r="AA324" s="5"/>
      <c r="AB324" s="24">
        <v>1</v>
      </c>
      <c r="AC324" s="5"/>
      <c r="AD324" s="5" t="str">
        <f t="shared" si="19"/>
        <v>kg_co2e_excl_luc</v>
      </c>
      <c r="AE324" s="24">
        <f>IF(CropLCAs[[#This Row],[Product fraction]]="",CropLCAs[[#This Row],[CO2e (value)]]*CropLCAs[[#This Row],[Conversion factor (value)]],CropLCAs[[#This Row],[CO2e (value)]]*CropLCAs[[#This Row],[Conversion factor (value)]]/CropLCAs[[#This Row],[Product fraction]]*CropLCAs[[#This Row],[Value fraction]])</f>
        <v>2.46</v>
      </c>
      <c r="AF324" s="5"/>
      <c r="AG324" s="5" t="str">
        <f t="shared" si="20"/>
        <v>processed_ghg</v>
      </c>
      <c r="AH324" s="5"/>
      <c r="AI324" s="5"/>
      <c r="AJ324" s="8" t="str">
        <f>IF(CropLCAs[[#This Row],[product_fraction]]&gt;0,CropLCAs[[#This Row],[footprint]]/CropLCAs[[#This Row],[product_fraction]]*CropLCAs[[#This Row],[value_fraction]],"")</f>
        <v/>
      </c>
      <c r="AK324" s="23">
        <v>1</v>
      </c>
      <c r="AL324" s="5" t="s">
        <v>109</v>
      </c>
      <c r="AM324" s="5" t="s">
        <v>342</v>
      </c>
      <c r="AN324" s="5" t="s">
        <v>196</v>
      </c>
      <c r="AO324" s="5" t="s">
        <v>573</v>
      </c>
      <c r="AP324" s="5"/>
      <c r="AQ324" s="5"/>
      <c r="AR324" s="5"/>
      <c r="AS324" s="5"/>
      <c r="AT324" s="5"/>
      <c r="AU324" s="5"/>
    </row>
    <row r="325" spans="1:47" ht="44.1" customHeight="1" x14ac:dyDescent="0.2">
      <c r="A325" s="5" t="s">
        <v>215</v>
      </c>
      <c r="B325" s="5" t="s">
        <v>1467</v>
      </c>
      <c r="C325" s="5">
        <v>2010</v>
      </c>
      <c r="D325" s="5" t="s">
        <v>341</v>
      </c>
      <c r="E325" s="5" t="s">
        <v>568</v>
      </c>
      <c r="F325" s="5" t="s">
        <v>3</v>
      </c>
      <c r="G325" s="5" t="str">
        <f>IF(CropLCAs[[#This Row],[fbs_item]]="Insects","insect_ghg","plant_ghg")</f>
        <v>plant_ghg</v>
      </c>
      <c r="H325" s="49" t="s">
        <v>225</v>
      </c>
      <c r="I325" s="49"/>
      <c r="J325" s="49"/>
      <c r="K325" s="5" t="s">
        <v>111</v>
      </c>
      <c r="L325" s="5"/>
      <c r="M325" s="5" t="s">
        <v>102</v>
      </c>
      <c r="N325" s="5" t="s">
        <v>109</v>
      </c>
      <c r="O325" s="5" t="s">
        <v>109</v>
      </c>
      <c r="P325" s="5" t="s">
        <v>102</v>
      </c>
      <c r="Q325" s="5" t="s">
        <v>102</v>
      </c>
      <c r="R325" s="5" t="s">
        <v>102</v>
      </c>
      <c r="S325" s="5" t="s">
        <v>102</v>
      </c>
      <c r="T325" s="5" t="s">
        <v>102</v>
      </c>
      <c r="U325" s="13" t="s">
        <v>194</v>
      </c>
      <c r="V325" s="5">
        <v>1</v>
      </c>
      <c r="W325" s="5" t="s">
        <v>165</v>
      </c>
      <c r="X325" s="26">
        <v>0.32</v>
      </c>
      <c r="Y325" s="5" t="s">
        <v>165</v>
      </c>
      <c r="Z325" s="5"/>
      <c r="AA325" s="5"/>
      <c r="AB325" s="24">
        <v>1</v>
      </c>
      <c r="AC325" s="5"/>
      <c r="AD325" s="5" t="str">
        <f t="shared" ref="AD325:AD388" si="22">"kg_co2e_excl_luc"</f>
        <v>kg_co2e_excl_luc</v>
      </c>
      <c r="AE325" s="24">
        <f>IF(CropLCAs[[#This Row],[Product fraction]]="",CropLCAs[[#This Row],[CO2e (value)]]*CropLCAs[[#This Row],[Conversion factor (value)]],CropLCAs[[#This Row],[CO2e (value)]]*CropLCAs[[#This Row],[Conversion factor (value)]]/CropLCAs[[#This Row],[Product fraction]]*CropLCAs[[#This Row],[Value fraction]])</f>
        <v>0.32</v>
      </c>
      <c r="AF325" s="5"/>
      <c r="AG325" s="5" t="str">
        <f t="shared" ref="AG325:AG388" si="23">"processed_ghg"</f>
        <v>processed_ghg</v>
      </c>
      <c r="AH325" s="5"/>
      <c r="AI325" s="5"/>
      <c r="AJ325" s="8" t="str">
        <f>IF(CropLCAs[[#This Row],[product_fraction]]&gt;0,CropLCAs[[#This Row],[footprint]]/CropLCAs[[#This Row],[product_fraction]]*CropLCAs[[#This Row],[value_fraction]],"")</f>
        <v/>
      </c>
      <c r="AK325" s="23">
        <v>1</v>
      </c>
      <c r="AL325" s="5" t="s">
        <v>109</v>
      </c>
      <c r="AM325" s="5" t="s">
        <v>342</v>
      </c>
      <c r="AN325" s="5" t="s">
        <v>196</v>
      </c>
      <c r="AO325" s="5"/>
      <c r="AP325" s="5"/>
      <c r="AQ325" s="5"/>
      <c r="AR325" s="5"/>
      <c r="AS325" s="5"/>
      <c r="AT325" s="5"/>
      <c r="AU325" s="5"/>
    </row>
    <row r="326" spans="1:47" ht="44.1" customHeight="1" x14ac:dyDescent="0.2">
      <c r="A326" s="5" t="s">
        <v>215</v>
      </c>
      <c r="B326" s="5" t="s">
        <v>1467</v>
      </c>
      <c r="C326" s="5">
        <v>2010</v>
      </c>
      <c r="D326" s="5" t="s">
        <v>341</v>
      </c>
      <c r="E326" s="5" t="s">
        <v>1336</v>
      </c>
      <c r="F326" s="5" t="s">
        <v>3</v>
      </c>
      <c r="G326" s="5" t="str">
        <f>IF(CropLCAs[[#This Row],[fbs_item]]="Insects","insect_ghg","plant_ghg")</f>
        <v>plant_ghg</v>
      </c>
      <c r="H326" s="49" t="s">
        <v>225</v>
      </c>
      <c r="I326" s="49"/>
      <c r="J326" s="49"/>
      <c r="K326" s="5" t="s">
        <v>111</v>
      </c>
      <c r="L326" s="5"/>
      <c r="M326" s="5" t="s">
        <v>102</v>
      </c>
      <c r="N326" s="5" t="s">
        <v>109</v>
      </c>
      <c r="O326" s="5" t="s">
        <v>109</v>
      </c>
      <c r="P326" s="5" t="s">
        <v>102</v>
      </c>
      <c r="Q326" s="5" t="s">
        <v>102</v>
      </c>
      <c r="R326" s="5" t="s">
        <v>102</v>
      </c>
      <c r="S326" s="5" t="s">
        <v>102</v>
      </c>
      <c r="T326" s="5" t="s">
        <v>102</v>
      </c>
      <c r="U326" s="13" t="s">
        <v>194</v>
      </c>
      <c r="V326" s="5">
        <v>1</v>
      </c>
      <c r="W326" s="5" t="s">
        <v>165</v>
      </c>
      <c r="X326" s="26">
        <v>0.25</v>
      </c>
      <c r="Y326" s="5" t="s">
        <v>165</v>
      </c>
      <c r="Z326" s="5"/>
      <c r="AA326" s="5"/>
      <c r="AB326" s="24">
        <v>1</v>
      </c>
      <c r="AC326" s="5"/>
      <c r="AD326" s="5" t="str">
        <f t="shared" si="22"/>
        <v>kg_co2e_excl_luc</v>
      </c>
      <c r="AE326" s="24">
        <f>IF(CropLCAs[[#This Row],[Product fraction]]="",CropLCAs[[#This Row],[CO2e (value)]]*CropLCAs[[#This Row],[Conversion factor (value)]],CropLCAs[[#This Row],[CO2e (value)]]*CropLCAs[[#This Row],[Conversion factor (value)]]/CropLCAs[[#This Row],[Product fraction]]*CropLCAs[[#This Row],[Value fraction]])</f>
        <v>0.25</v>
      </c>
      <c r="AF326" s="5"/>
      <c r="AG326" s="5" t="str">
        <f t="shared" si="23"/>
        <v>processed_ghg</v>
      </c>
      <c r="AH326" s="5"/>
      <c r="AI326" s="5"/>
      <c r="AJ326" s="8" t="str">
        <f>IF(CropLCAs[[#This Row],[product_fraction]]&gt;0,CropLCAs[[#This Row],[footprint]]/CropLCAs[[#This Row],[product_fraction]]*CropLCAs[[#This Row],[value_fraction]],"")</f>
        <v/>
      </c>
      <c r="AK326" s="23">
        <v>1</v>
      </c>
      <c r="AL326" s="5" t="s">
        <v>109</v>
      </c>
      <c r="AM326" s="5" t="s">
        <v>342</v>
      </c>
      <c r="AN326" s="5" t="s">
        <v>196</v>
      </c>
      <c r="AO326" s="5"/>
      <c r="AP326" s="5"/>
      <c r="AQ326" s="5"/>
      <c r="AR326" s="5"/>
      <c r="AS326" s="5"/>
      <c r="AT326" s="5"/>
      <c r="AU326" s="5"/>
    </row>
    <row r="327" spans="1:47" ht="44.1" customHeight="1" x14ac:dyDescent="0.2">
      <c r="A327" s="5" t="s">
        <v>215</v>
      </c>
      <c r="B327" s="5" t="s">
        <v>1467</v>
      </c>
      <c r="C327" s="5">
        <v>2010</v>
      </c>
      <c r="D327" s="5" t="s">
        <v>341</v>
      </c>
      <c r="E327" s="5" t="s">
        <v>1337</v>
      </c>
      <c r="F327" s="5" t="s">
        <v>3</v>
      </c>
      <c r="G327" s="5" t="str">
        <f>IF(CropLCAs[[#This Row],[fbs_item]]="Insects","insect_ghg","plant_ghg")</f>
        <v>plant_ghg</v>
      </c>
      <c r="H327" s="49" t="s">
        <v>225</v>
      </c>
      <c r="I327" s="49"/>
      <c r="J327" s="49"/>
      <c r="K327" s="5" t="s">
        <v>111</v>
      </c>
      <c r="L327" s="5"/>
      <c r="M327" s="5" t="s">
        <v>102</v>
      </c>
      <c r="N327" s="5" t="s">
        <v>109</v>
      </c>
      <c r="O327" s="5" t="s">
        <v>109</v>
      </c>
      <c r="P327" s="5" t="s">
        <v>102</v>
      </c>
      <c r="Q327" s="5" t="s">
        <v>102</v>
      </c>
      <c r="R327" s="5" t="s">
        <v>102</v>
      </c>
      <c r="S327" s="5" t="s">
        <v>102</v>
      </c>
      <c r="T327" s="5" t="s">
        <v>102</v>
      </c>
      <c r="U327" s="13" t="s">
        <v>194</v>
      </c>
      <c r="V327" s="5">
        <v>1</v>
      </c>
      <c r="W327" s="5" t="s">
        <v>165</v>
      </c>
      <c r="X327" s="26">
        <v>0.38</v>
      </c>
      <c r="Y327" s="5" t="s">
        <v>165</v>
      </c>
      <c r="Z327" s="5"/>
      <c r="AA327" s="5"/>
      <c r="AB327" s="24">
        <v>1</v>
      </c>
      <c r="AC327" s="5"/>
      <c r="AD327" s="5" t="str">
        <f t="shared" si="22"/>
        <v>kg_co2e_excl_luc</v>
      </c>
      <c r="AE327" s="24">
        <f>IF(CropLCAs[[#This Row],[Product fraction]]="",CropLCAs[[#This Row],[CO2e (value)]]*CropLCAs[[#This Row],[Conversion factor (value)]],CropLCAs[[#This Row],[CO2e (value)]]*CropLCAs[[#This Row],[Conversion factor (value)]]/CropLCAs[[#This Row],[Product fraction]]*CropLCAs[[#This Row],[Value fraction]])</f>
        <v>0.38</v>
      </c>
      <c r="AF327" s="5"/>
      <c r="AG327" s="5" t="str">
        <f t="shared" si="23"/>
        <v>processed_ghg</v>
      </c>
      <c r="AH327" s="5"/>
      <c r="AI327" s="5"/>
      <c r="AJ327" s="8" t="str">
        <f>IF(CropLCAs[[#This Row],[product_fraction]]&gt;0,CropLCAs[[#This Row],[footprint]]/CropLCAs[[#This Row],[product_fraction]]*CropLCAs[[#This Row],[value_fraction]],"")</f>
        <v/>
      </c>
      <c r="AK327" s="23">
        <v>1</v>
      </c>
      <c r="AL327" s="5" t="s">
        <v>109</v>
      </c>
      <c r="AM327" s="5" t="s">
        <v>342</v>
      </c>
      <c r="AN327" s="5" t="s">
        <v>196</v>
      </c>
      <c r="AO327" s="5"/>
      <c r="AP327" s="5"/>
      <c r="AQ327" s="5"/>
      <c r="AR327" s="5"/>
      <c r="AS327" s="5"/>
      <c r="AT327" s="5"/>
      <c r="AU327" s="5"/>
    </row>
    <row r="328" spans="1:47" ht="44.1" customHeight="1" x14ac:dyDescent="0.2">
      <c r="A328" s="5" t="s">
        <v>215</v>
      </c>
      <c r="B328" s="5" t="s">
        <v>1467</v>
      </c>
      <c r="C328" s="5">
        <v>2010</v>
      </c>
      <c r="D328" s="5" t="s">
        <v>341</v>
      </c>
      <c r="E328" s="5" t="s">
        <v>569</v>
      </c>
      <c r="F328" s="5" t="s">
        <v>3</v>
      </c>
      <c r="G328" s="5" t="str">
        <f>IF(CropLCAs[[#This Row],[fbs_item]]="Insects","insect_ghg","plant_ghg")</f>
        <v>plant_ghg</v>
      </c>
      <c r="H328" s="49" t="s">
        <v>225</v>
      </c>
      <c r="I328" s="49"/>
      <c r="J328" s="49"/>
      <c r="K328" s="5" t="s">
        <v>111</v>
      </c>
      <c r="L328" s="5"/>
      <c r="M328" s="5" t="s">
        <v>102</v>
      </c>
      <c r="N328" s="5" t="s">
        <v>109</v>
      </c>
      <c r="O328" s="5" t="s">
        <v>109</v>
      </c>
      <c r="P328" s="5" t="s">
        <v>102</v>
      </c>
      <c r="Q328" s="5" t="s">
        <v>102</v>
      </c>
      <c r="R328" s="5" t="s">
        <v>102</v>
      </c>
      <c r="S328" s="5" t="s">
        <v>102</v>
      </c>
      <c r="T328" s="5" t="s">
        <v>102</v>
      </c>
      <c r="U328" s="13" t="s">
        <v>194</v>
      </c>
      <c r="V328" s="5">
        <v>1</v>
      </c>
      <c r="W328" s="5" t="s">
        <v>165</v>
      </c>
      <c r="X328" s="26">
        <v>0.06</v>
      </c>
      <c r="Y328" s="5" t="s">
        <v>165</v>
      </c>
      <c r="Z328" s="5"/>
      <c r="AA328" s="5"/>
      <c r="AB328" s="24">
        <v>1</v>
      </c>
      <c r="AC328" s="5"/>
      <c r="AD328" s="5" t="str">
        <f t="shared" si="22"/>
        <v>kg_co2e_excl_luc</v>
      </c>
      <c r="AE328" s="24">
        <f>IF(CropLCAs[[#This Row],[Product fraction]]="",CropLCAs[[#This Row],[CO2e (value)]]*CropLCAs[[#This Row],[Conversion factor (value)]],CropLCAs[[#This Row],[CO2e (value)]]*CropLCAs[[#This Row],[Conversion factor (value)]]/CropLCAs[[#This Row],[Product fraction]]*CropLCAs[[#This Row],[Value fraction]])</f>
        <v>0.06</v>
      </c>
      <c r="AF328" s="5"/>
      <c r="AG328" s="5" t="str">
        <f t="shared" si="23"/>
        <v>processed_ghg</v>
      </c>
      <c r="AH328" s="5"/>
      <c r="AI328" s="5"/>
      <c r="AJ328" s="8" t="str">
        <f>IF(CropLCAs[[#This Row],[product_fraction]]&gt;0,CropLCAs[[#This Row],[footprint]]/CropLCAs[[#This Row],[product_fraction]]*CropLCAs[[#This Row],[value_fraction]],"")</f>
        <v/>
      </c>
      <c r="AK328" s="23">
        <v>1</v>
      </c>
      <c r="AL328" s="5" t="s">
        <v>109</v>
      </c>
      <c r="AM328" s="5" t="s">
        <v>342</v>
      </c>
      <c r="AN328" s="5" t="s">
        <v>196</v>
      </c>
      <c r="AO328" s="5" t="s">
        <v>574</v>
      </c>
      <c r="AP328" s="5"/>
      <c r="AQ328" s="5"/>
      <c r="AR328" s="5"/>
      <c r="AS328" s="5"/>
      <c r="AT328" s="5"/>
      <c r="AU328" s="5"/>
    </row>
    <row r="329" spans="1:47" ht="44.1" customHeight="1" x14ac:dyDescent="0.2">
      <c r="A329" s="5" t="s">
        <v>215</v>
      </c>
      <c r="B329" s="5" t="s">
        <v>1467</v>
      </c>
      <c r="C329" s="5">
        <v>2010</v>
      </c>
      <c r="D329" s="5" t="s">
        <v>341</v>
      </c>
      <c r="E329" s="5" t="s">
        <v>344</v>
      </c>
      <c r="F329" s="5" t="s">
        <v>15</v>
      </c>
      <c r="G329" s="5" t="str">
        <f>IF(CropLCAs[[#This Row],[fbs_item]]="Insects","insect_ghg","plant_ghg")</f>
        <v>plant_ghg</v>
      </c>
      <c r="H329" s="49" t="s">
        <v>225</v>
      </c>
      <c r="I329" s="49"/>
      <c r="J329" s="49"/>
      <c r="K329" s="5" t="s">
        <v>111</v>
      </c>
      <c r="L329" s="5"/>
      <c r="M329" s="5" t="s">
        <v>102</v>
      </c>
      <c r="N329" s="5" t="s">
        <v>109</v>
      </c>
      <c r="O329" s="5" t="s">
        <v>109</v>
      </c>
      <c r="P329" s="5" t="s">
        <v>102</v>
      </c>
      <c r="Q329" s="5" t="s">
        <v>102</v>
      </c>
      <c r="R329" s="5" t="s">
        <v>102</v>
      </c>
      <c r="S329" s="5" t="s">
        <v>102</v>
      </c>
      <c r="T329" s="5" t="s">
        <v>102</v>
      </c>
      <c r="U329" s="13" t="s">
        <v>194</v>
      </c>
      <c r="V329" s="5">
        <v>1</v>
      </c>
      <c r="W329" s="5" t="s">
        <v>165</v>
      </c>
      <c r="X329" s="26">
        <v>0.21</v>
      </c>
      <c r="Y329" s="5" t="s">
        <v>165</v>
      </c>
      <c r="Z329" s="5"/>
      <c r="AA329" s="5"/>
      <c r="AB329" s="24">
        <v>1</v>
      </c>
      <c r="AC329" s="5"/>
      <c r="AD329" s="5" t="str">
        <f t="shared" si="22"/>
        <v>kg_co2e_excl_luc</v>
      </c>
      <c r="AE329" s="24">
        <f>IF(CropLCAs[[#This Row],[Product fraction]]="",CropLCAs[[#This Row],[CO2e (value)]]*CropLCAs[[#This Row],[Conversion factor (value)]],CropLCAs[[#This Row],[CO2e (value)]]*CropLCAs[[#This Row],[Conversion factor (value)]]/CropLCAs[[#This Row],[Product fraction]]*CropLCAs[[#This Row],[Value fraction]])</f>
        <v>0.21</v>
      </c>
      <c r="AF329" s="5"/>
      <c r="AG329" s="5" t="str">
        <f t="shared" si="23"/>
        <v>processed_ghg</v>
      </c>
      <c r="AH329" s="5"/>
      <c r="AI329" s="5"/>
      <c r="AJ329" s="8" t="str">
        <f>IF(CropLCAs[[#This Row],[product_fraction]]&gt;0,CropLCAs[[#This Row],[footprint]]/CropLCAs[[#This Row],[product_fraction]]*CropLCAs[[#This Row],[value_fraction]],"")</f>
        <v/>
      </c>
      <c r="AK329" s="23">
        <v>1</v>
      </c>
      <c r="AL329" s="5" t="s">
        <v>109</v>
      </c>
      <c r="AM329" s="5" t="s">
        <v>342</v>
      </c>
      <c r="AN329" s="5" t="s">
        <v>196</v>
      </c>
      <c r="AO329" s="5"/>
      <c r="AP329" s="5"/>
      <c r="AQ329" s="5"/>
      <c r="AR329" s="5"/>
      <c r="AS329" s="5"/>
      <c r="AT329" s="5"/>
      <c r="AU329" s="5"/>
    </row>
    <row r="330" spans="1:47" ht="44.1" customHeight="1" x14ac:dyDescent="0.2">
      <c r="A330" s="5" t="s">
        <v>215</v>
      </c>
      <c r="B330" s="5" t="s">
        <v>1467</v>
      </c>
      <c r="C330" s="5">
        <v>2010</v>
      </c>
      <c r="D330" s="5" t="s">
        <v>341</v>
      </c>
      <c r="E330" s="5" t="s">
        <v>376</v>
      </c>
      <c r="F330" s="5" t="s">
        <v>16</v>
      </c>
      <c r="G330" s="5" t="str">
        <f>IF(CropLCAs[[#This Row],[fbs_item]]="Insects","insect_ghg","plant_ghg")</f>
        <v>plant_ghg</v>
      </c>
      <c r="H330" s="49" t="s">
        <v>225</v>
      </c>
      <c r="I330" s="49"/>
      <c r="J330" s="49"/>
      <c r="K330" s="5" t="s">
        <v>111</v>
      </c>
      <c r="L330" s="5"/>
      <c r="M330" s="5" t="s">
        <v>102</v>
      </c>
      <c r="N330" s="5" t="s">
        <v>109</v>
      </c>
      <c r="O330" s="5" t="s">
        <v>109</v>
      </c>
      <c r="P330" s="5" t="s">
        <v>102</v>
      </c>
      <c r="Q330" s="5" t="s">
        <v>102</v>
      </c>
      <c r="R330" s="5" t="s">
        <v>102</v>
      </c>
      <c r="S330" s="5" t="s">
        <v>102</v>
      </c>
      <c r="T330" s="5" t="s">
        <v>102</v>
      </c>
      <c r="U330" s="13" t="s">
        <v>194</v>
      </c>
      <c r="V330" s="5">
        <v>1</v>
      </c>
      <c r="W330" s="5" t="s">
        <v>165</v>
      </c>
      <c r="X330" s="26">
        <v>0.27</v>
      </c>
      <c r="Y330" s="5" t="s">
        <v>165</v>
      </c>
      <c r="Z330" s="5"/>
      <c r="AA330" s="5"/>
      <c r="AB330" s="24">
        <v>1</v>
      </c>
      <c r="AC330" s="5"/>
      <c r="AD330" s="5" t="str">
        <f t="shared" si="22"/>
        <v>kg_co2e_excl_luc</v>
      </c>
      <c r="AE330" s="24">
        <f>IF(CropLCAs[[#This Row],[Product fraction]]="",CropLCAs[[#This Row],[CO2e (value)]]*CropLCAs[[#This Row],[Conversion factor (value)]],CropLCAs[[#This Row],[CO2e (value)]]*CropLCAs[[#This Row],[Conversion factor (value)]]/CropLCAs[[#This Row],[Product fraction]]*CropLCAs[[#This Row],[Value fraction]])</f>
        <v>0.27</v>
      </c>
      <c r="AF330" s="5"/>
      <c r="AG330" s="5" t="str">
        <f t="shared" si="23"/>
        <v>processed_ghg</v>
      </c>
      <c r="AH330" s="5"/>
      <c r="AI330" s="5"/>
      <c r="AJ330" s="8" t="str">
        <f>IF(CropLCAs[[#This Row],[product_fraction]]&gt;0,CropLCAs[[#This Row],[footprint]]/CropLCAs[[#This Row],[product_fraction]]*CropLCAs[[#This Row],[value_fraction]],"")</f>
        <v/>
      </c>
      <c r="AK330" s="23">
        <v>1</v>
      </c>
      <c r="AL330" s="5" t="s">
        <v>109</v>
      </c>
      <c r="AM330" s="5" t="s">
        <v>342</v>
      </c>
      <c r="AN330" s="5" t="s">
        <v>196</v>
      </c>
      <c r="AO330" s="5"/>
      <c r="AP330" s="5"/>
      <c r="AQ330" s="5"/>
      <c r="AR330" s="5"/>
      <c r="AS330" s="5"/>
      <c r="AT330" s="5"/>
      <c r="AU330" s="5"/>
    </row>
    <row r="331" spans="1:47" ht="44.1" customHeight="1" x14ac:dyDescent="0.2">
      <c r="A331" s="5" t="s">
        <v>215</v>
      </c>
      <c r="B331" s="5" t="s">
        <v>1467</v>
      </c>
      <c r="C331" s="5">
        <v>2010</v>
      </c>
      <c r="D331" s="5" t="s">
        <v>341</v>
      </c>
      <c r="E331" s="5" t="s">
        <v>1338</v>
      </c>
      <c r="F331" s="5" t="s">
        <v>3</v>
      </c>
      <c r="G331" s="5" t="str">
        <f>IF(CropLCAs[[#This Row],[fbs_item]]="Insects","insect_ghg","plant_ghg")</f>
        <v>plant_ghg</v>
      </c>
      <c r="H331" s="49" t="s">
        <v>225</v>
      </c>
      <c r="I331" s="49"/>
      <c r="J331" s="49"/>
      <c r="K331" s="5" t="s">
        <v>111</v>
      </c>
      <c r="L331" s="5"/>
      <c r="M331" s="5" t="s">
        <v>102</v>
      </c>
      <c r="N331" s="5" t="s">
        <v>109</v>
      </c>
      <c r="O331" s="5" t="s">
        <v>109</v>
      </c>
      <c r="P331" s="5" t="s">
        <v>102</v>
      </c>
      <c r="Q331" s="5" t="s">
        <v>102</v>
      </c>
      <c r="R331" s="5" t="s">
        <v>102</v>
      </c>
      <c r="S331" s="5" t="s">
        <v>102</v>
      </c>
      <c r="T331" s="5" t="s">
        <v>102</v>
      </c>
      <c r="U331" s="13" t="s">
        <v>194</v>
      </c>
      <c r="V331" s="5">
        <v>1</v>
      </c>
      <c r="W331" s="5" t="s">
        <v>165</v>
      </c>
      <c r="X331" s="26">
        <v>0.63</v>
      </c>
      <c r="Y331" s="5" t="s">
        <v>165</v>
      </c>
      <c r="Z331" s="5"/>
      <c r="AA331" s="5"/>
      <c r="AB331" s="24">
        <v>1</v>
      </c>
      <c r="AC331" s="5"/>
      <c r="AD331" s="5" t="str">
        <f t="shared" si="22"/>
        <v>kg_co2e_excl_luc</v>
      </c>
      <c r="AE331" s="24">
        <f>IF(CropLCAs[[#This Row],[Product fraction]]="",CropLCAs[[#This Row],[CO2e (value)]]*CropLCAs[[#This Row],[Conversion factor (value)]],CropLCAs[[#This Row],[CO2e (value)]]*CropLCAs[[#This Row],[Conversion factor (value)]]/CropLCAs[[#This Row],[Product fraction]]*CropLCAs[[#This Row],[Value fraction]])</f>
        <v>0.63</v>
      </c>
      <c r="AF331" s="5"/>
      <c r="AG331" s="5" t="str">
        <f t="shared" si="23"/>
        <v>processed_ghg</v>
      </c>
      <c r="AH331" s="5"/>
      <c r="AI331" s="5"/>
      <c r="AJ331" s="8" t="str">
        <f>IF(CropLCAs[[#This Row],[product_fraction]]&gt;0,CropLCAs[[#This Row],[footprint]]/CropLCAs[[#This Row],[product_fraction]]*CropLCAs[[#This Row],[value_fraction]],"")</f>
        <v/>
      </c>
      <c r="AK331" s="23">
        <v>1</v>
      </c>
      <c r="AL331" s="5" t="s">
        <v>109</v>
      </c>
      <c r="AM331" s="5" t="s">
        <v>342</v>
      </c>
      <c r="AN331" s="5" t="s">
        <v>196</v>
      </c>
      <c r="AO331" s="5"/>
      <c r="AP331" s="5"/>
      <c r="AQ331" s="5"/>
      <c r="AR331" s="5"/>
      <c r="AS331" s="5"/>
      <c r="AT331" s="5"/>
      <c r="AU331" s="5"/>
    </row>
    <row r="332" spans="1:47" ht="44.1" customHeight="1" x14ac:dyDescent="0.2">
      <c r="A332" s="5" t="s">
        <v>215</v>
      </c>
      <c r="B332" s="5" t="s">
        <v>1467</v>
      </c>
      <c r="C332" s="5">
        <v>2010</v>
      </c>
      <c r="D332" s="5" t="s">
        <v>341</v>
      </c>
      <c r="E332" s="5" t="s">
        <v>1339</v>
      </c>
      <c r="F332" s="5" t="s">
        <v>3</v>
      </c>
      <c r="G332" s="5" t="str">
        <f>IF(CropLCAs[[#This Row],[fbs_item]]="Insects","insect_ghg","plant_ghg")</f>
        <v>plant_ghg</v>
      </c>
      <c r="H332" s="49" t="s">
        <v>225</v>
      </c>
      <c r="I332" s="49"/>
      <c r="J332" s="49"/>
      <c r="K332" s="5" t="s">
        <v>111</v>
      </c>
      <c r="L332" s="5"/>
      <c r="M332" s="5" t="s">
        <v>102</v>
      </c>
      <c r="N332" s="5" t="s">
        <v>109</v>
      </c>
      <c r="O332" s="5" t="s">
        <v>109</v>
      </c>
      <c r="P332" s="5" t="s">
        <v>102</v>
      </c>
      <c r="Q332" s="5" t="s">
        <v>102</v>
      </c>
      <c r="R332" s="5" t="s">
        <v>102</v>
      </c>
      <c r="S332" s="5" t="s">
        <v>102</v>
      </c>
      <c r="T332" s="5" t="s">
        <v>102</v>
      </c>
      <c r="U332" s="13" t="s">
        <v>194</v>
      </c>
      <c r="V332" s="5">
        <v>1</v>
      </c>
      <c r="W332" s="5" t="s">
        <v>165</v>
      </c>
      <c r="X332" s="26">
        <v>1.38</v>
      </c>
      <c r="Y332" s="5" t="s">
        <v>165</v>
      </c>
      <c r="Z332" s="5"/>
      <c r="AA332" s="5"/>
      <c r="AB332" s="24">
        <v>1</v>
      </c>
      <c r="AC332" s="5"/>
      <c r="AD332" s="5" t="str">
        <f t="shared" si="22"/>
        <v>kg_co2e_excl_luc</v>
      </c>
      <c r="AE332" s="24">
        <f>IF(CropLCAs[[#This Row],[Product fraction]]="",CropLCAs[[#This Row],[CO2e (value)]]*CropLCAs[[#This Row],[Conversion factor (value)]],CropLCAs[[#This Row],[CO2e (value)]]*CropLCAs[[#This Row],[Conversion factor (value)]]/CropLCAs[[#This Row],[Product fraction]]*CropLCAs[[#This Row],[Value fraction]])</f>
        <v>1.38</v>
      </c>
      <c r="AF332" s="5"/>
      <c r="AG332" s="5" t="str">
        <f t="shared" si="23"/>
        <v>processed_ghg</v>
      </c>
      <c r="AH332" s="5"/>
      <c r="AI332" s="5"/>
      <c r="AJ332" s="8" t="str">
        <f>IF(CropLCAs[[#This Row],[product_fraction]]&gt;0,CropLCAs[[#This Row],[footprint]]/CropLCAs[[#This Row],[product_fraction]]*CropLCAs[[#This Row],[value_fraction]],"")</f>
        <v/>
      </c>
      <c r="AK332" s="23">
        <v>1</v>
      </c>
      <c r="AL332" s="5" t="s">
        <v>109</v>
      </c>
      <c r="AM332" s="5" t="s">
        <v>342</v>
      </c>
      <c r="AN332" s="5" t="s">
        <v>196</v>
      </c>
      <c r="AO332" s="5" t="s">
        <v>575</v>
      </c>
      <c r="AP332" s="5"/>
      <c r="AQ332" s="5"/>
      <c r="AR332" s="5"/>
      <c r="AS332" s="5"/>
      <c r="AT332" s="5"/>
      <c r="AU332" s="5"/>
    </row>
    <row r="333" spans="1:47" ht="44.1" customHeight="1" x14ac:dyDescent="0.2">
      <c r="A333" s="5" t="s">
        <v>215</v>
      </c>
      <c r="B333" s="5" t="s">
        <v>1467</v>
      </c>
      <c r="C333" s="5">
        <v>2010</v>
      </c>
      <c r="D333" s="5" t="s">
        <v>341</v>
      </c>
      <c r="E333" s="5" t="s">
        <v>525</v>
      </c>
      <c r="F333" s="5" t="s">
        <v>9</v>
      </c>
      <c r="G333" s="5" t="str">
        <f>IF(CropLCAs[[#This Row],[fbs_item]]="Insects","insect_ghg","plant_ghg")</f>
        <v>plant_ghg</v>
      </c>
      <c r="H333" s="49" t="s">
        <v>225</v>
      </c>
      <c r="I333" s="49"/>
      <c r="J333" s="49"/>
      <c r="K333" s="5" t="s">
        <v>111</v>
      </c>
      <c r="L333" s="5"/>
      <c r="M333" s="5" t="s">
        <v>102</v>
      </c>
      <c r="N333" s="5" t="s">
        <v>109</v>
      </c>
      <c r="O333" s="5" t="s">
        <v>109</v>
      </c>
      <c r="P333" s="5" t="s">
        <v>102</v>
      </c>
      <c r="Q333" s="5" t="s">
        <v>102</v>
      </c>
      <c r="R333" s="5" t="s">
        <v>102</v>
      </c>
      <c r="S333" s="5" t="s">
        <v>102</v>
      </c>
      <c r="T333" s="5" t="s">
        <v>102</v>
      </c>
      <c r="U333" s="13" t="s">
        <v>194</v>
      </c>
      <c r="V333" s="5">
        <v>1</v>
      </c>
      <c r="W333" s="5" t="s">
        <v>165</v>
      </c>
      <c r="X333" s="26">
        <v>0.22</v>
      </c>
      <c r="Y333" s="5" t="s">
        <v>165</v>
      </c>
      <c r="Z333" s="5"/>
      <c r="AA333" s="5"/>
      <c r="AB333" s="24">
        <v>1</v>
      </c>
      <c r="AC333" s="5"/>
      <c r="AD333" s="5" t="str">
        <f t="shared" si="22"/>
        <v>kg_co2e_excl_luc</v>
      </c>
      <c r="AE333" s="24">
        <f>IF(CropLCAs[[#This Row],[Product fraction]]="",CropLCAs[[#This Row],[CO2e (value)]]*CropLCAs[[#This Row],[Conversion factor (value)]],CropLCAs[[#This Row],[CO2e (value)]]*CropLCAs[[#This Row],[Conversion factor (value)]]/CropLCAs[[#This Row],[Product fraction]]*CropLCAs[[#This Row],[Value fraction]])</f>
        <v>0.22</v>
      </c>
      <c r="AF333" s="5"/>
      <c r="AG333" s="5" t="str">
        <f t="shared" si="23"/>
        <v>processed_ghg</v>
      </c>
      <c r="AH333" s="5"/>
      <c r="AI333" s="5"/>
      <c r="AJ333" s="8" t="str">
        <f>IF(CropLCAs[[#This Row],[product_fraction]]&gt;0,CropLCAs[[#This Row],[footprint]]/CropLCAs[[#This Row],[product_fraction]]*CropLCAs[[#This Row],[value_fraction]],"")</f>
        <v/>
      </c>
      <c r="AK333" s="23">
        <v>1</v>
      </c>
      <c r="AL333" s="5" t="s">
        <v>109</v>
      </c>
      <c r="AM333" s="5" t="s">
        <v>342</v>
      </c>
      <c r="AN333" s="5" t="s">
        <v>196</v>
      </c>
      <c r="AO333" s="5"/>
      <c r="AP333" s="5"/>
      <c r="AQ333" s="5"/>
      <c r="AR333" s="5"/>
      <c r="AS333" s="5"/>
      <c r="AT333" s="5"/>
      <c r="AU333" s="5"/>
    </row>
    <row r="334" spans="1:47" ht="44.1" customHeight="1" x14ac:dyDescent="0.2">
      <c r="A334" s="5" t="s">
        <v>215</v>
      </c>
      <c r="B334" s="5" t="s">
        <v>1467</v>
      </c>
      <c r="C334" s="5">
        <v>2010</v>
      </c>
      <c r="D334" s="5" t="s">
        <v>341</v>
      </c>
      <c r="E334" s="5" t="s">
        <v>1340</v>
      </c>
      <c r="F334" s="5" t="s">
        <v>3</v>
      </c>
      <c r="G334" s="5" t="str">
        <f>IF(CropLCAs[[#This Row],[fbs_item]]="Insects","insect_ghg","plant_ghg")</f>
        <v>plant_ghg</v>
      </c>
      <c r="H334" s="49" t="s">
        <v>225</v>
      </c>
      <c r="I334" s="49"/>
      <c r="J334" s="49"/>
      <c r="K334" s="5" t="s">
        <v>111</v>
      </c>
      <c r="L334" s="5"/>
      <c r="M334" s="5" t="s">
        <v>102</v>
      </c>
      <c r="N334" s="5" t="s">
        <v>109</v>
      </c>
      <c r="O334" s="5" t="s">
        <v>109</v>
      </c>
      <c r="P334" s="5" t="s">
        <v>102</v>
      </c>
      <c r="Q334" s="5" t="s">
        <v>102</v>
      </c>
      <c r="R334" s="5" t="s">
        <v>102</v>
      </c>
      <c r="S334" s="5" t="s">
        <v>102</v>
      </c>
      <c r="T334" s="5" t="s">
        <v>102</v>
      </c>
      <c r="U334" s="13" t="s">
        <v>194</v>
      </c>
      <c r="V334" s="5">
        <v>1</v>
      </c>
      <c r="W334" s="5" t="s">
        <v>165</v>
      </c>
      <c r="X334" s="26">
        <v>1.17</v>
      </c>
      <c r="Y334" s="5" t="s">
        <v>165</v>
      </c>
      <c r="Z334" s="5"/>
      <c r="AA334" s="5"/>
      <c r="AB334" s="24">
        <v>1</v>
      </c>
      <c r="AC334" s="5"/>
      <c r="AD334" s="5" t="str">
        <f t="shared" si="22"/>
        <v>kg_co2e_excl_luc</v>
      </c>
      <c r="AE334" s="24">
        <f>IF(CropLCAs[[#This Row],[Product fraction]]="",CropLCAs[[#This Row],[CO2e (value)]]*CropLCAs[[#This Row],[Conversion factor (value)]],CropLCAs[[#This Row],[CO2e (value)]]*CropLCAs[[#This Row],[Conversion factor (value)]]/CropLCAs[[#This Row],[Product fraction]]*CropLCAs[[#This Row],[Value fraction]])</f>
        <v>1.17</v>
      </c>
      <c r="AF334" s="5"/>
      <c r="AG334" s="5" t="str">
        <f t="shared" si="23"/>
        <v>processed_ghg</v>
      </c>
      <c r="AH334" s="5"/>
      <c r="AI334" s="5"/>
      <c r="AJ334" s="8" t="str">
        <f>IF(CropLCAs[[#This Row],[product_fraction]]&gt;0,CropLCAs[[#This Row],[footprint]]/CropLCAs[[#This Row],[product_fraction]]*CropLCAs[[#This Row],[value_fraction]],"")</f>
        <v/>
      </c>
      <c r="AK334" s="23">
        <v>1</v>
      </c>
      <c r="AL334" s="5" t="s">
        <v>109</v>
      </c>
      <c r="AM334" s="5" t="s">
        <v>342</v>
      </c>
      <c r="AN334" s="5" t="s">
        <v>196</v>
      </c>
      <c r="AO334" s="5"/>
      <c r="AP334" s="5"/>
      <c r="AQ334" s="5"/>
      <c r="AR334" s="5"/>
      <c r="AS334" s="5"/>
      <c r="AT334" s="5"/>
      <c r="AU334" s="5"/>
    </row>
    <row r="335" spans="1:47" ht="44.1" customHeight="1" x14ac:dyDescent="0.2">
      <c r="A335" s="5" t="s">
        <v>215</v>
      </c>
      <c r="B335" s="5" t="s">
        <v>1467</v>
      </c>
      <c r="C335" s="5">
        <v>2010</v>
      </c>
      <c r="D335" s="5" t="s">
        <v>341</v>
      </c>
      <c r="E335" s="5" t="s">
        <v>1327</v>
      </c>
      <c r="F335" s="5" t="s">
        <v>36</v>
      </c>
      <c r="G335" s="5" t="str">
        <f>IF(CropLCAs[[#This Row],[fbs_item]]="Insects","insect_ghg","plant_ghg")</f>
        <v>plant_ghg</v>
      </c>
      <c r="H335" s="49" t="s">
        <v>225</v>
      </c>
      <c r="I335" s="49"/>
      <c r="J335" s="49"/>
      <c r="K335" s="5" t="s">
        <v>111</v>
      </c>
      <c r="L335" s="5"/>
      <c r="M335" s="5" t="s">
        <v>102</v>
      </c>
      <c r="N335" s="5" t="s">
        <v>109</v>
      </c>
      <c r="O335" s="5" t="s">
        <v>109</v>
      </c>
      <c r="P335" s="5" t="s">
        <v>102</v>
      </c>
      <c r="Q335" s="5" t="s">
        <v>102</v>
      </c>
      <c r="R335" s="5" t="s">
        <v>102</v>
      </c>
      <c r="S335" s="5" t="s">
        <v>102</v>
      </c>
      <c r="T335" s="5" t="s">
        <v>102</v>
      </c>
      <c r="U335" s="13" t="s">
        <v>194</v>
      </c>
      <c r="V335" s="5">
        <v>1</v>
      </c>
      <c r="W335" s="5" t="s">
        <v>165</v>
      </c>
      <c r="X335" s="26">
        <v>0.24</v>
      </c>
      <c r="Y335" s="5" t="s">
        <v>165</v>
      </c>
      <c r="Z335" s="5"/>
      <c r="AA335" s="5"/>
      <c r="AB335" s="24">
        <v>1</v>
      </c>
      <c r="AC335" s="5"/>
      <c r="AD335" s="5" t="str">
        <f t="shared" si="22"/>
        <v>kg_co2e_excl_luc</v>
      </c>
      <c r="AE335" s="24">
        <f>IF(CropLCAs[[#This Row],[Product fraction]]="",CropLCAs[[#This Row],[CO2e (value)]]*CropLCAs[[#This Row],[Conversion factor (value)]],CropLCAs[[#This Row],[CO2e (value)]]*CropLCAs[[#This Row],[Conversion factor (value)]]/CropLCAs[[#This Row],[Product fraction]]*CropLCAs[[#This Row],[Value fraction]])</f>
        <v>0.24</v>
      </c>
      <c r="AF335" s="5" t="s">
        <v>37</v>
      </c>
      <c r="AG335" s="5" t="str">
        <f t="shared" si="23"/>
        <v>processed_ghg</v>
      </c>
      <c r="AH335" s="5">
        <v>0.14000000000000001</v>
      </c>
      <c r="AI335" s="5">
        <v>0.92</v>
      </c>
      <c r="AJ335" s="8">
        <f>IF(CropLCAs[[#This Row],[product_fraction]]&gt;0,CropLCAs[[#This Row],[footprint]]/CropLCAs[[#This Row],[product_fraction]]*CropLCAs[[#This Row],[value_fraction]],"")</f>
        <v>1.577142857142857</v>
      </c>
      <c r="AK335" s="23">
        <v>1</v>
      </c>
      <c r="AL335" s="5" t="s">
        <v>109</v>
      </c>
      <c r="AM335" s="5" t="s">
        <v>342</v>
      </c>
      <c r="AN335" s="5" t="s">
        <v>196</v>
      </c>
      <c r="AO335" s="5"/>
      <c r="AP335" s="5"/>
      <c r="AQ335" s="5"/>
      <c r="AR335" s="5"/>
      <c r="AS335" s="5"/>
      <c r="AT335" s="5"/>
      <c r="AU335" s="5"/>
    </row>
    <row r="336" spans="1:47" ht="44.1" customHeight="1" x14ac:dyDescent="0.2">
      <c r="A336" s="5" t="s">
        <v>112</v>
      </c>
      <c r="B336" s="5" t="s">
        <v>1468</v>
      </c>
      <c r="C336" s="16">
        <v>2012</v>
      </c>
      <c r="D336" s="5" t="s">
        <v>192</v>
      </c>
      <c r="E336" s="5" t="s">
        <v>161</v>
      </c>
      <c r="F336" s="5" t="s">
        <v>10</v>
      </c>
      <c r="G336" s="5" t="str">
        <f>IF(CropLCAs[[#This Row],[fbs_item]]="Insects","insect_ghg","plant_ghg")</f>
        <v>plant_ghg</v>
      </c>
      <c r="H336" s="49" t="s">
        <v>225</v>
      </c>
      <c r="I336" s="49"/>
      <c r="J336" s="49"/>
      <c r="K336" s="5" t="s">
        <v>111</v>
      </c>
      <c r="L336" s="5" t="s">
        <v>193</v>
      </c>
      <c r="M336" s="5" t="s">
        <v>102</v>
      </c>
      <c r="N336" s="5" t="s">
        <v>109</v>
      </c>
      <c r="O336" s="5" t="s">
        <v>109</v>
      </c>
      <c r="P336" s="5" t="s">
        <v>102</v>
      </c>
      <c r="Q336" s="5" t="s">
        <v>102</v>
      </c>
      <c r="R336" s="5" t="s">
        <v>102</v>
      </c>
      <c r="S336" s="5" t="s">
        <v>102</v>
      </c>
      <c r="T336" s="5" t="s">
        <v>102</v>
      </c>
      <c r="U336" s="5" t="s">
        <v>194</v>
      </c>
      <c r="V336" s="5">
        <v>1</v>
      </c>
      <c r="W336" s="5" t="s">
        <v>127</v>
      </c>
      <c r="X336" s="24">
        <v>87.2</v>
      </c>
      <c r="Y336" s="5" t="s">
        <v>106</v>
      </c>
      <c r="Z336" s="5"/>
      <c r="AA336" s="5"/>
      <c r="AB336" s="24">
        <v>1E-3</v>
      </c>
      <c r="AC336" s="5" t="s">
        <v>195</v>
      </c>
      <c r="AD336" s="5" t="str">
        <f t="shared" si="22"/>
        <v>kg_co2e_excl_luc</v>
      </c>
      <c r="AE336" s="24">
        <f>IF(CropLCAs[[#This Row],[Product fraction]]="",CropLCAs[[#This Row],[CO2e (value)]]*CropLCAs[[#This Row],[Conversion factor (value)]],CropLCAs[[#This Row],[CO2e (value)]]*CropLCAs[[#This Row],[Conversion factor (value)]]/CropLCAs[[#This Row],[Product fraction]]*CropLCAs[[#This Row],[Value fraction]])</f>
        <v>8.72E-2</v>
      </c>
      <c r="AF336" s="5"/>
      <c r="AG336" s="5" t="str">
        <f t="shared" si="23"/>
        <v>processed_ghg</v>
      </c>
      <c r="AH336" s="5"/>
      <c r="AI336" s="5"/>
      <c r="AJ336" s="8" t="str">
        <f>IF(CropLCAs[[#This Row],[product_fraction]]&gt;0,CropLCAs[[#This Row],[footprint]]/CropLCAs[[#This Row],[product_fraction]]*CropLCAs[[#This Row],[value_fraction]],"")</f>
        <v/>
      </c>
      <c r="AK336" s="23">
        <f t="shared" ref="AK336:AK346" si="24">1/2</f>
        <v>0.5</v>
      </c>
      <c r="AL336" s="5" t="s">
        <v>109</v>
      </c>
      <c r="AM336" s="5"/>
      <c r="AN336" s="5" t="s">
        <v>196</v>
      </c>
      <c r="AO336" s="5" t="s">
        <v>197</v>
      </c>
      <c r="AP336" s="5"/>
      <c r="AQ336" s="5"/>
      <c r="AR336" s="5"/>
      <c r="AS336" s="5"/>
      <c r="AT336" s="5"/>
      <c r="AU336" s="5"/>
    </row>
    <row r="337" spans="1:47" ht="44.1" customHeight="1" x14ac:dyDescent="0.2">
      <c r="A337" s="5" t="s">
        <v>112</v>
      </c>
      <c r="B337" s="5" t="s">
        <v>1468</v>
      </c>
      <c r="C337" s="16">
        <v>2012</v>
      </c>
      <c r="D337" s="5" t="s">
        <v>192</v>
      </c>
      <c r="E337" s="5" t="s">
        <v>161</v>
      </c>
      <c r="F337" s="5" t="s">
        <v>10</v>
      </c>
      <c r="G337" s="5" t="str">
        <f>IF(CropLCAs[[#This Row],[fbs_item]]="Insects","insect_ghg","plant_ghg")</f>
        <v>plant_ghg</v>
      </c>
      <c r="H337" s="49" t="s">
        <v>225</v>
      </c>
      <c r="I337" s="49"/>
      <c r="J337" s="49"/>
      <c r="K337" s="5" t="s">
        <v>111</v>
      </c>
      <c r="L337" s="5" t="s">
        <v>198</v>
      </c>
      <c r="M337" s="5" t="s">
        <v>102</v>
      </c>
      <c r="N337" s="5" t="s">
        <v>109</v>
      </c>
      <c r="O337" s="5" t="s">
        <v>109</v>
      </c>
      <c r="P337" s="5" t="s">
        <v>102</v>
      </c>
      <c r="Q337" s="5" t="s">
        <v>102</v>
      </c>
      <c r="R337" s="5" t="s">
        <v>102</v>
      </c>
      <c r="S337" s="5" t="s">
        <v>102</v>
      </c>
      <c r="T337" s="5" t="s">
        <v>102</v>
      </c>
      <c r="U337" s="5" t="s">
        <v>194</v>
      </c>
      <c r="V337" s="5">
        <v>1</v>
      </c>
      <c r="W337" s="5" t="s">
        <v>127</v>
      </c>
      <c r="X337" s="24">
        <v>413.6</v>
      </c>
      <c r="Y337" s="5" t="s">
        <v>106</v>
      </c>
      <c r="Z337" s="5"/>
      <c r="AA337" s="5"/>
      <c r="AB337" s="24">
        <v>1E-3</v>
      </c>
      <c r="AC337" s="5" t="s">
        <v>195</v>
      </c>
      <c r="AD337" s="5" t="str">
        <f t="shared" si="22"/>
        <v>kg_co2e_excl_luc</v>
      </c>
      <c r="AE337" s="24">
        <f>IF(CropLCAs[[#This Row],[Product fraction]]="",CropLCAs[[#This Row],[CO2e (value)]]*CropLCAs[[#This Row],[Conversion factor (value)]],CropLCAs[[#This Row],[CO2e (value)]]*CropLCAs[[#This Row],[Conversion factor (value)]]/CropLCAs[[#This Row],[Product fraction]]*CropLCAs[[#This Row],[Value fraction]])</f>
        <v>0.41360000000000002</v>
      </c>
      <c r="AF337" s="5"/>
      <c r="AG337" s="5" t="str">
        <f t="shared" si="23"/>
        <v>processed_ghg</v>
      </c>
      <c r="AH337" s="5"/>
      <c r="AI337" s="5"/>
      <c r="AJ337" s="8" t="str">
        <f>IF(CropLCAs[[#This Row],[product_fraction]]&gt;0,CropLCAs[[#This Row],[footprint]]/CropLCAs[[#This Row],[product_fraction]]*CropLCAs[[#This Row],[value_fraction]],"")</f>
        <v/>
      </c>
      <c r="AK337" s="23">
        <f t="shared" si="24"/>
        <v>0.5</v>
      </c>
      <c r="AL337" s="5" t="s">
        <v>109</v>
      </c>
      <c r="AM337" s="5"/>
      <c r="AN337" s="5" t="s">
        <v>196</v>
      </c>
      <c r="AO337" s="5" t="s">
        <v>197</v>
      </c>
      <c r="AP337" s="5"/>
      <c r="AQ337" s="5"/>
      <c r="AR337" s="5"/>
      <c r="AS337" s="5"/>
      <c r="AT337" s="5"/>
      <c r="AU337" s="5"/>
    </row>
    <row r="338" spans="1:47" ht="44.1" customHeight="1" x14ac:dyDescent="0.2">
      <c r="A338" s="5" t="s">
        <v>112</v>
      </c>
      <c r="B338" s="5" t="s">
        <v>1468</v>
      </c>
      <c r="C338" s="16">
        <v>2012</v>
      </c>
      <c r="D338" s="10" t="s">
        <v>192</v>
      </c>
      <c r="E338" s="6" t="s">
        <v>395</v>
      </c>
      <c r="F338" s="5" t="s">
        <v>2</v>
      </c>
      <c r="G338" s="5" t="str">
        <f>IF(CropLCAs[[#This Row],[fbs_item]]="Insects","insect_ghg","plant_ghg")</f>
        <v>plant_ghg</v>
      </c>
      <c r="H338" s="49" t="s">
        <v>225</v>
      </c>
      <c r="I338" s="49"/>
      <c r="J338" s="49"/>
      <c r="K338" s="5" t="s">
        <v>111</v>
      </c>
      <c r="L338" s="5" t="s">
        <v>193</v>
      </c>
      <c r="M338" s="5" t="s">
        <v>102</v>
      </c>
      <c r="N338" s="5" t="s">
        <v>109</v>
      </c>
      <c r="O338" s="5" t="s">
        <v>109</v>
      </c>
      <c r="P338" s="5" t="s">
        <v>102</v>
      </c>
      <c r="Q338" s="5" t="s">
        <v>102</v>
      </c>
      <c r="R338" s="5" t="s">
        <v>102</v>
      </c>
      <c r="S338" s="5" t="s">
        <v>102</v>
      </c>
      <c r="T338" s="5" t="s">
        <v>102</v>
      </c>
      <c r="U338" s="5" t="s">
        <v>194</v>
      </c>
      <c r="V338" s="5">
        <v>1</v>
      </c>
      <c r="W338" s="5" t="s">
        <v>127</v>
      </c>
      <c r="X338" s="24">
        <v>195.2</v>
      </c>
      <c r="Y338" s="5" t="s">
        <v>106</v>
      </c>
      <c r="Z338" s="5"/>
      <c r="AA338" s="5"/>
      <c r="AB338" s="24">
        <v>1E-3</v>
      </c>
      <c r="AC338" s="5" t="s">
        <v>195</v>
      </c>
      <c r="AD338" s="5" t="str">
        <f t="shared" si="22"/>
        <v>kg_co2e_excl_luc</v>
      </c>
      <c r="AE338" s="24">
        <f>IF(CropLCAs[[#This Row],[Product fraction]]="",CropLCAs[[#This Row],[CO2e (value)]]*CropLCAs[[#This Row],[Conversion factor (value)]],CropLCAs[[#This Row],[CO2e (value)]]*CropLCAs[[#This Row],[Conversion factor (value)]]/CropLCAs[[#This Row],[Product fraction]]*CropLCAs[[#This Row],[Value fraction]])</f>
        <v>0.19519999999999998</v>
      </c>
      <c r="AF338" s="5"/>
      <c r="AG338" s="5" t="str">
        <f t="shared" si="23"/>
        <v>processed_ghg</v>
      </c>
      <c r="AH338" s="5"/>
      <c r="AI338" s="5"/>
      <c r="AJ338" s="8" t="str">
        <f>IF(CropLCAs[[#This Row],[product_fraction]]&gt;0,CropLCAs[[#This Row],[footprint]]/CropLCAs[[#This Row],[product_fraction]]*CropLCAs[[#This Row],[value_fraction]],"")</f>
        <v/>
      </c>
      <c r="AK338" s="23">
        <f t="shared" si="24"/>
        <v>0.5</v>
      </c>
      <c r="AL338" s="5" t="s">
        <v>109</v>
      </c>
      <c r="AM338" s="5"/>
      <c r="AN338" s="5" t="s">
        <v>196</v>
      </c>
      <c r="AO338" s="5" t="s">
        <v>197</v>
      </c>
      <c r="AP338" s="5"/>
      <c r="AQ338" s="5"/>
      <c r="AR338" s="5"/>
      <c r="AS338" s="5"/>
      <c r="AT338" s="5"/>
      <c r="AU338" s="5"/>
    </row>
    <row r="339" spans="1:47" ht="44.1" customHeight="1" x14ac:dyDescent="0.2">
      <c r="A339" s="5" t="s">
        <v>112</v>
      </c>
      <c r="B339" s="5" t="s">
        <v>1468</v>
      </c>
      <c r="C339" s="16">
        <v>2012</v>
      </c>
      <c r="D339" s="10" t="s">
        <v>192</v>
      </c>
      <c r="E339" s="6" t="s">
        <v>395</v>
      </c>
      <c r="F339" s="5" t="s">
        <v>2</v>
      </c>
      <c r="G339" s="5" t="str">
        <f>IF(CropLCAs[[#This Row],[fbs_item]]="Insects","insect_ghg","plant_ghg")</f>
        <v>plant_ghg</v>
      </c>
      <c r="H339" s="49" t="s">
        <v>225</v>
      </c>
      <c r="I339" s="49"/>
      <c r="J339" s="49"/>
      <c r="K339" s="5" t="s">
        <v>111</v>
      </c>
      <c r="L339" s="5" t="s">
        <v>198</v>
      </c>
      <c r="M339" s="5" t="s">
        <v>102</v>
      </c>
      <c r="N339" s="5" t="s">
        <v>109</v>
      </c>
      <c r="O339" s="5" t="s">
        <v>109</v>
      </c>
      <c r="P339" s="5" t="s">
        <v>102</v>
      </c>
      <c r="Q339" s="5" t="s">
        <v>102</v>
      </c>
      <c r="R339" s="5" t="s">
        <v>102</v>
      </c>
      <c r="S339" s="5" t="s">
        <v>102</v>
      </c>
      <c r="T339" s="5" t="s">
        <v>102</v>
      </c>
      <c r="U339" s="5" t="s">
        <v>194</v>
      </c>
      <c r="V339" s="5">
        <v>1</v>
      </c>
      <c r="W339" s="5" t="s">
        <v>127</v>
      </c>
      <c r="X339" s="24">
        <v>820.9</v>
      </c>
      <c r="Y339" s="5" t="s">
        <v>106</v>
      </c>
      <c r="Z339" s="5"/>
      <c r="AA339" s="5"/>
      <c r="AB339" s="24">
        <v>1E-3</v>
      </c>
      <c r="AC339" s="5" t="s">
        <v>195</v>
      </c>
      <c r="AD339" s="5" t="str">
        <f t="shared" si="22"/>
        <v>kg_co2e_excl_luc</v>
      </c>
      <c r="AE339" s="24">
        <f>IF(CropLCAs[[#This Row],[Product fraction]]="",CropLCAs[[#This Row],[CO2e (value)]]*CropLCAs[[#This Row],[Conversion factor (value)]],CropLCAs[[#This Row],[CO2e (value)]]*CropLCAs[[#This Row],[Conversion factor (value)]]/CropLCAs[[#This Row],[Product fraction]]*CropLCAs[[#This Row],[Value fraction]])</f>
        <v>0.82089999999999996</v>
      </c>
      <c r="AF339" s="5"/>
      <c r="AG339" s="5" t="str">
        <f t="shared" si="23"/>
        <v>processed_ghg</v>
      </c>
      <c r="AH339" s="5"/>
      <c r="AI339" s="5"/>
      <c r="AJ339" s="8" t="str">
        <f>IF(CropLCAs[[#This Row],[product_fraction]]&gt;0,CropLCAs[[#This Row],[footprint]]/CropLCAs[[#This Row],[product_fraction]]*CropLCAs[[#This Row],[value_fraction]],"")</f>
        <v/>
      </c>
      <c r="AK339" s="23">
        <f t="shared" si="24"/>
        <v>0.5</v>
      </c>
      <c r="AL339" s="5" t="s">
        <v>109</v>
      </c>
      <c r="AM339" s="5"/>
      <c r="AN339" s="5" t="s">
        <v>196</v>
      </c>
      <c r="AO339" s="5" t="s">
        <v>197</v>
      </c>
      <c r="AP339" s="5"/>
      <c r="AQ339" s="5"/>
      <c r="AR339" s="5"/>
      <c r="AS339" s="5"/>
      <c r="AT339" s="5"/>
      <c r="AU339" s="5"/>
    </row>
    <row r="340" spans="1:47" ht="44.1" customHeight="1" x14ac:dyDescent="0.2">
      <c r="A340" s="5" t="s">
        <v>112</v>
      </c>
      <c r="B340" s="5" t="s">
        <v>1468</v>
      </c>
      <c r="C340" s="16">
        <v>2012</v>
      </c>
      <c r="D340" s="10" t="s">
        <v>192</v>
      </c>
      <c r="E340" s="6" t="s">
        <v>667</v>
      </c>
      <c r="F340" s="5" t="s">
        <v>5</v>
      </c>
      <c r="G340" s="5" t="str">
        <f>IF(CropLCAs[[#This Row],[fbs_item]]="Insects","insect_ghg","plant_ghg")</f>
        <v>plant_ghg</v>
      </c>
      <c r="H340" s="49" t="s">
        <v>225</v>
      </c>
      <c r="I340" s="49"/>
      <c r="J340" s="49"/>
      <c r="K340" s="5" t="s">
        <v>111</v>
      </c>
      <c r="L340" s="5" t="s">
        <v>193</v>
      </c>
      <c r="M340" s="5" t="s">
        <v>102</v>
      </c>
      <c r="N340" s="5" t="s">
        <v>109</v>
      </c>
      <c r="O340" s="5" t="s">
        <v>109</v>
      </c>
      <c r="P340" s="5" t="s">
        <v>102</v>
      </c>
      <c r="Q340" s="5" t="s">
        <v>102</v>
      </c>
      <c r="R340" s="5" t="s">
        <v>102</v>
      </c>
      <c r="S340" s="5" t="s">
        <v>102</v>
      </c>
      <c r="T340" s="5" t="s">
        <v>102</v>
      </c>
      <c r="U340" s="5" t="s">
        <v>194</v>
      </c>
      <c r="V340" s="5">
        <v>1</v>
      </c>
      <c r="W340" s="5" t="s">
        <v>127</v>
      </c>
      <c r="X340" s="24">
        <v>209.8</v>
      </c>
      <c r="Y340" s="5" t="s">
        <v>106</v>
      </c>
      <c r="Z340" s="5"/>
      <c r="AA340" s="5"/>
      <c r="AB340" s="24">
        <v>1E-3</v>
      </c>
      <c r="AC340" s="5" t="s">
        <v>195</v>
      </c>
      <c r="AD340" s="5" t="str">
        <f t="shared" si="22"/>
        <v>kg_co2e_excl_luc</v>
      </c>
      <c r="AE340" s="24">
        <f>IF(CropLCAs[[#This Row],[Product fraction]]="",CropLCAs[[#This Row],[CO2e (value)]]*CropLCAs[[#This Row],[Conversion factor (value)]],CropLCAs[[#This Row],[CO2e (value)]]*CropLCAs[[#This Row],[Conversion factor (value)]]/CropLCAs[[#This Row],[Product fraction]]*CropLCAs[[#This Row],[Value fraction]])</f>
        <v>0.20980000000000001</v>
      </c>
      <c r="AF340" s="5"/>
      <c r="AG340" s="5" t="str">
        <f t="shared" si="23"/>
        <v>processed_ghg</v>
      </c>
      <c r="AH340" s="5"/>
      <c r="AI340" s="5"/>
      <c r="AJ340" s="8" t="str">
        <f>IF(CropLCAs[[#This Row],[product_fraction]]&gt;0,CropLCAs[[#This Row],[footprint]]/CropLCAs[[#This Row],[product_fraction]]*CropLCAs[[#This Row],[value_fraction]],"")</f>
        <v/>
      </c>
      <c r="AK340" s="23">
        <f t="shared" si="24"/>
        <v>0.5</v>
      </c>
      <c r="AL340" s="5" t="s">
        <v>109</v>
      </c>
      <c r="AM340" s="5"/>
      <c r="AN340" s="5" t="s">
        <v>196</v>
      </c>
      <c r="AO340" s="5" t="s">
        <v>197</v>
      </c>
      <c r="AP340" s="5"/>
      <c r="AQ340" s="5"/>
      <c r="AR340" s="5"/>
      <c r="AS340" s="5"/>
      <c r="AT340" s="5"/>
      <c r="AU340" s="5"/>
    </row>
    <row r="341" spans="1:47" ht="44.1" customHeight="1" x14ac:dyDescent="0.2">
      <c r="A341" s="5" t="s">
        <v>112</v>
      </c>
      <c r="B341" s="5" t="s">
        <v>1468</v>
      </c>
      <c r="C341" s="16">
        <v>2012</v>
      </c>
      <c r="D341" s="10" t="s">
        <v>192</v>
      </c>
      <c r="E341" s="6" t="s">
        <v>667</v>
      </c>
      <c r="F341" s="5" t="s">
        <v>5</v>
      </c>
      <c r="G341" s="5" t="str">
        <f>IF(CropLCAs[[#This Row],[fbs_item]]="Insects","insect_ghg","plant_ghg")</f>
        <v>plant_ghg</v>
      </c>
      <c r="H341" s="49" t="s">
        <v>225</v>
      </c>
      <c r="I341" s="49"/>
      <c r="J341" s="49"/>
      <c r="K341" s="5" t="s">
        <v>111</v>
      </c>
      <c r="L341" s="5" t="s">
        <v>198</v>
      </c>
      <c r="M341" s="5" t="s">
        <v>102</v>
      </c>
      <c r="N341" s="5" t="s">
        <v>109</v>
      </c>
      <c r="O341" s="5" t="s">
        <v>109</v>
      </c>
      <c r="P341" s="5" t="s">
        <v>102</v>
      </c>
      <c r="Q341" s="5" t="s">
        <v>102</v>
      </c>
      <c r="R341" s="5" t="s">
        <v>102</v>
      </c>
      <c r="S341" s="5" t="s">
        <v>102</v>
      </c>
      <c r="T341" s="5" t="s">
        <v>102</v>
      </c>
      <c r="U341" s="5" t="s">
        <v>194</v>
      </c>
      <c r="V341" s="5">
        <v>1</v>
      </c>
      <c r="W341" s="5" t="s">
        <v>127</v>
      </c>
      <c r="X341" s="24">
        <v>508.3</v>
      </c>
      <c r="Y341" s="5" t="s">
        <v>106</v>
      </c>
      <c r="Z341" s="5"/>
      <c r="AA341" s="5"/>
      <c r="AB341" s="24">
        <v>1E-3</v>
      </c>
      <c r="AC341" s="5" t="s">
        <v>195</v>
      </c>
      <c r="AD341" s="5" t="str">
        <f t="shared" si="22"/>
        <v>kg_co2e_excl_luc</v>
      </c>
      <c r="AE341" s="24">
        <f>IF(CropLCAs[[#This Row],[Product fraction]]="",CropLCAs[[#This Row],[CO2e (value)]]*CropLCAs[[#This Row],[Conversion factor (value)]],CropLCAs[[#This Row],[CO2e (value)]]*CropLCAs[[#This Row],[Conversion factor (value)]]/CropLCAs[[#This Row],[Product fraction]]*CropLCAs[[#This Row],[Value fraction]])</f>
        <v>0.50829999999999997</v>
      </c>
      <c r="AF341" s="5"/>
      <c r="AG341" s="5" t="str">
        <f t="shared" si="23"/>
        <v>processed_ghg</v>
      </c>
      <c r="AH341" s="5"/>
      <c r="AI341" s="5"/>
      <c r="AJ341" s="8" t="str">
        <f>IF(CropLCAs[[#This Row],[product_fraction]]&gt;0,CropLCAs[[#This Row],[footprint]]/CropLCAs[[#This Row],[product_fraction]]*CropLCAs[[#This Row],[value_fraction]],"")</f>
        <v/>
      </c>
      <c r="AK341" s="23">
        <f t="shared" si="24"/>
        <v>0.5</v>
      </c>
      <c r="AL341" s="5" t="s">
        <v>109</v>
      </c>
      <c r="AM341" s="5"/>
      <c r="AN341" s="5" t="s">
        <v>196</v>
      </c>
      <c r="AO341" s="5" t="s">
        <v>197</v>
      </c>
      <c r="AP341" s="5"/>
      <c r="AQ341" s="5"/>
      <c r="AR341" s="5"/>
      <c r="AS341" s="5"/>
      <c r="AT341" s="5"/>
      <c r="AU341" s="5"/>
    </row>
    <row r="342" spans="1:47" ht="44.1" customHeight="1" x14ac:dyDescent="0.2">
      <c r="A342" s="7" t="s">
        <v>99</v>
      </c>
      <c r="B342" s="5" t="s">
        <v>1467</v>
      </c>
      <c r="C342" s="16">
        <v>2012</v>
      </c>
      <c r="D342" s="10" t="s">
        <v>576</v>
      </c>
      <c r="E342" s="6" t="s">
        <v>568</v>
      </c>
      <c r="F342" s="5" t="s">
        <v>3</v>
      </c>
      <c r="G342" s="5" t="str">
        <f>IF(CropLCAs[[#This Row],[fbs_item]]="Insects","insect_ghg","plant_ghg")</f>
        <v>plant_ghg</v>
      </c>
      <c r="H342" s="49" t="s">
        <v>225</v>
      </c>
      <c r="I342" s="49"/>
      <c r="J342" s="49"/>
      <c r="K342" s="5" t="s">
        <v>1353</v>
      </c>
      <c r="L342" s="5" t="s">
        <v>577</v>
      </c>
      <c r="M342" s="5" t="s">
        <v>102</v>
      </c>
      <c r="N342" s="5" t="s">
        <v>109</v>
      </c>
      <c r="O342" s="5" t="s">
        <v>109</v>
      </c>
      <c r="P342" s="5" t="s">
        <v>102</v>
      </c>
      <c r="Q342" s="5" t="s">
        <v>102</v>
      </c>
      <c r="R342" s="5" t="s">
        <v>102</v>
      </c>
      <c r="S342" s="5" t="s">
        <v>102</v>
      </c>
      <c r="T342" s="5" t="s">
        <v>102</v>
      </c>
      <c r="U342" s="5" t="s">
        <v>126</v>
      </c>
      <c r="V342" s="5">
        <v>1</v>
      </c>
      <c r="W342" s="5" t="s">
        <v>106</v>
      </c>
      <c r="X342" s="24">
        <v>0.17</v>
      </c>
      <c r="Y342" s="5" t="s">
        <v>106</v>
      </c>
      <c r="Z342" s="5"/>
      <c r="AA342" s="5"/>
      <c r="AB342" s="24">
        <v>1</v>
      </c>
      <c r="AC342" s="5"/>
      <c r="AD342" s="5" t="str">
        <f t="shared" si="22"/>
        <v>kg_co2e_excl_luc</v>
      </c>
      <c r="AE342" s="24">
        <f>IF(CropLCAs[[#This Row],[Product fraction]]="",CropLCAs[[#This Row],[CO2e (value)]]*CropLCAs[[#This Row],[Conversion factor (value)]],CropLCAs[[#This Row],[CO2e (value)]]*CropLCAs[[#This Row],[Conversion factor (value)]]/CropLCAs[[#This Row],[Product fraction]]*CropLCAs[[#This Row],[Value fraction]])</f>
        <v>0.17</v>
      </c>
      <c r="AF342" s="5"/>
      <c r="AG342" s="5" t="str">
        <f t="shared" si="23"/>
        <v>processed_ghg</v>
      </c>
      <c r="AH342" s="5"/>
      <c r="AI342" s="5"/>
      <c r="AJ342" s="8" t="str">
        <f>IF(CropLCAs[[#This Row],[product_fraction]]&gt;0,CropLCAs[[#This Row],[footprint]]/CropLCAs[[#This Row],[product_fraction]]*CropLCAs[[#This Row],[value_fraction]],"")</f>
        <v/>
      </c>
      <c r="AK342" s="23">
        <f t="shared" si="24"/>
        <v>0.5</v>
      </c>
      <c r="AL342" s="5" t="s">
        <v>109</v>
      </c>
      <c r="AM342" s="5" t="s">
        <v>578</v>
      </c>
      <c r="AN342" s="5" t="s">
        <v>579</v>
      </c>
      <c r="AO342" s="5"/>
      <c r="AP342" s="5"/>
      <c r="AQ342" s="5"/>
      <c r="AR342" s="5"/>
      <c r="AS342" s="5"/>
      <c r="AT342" s="5"/>
      <c r="AU342" s="5"/>
    </row>
    <row r="343" spans="1:47" ht="44.1" customHeight="1" x14ac:dyDescent="0.2">
      <c r="A343" s="7" t="s">
        <v>99</v>
      </c>
      <c r="B343" s="5" t="s">
        <v>1467</v>
      </c>
      <c r="C343" s="16">
        <v>2012</v>
      </c>
      <c r="D343" s="10" t="s">
        <v>576</v>
      </c>
      <c r="E343" s="6" t="s">
        <v>568</v>
      </c>
      <c r="F343" s="5" t="s">
        <v>3</v>
      </c>
      <c r="G343" s="5" t="str">
        <f>IF(CropLCAs[[#This Row],[fbs_item]]="Insects","insect_ghg","plant_ghg")</f>
        <v>plant_ghg</v>
      </c>
      <c r="H343" s="49" t="s">
        <v>225</v>
      </c>
      <c r="I343" s="49"/>
      <c r="J343" s="49"/>
      <c r="K343" s="5" t="s">
        <v>1354</v>
      </c>
      <c r="L343" s="5" t="s">
        <v>580</v>
      </c>
      <c r="M343" s="5" t="s">
        <v>102</v>
      </c>
      <c r="N343" s="5" t="s">
        <v>109</v>
      </c>
      <c r="O343" s="5" t="s">
        <v>109</v>
      </c>
      <c r="P343" s="5" t="s">
        <v>102</v>
      </c>
      <c r="Q343" s="5" t="s">
        <v>102</v>
      </c>
      <c r="R343" s="5" t="s">
        <v>102</v>
      </c>
      <c r="S343" s="5" t="s">
        <v>102</v>
      </c>
      <c r="T343" s="5" t="s">
        <v>102</v>
      </c>
      <c r="U343" s="5" t="s">
        <v>126</v>
      </c>
      <c r="V343" s="5">
        <v>1</v>
      </c>
      <c r="W343" s="5" t="s">
        <v>106</v>
      </c>
      <c r="X343" s="24">
        <v>0.22</v>
      </c>
      <c r="Y343" s="5" t="s">
        <v>106</v>
      </c>
      <c r="Z343" s="5"/>
      <c r="AA343" s="5"/>
      <c r="AB343" s="24">
        <v>1</v>
      </c>
      <c r="AC343" s="5"/>
      <c r="AD343" s="5" t="str">
        <f t="shared" si="22"/>
        <v>kg_co2e_excl_luc</v>
      </c>
      <c r="AE343" s="24">
        <f>IF(CropLCAs[[#This Row],[Product fraction]]="",CropLCAs[[#This Row],[CO2e (value)]]*CropLCAs[[#This Row],[Conversion factor (value)]],CropLCAs[[#This Row],[CO2e (value)]]*CropLCAs[[#This Row],[Conversion factor (value)]]/CropLCAs[[#This Row],[Product fraction]]*CropLCAs[[#This Row],[Value fraction]])</f>
        <v>0.22</v>
      </c>
      <c r="AF343" s="5"/>
      <c r="AG343" s="5" t="str">
        <f t="shared" si="23"/>
        <v>processed_ghg</v>
      </c>
      <c r="AH343" s="5"/>
      <c r="AI343" s="5"/>
      <c r="AJ343" s="8" t="str">
        <f>IF(CropLCAs[[#This Row],[product_fraction]]&gt;0,CropLCAs[[#This Row],[footprint]]/CropLCAs[[#This Row],[product_fraction]]*CropLCAs[[#This Row],[value_fraction]],"")</f>
        <v/>
      </c>
      <c r="AK343" s="23">
        <f t="shared" si="24"/>
        <v>0.5</v>
      </c>
      <c r="AL343" s="5" t="s">
        <v>109</v>
      </c>
      <c r="AM343" s="5" t="s">
        <v>578</v>
      </c>
      <c r="AN343" s="5" t="s">
        <v>579</v>
      </c>
      <c r="AO343" s="5"/>
      <c r="AP343" s="5"/>
      <c r="AQ343" s="5"/>
      <c r="AR343" s="5"/>
      <c r="AS343" s="5"/>
      <c r="AT343" s="5"/>
      <c r="AU343" s="5"/>
    </row>
    <row r="344" spans="1:47" ht="44.1" customHeight="1" x14ac:dyDescent="0.2">
      <c r="A344" s="5" t="s">
        <v>112</v>
      </c>
      <c r="B344" s="5" t="s">
        <v>1468</v>
      </c>
      <c r="C344" s="16">
        <v>2012</v>
      </c>
      <c r="D344" s="10" t="s">
        <v>192</v>
      </c>
      <c r="E344" s="6" t="s">
        <v>630</v>
      </c>
      <c r="F344" s="5" t="s">
        <v>5</v>
      </c>
      <c r="G344" s="5" t="str">
        <f>IF(CropLCAs[[#This Row],[fbs_item]]="Insects","insect_ghg","plant_ghg")</f>
        <v>plant_ghg</v>
      </c>
      <c r="H344" s="49" t="s">
        <v>225</v>
      </c>
      <c r="I344" s="49"/>
      <c r="J344" s="49"/>
      <c r="K344" s="5" t="s">
        <v>111</v>
      </c>
      <c r="L344" s="5" t="s">
        <v>193</v>
      </c>
      <c r="M344" s="5" t="s">
        <v>102</v>
      </c>
      <c r="N344" s="5" t="s">
        <v>109</v>
      </c>
      <c r="O344" s="5" t="s">
        <v>109</v>
      </c>
      <c r="P344" s="5" t="s">
        <v>102</v>
      </c>
      <c r="Q344" s="5" t="s">
        <v>102</v>
      </c>
      <c r="R344" s="5" t="s">
        <v>102</v>
      </c>
      <c r="S344" s="5" t="s">
        <v>102</v>
      </c>
      <c r="T344" s="5" t="s">
        <v>102</v>
      </c>
      <c r="U344" s="5" t="s">
        <v>194</v>
      </c>
      <c r="V344" s="5">
        <v>1</v>
      </c>
      <c r="W344" s="5" t="s">
        <v>127</v>
      </c>
      <c r="X344" s="24">
        <v>182.1</v>
      </c>
      <c r="Y344" s="5" t="s">
        <v>106</v>
      </c>
      <c r="Z344" s="5"/>
      <c r="AA344" s="5"/>
      <c r="AB344" s="24">
        <v>1E-3</v>
      </c>
      <c r="AC344" s="5" t="s">
        <v>195</v>
      </c>
      <c r="AD344" s="5" t="str">
        <f t="shared" si="22"/>
        <v>kg_co2e_excl_luc</v>
      </c>
      <c r="AE344" s="24">
        <f>IF(CropLCAs[[#This Row],[Product fraction]]="",CropLCAs[[#This Row],[CO2e (value)]]*CropLCAs[[#This Row],[Conversion factor (value)]],CropLCAs[[#This Row],[CO2e (value)]]*CropLCAs[[#This Row],[Conversion factor (value)]]/CropLCAs[[#This Row],[Product fraction]]*CropLCAs[[#This Row],[Value fraction]])</f>
        <v>0.18210000000000001</v>
      </c>
      <c r="AF344" s="5"/>
      <c r="AG344" s="5" t="str">
        <f t="shared" si="23"/>
        <v>processed_ghg</v>
      </c>
      <c r="AH344" s="5"/>
      <c r="AI344" s="5"/>
      <c r="AJ344" s="8" t="str">
        <f>IF(CropLCAs[[#This Row],[product_fraction]]&gt;0,CropLCAs[[#This Row],[footprint]]/CropLCAs[[#This Row],[product_fraction]]*CropLCAs[[#This Row],[value_fraction]],"")</f>
        <v/>
      </c>
      <c r="AK344" s="23">
        <f t="shared" si="24"/>
        <v>0.5</v>
      </c>
      <c r="AL344" s="5" t="s">
        <v>109</v>
      </c>
      <c r="AM344" s="5"/>
      <c r="AN344" s="5" t="s">
        <v>196</v>
      </c>
      <c r="AO344" s="5" t="s">
        <v>197</v>
      </c>
      <c r="AP344" s="5"/>
      <c r="AQ344" s="5"/>
      <c r="AR344" s="5"/>
      <c r="AS344" s="5"/>
      <c r="AT344" s="5"/>
      <c r="AU344" s="5"/>
    </row>
    <row r="345" spans="1:47" ht="44.1" customHeight="1" x14ac:dyDescent="0.2">
      <c r="A345" s="5" t="s">
        <v>112</v>
      </c>
      <c r="B345" s="5" t="s">
        <v>1468</v>
      </c>
      <c r="C345" s="16">
        <v>2012</v>
      </c>
      <c r="D345" s="10" t="s">
        <v>192</v>
      </c>
      <c r="E345" s="6" t="s">
        <v>630</v>
      </c>
      <c r="F345" s="5" t="s">
        <v>5</v>
      </c>
      <c r="G345" s="5" t="str">
        <f>IF(CropLCAs[[#This Row],[fbs_item]]="Insects","insect_ghg","plant_ghg")</f>
        <v>plant_ghg</v>
      </c>
      <c r="H345" s="49" t="s">
        <v>225</v>
      </c>
      <c r="I345" s="49"/>
      <c r="J345" s="49"/>
      <c r="K345" s="5" t="s">
        <v>111</v>
      </c>
      <c r="L345" s="5" t="s">
        <v>198</v>
      </c>
      <c r="M345" s="5" t="s">
        <v>102</v>
      </c>
      <c r="N345" s="5" t="s">
        <v>109</v>
      </c>
      <c r="O345" s="5" t="s">
        <v>109</v>
      </c>
      <c r="P345" s="5" t="s">
        <v>102</v>
      </c>
      <c r="Q345" s="5" t="s">
        <v>102</v>
      </c>
      <c r="R345" s="5" t="s">
        <v>102</v>
      </c>
      <c r="S345" s="5" t="s">
        <v>102</v>
      </c>
      <c r="T345" s="5" t="s">
        <v>102</v>
      </c>
      <c r="U345" s="5" t="s">
        <v>194</v>
      </c>
      <c r="V345" s="5">
        <v>1</v>
      </c>
      <c r="W345" s="5" t="s">
        <v>127</v>
      </c>
      <c r="X345" s="24">
        <v>474.7</v>
      </c>
      <c r="Y345" s="5" t="s">
        <v>106</v>
      </c>
      <c r="Z345" s="5"/>
      <c r="AA345" s="5"/>
      <c r="AB345" s="24">
        <v>1E-3</v>
      </c>
      <c r="AC345" s="5" t="s">
        <v>195</v>
      </c>
      <c r="AD345" s="5" t="str">
        <f t="shared" si="22"/>
        <v>kg_co2e_excl_luc</v>
      </c>
      <c r="AE345" s="24">
        <f>IF(CropLCAs[[#This Row],[Product fraction]]="",CropLCAs[[#This Row],[CO2e (value)]]*CropLCAs[[#This Row],[Conversion factor (value)]],CropLCAs[[#This Row],[CO2e (value)]]*CropLCAs[[#This Row],[Conversion factor (value)]]/CropLCAs[[#This Row],[Product fraction]]*CropLCAs[[#This Row],[Value fraction]])</f>
        <v>0.47470000000000001</v>
      </c>
      <c r="AF345" s="5"/>
      <c r="AG345" s="5" t="str">
        <f t="shared" si="23"/>
        <v>processed_ghg</v>
      </c>
      <c r="AH345" s="5"/>
      <c r="AI345" s="5"/>
      <c r="AJ345" s="8" t="str">
        <f>IF(CropLCAs[[#This Row],[product_fraction]]&gt;0,CropLCAs[[#This Row],[footprint]]/CropLCAs[[#This Row],[product_fraction]]*CropLCAs[[#This Row],[value_fraction]],"")</f>
        <v/>
      </c>
      <c r="AK345" s="23">
        <f t="shared" si="24"/>
        <v>0.5</v>
      </c>
      <c r="AL345" s="5" t="s">
        <v>109</v>
      </c>
      <c r="AM345" s="5"/>
      <c r="AN345" s="5" t="s">
        <v>196</v>
      </c>
      <c r="AO345" s="5" t="s">
        <v>197</v>
      </c>
      <c r="AP345" s="5"/>
      <c r="AQ345" s="5"/>
      <c r="AR345" s="5"/>
      <c r="AS345" s="5"/>
      <c r="AT345" s="5"/>
      <c r="AU345" s="5"/>
    </row>
    <row r="346" spans="1:47" ht="44.1" customHeight="1" x14ac:dyDescent="0.2">
      <c r="A346" s="5" t="s">
        <v>251</v>
      </c>
      <c r="B346" s="5" t="s">
        <v>1469</v>
      </c>
      <c r="C346" s="16">
        <v>2011</v>
      </c>
      <c r="D346" s="5" t="s">
        <v>520</v>
      </c>
      <c r="E346" s="5" t="s">
        <v>503</v>
      </c>
      <c r="F346" s="5" t="s">
        <v>9</v>
      </c>
      <c r="G346" s="5" t="str">
        <f>IF(CropLCAs[[#This Row],[fbs_item]]="Insects","insect_ghg","plant_ghg")</f>
        <v>plant_ghg</v>
      </c>
      <c r="H346" s="49" t="s">
        <v>77</v>
      </c>
      <c r="I346" s="49"/>
      <c r="J346" s="49"/>
      <c r="K346" s="5" t="s">
        <v>590</v>
      </c>
      <c r="L346" s="5" t="s">
        <v>521</v>
      </c>
      <c r="M346" s="5" t="s">
        <v>102</v>
      </c>
      <c r="N346" s="5" t="s">
        <v>109</v>
      </c>
      <c r="O346" s="5" t="s">
        <v>109</v>
      </c>
      <c r="P346" s="5" t="s">
        <v>102</v>
      </c>
      <c r="Q346" s="5" t="s">
        <v>102</v>
      </c>
      <c r="R346" s="5" t="s">
        <v>522</v>
      </c>
      <c r="S346" s="5" t="s">
        <v>102</v>
      </c>
      <c r="T346" s="5" t="s">
        <v>522</v>
      </c>
      <c r="U346" s="5" t="s">
        <v>126</v>
      </c>
      <c r="V346" s="5">
        <v>1</v>
      </c>
      <c r="W346" s="5" t="s">
        <v>355</v>
      </c>
      <c r="X346" s="24">
        <v>155.5</v>
      </c>
      <c r="Y346" s="5" t="s">
        <v>106</v>
      </c>
      <c r="Z346" s="5"/>
      <c r="AA346" s="5"/>
      <c r="AB346" s="24">
        <v>1E-3</v>
      </c>
      <c r="AC346" s="5" t="s">
        <v>274</v>
      </c>
      <c r="AD346" s="5" t="str">
        <f t="shared" si="22"/>
        <v>kg_co2e_excl_luc</v>
      </c>
      <c r="AE346" s="24">
        <f>IF(CropLCAs[[#This Row],[Product fraction]]="",CropLCAs[[#This Row],[CO2e (value)]]*CropLCAs[[#This Row],[Conversion factor (value)]],CropLCAs[[#This Row],[CO2e (value)]]*CropLCAs[[#This Row],[Conversion factor (value)]]/CropLCAs[[#This Row],[Product fraction]]*CropLCAs[[#This Row],[Value fraction]])</f>
        <v>0.1555</v>
      </c>
      <c r="AF346" s="5"/>
      <c r="AG346" s="5" t="str">
        <f t="shared" si="23"/>
        <v>processed_ghg</v>
      </c>
      <c r="AH346" s="5"/>
      <c r="AI346" s="5"/>
      <c r="AJ346" s="8" t="str">
        <f>IF(CropLCAs[[#This Row],[product_fraction]]&gt;0,CropLCAs[[#This Row],[footprint]]/CropLCAs[[#This Row],[product_fraction]]*CropLCAs[[#This Row],[value_fraction]],"")</f>
        <v/>
      </c>
      <c r="AK346" s="23">
        <f t="shared" si="24"/>
        <v>0.5</v>
      </c>
      <c r="AL346" s="5" t="s">
        <v>109</v>
      </c>
      <c r="AM346" s="5" t="s">
        <v>523</v>
      </c>
      <c r="AN346" s="5"/>
      <c r="AO346" s="5"/>
      <c r="AP346" s="5"/>
      <c r="AQ346" s="5"/>
      <c r="AR346" s="5"/>
      <c r="AS346" s="5"/>
      <c r="AT346" s="5"/>
      <c r="AU346" s="5"/>
    </row>
    <row r="347" spans="1:47" ht="44.1" customHeight="1" x14ac:dyDescent="0.2">
      <c r="A347" s="17" t="s">
        <v>251</v>
      </c>
      <c r="B347" s="17" t="s">
        <v>519</v>
      </c>
      <c r="C347" s="17"/>
      <c r="D347" s="17" t="s">
        <v>520</v>
      </c>
      <c r="E347" s="17" t="s">
        <v>503</v>
      </c>
      <c r="F347" s="17" t="s">
        <v>9</v>
      </c>
      <c r="G347" s="17" t="str">
        <f>IF(CropLCAs[[#This Row],[fbs_item]]="Insects","insect_ghg","plant_ghg")</f>
        <v>plant_ghg</v>
      </c>
      <c r="H347" s="50" t="s">
        <v>77</v>
      </c>
      <c r="I347" s="50"/>
      <c r="J347" s="50"/>
      <c r="K347" s="5"/>
      <c r="L347" s="17" t="s">
        <v>785</v>
      </c>
      <c r="M347" s="17" t="s">
        <v>102</v>
      </c>
      <c r="N347" s="17" t="s">
        <v>109</v>
      </c>
      <c r="O347" s="17" t="s">
        <v>109</v>
      </c>
      <c r="P347" s="17" t="s">
        <v>102</v>
      </c>
      <c r="Q347" s="17" t="s">
        <v>102</v>
      </c>
      <c r="R347" s="17" t="s">
        <v>786</v>
      </c>
      <c r="S347" s="17" t="s">
        <v>102</v>
      </c>
      <c r="T347" s="17" t="s">
        <v>105</v>
      </c>
      <c r="U347" s="17" t="s">
        <v>126</v>
      </c>
      <c r="V347" s="17">
        <v>1</v>
      </c>
      <c r="W347" s="17" t="s">
        <v>355</v>
      </c>
      <c r="X347" s="30">
        <v>288.7</v>
      </c>
      <c r="Y347" s="17" t="s">
        <v>106</v>
      </c>
      <c r="Z347" s="17"/>
      <c r="AA347" s="17"/>
      <c r="AB347" s="30">
        <v>1E-3</v>
      </c>
      <c r="AC347" s="17" t="s">
        <v>274</v>
      </c>
      <c r="AD347" s="17" t="str">
        <f t="shared" si="22"/>
        <v>kg_co2e_excl_luc</v>
      </c>
      <c r="AE347" s="30">
        <f>IF(CropLCAs[[#This Row],[Product fraction]]="",CropLCAs[[#This Row],[CO2e (value)]]*CropLCAs[[#This Row],[Conversion factor (value)]],CropLCAs[[#This Row],[CO2e (value)]]*CropLCAs[[#This Row],[Conversion factor (value)]]/CropLCAs[[#This Row],[Product fraction]]*CropLCAs[[#This Row],[Value fraction]])</f>
        <v>0.28870000000000001</v>
      </c>
      <c r="AF347" s="19"/>
      <c r="AG347" s="19" t="str">
        <f t="shared" si="23"/>
        <v>processed_ghg</v>
      </c>
      <c r="AH347" s="19"/>
      <c r="AI347" s="19"/>
      <c r="AJ347" s="18" t="str">
        <f>IF(CropLCAs[[#This Row],[product_fraction]]&gt;0,CropLCAs[[#This Row],[footprint]]/CropLCAs[[#This Row],[product_fraction]]*CropLCAs[[#This Row],[value_fraction]],"")</f>
        <v/>
      </c>
      <c r="AK347" s="29"/>
      <c r="AL347" s="19" t="s">
        <v>774</v>
      </c>
      <c r="AM347" s="17" t="s">
        <v>787</v>
      </c>
      <c r="AN347" s="17"/>
      <c r="AO347" s="17"/>
      <c r="AP347" s="17"/>
      <c r="AQ347" s="5"/>
      <c r="AR347" s="5"/>
      <c r="AS347" s="5"/>
      <c r="AT347" s="5"/>
      <c r="AU347" s="5"/>
    </row>
    <row r="348" spans="1:47" ht="44.1" customHeight="1" x14ac:dyDescent="0.2">
      <c r="A348" s="17" t="s">
        <v>251</v>
      </c>
      <c r="B348" s="17" t="s">
        <v>519</v>
      </c>
      <c r="C348" s="17"/>
      <c r="D348" s="17" t="s">
        <v>520</v>
      </c>
      <c r="E348" s="17" t="s">
        <v>503</v>
      </c>
      <c r="F348" s="17" t="s">
        <v>9</v>
      </c>
      <c r="G348" s="17" t="str">
        <f>IF(CropLCAs[[#This Row],[fbs_item]]="Insects","insect_ghg","plant_ghg")</f>
        <v>plant_ghg</v>
      </c>
      <c r="H348" s="50" t="s">
        <v>77</v>
      </c>
      <c r="I348" s="50"/>
      <c r="J348" s="50"/>
      <c r="K348" s="5"/>
      <c r="L348" s="17" t="s">
        <v>788</v>
      </c>
      <c r="M348" s="17" t="s">
        <v>231</v>
      </c>
      <c r="N348" s="17" t="s">
        <v>109</v>
      </c>
      <c r="O348" s="17" t="s">
        <v>109</v>
      </c>
      <c r="P348" s="17" t="s">
        <v>102</v>
      </c>
      <c r="Q348" s="17" t="s">
        <v>102</v>
      </c>
      <c r="R348" s="17" t="s">
        <v>786</v>
      </c>
      <c r="S348" s="17" t="s">
        <v>102</v>
      </c>
      <c r="T348" s="17" t="s">
        <v>105</v>
      </c>
      <c r="U348" s="17" t="s">
        <v>126</v>
      </c>
      <c r="V348" s="17">
        <v>1</v>
      </c>
      <c r="W348" s="17" t="s">
        <v>355</v>
      </c>
      <c r="X348" s="30">
        <v>182.28</v>
      </c>
      <c r="Y348" s="17" t="s">
        <v>106</v>
      </c>
      <c r="Z348" s="17"/>
      <c r="AA348" s="17"/>
      <c r="AB348" s="30">
        <v>1E-3</v>
      </c>
      <c r="AC348" s="17" t="s">
        <v>274</v>
      </c>
      <c r="AD348" s="17" t="str">
        <f t="shared" si="22"/>
        <v>kg_co2e_excl_luc</v>
      </c>
      <c r="AE348" s="30">
        <f>IF(CropLCAs[[#This Row],[Product fraction]]="",CropLCAs[[#This Row],[CO2e (value)]]*CropLCAs[[#This Row],[Conversion factor (value)]],CropLCAs[[#This Row],[CO2e (value)]]*CropLCAs[[#This Row],[Conversion factor (value)]]/CropLCAs[[#This Row],[Product fraction]]*CropLCAs[[#This Row],[Value fraction]])</f>
        <v>0.18228</v>
      </c>
      <c r="AF348" s="19"/>
      <c r="AG348" s="19" t="str">
        <f t="shared" si="23"/>
        <v>processed_ghg</v>
      </c>
      <c r="AH348" s="19"/>
      <c r="AI348" s="19"/>
      <c r="AJ348" s="18" t="str">
        <f>IF(CropLCAs[[#This Row],[product_fraction]]&gt;0,CropLCAs[[#This Row],[footprint]]/CropLCAs[[#This Row],[product_fraction]]*CropLCAs[[#This Row],[value_fraction]],"")</f>
        <v/>
      </c>
      <c r="AK348" s="29"/>
      <c r="AL348" s="19" t="s">
        <v>774</v>
      </c>
      <c r="AM348" s="17" t="s">
        <v>787</v>
      </c>
      <c r="AN348" s="17"/>
      <c r="AO348" s="17"/>
      <c r="AP348" s="17"/>
      <c r="AQ348" s="5"/>
      <c r="AR348" s="5"/>
      <c r="AS348" s="5"/>
      <c r="AT348" s="5"/>
      <c r="AU348" s="5"/>
    </row>
    <row r="349" spans="1:47" ht="44.1" customHeight="1" x14ac:dyDescent="0.2">
      <c r="A349" s="17" t="s">
        <v>112</v>
      </c>
      <c r="B349" s="17" t="s">
        <v>519</v>
      </c>
      <c r="C349" s="17"/>
      <c r="D349" s="17" t="s">
        <v>867</v>
      </c>
      <c r="E349" s="19" t="s">
        <v>868</v>
      </c>
      <c r="F349" s="17" t="s">
        <v>3</v>
      </c>
      <c r="G349" s="17" t="str">
        <f>IF(CropLCAs[[#This Row],[fbs_item]]="Insects","insect_ghg","plant_ghg")</f>
        <v>plant_ghg</v>
      </c>
      <c r="H349" s="50" t="s">
        <v>869</v>
      </c>
      <c r="I349" s="50"/>
      <c r="J349" s="50"/>
      <c r="K349" s="5"/>
      <c r="L349" s="17" t="s">
        <v>870</v>
      </c>
      <c r="M349" s="17" t="s">
        <v>102</v>
      </c>
      <c r="N349" s="17" t="s">
        <v>109</v>
      </c>
      <c r="O349" s="17" t="s">
        <v>109</v>
      </c>
      <c r="P349" s="17" t="s">
        <v>102</v>
      </c>
      <c r="Q349" s="17" t="s">
        <v>102</v>
      </c>
      <c r="R349" s="17" t="s">
        <v>109</v>
      </c>
      <c r="S349" s="17" t="s">
        <v>102</v>
      </c>
      <c r="T349" s="17" t="s">
        <v>1235</v>
      </c>
      <c r="U349" s="17" t="s">
        <v>126</v>
      </c>
      <c r="V349" s="17">
        <v>1</v>
      </c>
      <c r="W349" s="17" t="s">
        <v>355</v>
      </c>
      <c r="X349" s="30">
        <v>-3450</v>
      </c>
      <c r="Y349" s="17" t="s">
        <v>106</v>
      </c>
      <c r="Z349" s="17"/>
      <c r="AA349" s="17"/>
      <c r="AB349" s="30">
        <v>1E-3</v>
      </c>
      <c r="AC349" s="17" t="s">
        <v>274</v>
      </c>
      <c r="AD349" s="17" t="str">
        <f t="shared" si="22"/>
        <v>kg_co2e_excl_luc</v>
      </c>
      <c r="AE349" s="30">
        <f>IF(CropLCAs[[#This Row],[Product fraction]]="",CropLCAs[[#This Row],[CO2e (value)]]*CropLCAs[[#This Row],[Conversion factor (value)]],CropLCAs[[#This Row],[CO2e (value)]]*CropLCAs[[#This Row],[Conversion factor (value)]]/CropLCAs[[#This Row],[Product fraction]]*CropLCAs[[#This Row],[Value fraction]])</f>
        <v>-3.45</v>
      </c>
      <c r="AF349" s="19"/>
      <c r="AG349" s="19" t="str">
        <f t="shared" si="23"/>
        <v>processed_ghg</v>
      </c>
      <c r="AH349" s="19"/>
      <c r="AI349" s="19"/>
      <c r="AJ349" s="18" t="str">
        <f>IF(CropLCAs[[#This Row],[product_fraction]]&gt;0,CropLCAs[[#This Row],[footprint]]/CropLCAs[[#This Row],[product_fraction]]*CropLCAs[[#This Row],[value_fraction]],"")</f>
        <v/>
      </c>
      <c r="AK349" s="29"/>
      <c r="AL349" s="19" t="s">
        <v>871</v>
      </c>
      <c r="AM349" s="17"/>
      <c r="AN349" s="17"/>
      <c r="AO349" s="17"/>
      <c r="AP349" s="17"/>
      <c r="AQ349" s="5"/>
      <c r="AR349" s="5"/>
      <c r="AS349" s="5"/>
      <c r="AT349" s="5"/>
      <c r="AU349" s="5"/>
    </row>
    <row r="350" spans="1:47" ht="44.1" customHeight="1" x14ac:dyDescent="0.2">
      <c r="A350" s="5" t="s">
        <v>251</v>
      </c>
      <c r="B350" s="5" t="s">
        <v>1469</v>
      </c>
      <c r="C350" s="16">
        <v>2011</v>
      </c>
      <c r="D350" s="5" t="s">
        <v>520</v>
      </c>
      <c r="E350" s="5" t="s">
        <v>503</v>
      </c>
      <c r="F350" s="5" t="s">
        <v>9</v>
      </c>
      <c r="G350" s="5" t="str">
        <f>IF(CropLCAs[[#This Row],[fbs_item]]="Insects","insect_ghg","plant_ghg")</f>
        <v>plant_ghg</v>
      </c>
      <c r="H350" s="49" t="s">
        <v>77</v>
      </c>
      <c r="I350" s="49"/>
      <c r="J350" s="49"/>
      <c r="K350" s="5" t="s">
        <v>230</v>
      </c>
      <c r="L350" s="5" t="s">
        <v>524</v>
      </c>
      <c r="M350" s="5" t="s">
        <v>231</v>
      </c>
      <c r="N350" s="5" t="s">
        <v>109</v>
      </c>
      <c r="O350" s="5" t="s">
        <v>109</v>
      </c>
      <c r="P350" s="5" t="s">
        <v>102</v>
      </c>
      <c r="Q350" s="5" t="s">
        <v>102</v>
      </c>
      <c r="R350" s="5" t="s">
        <v>522</v>
      </c>
      <c r="S350" s="5" t="s">
        <v>102</v>
      </c>
      <c r="T350" s="5" t="s">
        <v>522</v>
      </c>
      <c r="U350" s="5" t="s">
        <v>126</v>
      </c>
      <c r="V350" s="5">
        <v>1</v>
      </c>
      <c r="W350" s="5" t="s">
        <v>355</v>
      </c>
      <c r="X350" s="24">
        <v>152.6</v>
      </c>
      <c r="Y350" s="5" t="s">
        <v>106</v>
      </c>
      <c r="Z350" s="5"/>
      <c r="AA350" s="5"/>
      <c r="AB350" s="24">
        <v>1E-3</v>
      </c>
      <c r="AC350" s="5" t="s">
        <v>274</v>
      </c>
      <c r="AD350" s="5" t="str">
        <f t="shared" si="22"/>
        <v>kg_co2e_excl_luc</v>
      </c>
      <c r="AE350" s="24">
        <f>IF(CropLCAs[[#This Row],[Product fraction]]="",CropLCAs[[#This Row],[CO2e (value)]]*CropLCAs[[#This Row],[Conversion factor (value)]],CropLCAs[[#This Row],[CO2e (value)]]*CropLCAs[[#This Row],[Conversion factor (value)]]/CropLCAs[[#This Row],[Product fraction]]*CropLCAs[[#This Row],[Value fraction]])</f>
        <v>0.15259999999999999</v>
      </c>
      <c r="AF350" s="5"/>
      <c r="AG350" s="5" t="str">
        <f t="shared" si="23"/>
        <v>processed_ghg</v>
      </c>
      <c r="AH350" s="5"/>
      <c r="AI350" s="5"/>
      <c r="AJ350" s="8" t="str">
        <f>IF(CropLCAs[[#This Row],[product_fraction]]&gt;0,CropLCAs[[#This Row],[footprint]]/CropLCAs[[#This Row],[product_fraction]]*CropLCAs[[#This Row],[value_fraction]],"")</f>
        <v/>
      </c>
      <c r="AK350" s="23">
        <f>1/2</f>
        <v>0.5</v>
      </c>
      <c r="AL350" s="5" t="s">
        <v>109</v>
      </c>
      <c r="AM350" s="5" t="s">
        <v>523</v>
      </c>
      <c r="AN350" s="5"/>
      <c r="AO350" s="5"/>
      <c r="AP350" s="5"/>
      <c r="AQ350" s="5"/>
      <c r="AR350" s="5"/>
      <c r="AS350" s="5"/>
      <c r="AT350" s="5"/>
      <c r="AU350" s="5"/>
    </row>
    <row r="351" spans="1:47" ht="44.1" customHeight="1" x14ac:dyDescent="0.2">
      <c r="A351" s="5" t="s">
        <v>112</v>
      </c>
      <c r="B351" s="5" t="s">
        <v>1470</v>
      </c>
      <c r="C351" s="16">
        <v>2014</v>
      </c>
      <c r="D351" s="5" t="s">
        <v>264</v>
      </c>
      <c r="E351" s="5" t="s">
        <v>581</v>
      </c>
      <c r="F351" s="5" t="s">
        <v>3</v>
      </c>
      <c r="G351" s="5" t="str">
        <f>IF(CropLCAs[[#This Row],[fbs_item]]="Insects","insect_ghg","plant_ghg")</f>
        <v>plant_ghg</v>
      </c>
      <c r="H351" s="49" t="s">
        <v>77</v>
      </c>
      <c r="I351" s="49"/>
      <c r="J351" s="49"/>
      <c r="K351" s="5" t="s">
        <v>266</v>
      </c>
      <c r="L351" s="5"/>
      <c r="M351" s="5" t="s">
        <v>102</v>
      </c>
      <c r="N351" s="5" t="s">
        <v>109</v>
      </c>
      <c r="O351" s="5" t="s">
        <v>109</v>
      </c>
      <c r="P351" s="5" t="s">
        <v>102</v>
      </c>
      <c r="Q351" s="5" t="s">
        <v>102</v>
      </c>
      <c r="R351" s="5" t="s">
        <v>102</v>
      </c>
      <c r="S351" s="5" t="s">
        <v>102</v>
      </c>
      <c r="T351" s="5" t="s">
        <v>102</v>
      </c>
      <c r="U351" s="5" t="s">
        <v>126</v>
      </c>
      <c r="V351" s="5">
        <v>1</v>
      </c>
      <c r="W351" s="5" t="s">
        <v>106</v>
      </c>
      <c r="X351" s="24">
        <v>0.41</v>
      </c>
      <c r="Y351" s="5" t="s">
        <v>106</v>
      </c>
      <c r="Z351" s="5"/>
      <c r="AA351" s="5"/>
      <c r="AB351" s="24">
        <v>1</v>
      </c>
      <c r="AC351" s="5"/>
      <c r="AD351" s="5" t="str">
        <f t="shared" si="22"/>
        <v>kg_co2e_excl_luc</v>
      </c>
      <c r="AE351" s="24">
        <f>IF(CropLCAs[[#This Row],[Product fraction]]="",CropLCAs[[#This Row],[CO2e (value)]]*CropLCAs[[#This Row],[Conversion factor (value)]],CropLCAs[[#This Row],[CO2e (value)]]*CropLCAs[[#This Row],[Conversion factor (value)]]/CropLCAs[[#This Row],[Product fraction]]*CropLCAs[[#This Row],[Value fraction]])</f>
        <v>0.41</v>
      </c>
      <c r="AF351" s="5"/>
      <c r="AG351" s="5" t="str">
        <f t="shared" si="23"/>
        <v>processed_ghg</v>
      </c>
      <c r="AH351" s="5"/>
      <c r="AI351" s="5"/>
      <c r="AJ351" s="8" t="str">
        <f>IF(CropLCAs[[#This Row],[product_fraction]]&gt;0,CropLCAs[[#This Row],[footprint]]/CropLCAs[[#This Row],[product_fraction]]*CropLCAs[[#This Row],[value_fraction]],"")</f>
        <v/>
      </c>
      <c r="AK351" s="23">
        <v>1</v>
      </c>
      <c r="AL351" s="5" t="s">
        <v>109</v>
      </c>
      <c r="AM351" s="5" t="s">
        <v>267</v>
      </c>
      <c r="AN351" s="5" t="s">
        <v>268</v>
      </c>
      <c r="AO351" s="5"/>
      <c r="AP351" s="5"/>
      <c r="AQ351" s="5"/>
      <c r="AR351" s="5"/>
      <c r="AS351" s="5"/>
      <c r="AT351" s="5"/>
      <c r="AU351" s="5"/>
    </row>
    <row r="352" spans="1:47" ht="44.1" customHeight="1" x14ac:dyDescent="0.2">
      <c r="A352" s="5" t="s">
        <v>112</v>
      </c>
      <c r="B352" s="5" t="s">
        <v>1470</v>
      </c>
      <c r="C352" s="16">
        <v>2014</v>
      </c>
      <c r="D352" s="5" t="s">
        <v>264</v>
      </c>
      <c r="E352" s="5" t="s">
        <v>582</v>
      </c>
      <c r="F352" s="5" t="s">
        <v>3</v>
      </c>
      <c r="G352" s="5" t="str">
        <f>IF(CropLCAs[[#This Row],[fbs_item]]="Insects","insect_ghg","plant_ghg")</f>
        <v>plant_ghg</v>
      </c>
      <c r="H352" s="49" t="s">
        <v>77</v>
      </c>
      <c r="I352" s="49"/>
      <c r="J352" s="49"/>
      <c r="K352" s="5" t="s">
        <v>266</v>
      </c>
      <c r="L352" s="5"/>
      <c r="M352" s="5" t="s">
        <v>102</v>
      </c>
      <c r="N352" s="5" t="s">
        <v>109</v>
      </c>
      <c r="O352" s="5" t="s">
        <v>109</v>
      </c>
      <c r="P352" s="5" t="s">
        <v>102</v>
      </c>
      <c r="Q352" s="5" t="s">
        <v>102</v>
      </c>
      <c r="R352" s="5" t="s">
        <v>102</v>
      </c>
      <c r="S352" s="5" t="s">
        <v>102</v>
      </c>
      <c r="T352" s="5" t="s">
        <v>102</v>
      </c>
      <c r="U352" s="5" t="s">
        <v>126</v>
      </c>
      <c r="V352" s="5">
        <v>1</v>
      </c>
      <c r="W352" s="5" t="s">
        <v>106</v>
      </c>
      <c r="X352" s="24">
        <v>0.35</v>
      </c>
      <c r="Y352" s="5" t="s">
        <v>106</v>
      </c>
      <c r="Z352" s="5"/>
      <c r="AA352" s="5"/>
      <c r="AB352" s="24">
        <v>1</v>
      </c>
      <c r="AC352" s="5"/>
      <c r="AD352" s="5" t="str">
        <f t="shared" si="22"/>
        <v>kg_co2e_excl_luc</v>
      </c>
      <c r="AE352" s="24">
        <f>IF(CropLCAs[[#This Row],[Product fraction]]="",CropLCAs[[#This Row],[CO2e (value)]]*CropLCAs[[#This Row],[Conversion factor (value)]],CropLCAs[[#This Row],[CO2e (value)]]*CropLCAs[[#This Row],[Conversion factor (value)]]/CropLCAs[[#This Row],[Product fraction]]*CropLCAs[[#This Row],[Value fraction]])</f>
        <v>0.35</v>
      </c>
      <c r="AF352" s="5"/>
      <c r="AG352" s="5" t="str">
        <f t="shared" si="23"/>
        <v>processed_ghg</v>
      </c>
      <c r="AH352" s="5"/>
      <c r="AI352" s="5"/>
      <c r="AJ352" s="8" t="str">
        <f>IF(CropLCAs[[#This Row],[product_fraction]]&gt;0,CropLCAs[[#This Row],[footprint]]/CropLCAs[[#This Row],[product_fraction]]*CropLCAs[[#This Row],[value_fraction]],"")</f>
        <v/>
      </c>
      <c r="AK352" s="23">
        <v>1</v>
      </c>
      <c r="AL352" s="5" t="s">
        <v>109</v>
      </c>
      <c r="AM352" s="5" t="s">
        <v>267</v>
      </c>
      <c r="AN352" s="5" t="s">
        <v>268</v>
      </c>
      <c r="AO352" s="5"/>
      <c r="AP352" s="5"/>
      <c r="AQ352" s="5"/>
      <c r="AR352" s="5"/>
      <c r="AS352" s="5"/>
      <c r="AT352" s="5"/>
      <c r="AU352" s="5"/>
    </row>
    <row r="353" spans="1:47" ht="44.1" customHeight="1" x14ac:dyDescent="0.2">
      <c r="A353" s="5" t="s">
        <v>112</v>
      </c>
      <c r="B353" s="5" t="s">
        <v>1470</v>
      </c>
      <c r="C353" s="16">
        <v>2014</v>
      </c>
      <c r="D353" s="5" t="s">
        <v>264</v>
      </c>
      <c r="E353" s="5" t="s">
        <v>265</v>
      </c>
      <c r="F353" s="5" t="s">
        <v>33</v>
      </c>
      <c r="G353" s="5" t="str">
        <f>IF(CropLCAs[[#This Row],[fbs_item]]="Insects","insect_ghg","plant_ghg")</f>
        <v>plant_ghg</v>
      </c>
      <c r="H353" s="49" t="s">
        <v>77</v>
      </c>
      <c r="I353" s="49"/>
      <c r="J353" s="49"/>
      <c r="K353" s="5" t="s">
        <v>266</v>
      </c>
      <c r="L353" s="5"/>
      <c r="M353" s="5" t="s">
        <v>102</v>
      </c>
      <c r="N353" s="5" t="s">
        <v>109</v>
      </c>
      <c r="O353" s="5" t="s">
        <v>109</v>
      </c>
      <c r="P353" s="5" t="s">
        <v>102</v>
      </c>
      <c r="Q353" s="5" t="s">
        <v>102</v>
      </c>
      <c r="R353" s="5" t="s">
        <v>102</v>
      </c>
      <c r="S353" s="5" t="s">
        <v>102</v>
      </c>
      <c r="T353" s="5" t="s">
        <v>102</v>
      </c>
      <c r="U353" s="5" t="s">
        <v>126</v>
      </c>
      <c r="V353" s="5">
        <v>1</v>
      </c>
      <c r="W353" s="5" t="s">
        <v>106</v>
      </c>
      <c r="X353" s="24">
        <v>0.08</v>
      </c>
      <c r="Y353" s="5" t="s">
        <v>106</v>
      </c>
      <c r="Z353" s="5"/>
      <c r="AA353" s="5"/>
      <c r="AB353" s="24">
        <v>1</v>
      </c>
      <c r="AC353" s="5"/>
      <c r="AD353" s="5" t="str">
        <f t="shared" si="22"/>
        <v>kg_co2e_excl_luc</v>
      </c>
      <c r="AE353" s="24">
        <f>IF(CropLCAs[[#This Row],[Product fraction]]="",CropLCAs[[#This Row],[CO2e (value)]]*CropLCAs[[#This Row],[Conversion factor (value)]],CropLCAs[[#This Row],[CO2e (value)]]*CropLCAs[[#This Row],[Conversion factor (value)]]/CropLCAs[[#This Row],[Product fraction]]*CropLCAs[[#This Row],[Value fraction]])</f>
        <v>0.08</v>
      </c>
      <c r="AF353" s="5"/>
      <c r="AG353" s="5" t="str">
        <f t="shared" si="23"/>
        <v>processed_ghg</v>
      </c>
      <c r="AH353" s="5"/>
      <c r="AI353" s="5"/>
      <c r="AJ353" s="8" t="str">
        <f>IF(CropLCAs[[#This Row],[product_fraction]]&gt;0,CropLCAs[[#This Row],[footprint]]/CropLCAs[[#This Row],[product_fraction]]*CropLCAs[[#This Row],[value_fraction]],"")</f>
        <v/>
      </c>
      <c r="AK353" s="23">
        <v>1</v>
      </c>
      <c r="AL353" s="5" t="s">
        <v>109</v>
      </c>
      <c r="AM353" s="5" t="s">
        <v>267</v>
      </c>
      <c r="AN353" s="5" t="s">
        <v>268</v>
      </c>
      <c r="AO353" s="5"/>
      <c r="AP353" s="5"/>
      <c r="AQ353" s="5"/>
      <c r="AR353" s="5"/>
      <c r="AS353" s="5"/>
      <c r="AT353" s="5"/>
      <c r="AU353" s="5"/>
    </row>
    <row r="354" spans="1:47" ht="44.1" customHeight="1" x14ac:dyDescent="0.2">
      <c r="A354" s="5" t="s">
        <v>112</v>
      </c>
      <c r="B354" s="5" t="s">
        <v>1470</v>
      </c>
      <c r="C354" s="16">
        <v>2014</v>
      </c>
      <c r="D354" s="5" t="s">
        <v>264</v>
      </c>
      <c r="E354" s="5" t="s">
        <v>568</v>
      </c>
      <c r="F354" s="5" t="s">
        <v>3</v>
      </c>
      <c r="G354" s="5" t="str">
        <f>IF(CropLCAs[[#This Row],[fbs_item]]="Insects","insect_ghg","plant_ghg")</f>
        <v>plant_ghg</v>
      </c>
      <c r="H354" s="49" t="s">
        <v>77</v>
      </c>
      <c r="I354" s="49"/>
      <c r="J354" s="49"/>
      <c r="K354" s="5" t="s">
        <v>266</v>
      </c>
      <c r="L354" s="5"/>
      <c r="M354" s="5" t="s">
        <v>102</v>
      </c>
      <c r="N354" s="5" t="s">
        <v>109</v>
      </c>
      <c r="O354" s="5" t="s">
        <v>109</v>
      </c>
      <c r="P354" s="5" t="s">
        <v>102</v>
      </c>
      <c r="Q354" s="5" t="s">
        <v>102</v>
      </c>
      <c r="R354" s="5" t="s">
        <v>102</v>
      </c>
      <c r="S354" s="5" t="s">
        <v>102</v>
      </c>
      <c r="T354" s="5" t="s">
        <v>102</v>
      </c>
      <c r="U354" s="5" t="s">
        <v>126</v>
      </c>
      <c r="V354" s="5">
        <v>1</v>
      </c>
      <c r="W354" s="5" t="s">
        <v>106</v>
      </c>
      <c r="X354" s="24">
        <v>0.15</v>
      </c>
      <c r="Y354" s="5" t="s">
        <v>106</v>
      </c>
      <c r="Z354" s="5"/>
      <c r="AA354" s="5"/>
      <c r="AB354" s="24">
        <v>1</v>
      </c>
      <c r="AC354" s="5"/>
      <c r="AD354" s="5" t="str">
        <f t="shared" si="22"/>
        <v>kg_co2e_excl_luc</v>
      </c>
      <c r="AE354" s="24">
        <f>IF(CropLCAs[[#This Row],[Product fraction]]="",CropLCAs[[#This Row],[CO2e (value)]]*CropLCAs[[#This Row],[Conversion factor (value)]],CropLCAs[[#This Row],[CO2e (value)]]*CropLCAs[[#This Row],[Conversion factor (value)]]/CropLCAs[[#This Row],[Product fraction]]*CropLCAs[[#This Row],[Value fraction]])</f>
        <v>0.15</v>
      </c>
      <c r="AF354" s="5"/>
      <c r="AG354" s="5" t="str">
        <f t="shared" si="23"/>
        <v>processed_ghg</v>
      </c>
      <c r="AH354" s="5"/>
      <c r="AI354" s="5"/>
      <c r="AJ354" s="8" t="str">
        <f>IF(CropLCAs[[#This Row],[product_fraction]]&gt;0,CropLCAs[[#This Row],[footprint]]/CropLCAs[[#This Row],[product_fraction]]*CropLCAs[[#This Row],[value_fraction]],"")</f>
        <v/>
      </c>
      <c r="AK354" s="23">
        <v>1</v>
      </c>
      <c r="AL354" s="5" t="s">
        <v>109</v>
      </c>
      <c r="AM354" s="5" t="s">
        <v>267</v>
      </c>
      <c r="AN354" s="5" t="s">
        <v>268</v>
      </c>
      <c r="AO354" s="5"/>
      <c r="AP354" s="5"/>
      <c r="AQ354" s="5"/>
      <c r="AR354" s="5"/>
      <c r="AS354" s="5"/>
      <c r="AT354" s="5"/>
      <c r="AU354" s="5"/>
    </row>
    <row r="355" spans="1:47" ht="44.1" customHeight="1" x14ac:dyDescent="0.2">
      <c r="A355" s="5" t="s">
        <v>112</v>
      </c>
      <c r="B355" s="5" t="s">
        <v>1470</v>
      </c>
      <c r="C355" s="16">
        <v>2014</v>
      </c>
      <c r="D355" s="5" t="s">
        <v>264</v>
      </c>
      <c r="E355" s="5" t="s">
        <v>348</v>
      </c>
      <c r="F355" s="5" t="s">
        <v>27</v>
      </c>
      <c r="G355" s="5" t="str">
        <f>IF(CropLCAs[[#This Row],[fbs_item]]="Insects","insect_ghg","plant_ghg")</f>
        <v>plant_ghg</v>
      </c>
      <c r="H355" s="49" t="s">
        <v>77</v>
      </c>
      <c r="I355" s="49"/>
      <c r="J355" s="49"/>
      <c r="K355" s="5" t="s">
        <v>266</v>
      </c>
      <c r="L355" s="5"/>
      <c r="M355" s="5" t="s">
        <v>102</v>
      </c>
      <c r="N355" s="5" t="s">
        <v>109</v>
      </c>
      <c r="O355" s="5" t="s">
        <v>109</v>
      </c>
      <c r="P355" s="5" t="s">
        <v>102</v>
      </c>
      <c r="Q355" s="5" t="s">
        <v>102</v>
      </c>
      <c r="R355" s="5" t="s">
        <v>102</v>
      </c>
      <c r="S355" s="5" t="s">
        <v>102</v>
      </c>
      <c r="T355" s="5" t="s">
        <v>102</v>
      </c>
      <c r="U355" s="5" t="s">
        <v>126</v>
      </c>
      <c r="V355" s="5">
        <v>1</v>
      </c>
      <c r="W355" s="5" t="s">
        <v>106</v>
      </c>
      <c r="X355" s="24">
        <v>0.12</v>
      </c>
      <c r="Y355" s="5" t="s">
        <v>106</v>
      </c>
      <c r="Z355" s="5"/>
      <c r="AA355" s="5"/>
      <c r="AB355" s="24">
        <v>1</v>
      </c>
      <c r="AC355" s="5"/>
      <c r="AD355" s="5" t="str">
        <f t="shared" si="22"/>
        <v>kg_co2e_excl_luc</v>
      </c>
      <c r="AE355" s="24">
        <f>IF(CropLCAs[[#This Row],[Product fraction]]="",CropLCAs[[#This Row],[CO2e (value)]]*CropLCAs[[#This Row],[Conversion factor (value)]],CropLCAs[[#This Row],[CO2e (value)]]*CropLCAs[[#This Row],[Conversion factor (value)]]/CropLCAs[[#This Row],[Product fraction]]*CropLCAs[[#This Row],[Value fraction]])</f>
        <v>0.12</v>
      </c>
      <c r="AF355" s="5"/>
      <c r="AG355" s="5" t="str">
        <f t="shared" si="23"/>
        <v>processed_ghg</v>
      </c>
      <c r="AH355" s="5"/>
      <c r="AI355" s="5"/>
      <c r="AJ355" s="8" t="str">
        <f>IF(CropLCAs[[#This Row],[product_fraction]]&gt;0,CropLCAs[[#This Row],[footprint]]/CropLCAs[[#This Row],[product_fraction]]*CropLCAs[[#This Row],[value_fraction]],"")</f>
        <v/>
      </c>
      <c r="AK355" s="23">
        <v>1</v>
      </c>
      <c r="AL355" s="5" t="s">
        <v>109</v>
      </c>
      <c r="AM355" s="5" t="s">
        <v>267</v>
      </c>
      <c r="AN355" s="5" t="s">
        <v>268</v>
      </c>
      <c r="AO355" s="5"/>
      <c r="AP355" s="5"/>
      <c r="AQ355" s="5"/>
      <c r="AR355" s="5"/>
      <c r="AS355" s="5"/>
      <c r="AT355" s="5"/>
      <c r="AU355" s="5"/>
    </row>
    <row r="356" spans="1:47" ht="44.1" customHeight="1" x14ac:dyDescent="0.2">
      <c r="A356" s="5" t="s">
        <v>112</v>
      </c>
      <c r="B356" s="5" t="s">
        <v>1470</v>
      </c>
      <c r="C356" s="16">
        <v>2014</v>
      </c>
      <c r="D356" s="5" t="s">
        <v>264</v>
      </c>
      <c r="E356" s="5" t="s">
        <v>583</v>
      </c>
      <c r="F356" s="5" t="s">
        <v>3</v>
      </c>
      <c r="G356" s="5" t="str">
        <f>IF(CropLCAs[[#This Row],[fbs_item]]="Insects","insect_ghg","plant_ghg")</f>
        <v>plant_ghg</v>
      </c>
      <c r="H356" s="49" t="s">
        <v>77</v>
      </c>
      <c r="I356" s="49"/>
      <c r="J356" s="49"/>
      <c r="K356" s="5" t="s">
        <v>266</v>
      </c>
      <c r="L356" s="5"/>
      <c r="M356" s="5" t="s">
        <v>102</v>
      </c>
      <c r="N356" s="5" t="s">
        <v>109</v>
      </c>
      <c r="O356" s="5" t="s">
        <v>109</v>
      </c>
      <c r="P356" s="5" t="s">
        <v>102</v>
      </c>
      <c r="Q356" s="5" t="s">
        <v>102</v>
      </c>
      <c r="R356" s="5" t="s">
        <v>102</v>
      </c>
      <c r="S356" s="5" t="s">
        <v>102</v>
      </c>
      <c r="T356" s="5" t="s">
        <v>102</v>
      </c>
      <c r="U356" s="5" t="s">
        <v>126</v>
      </c>
      <c r="V356" s="5">
        <v>1</v>
      </c>
      <c r="W356" s="5" t="s">
        <v>106</v>
      </c>
      <c r="X356" s="24">
        <v>0.12</v>
      </c>
      <c r="Y356" s="5" t="s">
        <v>106</v>
      </c>
      <c r="Z356" s="5"/>
      <c r="AA356" s="5"/>
      <c r="AB356" s="24">
        <v>1</v>
      </c>
      <c r="AC356" s="5"/>
      <c r="AD356" s="5" t="str">
        <f t="shared" si="22"/>
        <v>kg_co2e_excl_luc</v>
      </c>
      <c r="AE356" s="24">
        <f>IF(CropLCAs[[#This Row],[Product fraction]]="",CropLCAs[[#This Row],[CO2e (value)]]*CropLCAs[[#This Row],[Conversion factor (value)]],CropLCAs[[#This Row],[CO2e (value)]]*CropLCAs[[#This Row],[Conversion factor (value)]]/CropLCAs[[#This Row],[Product fraction]]*CropLCAs[[#This Row],[Value fraction]])</f>
        <v>0.12</v>
      </c>
      <c r="AF356" s="5"/>
      <c r="AG356" s="5" t="str">
        <f t="shared" si="23"/>
        <v>processed_ghg</v>
      </c>
      <c r="AH356" s="5"/>
      <c r="AI356" s="5"/>
      <c r="AJ356" s="8" t="str">
        <f>IF(CropLCAs[[#This Row],[product_fraction]]&gt;0,CropLCAs[[#This Row],[footprint]]/CropLCAs[[#This Row],[product_fraction]]*CropLCAs[[#This Row],[value_fraction]],"")</f>
        <v/>
      </c>
      <c r="AK356" s="23">
        <v>1</v>
      </c>
      <c r="AL356" s="5" t="s">
        <v>109</v>
      </c>
      <c r="AM356" s="5" t="s">
        <v>267</v>
      </c>
      <c r="AN356" s="5" t="s">
        <v>268</v>
      </c>
      <c r="AO356" s="5"/>
      <c r="AP356" s="5"/>
      <c r="AQ356" s="5"/>
      <c r="AR356" s="5"/>
      <c r="AS356" s="5"/>
      <c r="AT356" s="5"/>
      <c r="AU356" s="5"/>
    </row>
    <row r="357" spans="1:47" ht="44.1" customHeight="1" x14ac:dyDescent="0.2">
      <c r="A357" s="5" t="s">
        <v>112</v>
      </c>
      <c r="B357" s="5" t="s">
        <v>1470</v>
      </c>
      <c r="C357" s="16">
        <v>2014</v>
      </c>
      <c r="D357" s="5" t="s">
        <v>264</v>
      </c>
      <c r="E357" s="5" t="s">
        <v>350</v>
      </c>
      <c r="F357" s="5" t="s">
        <v>27</v>
      </c>
      <c r="G357" s="5" t="str">
        <f>IF(CropLCAs[[#This Row],[fbs_item]]="Insects","insect_ghg","plant_ghg")</f>
        <v>plant_ghg</v>
      </c>
      <c r="H357" s="49" t="s">
        <v>77</v>
      </c>
      <c r="I357" s="49"/>
      <c r="J357" s="49"/>
      <c r="K357" s="5" t="s">
        <v>266</v>
      </c>
      <c r="L357" s="5"/>
      <c r="M357" s="5" t="s">
        <v>102</v>
      </c>
      <c r="N357" s="5" t="s">
        <v>109</v>
      </c>
      <c r="O357" s="5" t="s">
        <v>109</v>
      </c>
      <c r="P357" s="5" t="s">
        <v>102</v>
      </c>
      <c r="Q357" s="5" t="s">
        <v>102</v>
      </c>
      <c r="R357" s="5" t="s">
        <v>102</v>
      </c>
      <c r="S357" s="5" t="s">
        <v>102</v>
      </c>
      <c r="T357" s="5" t="s">
        <v>102</v>
      </c>
      <c r="U357" s="5" t="s">
        <v>126</v>
      </c>
      <c r="V357" s="5">
        <v>1</v>
      </c>
      <c r="W357" s="5" t="s">
        <v>106</v>
      </c>
      <c r="X357" s="24">
        <v>0.1</v>
      </c>
      <c r="Y357" s="5" t="s">
        <v>106</v>
      </c>
      <c r="Z357" s="5"/>
      <c r="AA357" s="5"/>
      <c r="AB357" s="24">
        <v>1</v>
      </c>
      <c r="AC357" s="5"/>
      <c r="AD357" s="5" t="str">
        <f t="shared" si="22"/>
        <v>kg_co2e_excl_luc</v>
      </c>
      <c r="AE357" s="24">
        <f>IF(CropLCAs[[#This Row],[Product fraction]]="",CropLCAs[[#This Row],[CO2e (value)]]*CropLCAs[[#This Row],[Conversion factor (value)]],CropLCAs[[#This Row],[CO2e (value)]]*CropLCAs[[#This Row],[Conversion factor (value)]]/CropLCAs[[#This Row],[Product fraction]]*CropLCAs[[#This Row],[Value fraction]])</f>
        <v>0.1</v>
      </c>
      <c r="AF357" s="5"/>
      <c r="AG357" s="5" t="str">
        <f t="shared" si="23"/>
        <v>processed_ghg</v>
      </c>
      <c r="AH357" s="5"/>
      <c r="AI357" s="5"/>
      <c r="AJ357" s="8" t="str">
        <f>IF(CropLCAs[[#This Row],[product_fraction]]&gt;0,CropLCAs[[#This Row],[footprint]]/CropLCAs[[#This Row],[product_fraction]]*CropLCAs[[#This Row],[value_fraction]],"")</f>
        <v/>
      </c>
      <c r="AK357" s="23">
        <v>1</v>
      </c>
      <c r="AL357" s="5" t="s">
        <v>109</v>
      </c>
      <c r="AM357" s="5" t="s">
        <v>267</v>
      </c>
      <c r="AN357" s="5" t="s">
        <v>268</v>
      </c>
      <c r="AO357" s="5"/>
      <c r="AP357" s="5"/>
      <c r="AQ357" s="5"/>
      <c r="AR357" s="5"/>
      <c r="AS357" s="5"/>
      <c r="AT357" s="5"/>
      <c r="AU357" s="5"/>
    </row>
    <row r="358" spans="1:47" ht="44.1" customHeight="1" x14ac:dyDescent="0.2">
      <c r="A358" s="5" t="s">
        <v>215</v>
      </c>
      <c r="B358" s="5" t="s">
        <v>1471</v>
      </c>
      <c r="C358" s="16">
        <v>2009</v>
      </c>
      <c r="D358" s="5" t="s">
        <v>668</v>
      </c>
      <c r="E358" s="5" t="s">
        <v>630</v>
      </c>
      <c r="F358" s="5" t="s">
        <v>5</v>
      </c>
      <c r="G358" s="5" t="str">
        <f>IF(CropLCAs[[#This Row],[fbs_item]]="Insects","insect_ghg","plant_ghg")</f>
        <v>plant_ghg</v>
      </c>
      <c r="H358" s="49" t="s">
        <v>253</v>
      </c>
      <c r="I358" s="49"/>
      <c r="J358" s="49"/>
      <c r="K358" s="5" t="s">
        <v>101</v>
      </c>
      <c r="L358" s="5"/>
      <c r="M358" s="5" t="s">
        <v>102</v>
      </c>
      <c r="N358" s="5" t="s">
        <v>109</v>
      </c>
      <c r="O358" s="5" t="s">
        <v>109</v>
      </c>
      <c r="P358" s="5" t="s">
        <v>102</v>
      </c>
      <c r="Q358" s="5" t="s">
        <v>102</v>
      </c>
      <c r="R358" s="5" t="s">
        <v>105</v>
      </c>
      <c r="S358" s="5" t="s">
        <v>105</v>
      </c>
      <c r="T358" s="5" t="s">
        <v>150</v>
      </c>
      <c r="U358" s="5">
        <v>100</v>
      </c>
      <c r="V358" s="5">
        <v>0.67</v>
      </c>
      <c r="W358" s="5" t="s">
        <v>106</v>
      </c>
      <c r="X358" s="24">
        <v>160</v>
      </c>
      <c r="Y358" s="5" t="s">
        <v>107</v>
      </c>
      <c r="Z358" s="5"/>
      <c r="AA358" s="5"/>
      <c r="AB358" s="24">
        <f>0.001/V358</f>
        <v>1.4925373134328358E-3</v>
      </c>
      <c r="AC358" s="5" t="s">
        <v>669</v>
      </c>
      <c r="AD358" s="5" t="str">
        <f t="shared" si="22"/>
        <v>kg_co2e_excl_luc</v>
      </c>
      <c r="AE358" s="24">
        <f>IF(CropLCAs[[#This Row],[Product fraction]]="",CropLCAs[[#This Row],[CO2e (value)]]*CropLCAs[[#This Row],[Conversion factor (value)]],CropLCAs[[#This Row],[CO2e (value)]]*CropLCAs[[#This Row],[Conversion factor (value)]]/CropLCAs[[#This Row],[Product fraction]]*CropLCAs[[#This Row],[Value fraction]])</f>
        <v>0.23880597014925373</v>
      </c>
      <c r="AF358" s="5"/>
      <c r="AG358" s="5" t="str">
        <f t="shared" si="23"/>
        <v>processed_ghg</v>
      </c>
      <c r="AH358" s="5"/>
      <c r="AI358" s="5"/>
      <c r="AJ358" s="8" t="str">
        <f>IF(CropLCAs[[#This Row],[product_fraction]]&gt;0,CropLCAs[[#This Row],[footprint]]/CropLCAs[[#This Row],[product_fraction]]*CropLCAs[[#This Row],[value_fraction]],"")</f>
        <v/>
      </c>
      <c r="AK358" s="23">
        <f>1/2</f>
        <v>0.5</v>
      </c>
      <c r="AL358" s="5" t="s">
        <v>109</v>
      </c>
      <c r="AM358" s="5" t="s">
        <v>670</v>
      </c>
      <c r="AN358" s="5"/>
      <c r="AO358" s="5"/>
      <c r="AP358" s="5"/>
      <c r="AQ358" s="5"/>
      <c r="AR358" s="5"/>
      <c r="AS358" s="5"/>
      <c r="AT358" s="5"/>
      <c r="AU358" s="5"/>
    </row>
    <row r="359" spans="1:47" ht="44.1" customHeight="1" x14ac:dyDescent="0.2">
      <c r="A359" s="5" t="s">
        <v>215</v>
      </c>
      <c r="B359" s="5" t="s">
        <v>1471</v>
      </c>
      <c r="C359" s="16">
        <v>2009</v>
      </c>
      <c r="D359" s="5" t="s">
        <v>668</v>
      </c>
      <c r="E359" s="5" t="s">
        <v>630</v>
      </c>
      <c r="F359" s="5" t="s">
        <v>5</v>
      </c>
      <c r="G359" s="5" t="str">
        <f>IF(CropLCAs[[#This Row],[fbs_item]]="Insects","insect_ghg","plant_ghg")</f>
        <v>plant_ghg</v>
      </c>
      <c r="H359" s="49" t="s">
        <v>253</v>
      </c>
      <c r="I359" s="49"/>
      <c r="J359" s="49"/>
      <c r="K359" s="5" t="s">
        <v>111</v>
      </c>
      <c r="L359" s="5"/>
      <c r="M359" s="5" t="s">
        <v>102</v>
      </c>
      <c r="N359" s="5" t="s">
        <v>109</v>
      </c>
      <c r="O359" s="5" t="s">
        <v>109</v>
      </c>
      <c r="P359" s="5" t="s">
        <v>102</v>
      </c>
      <c r="Q359" s="5" t="s">
        <v>102</v>
      </c>
      <c r="R359" s="5" t="s">
        <v>105</v>
      </c>
      <c r="S359" s="5" t="s">
        <v>105</v>
      </c>
      <c r="T359" s="5" t="s">
        <v>150</v>
      </c>
      <c r="U359" s="5">
        <v>100</v>
      </c>
      <c r="V359" s="5">
        <v>0.67</v>
      </c>
      <c r="W359" s="5" t="s">
        <v>106</v>
      </c>
      <c r="X359" s="24">
        <v>190</v>
      </c>
      <c r="Y359" s="5" t="s">
        <v>107</v>
      </c>
      <c r="Z359" s="5"/>
      <c r="AA359" s="5"/>
      <c r="AB359" s="24">
        <f>0.001/V359</f>
        <v>1.4925373134328358E-3</v>
      </c>
      <c r="AC359" s="5" t="s">
        <v>669</v>
      </c>
      <c r="AD359" s="5" t="str">
        <f t="shared" si="22"/>
        <v>kg_co2e_excl_luc</v>
      </c>
      <c r="AE359" s="24">
        <f>IF(CropLCAs[[#This Row],[Product fraction]]="",CropLCAs[[#This Row],[CO2e (value)]]*CropLCAs[[#This Row],[Conversion factor (value)]],CropLCAs[[#This Row],[CO2e (value)]]*CropLCAs[[#This Row],[Conversion factor (value)]]/CropLCAs[[#This Row],[Product fraction]]*CropLCAs[[#This Row],[Value fraction]])</f>
        <v>0.28358208955223879</v>
      </c>
      <c r="AF359" s="5"/>
      <c r="AG359" s="5" t="str">
        <f t="shared" si="23"/>
        <v>processed_ghg</v>
      </c>
      <c r="AH359" s="5"/>
      <c r="AI359" s="5"/>
      <c r="AJ359" s="8" t="str">
        <f>IF(CropLCAs[[#This Row],[product_fraction]]&gt;0,CropLCAs[[#This Row],[footprint]]/CropLCAs[[#This Row],[product_fraction]]*CropLCAs[[#This Row],[value_fraction]],"")</f>
        <v/>
      </c>
      <c r="AK359" s="23">
        <f>1/2</f>
        <v>0.5</v>
      </c>
      <c r="AL359" s="5" t="s">
        <v>109</v>
      </c>
      <c r="AM359" s="5" t="s">
        <v>670</v>
      </c>
      <c r="AN359" s="5"/>
      <c r="AO359" s="5"/>
      <c r="AP359" s="5"/>
      <c r="AQ359" s="5"/>
      <c r="AR359" s="5"/>
      <c r="AS359" s="5"/>
      <c r="AT359" s="5"/>
      <c r="AU359" s="5"/>
    </row>
    <row r="360" spans="1:47" ht="44.1" customHeight="1" x14ac:dyDescent="0.2">
      <c r="A360" s="5" t="s">
        <v>99</v>
      </c>
      <c r="B360" s="5" t="s">
        <v>1472</v>
      </c>
      <c r="C360" s="16">
        <v>2013</v>
      </c>
      <c r="D360" s="6" t="s">
        <v>461</v>
      </c>
      <c r="E360" s="6" t="s">
        <v>453</v>
      </c>
      <c r="F360" s="5" t="s">
        <v>20</v>
      </c>
      <c r="G360" s="5" t="str">
        <f>IF(CropLCAs[[#This Row],[fbs_item]]="Insects","insect_ghg","plant_ghg")</f>
        <v>plant_ghg</v>
      </c>
      <c r="H360" s="49" t="s">
        <v>170</v>
      </c>
      <c r="I360" s="49"/>
      <c r="J360" s="49"/>
      <c r="K360" s="5" t="s">
        <v>111</v>
      </c>
      <c r="L360" s="5" t="s">
        <v>1299</v>
      </c>
      <c r="M360" s="5" t="s">
        <v>102</v>
      </c>
      <c r="N360" s="5" t="s">
        <v>379</v>
      </c>
      <c r="O360" s="5" t="s">
        <v>379</v>
      </c>
      <c r="P360" s="5" t="s">
        <v>102</v>
      </c>
      <c r="Q360" s="5" t="s">
        <v>102</v>
      </c>
      <c r="R360" s="5" t="s">
        <v>102</v>
      </c>
      <c r="S360" s="5" t="s">
        <v>102</v>
      </c>
      <c r="T360" s="5" t="s">
        <v>463</v>
      </c>
      <c r="U360" s="5" t="s">
        <v>126</v>
      </c>
      <c r="V360" s="5">
        <v>1</v>
      </c>
      <c r="W360" s="5" t="s">
        <v>106</v>
      </c>
      <c r="X360" s="24">
        <v>957</v>
      </c>
      <c r="Y360" s="5" t="s">
        <v>107</v>
      </c>
      <c r="Z360" s="5"/>
      <c r="AA360" s="5"/>
      <c r="AB360" s="24">
        <f>1/1000</f>
        <v>1E-3</v>
      </c>
      <c r="AC360" s="5" t="s">
        <v>451</v>
      </c>
      <c r="AD360" s="5" t="str">
        <f t="shared" si="22"/>
        <v>kg_co2e_excl_luc</v>
      </c>
      <c r="AE360" s="24">
        <f>IF(CropLCAs[[#This Row],[Product fraction]]="",CropLCAs[[#This Row],[CO2e (value)]]*CropLCAs[[#This Row],[Conversion factor (value)]],CropLCAs[[#This Row],[CO2e (value)]]*CropLCAs[[#This Row],[Conversion factor (value)]]/CropLCAs[[#This Row],[Product fraction]]*CropLCAs[[#This Row],[Value fraction]])</f>
        <v>0.95700000000000007</v>
      </c>
      <c r="AF360" s="5" t="s">
        <v>39</v>
      </c>
      <c r="AG360" s="5" t="str">
        <f t="shared" si="23"/>
        <v>processed_ghg</v>
      </c>
      <c r="AH360" s="5">
        <v>0.18</v>
      </c>
      <c r="AI360" s="5">
        <v>0.34</v>
      </c>
      <c r="AJ360" s="8">
        <f>IF(CropLCAs[[#This Row],[product_fraction]]&gt;0,CropLCAs[[#This Row],[footprint]]/CropLCAs[[#This Row],[product_fraction]]*CropLCAs[[#This Row],[value_fraction]],"")</f>
        <v>1.807666666666667</v>
      </c>
      <c r="AK360" s="23">
        <v>1</v>
      </c>
      <c r="AL360" s="5" t="s">
        <v>109</v>
      </c>
      <c r="AM360" s="5" t="s">
        <v>464</v>
      </c>
      <c r="AN360" s="5" t="s">
        <v>465</v>
      </c>
      <c r="AO360" s="5" t="s">
        <v>466</v>
      </c>
      <c r="AP360" s="5"/>
      <c r="AQ360" s="5"/>
      <c r="AR360" s="5"/>
      <c r="AS360" s="5"/>
      <c r="AT360" s="5"/>
      <c r="AU360" s="5"/>
    </row>
    <row r="361" spans="1:47" ht="44.1" customHeight="1" x14ac:dyDescent="0.2">
      <c r="A361" s="5" t="s">
        <v>99</v>
      </c>
      <c r="B361" s="5" t="s">
        <v>1473</v>
      </c>
      <c r="C361" s="16">
        <v>2013</v>
      </c>
      <c r="D361" s="6" t="s">
        <v>343</v>
      </c>
      <c r="E361" s="6" t="s">
        <v>1330</v>
      </c>
      <c r="F361" s="5" t="s">
        <v>3</v>
      </c>
      <c r="G361" s="5" t="str">
        <f>IF(CropLCAs[[#This Row],[fbs_item]]="Insects","insect_ghg","plant_ghg")</f>
        <v>plant_ghg</v>
      </c>
      <c r="H361" s="49" t="s">
        <v>345</v>
      </c>
      <c r="I361" s="49"/>
      <c r="J361" s="49"/>
      <c r="K361" s="5" t="s">
        <v>101</v>
      </c>
      <c r="L361" s="5"/>
      <c r="M361" s="5" t="s">
        <v>102</v>
      </c>
      <c r="N361" s="5" t="s">
        <v>150</v>
      </c>
      <c r="O361" s="5" t="s">
        <v>109</v>
      </c>
      <c r="P361" s="5" t="s">
        <v>102</v>
      </c>
      <c r="Q361" s="5" t="s">
        <v>102</v>
      </c>
      <c r="R361" s="5" t="s">
        <v>102</v>
      </c>
      <c r="S361" s="5" t="s">
        <v>102</v>
      </c>
      <c r="T361" s="5" t="s">
        <v>102</v>
      </c>
      <c r="U361" s="5" t="s">
        <v>126</v>
      </c>
      <c r="V361" s="5">
        <v>1</v>
      </c>
      <c r="W361" s="5" t="s">
        <v>106</v>
      </c>
      <c r="X361" s="24">
        <v>4.1000000000000002E-2</v>
      </c>
      <c r="Y361" s="5" t="s">
        <v>106</v>
      </c>
      <c r="Z361" s="5"/>
      <c r="AA361" s="5"/>
      <c r="AB361" s="24">
        <v>1</v>
      </c>
      <c r="AC361" s="5"/>
      <c r="AD361" s="5" t="str">
        <f t="shared" si="22"/>
        <v>kg_co2e_excl_luc</v>
      </c>
      <c r="AE361" s="24">
        <f>IF(CropLCAs[[#This Row],[Product fraction]]="",CropLCAs[[#This Row],[CO2e (value)]]*CropLCAs[[#This Row],[Conversion factor (value)]],CropLCAs[[#This Row],[CO2e (value)]]*CropLCAs[[#This Row],[Conversion factor (value)]]/CropLCAs[[#This Row],[Product fraction]]*CropLCAs[[#This Row],[Value fraction]])</f>
        <v>4.1000000000000002E-2</v>
      </c>
      <c r="AF361" s="5"/>
      <c r="AG361" s="5" t="str">
        <f t="shared" si="23"/>
        <v>processed_ghg</v>
      </c>
      <c r="AH361" s="5"/>
      <c r="AI361" s="5"/>
      <c r="AJ361" s="8" t="str">
        <f>IF(CropLCAs[[#This Row],[product_fraction]]&gt;0,CropLCAs[[#This Row],[footprint]]/CropLCAs[[#This Row],[product_fraction]]*CropLCAs[[#This Row],[value_fraction]],"")</f>
        <v/>
      </c>
      <c r="AK361" s="23">
        <f t="shared" ref="AK361:AK372" si="25">1/2</f>
        <v>0.5</v>
      </c>
      <c r="AL361" s="5" t="s">
        <v>109</v>
      </c>
      <c r="AM361" s="5" t="s">
        <v>346</v>
      </c>
      <c r="AN361" s="15" t="s">
        <v>347</v>
      </c>
      <c r="AO361" s="5"/>
      <c r="AP361" s="5"/>
      <c r="AQ361" s="5"/>
      <c r="AR361" s="5"/>
      <c r="AS361" s="5"/>
      <c r="AT361" s="5"/>
      <c r="AU361" s="5"/>
    </row>
    <row r="362" spans="1:47" ht="44.1" customHeight="1" x14ac:dyDescent="0.2">
      <c r="A362" s="5" t="s">
        <v>99</v>
      </c>
      <c r="B362" s="5" t="s">
        <v>1473</v>
      </c>
      <c r="C362" s="16">
        <v>2013</v>
      </c>
      <c r="D362" s="6" t="s">
        <v>343</v>
      </c>
      <c r="E362" s="6" t="s">
        <v>1330</v>
      </c>
      <c r="F362" s="5" t="s">
        <v>3</v>
      </c>
      <c r="G362" s="5" t="str">
        <f>IF(CropLCAs[[#This Row],[fbs_item]]="Insects","insect_ghg","plant_ghg")</f>
        <v>plant_ghg</v>
      </c>
      <c r="H362" s="49" t="s">
        <v>345</v>
      </c>
      <c r="I362" s="49"/>
      <c r="J362" s="49"/>
      <c r="K362" s="5" t="s">
        <v>111</v>
      </c>
      <c r="L362" s="5"/>
      <c r="M362" s="5" t="s">
        <v>102</v>
      </c>
      <c r="N362" s="5" t="s">
        <v>150</v>
      </c>
      <c r="O362" s="5" t="s">
        <v>109</v>
      </c>
      <c r="P362" s="5" t="s">
        <v>102</v>
      </c>
      <c r="Q362" s="5" t="s">
        <v>102</v>
      </c>
      <c r="R362" s="5" t="s">
        <v>102</v>
      </c>
      <c r="S362" s="5" t="s">
        <v>102</v>
      </c>
      <c r="T362" s="5" t="s">
        <v>102</v>
      </c>
      <c r="U362" s="5" t="s">
        <v>126</v>
      </c>
      <c r="V362" s="5">
        <v>1</v>
      </c>
      <c r="W362" s="5" t="s">
        <v>106</v>
      </c>
      <c r="X362" s="24">
        <v>9.9000000000000005E-2</v>
      </c>
      <c r="Y362" s="5" t="s">
        <v>106</v>
      </c>
      <c r="Z362" s="5"/>
      <c r="AA362" s="5"/>
      <c r="AB362" s="24">
        <v>1</v>
      </c>
      <c r="AC362" s="5"/>
      <c r="AD362" s="5" t="str">
        <f t="shared" si="22"/>
        <v>kg_co2e_excl_luc</v>
      </c>
      <c r="AE362" s="24">
        <f>IF(CropLCAs[[#This Row],[Product fraction]]="",CropLCAs[[#This Row],[CO2e (value)]]*CropLCAs[[#This Row],[Conversion factor (value)]],CropLCAs[[#This Row],[CO2e (value)]]*CropLCAs[[#This Row],[Conversion factor (value)]]/CropLCAs[[#This Row],[Product fraction]]*CropLCAs[[#This Row],[Value fraction]])</f>
        <v>9.9000000000000005E-2</v>
      </c>
      <c r="AF362" s="5"/>
      <c r="AG362" s="5" t="str">
        <f t="shared" si="23"/>
        <v>processed_ghg</v>
      </c>
      <c r="AH362" s="5"/>
      <c r="AI362" s="5"/>
      <c r="AJ362" s="8" t="str">
        <f>IF(CropLCAs[[#This Row],[product_fraction]]&gt;0,CropLCAs[[#This Row],[footprint]]/CropLCAs[[#This Row],[product_fraction]]*CropLCAs[[#This Row],[value_fraction]],"")</f>
        <v/>
      </c>
      <c r="AK362" s="23">
        <f t="shared" si="25"/>
        <v>0.5</v>
      </c>
      <c r="AL362" s="5" t="s">
        <v>109</v>
      </c>
      <c r="AM362" s="5" t="s">
        <v>346</v>
      </c>
      <c r="AN362" s="15" t="s">
        <v>347</v>
      </c>
      <c r="AO362" s="5"/>
      <c r="AP362" s="5"/>
      <c r="AQ362" s="5"/>
      <c r="AR362" s="5"/>
      <c r="AS362" s="5"/>
      <c r="AT362" s="5"/>
      <c r="AU362" s="5"/>
    </row>
    <row r="363" spans="1:47" ht="44.1" customHeight="1" x14ac:dyDescent="0.2">
      <c r="A363" s="5" t="s">
        <v>99</v>
      </c>
      <c r="B363" s="5" t="s">
        <v>1473</v>
      </c>
      <c r="C363" s="16">
        <v>2013</v>
      </c>
      <c r="D363" s="6" t="s">
        <v>343</v>
      </c>
      <c r="E363" s="6" t="s">
        <v>344</v>
      </c>
      <c r="F363" s="5" t="s">
        <v>15</v>
      </c>
      <c r="G363" s="5" t="str">
        <f>IF(CropLCAs[[#This Row],[fbs_item]]="Insects","insect_ghg","plant_ghg")</f>
        <v>plant_ghg</v>
      </c>
      <c r="H363" s="49" t="s">
        <v>345</v>
      </c>
      <c r="I363" s="49"/>
      <c r="J363" s="49"/>
      <c r="K363" s="5" t="s">
        <v>101</v>
      </c>
      <c r="L363" s="5"/>
      <c r="M363" s="5" t="s">
        <v>102</v>
      </c>
      <c r="N363" s="5" t="s">
        <v>150</v>
      </c>
      <c r="O363" s="5" t="s">
        <v>109</v>
      </c>
      <c r="P363" s="5" t="s">
        <v>102</v>
      </c>
      <c r="Q363" s="5" t="s">
        <v>102</v>
      </c>
      <c r="R363" s="5" t="s">
        <v>102</v>
      </c>
      <c r="S363" s="5" t="s">
        <v>102</v>
      </c>
      <c r="T363" s="5" t="s">
        <v>102</v>
      </c>
      <c r="U363" s="5" t="s">
        <v>126</v>
      </c>
      <c r="V363" s="5">
        <v>1</v>
      </c>
      <c r="W363" s="5" t="s">
        <v>106</v>
      </c>
      <c r="X363" s="24">
        <v>0.1</v>
      </c>
      <c r="Y363" s="5" t="s">
        <v>106</v>
      </c>
      <c r="Z363" s="5"/>
      <c r="AA363" s="5"/>
      <c r="AB363" s="24">
        <v>1</v>
      </c>
      <c r="AC363" s="5"/>
      <c r="AD363" s="5" t="str">
        <f t="shared" si="22"/>
        <v>kg_co2e_excl_luc</v>
      </c>
      <c r="AE363" s="24">
        <f>IF(CropLCAs[[#This Row],[Product fraction]]="",CropLCAs[[#This Row],[CO2e (value)]]*CropLCAs[[#This Row],[Conversion factor (value)]],CropLCAs[[#This Row],[CO2e (value)]]*CropLCAs[[#This Row],[Conversion factor (value)]]/CropLCAs[[#This Row],[Product fraction]]*CropLCAs[[#This Row],[Value fraction]])</f>
        <v>0.1</v>
      </c>
      <c r="AF363" s="5"/>
      <c r="AG363" s="5" t="str">
        <f t="shared" si="23"/>
        <v>processed_ghg</v>
      </c>
      <c r="AH363" s="5"/>
      <c r="AI363" s="5"/>
      <c r="AJ363" s="8" t="str">
        <f>IF(CropLCAs[[#This Row],[product_fraction]]&gt;0,CropLCAs[[#This Row],[footprint]]/CropLCAs[[#This Row],[product_fraction]]*CropLCAs[[#This Row],[value_fraction]],"")</f>
        <v/>
      </c>
      <c r="AK363" s="23">
        <f t="shared" si="25"/>
        <v>0.5</v>
      </c>
      <c r="AL363" s="5" t="s">
        <v>109</v>
      </c>
      <c r="AM363" s="5" t="s">
        <v>346</v>
      </c>
      <c r="AN363" s="15" t="s">
        <v>347</v>
      </c>
      <c r="AO363" s="5"/>
      <c r="AP363" s="5"/>
      <c r="AQ363" s="5"/>
      <c r="AR363" s="5"/>
      <c r="AS363" s="5"/>
      <c r="AT363" s="5"/>
      <c r="AU363" s="5"/>
    </row>
    <row r="364" spans="1:47" ht="44.1" customHeight="1" x14ac:dyDescent="0.2">
      <c r="A364" s="5" t="s">
        <v>99</v>
      </c>
      <c r="B364" s="5" t="s">
        <v>1473</v>
      </c>
      <c r="C364" s="16">
        <v>2013</v>
      </c>
      <c r="D364" s="6" t="s">
        <v>343</v>
      </c>
      <c r="E364" s="6" t="s">
        <v>344</v>
      </c>
      <c r="F364" s="5" t="s">
        <v>15</v>
      </c>
      <c r="G364" s="5" t="str">
        <f>IF(CropLCAs[[#This Row],[fbs_item]]="Insects","insect_ghg","plant_ghg")</f>
        <v>plant_ghg</v>
      </c>
      <c r="H364" s="49" t="s">
        <v>345</v>
      </c>
      <c r="I364" s="49"/>
      <c r="J364" s="49"/>
      <c r="K364" s="5" t="s">
        <v>111</v>
      </c>
      <c r="L364" s="5"/>
      <c r="M364" s="5" t="s">
        <v>102</v>
      </c>
      <c r="N364" s="5" t="s">
        <v>150</v>
      </c>
      <c r="O364" s="5" t="s">
        <v>109</v>
      </c>
      <c r="P364" s="5" t="s">
        <v>102</v>
      </c>
      <c r="Q364" s="5" t="s">
        <v>102</v>
      </c>
      <c r="R364" s="5" t="s">
        <v>102</v>
      </c>
      <c r="S364" s="5" t="s">
        <v>102</v>
      </c>
      <c r="T364" s="5" t="s">
        <v>102</v>
      </c>
      <c r="U364" s="5" t="s">
        <v>126</v>
      </c>
      <c r="V364" s="5">
        <v>1</v>
      </c>
      <c r="W364" s="5" t="s">
        <v>106</v>
      </c>
      <c r="X364" s="24">
        <v>8.3000000000000004E-2</v>
      </c>
      <c r="Y364" s="5" t="s">
        <v>106</v>
      </c>
      <c r="Z364" s="5"/>
      <c r="AA364" s="5"/>
      <c r="AB364" s="24">
        <v>1</v>
      </c>
      <c r="AC364" s="5"/>
      <c r="AD364" s="5" t="str">
        <f t="shared" si="22"/>
        <v>kg_co2e_excl_luc</v>
      </c>
      <c r="AE364" s="24">
        <f>IF(CropLCAs[[#This Row],[Product fraction]]="",CropLCAs[[#This Row],[CO2e (value)]]*CropLCAs[[#This Row],[Conversion factor (value)]],CropLCAs[[#This Row],[CO2e (value)]]*CropLCAs[[#This Row],[Conversion factor (value)]]/CropLCAs[[#This Row],[Product fraction]]*CropLCAs[[#This Row],[Value fraction]])</f>
        <v>8.3000000000000004E-2</v>
      </c>
      <c r="AF364" s="5"/>
      <c r="AG364" s="5" t="str">
        <f t="shared" si="23"/>
        <v>processed_ghg</v>
      </c>
      <c r="AH364" s="5"/>
      <c r="AI364" s="5"/>
      <c r="AJ364" s="8" t="str">
        <f>IF(CropLCAs[[#This Row],[product_fraction]]&gt;0,CropLCAs[[#This Row],[footprint]]/CropLCAs[[#This Row],[product_fraction]]*CropLCAs[[#This Row],[value_fraction]],"")</f>
        <v/>
      </c>
      <c r="AK364" s="23">
        <f t="shared" si="25"/>
        <v>0.5</v>
      </c>
      <c r="AL364" s="5" t="s">
        <v>109</v>
      </c>
      <c r="AM364" s="5" t="s">
        <v>346</v>
      </c>
      <c r="AN364" s="15" t="s">
        <v>347</v>
      </c>
      <c r="AO364" s="5"/>
      <c r="AP364" s="5"/>
      <c r="AQ364" s="5"/>
      <c r="AR364" s="5"/>
      <c r="AS364" s="5"/>
      <c r="AT364" s="5"/>
      <c r="AU364" s="5"/>
    </row>
    <row r="365" spans="1:47" ht="44.1" customHeight="1" x14ac:dyDescent="0.2">
      <c r="A365" s="5" t="s">
        <v>99</v>
      </c>
      <c r="B365" s="5" t="s">
        <v>1473</v>
      </c>
      <c r="C365" s="16">
        <v>2013</v>
      </c>
      <c r="D365" s="6" t="s">
        <v>343</v>
      </c>
      <c r="E365" s="6" t="s">
        <v>376</v>
      </c>
      <c r="F365" s="5" t="s">
        <v>16</v>
      </c>
      <c r="G365" s="5" t="str">
        <f>IF(CropLCAs[[#This Row],[fbs_item]]="Insects","insect_ghg","plant_ghg")</f>
        <v>plant_ghg</v>
      </c>
      <c r="H365" s="49" t="s">
        <v>345</v>
      </c>
      <c r="I365" s="49"/>
      <c r="J365" s="49"/>
      <c r="K365" s="5" t="s">
        <v>101</v>
      </c>
      <c r="L365" s="5"/>
      <c r="M365" s="5" t="s">
        <v>102</v>
      </c>
      <c r="N365" s="5" t="s">
        <v>150</v>
      </c>
      <c r="O365" s="5" t="s">
        <v>109</v>
      </c>
      <c r="P365" s="5" t="s">
        <v>102</v>
      </c>
      <c r="Q365" s="5" t="s">
        <v>102</v>
      </c>
      <c r="R365" s="5" t="s">
        <v>102</v>
      </c>
      <c r="S365" s="5" t="s">
        <v>102</v>
      </c>
      <c r="T365" s="5" t="s">
        <v>102</v>
      </c>
      <c r="U365" s="5" t="s">
        <v>126</v>
      </c>
      <c r="V365" s="5">
        <v>1</v>
      </c>
      <c r="W365" s="5" t="s">
        <v>106</v>
      </c>
      <c r="X365" s="24">
        <v>0.125</v>
      </c>
      <c r="Y365" s="5" t="s">
        <v>106</v>
      </c>
      <c r="Z365" s="5"/>
      <c r="AA365" s="5"/>
      <c r="AB365" s="24">
        <v>1</v>
      </c>
      <c r="AC365" s="5"/>
      <c r="AD365" s="5" t="str">
        <f t="shared" si="22"/>
        <v>kg_co2e_excl_luc</v>
      </c>
      <c r="AE365" s="24">
        <f>IF(CropLCAs[[#This Row],[Product fraction]]="",CropLCAs[[#This Row],[CO2e (value)]]*CropLCAs[[#This Row],[Conversion factor (value)]],CropLCAs[[#This Row],[CO2e (value)]]*CropLCAs[[#This Row],[Conversion factor (value)]]/CropLCAs[[#This Row],[Product fraction]]*CropLCAs[[#This Row],[Value fraction]])</f>
        <v>0.125</v>
      </c>
      <c r="AF365" s="5"/>
      <c r="AG365" s="5" t="str">
        <f t="shared" si="23"/>
        <v>processed_ghg</v>
      </c>
      <c r="AH365" s="5"/>
      <c r="AI365" s="5"/>
      <c r="AJ365" s="8" t="str">
        <f>IF(CropLCAs[[#This Row],[product_fraction]]&gt;0,CropLCAs[[#This Row],[footprint]]/CropLCAs[[#This Row],[product_fraction]]*CropLCAs[[#This Row],[value_fraction]],"")</f>
        <v/>
      </c>
      <c r="AK365" s="23">
        <f t="shared" si="25"/>
        <v>0.5</v>
      </c>
      <c r="AL365" s="5" t="s">
        <v>109</v>
      </c>
      <c r="AM365" s="5" t="s">
        <v>346</v>
      </c>
      <c r="AN365" s="15" t="s">
        <v>347</v>
      </c>
      <c r="AO365" s="5"/>
      <c r="AP365" s="5"/>
      <c r="AQ365" s="5"/>
      <c r="AR365" s="5"/>
      <c r="AS365" s="5"/>
      <c r="AT365" s="5"/>
      <c r="AU365" s="5"/>
    </row>
    <row r="366" spans="1:47" ht="44.1" customHeight="1" x14ac:dyDescent="0.2">
      <c r="A366" s="5" t="s">
        <v>99</v>
      </c>
      <c r="B366" s="5" t="s">
        <v>1473</v>
      </c>
      <c r="C366" s="16">
        <v>2013</v>
      </c>
      <c r="D366" s="6" t="s">
        <v>343</v>
      </c>
      <c r="E366" s="6" t="s">
        <v>376</v>
      </c>
      <c r="F366" s="5" t="s">
        <v>16</v>
      </c>
      <c r="G366" s="5" t="str">
        <f>IF(CropLCAs[[#This Row],[fbs_item]]="Insects","insect_ghg","plant_ghg")</f>
        <v>plant_ghg</v>
      </c>
      <c r="H366" s="49" t="s">
        <v>345</v>
      </c>
      <c r="I366" s="49"/>
      <c r="J366" s="49"/>
      <c r="K366" s="5" t="s">
        <v>111</v>
      </c>
      <c r="L366" s="5"/>
      <c r="M366" s="5" t="s">
        <v>102</v>
      </c>
      <c r="N366" s="5" t="s">
        <v>150</v>
      </c>
      <c r="O366" s="5" t="s">
        <v>109</v>
      </c>
      <c r="P366" s="5" t="s">
        <v>102</v>
      </c>
      <c r="Q366" s="5" t="s">
        <v>102</v>
      </c>
      <c r="R366" s="5" t="s">
        <v>102</v>
      </c>
      <c r="S366" s="5" t="s">
        <v>102</v>
      </c>
      <c r="T366" s="5" t="s">
        <v>102</v>
      </c>
      <c r="U366" s="5" t="s">
        <v>126</v>
      </c>
      <c r="V366" s="5">
        <v>1</v>
      </c>
      <c r="W366" s="5" t="s">
        <v>106</v>
      </c>
      <c r="X366" s="24">
        <v>0.14499999999999999</v>
      </c>
      <c r="Y366" s="5" t="s">
        <v>106</v>
      </c>
      <c r="Z366" s="5"/>
      <c r="AA366" s="5"/>
      <c r="AB366" s="24">
        <v>1</v>
      </c>
      <c r="AC366" s="5"/>
      <c r="AD366" s="5" t="str">
        <f t="shared" si="22"/>
        <v>kg_co2e_excl_luc</v>
      </c>
      <c r="AE366" s="24">
        <f>IF(CropLCAs[[#This Row],[Product fraction]]="",CropLCAs[[#This Row],[CO2e (value)]]*CropLCAs[[#This Row],[Conversion factor (value)]],CropLCAs[[#This Row],[CO2e (value)]]*CropLCAs[[#This Row],[Conversion factor (value)]]/CropLCAs[[#This Row],[Product fraction]]*CropLCAs[[#This Row],[Value fraction]])</f>
        <v>0.14499999999999999</v>
      </c>
      <c r="AF366" s="5"/>
      <c r="AG366" s="5" t="str">
        <f t="shared" si="23"/>
        <v>processed_ghg</v>
      </c>
      <c r="AH366" s="5"/>
      <c r="AI366" s="5"/>
      <c r="AJ366" s="8" t="str">
        <f>IF(CropLCAs[[#This Row],[product_fraction]]&gt;0,CropLCAs[[#This Row],[footprint]]/CropLCAs[[#This Row],[product_fraction]]*CropLCAs[[#This Row],[value_fraction]],"")</f>
        <v/>
      </c>
      <c r="AK366" s="23">
        <f t="shared" si="25"/>
        <v>0.5</v>
      </c>
      <c r="AL366" s="5" t="s">
        <v>109</v>
      </c>
      <c r="AM366" s="5" t="s">
        <v>346</v>
      </c>
      <c r="AN366" s="15" t="s">
        <v>347</v>
      </c>
      <c r="AO366" s="5"/>
      <c r="AP366" s="5"/>
      <c r="AQ366" s="5"/>
      <c r="AR366" s="5"/>
      <c r="AS366" s="5"/>
      <c r="AT366" s="5"/>
      <c r="AU366" s="5"/>
    </row>
    <row r="367" spans="1:47" ht="44.1" customHeight="1" x14ac:dyDescent="0.2">
      <c r="A367" s="5" t="s">
        <v>99</v>
      </c>
      <c r="B367" s="5" t="s">
        <v>1473</v>
      </c>
      <c r="C367" s="16">
        <v>2013</v>
      </c>
      <c r="D367" s="6" t="s">
        <v>343</v>
      </c>
      <c r="E367" s="6" t="s">
        <v>450</v>
      </c>
      <c r="F367" s="5" t="s">
        <v>19</v>
      </c>
      <c r="G367" s="5" t="str">
        <f>IF(CropLCAs[[#This Row],[fbs_item]]="Insects","insect_ghg","plant_ghg")</f>
        <v>plant_ghg</v>
      </c>
      <c r="H367" s="49" t="s">
        <v>345</v>
      </c>
      <c r="I367" s="49"/>
      <c r="J367" s="49"/>
      <c r="K367" s="5" t="s">
        <v>101</v>
      </c>
      <c r="L367" s="5"/>
      <c r="M367" s="5" t="s">
        <v>102</v>
      </c>
      <c r="N367" s="5" t="s">
        <v>150</v>
      </c>
      <c r="O367" s="5" t="s">
        <v>109</v>
      </c>
      <c r="P367" s="5" t="s">
        <v>102</v>
      </c>
      <c r="Q367" s="5" t="s">
        <v>102</v>
      </c>
      <c r="R367" s="5" t="s">
        <v>102</v>
      </c>
      <c r="S367" s="5" t="s">
        <v>102</v>
      </c>
      <c r="T367" s="5" t="s">
        <v>102</v>
      </c>
      <c r="U367" s="5" t="s">
        <v>126</v>
      </c>
      <c r="V367" s="5">
        <v>1</v>
      </c>
      <c r="W367" s="5" t="s">
        <v>106</v>
      </c>
      <c r="X367" s="24">
        <v>0.29799999999999999</v>
      </c>
      <c r="Y367" s="5" t="s">
        <v>106</v>
      </c>
      <c r="Z367" s="5"/>
      <c r="AA367" s="5"/>
      <c r="AB367" s="24">
        <v>1</v>
      </c>
      <c r="AC367" s="5"/>
      <c r="AD367" s="5" t="str">
        <f t="shared" si="22"/>
        <v>kg_co2e_excl_luc</v>
      </c>
      <c r="AE367" s="24">
        <f>IF(CropLCAs[[#This Row],[Product fraction]]="",CropLCAs[[#This Row],[CO2e (value)]]*CropLCAs[[#This Row],[Conversion factor (value)]],CropLCAs[[#This Row],[CO2e (value)]]*CropLCAs[[#This Row],[Conversion factor (value)]]/CropLCAs[[#This Row],[Product fraction]]*CropLCAs[[#This Row],[Value fraction]])</f>
        <v>0.29799999999999999</v>
      </c>
      <c r="AF367" s="5"/>
      <c r="AG367" s="5" t="str">
        <f t="shared" si="23"/>
        <v>processed_ghg</v>
      </c>
      <c r="AH367" s="5"/>
      <c r="AI367" s="5"/>
      <c r="AJ367" s="8" t="str">
        <f>IF(CropLCAs[[#This Row],[product_fraction]]&gt;0,CropLCAs[[#This Row],[footprint]]/CropLCAs[[#This Row],[product_fraction]]*CropLCAs[[#This Row],[value_fraction]],"")</f>
        <v/>
      </c>
      <c r="AK367" s="23">
        <f t="shared" si="25"/>
        <v>0.5</v>
      </c>
      <c r="AL367" s="5" t="s">
        <v>109</v>
      </c>
      <c r="AM367" s="5" t="s">
        <v>346</v>
      </c>
      <c r="AN367" s="15" t="s">
        <v>347</v>
      </c>
      <c r="AO367" s="5"/>
      <c r="AP367" s="5"/>
      <c r="AQ367" s="5"/>
      <c r="AR367" s="5"/>
      <c r="AS367" s="5"/>
      <c r="AT367" s="5"/>
      <c r="AU367" s="5"/>
    </row>
    <row r="368" spans="1:47" ht="44.1" customHeight="1" x14ac:dyDescent="0.2">
      <c r="A368" s="5" t="s">
        <v>99</v>
      </c>
      <c r="B368" s="5" t="s">
        <v>1473</v>
      </c>
      <c r="C368" s="16">
        <v>2013</v>
      </c>
      <c r="D368" s="6" t="s">
        <v>343</v>
      </c>
      <c r="E368" s="6" t="s">
        <v>450</v>
      </c>
      <c r="F368" s="5" t="s">
        <v>19</v>
      </c>
      <c r="G368" s="5" t="str">
        <f>IF(CropLCAs[[#This Row],[fbs_item]]="Insects","insect_ghg","plant_ghg")</f>
        <v>plant_ghg</v>
      </c>
      <c r="H368" s="49" t="s">
        <v>345</v>
      </c>
      <c r="I368" s="49"/>
      <c r="J368" s="49"/>
      <c r="K368" s="5" t="s">
        <v>111</v>
      </c>
      <c r="L368" s="5"/>
      <c r="M368" s="5" t="s">
        <v>102</v>
      </c>
      <c r="N368" s="5" t="s">
        <v>150</v>
      </c>
      <c r="O368" s="5" t="s">
        <v>109</v>
      </c>
      <c r="P368" s="5" t="s">
        <v>102</v>
      </c>
      <c r="Q368" s="5" t="s">
        <v>102</v>
      </c>
      <c r="R368" s="5" t="s">
        <v>102</v>
      </c>
      <c r="S368" s="5" t="s">
        <v>102</v>
      </c>
      <c r="T368" s="5" t="s">
        <v>102</v>
      </c>
      <c r="U368" s="5" t="s">
        <v>126</v>
      </c>
      <c r="V368" s="5">
        <v>1</v>
      </c>
      <c r="W368" s="5" t="s">
        <v>106</v>
      </c>
      <c r="X368" s="24">
        <v>0.53700000000000003</v>
      </c>
      <c r="Y368" s="5" t="s">
        <v>106</v>
      </c>
      <c r="Z368" s="5"/>
      <c r="AA368" s="5"/>
      <c r="AB368" s="24">
        <v>1</v>
      </c>
      <c r="AC368" s="5"/>
      <c r="AD368" s="5" t="str">
        <f t="shared" si="22"/>
        <v>kg_co2e_excl_luc</v>
      </c>
      <c r="AE368" s="24">
        <f>IF(CropLCAs[[#This Row],[Product fraction]]="",CropLCAs[[#This Row],[CO2e (value)]]*CropLCAs[[#This Row],[Conversion factor (value)]],CropLCAs[[#This Row],[CO2e (value)]]*CropLCAs[[#This Row],[Conversion factor (value)]]/CropLCAs[[#This Row],[Product fraction]]*CropLCAs[[#This Row],[Value fraction]])</f>
        <v>0.53700000000000003</v>
      </c>
      <c r="AF368" s="5"/>
      <c r="AG368" s="5" t="str">
        <f t="shared" si="23"/>
        <v>processed_ghg</v>
      </c>
      <c r="AH368" s="5"/>
      <c r="AI368" s="5"/>
      <c r="AJ368" s="8" t="str">
        <f>IF(CropLCAs[[#This Row],[product_fraction]]&gt;0,CropLCAs[[#This Row],[footprint]]/CropLCAs[[#This Row],[product_fraction]]*CropLCAs[[#This Row],[value_fraction]],"")</f>
        <v/>
      </c>
      <c r="AK368" s="23">
        <f t="shared" si="25"/>
        <v>0.5</v>
      </c>
      <c r="AL368" s="5" t="s">
        <v>109</v>
      </c>
      <c r="AM368" s="5" t="s">
        <v>346</v>
      </c>
      <c r="AN368" s="15" t="s">
        <v>347</v>
      </c>
      <c r="AO368" s="5"/>
      <c r="AP368" s="5"/>
      <c r="AQ368" s="5"/>
      <c r="AR368" s="5"/>
      <c r="AS368" s="5"/>
      <c r="AT368" s="5"/>
      <c r="AU368" s="5"/>
    </row>
    <row r="369" spans="1:47" ht="44.1" customHeight="1" x14ac:dyDescent="0.2">
      <c r="A369" s="5" t="s">
        <v>99</v>
      </c>
      <c r="B369" s="5" t="s">
        <v>1473</v>
      </c>
      <c r="C369" s="16">
        <v>2013</v>
      </c>
      <c r="D369" s="6" t="s">
        <v>343</v>
      </c>
      <c r="E369" s="6" t="s">
        <v>525</v>
      </c>
      <c r="F369" s="5" t="s">
        <v>9</v>
      </c>
      <c r="G369" s="5" t="str">
        <f>IF(CropLCAs[[#This Row],[fbs_item]]="Insects","insect_ghg","plant_ghg")</f>
        <v>plant_ghg</v>
      </c>
      <c r="H369" s="49" t="s">
        <v>345</v>
      </c>
      <c r="I369" s="49"/>
      <c r="J369" s="49"/>
      <c r="K369" s="5" t="s">
        <v>101</v>
      </c>
      <c r="L369" s="5"/>
      <c r="M369" s="5" t="s">
        <v>102</v>
      </c>
      <c r="N369" s="5" t="s">
        <v>150</v>
      </c>
      <c r="O369" s="5" t="s">
        <v>109</v>
      </c>
      <c r="P369" s="5" t="s">
        <v>102</v>
      </c>
      <c r="Q369" s="5" t="s">
        <v>102</v>
      </c>
      <c r="R369" s="5" t="s">
        <v>102</v>
      </c>
      <c r="S369" s="5" t="s">
        <v>102</v>
      </c>
      <c r="T369" s="5" t="s">
        <v>102</v>
      </c>
      <c r="U369" s="5" t="s">
        <v>126</v>
      </c>
      <c r="V369" s="5">
        <v>1</v>
      </c>
      <c r="W369" s="5" t="s">
        <v>106</v>
      </c>
      <c r="X369" s="24">
        <v>6.7000000000000004E-2</v>
      </c>
      <c r="Y369" s="5" t="s">
        <v>106</v>
      </c>
      <c r="Z369" s="5"/>
      <c r="AA369" s="5"/>
      <c r="AB369" s="24">
        <v>1</v>
      </c>
      <c r="AC369" s="5"/>
      <c r="AD369" s="5" t="str">
        <f t="shared" si="22"/>
        <v>kg_co2e_excl_luc</v>
      </c>
      <c r="AE369" s="24">
        <f>IF(CropLCAs[[#This Row],[Product fraction]]="",CropLCAs[[#This Row],[CO2e (value)]]*CropLCAs[[#This Row],[Conversion factor (value)]],CropLCAs[[#This Row],[CO2e (value)]]*CropLCAs[[#This Row],[Conversion factor (value)]]/CropLCAs[[#This Row],[Product fraction]]*CropLCAs[[#This Row],[Value fraction]])</f>
        <v>6.7000000000000004E-2</v>
      </c>
      <c r="AF369" s="5"/>
      <c r="AG369" s="5" t="str">
        <f t="shared" si="23"/>
        <v>processed_ghg</v>
      </c>
      <c r="AH369" s="5"/>
      <c r="AI369" s="5"/>
      <c r="AJ369" s="8" t="str">
        <f>IF(CropLCAs[[#This Row],[product_fraction]]&gt;0,CropLCAs[[#This Row],[footprint]]/CropLCAs[[#This Row],[product_fraction]]*CropLCAs[[#This Row],[value_fraction]],"")</f>
        <v/>
      </c>
      <c r="AK369" s="23">
        <f t="shared" si="25"/>
        <v>0.5</v>
      </c>
      <c r="AL369" s="5" t="s">
        <v>109</v>
      </c>
      <c r="AM369" s="5" t="s">
        <v>346</v>
      </c>
      <c r="AN369" s="15" t="s">
        <v>347</v>
      </c>
      <c r="AO369" s="5"/>
      <c r="AP369" s="5"/>
      <c r="AQ369" s="5"/>
      <c r="AR369" s="5"/>
      <c r="AS369" s="5"/>
      <c r="AT369" s="5"/>
      <c r="AU369" s="5"/>
    </row>
    <row r="370" spans="1:47" ht="44.1" customHeight="1" x14ac:dyDescent="0.2">
      <c r="A370" s="5" t="s">
        <v>99</v>
      </c>
      <c r="B370" s="5" t="s">
        <v>1473</v>
      </c>
      <c r="C370" s="16">
        <v>2013</v>
      </c>
      <c r="D370" s="6" t="s">
        <v>343</v>
      </c>
      <c r="E370" s="6" t="s">
        <v>525</v>
      </c>
      <c r="F370" s="5" t="s">
        <v>9</v>
      </c>
      <c r="G370" s="5" t="str">
        <f>IF(CropLCAs[[#This Row],[fbs_item]]="Insects","insect_ghg","plant_ghg")</f>
        <v>plant_ghg</v>
      </c>
      <c r="H370" s="49" t="s">
        <v>345</v>
      </c>
      <c r="I370" s="49"/>
      <c r="J370" s="49"/>
      <c r="K370" s="5" t="s">
        <v>111</v>
      </c>
      <c r="L370" s="5"/>
      <c r="M370" s="5" t="s">
        <v>102</v>
      </c>
      <c r="N370" s="5" t="s">
        <v>150</v>
      </c>
      <c r="O370" s="5" t="s">
        <v>109</v>
      </c>
      <c r="P370" s="5" t="s">
        <v>102</v>
      </c>
      <c r="Q370" s="5" t="s">
        <v>102</v>
      </c>
      <c r="R370" s="5" t="s">
        <v>102</v>
      </c>
      <c r="S370" s="5" t="s">
        <v>102</v>
      </c>
      <c r="T370" s="5" t="s">
        <v>102</v>
      </c>
      <c r="U370" s="5" t="s">
        <v>126</v>
      </c>
      <c r="V370" s="5">
        <v>1</v>
      </c>
      <c r="W370" s="5" t="s">
        <v>106</v>
      </c>
      <c r="X370" s="24">
        <v>8.6999999999999994E-2</v>
      </c>
      <c r="Y370" s="5" t="s">
        <v>106</v>
      </c>
      <c r="Z370" s="5"/>
      <c r="AA370" s="5"/>
      <c r="AB370" s="24">
        <v>1</v>
      </c>
      <c r="AC370" s="5"/>
      <c r="AD370" s="5" t="str">
        <f t="shared" si="22"/>
        <v>kg_co2e_excl_luc</v>
      </c>
      <c r="AE370" s="24">
        <f>IF(CropLCAs[[#This Row],[Product fraction]]="",CropLCAs[[#This Row],[CO2e (value)]]*CropLCAs[[#This Row],[Conversion factor (value)]],CropLCAs[[#This Row],[CO2e (value)]]*CropLCAs[[#This Row],[Conversion factor (value)]]/CropLCAs[[#This Row],[Product fraction]]*CropLCAs[[#This Row],[Value fraction]])</f>
        <v>8.6999999999999994E-2</v>
      </c>
      <c r="AF370" s="5"/>
      <c r="AG370" s="5" t="str">
        <f t="shared" si="23"/>
        <v>processed_ghg</v>
      </c>
      <c r="AH370" s="5"/>
      <c r="AI370" s="5"/>
      <c r="AJ370" s="8" t="str">
        <f>IF(CropLCAs[[#This Row],[product_fraction]]&gt;0,CropLCAs[[#This Row],[footprint]]/CropLCAs[[#This Row],[product_fraction]]*CropLCAs[[#This Row],[value_fraction]],"")</f>
        <v/>
      </c>
      <c r="AK370" s="23">
        <f t="shared" si="25"/>
        <v>0.5</v>
      </c>
      <c r="AL370" s="5" t="s">
        <v>109</v>
      </c>
      <c r="AM370" s="5" t="s">
        <v>346</v>
      </c>
      <c r="AN370" s="15" t="s">
        <v>347</v>
      </c>
      <c r="AO370" s="5"/>
      <c r="AP370" s="5"/>
      <c r="AQ370" s="5"/>
      <c r="AR370" s="5"/>
      <c r="AS370" s="5"/>
      <c r="AT370" s="5"/>
      <c r="AU370" s="5"/>
    </row>
    <row r="371" spans="1:47" ht="44.1" customHeight="1" x14ac:dyDescent="0.2">
      <c r="A371" s="5" t="s">
        <v>99</v>
      </c>
      <c r="B371" s="5" t="s">
        <v>1473</v>
      </c>
      <c r="C371" s="16">
        <v>2013</v>
      </c>
      <c r="D371" s="6" t="s">
        <v>343</v>
      </c>
      <c r="E371" s="6" t="s">
        <v>630</v>
      </c>
      <c r="F371" s="5" t="s">
        <v>5</v>
      </c>
      <c r="G371" s="5" t="str">
        <f>IF(CropLCAs[[#This Row],[fbs_item]]="Insects","insect_ghg","plant_ghg")</f>
        <v>plant_ghg</v>
      </c>
      <c r="H371" s="49" t="s">
        <v>345</v>
      </c>
      <c r="I371" s="49"/>
      <c r="J371" s="49"/>
      <c r="K371" s="5" t="s">
        <v>101</v>
      </c>
      <c r="L371" s="5"/>
      <c r="M371" s="5" t="s">
        <v>102</v>
      </c>
      <c r="N371" s="5" t="s">
        <v>150</v>
      </c>
      <c r="O371" s="5" t="s">
        <v>109</v>
      </c>
      <c r="P371" s="5" t="s">
        <v>102</v>
      </c>
      <c r="Q371" s="5" t="s">
        <v>102</v>
      </c>
      <c r="R371" s="5" t="s">
        <v>102</v>
      </c>
      <c r="S371" s="5" t="s">
        <v>102</v>
      </c>
      <c r="T371" s="5" t="s">
        <v>102</v>
      </c>
      <c r="U371" s="5" t="s">
        <v>126</v>
      </c>
      <c r="V371" s="5">
        <v>1</v>
      </c>
      <c r="W371" s="5" t="s">
        <v>106</v>
      </c>
      <c r="X371" s="24">
        <v>0.42299999999999999</v>
      </c>
      <c r="Y371" s="5" t="s">
        <v>106</v>
      </c>
      <c r="Z371" s="5"/>
      <c r="AA371" s="5"/>
      <c r="AB371" s="24">
        <v>1</v>
      </c>
      <c r="AC371" s="5"/>
      <c r="AD371" s="5" t="str">
        <f t="shared" si="22"/>
        <v>kg_co2e_excl_luc</v>
      </c>
      <c r="AE371" s="24">
        <f>IF(CropLCAs[[#This Row],[Product fraction]]="",CropLCAs[[#This Row],[CO2e (value)]]*CropLCAs[[#This Row],[Conversion factor (value)]],CropLCAs[[#This Row],[CO2e (value)]]*CropLCAs[[#This Row],[Conversion factor (value)]]/CropLCAs[[#This Row],[Product fraction]]*CropLCAs[[#This Row],[Value fraction]])</f>
        <v>0.42299999999999999</v>
      </c>
      <c r="AF371" s="5"/>
      <c r="AG371" s="5" t="str">
        <f t="shared" si="23"/>
        <v>processed_ghg</v>
      </c>
      <c r="AH371" s="5"/>
      <c r="AI371" s="5"/>
      <c r="AJ371" s="8" t="str">
        <f>IF(CropLCAs[[#This Row],[product_fraction]]&gt;0,CropLCAs[[#This Row],[footprint]]/CropLCAs[[#This Row],[product_fraction]]*CropLCAs[[#This Row],[value_fraction]],"")</f>
        <v/>
      </c>
      <c r="AK371" s="23">
        <f t="shared" si="25"/>
        <v>0.5</v>
      </c>
      <c r="AL371" s="5" t="s">
        <v>109</v>
      </c>
      <c r="AM371" s="5" t="s">
        <v>346</v>
      </c>
      <c r="AN371" s="15" t="s">
        <v>347</v>
      </c>
      <c r="AO371" s="5"/>
      <c r="AP371" s="5"/>
      <c r="AQ371" s="5"/>
      <c r="AR371" s="5"/>
      <c r="AS371" s="5"/>
      <c r="AT371" s="5"/>
      <c r="AU371" s="5"/>
    </row>
    <row r="372" spans="1:47" ht="44.1" customHeight="1" x14ac:dyDescent="0.2">
      <c r="A372" s="5" t="s">
        <v>99</v>
      </c>
      <c r="B372" s="5" t="s">
        <v>1473</v>
      </c>
      <c r="C372" s="16">
        <v>2013</v>
      </c>
      <c r="D372" s="6" t="s">
        <v>343</v>
      </c>
      <c r="E372" s="6" t="s">
        <v>630</v>
      </c>
      <c r="F372" s="5" t="s">
        <v>5</v>
      </c>
      <c r="G372" s="5" t="str">
        <f>IF(CropLCAs[[#This Row],[fbs_item]]="Insects","insect_ghg","plant_ghg")</f>
        <v>plant_ghg</v>
      </c>
      <c r="H372" s="49" t="s">
        <v>345</v>
      </c>
      <c r="I372" s="49"/>
      <c r="J372" s="49"/>
      <c r="K372" s="5" t="s">
        <v>111</v>
      </c>
      <c r="L372" s="5"/>
      <c r="M372" s="5" t="s">
        <v>102</v>
      </c>
      <c r="N372" s="5" t="s">
        <v>150</v>
      </c>
      <c r="O372" s="5" t="s">
        <v>109</v>
      </c>
      <c r="P372" s="5" t="s">
        <v>102</v>
      </c>
      <c r="Q372" s="5" t="s">
        <v>102</v>
      </c>
      <c r="R372" s="5" t="s">
        <v>102</v>
      </c>
      <c r="S372" s="5" t="s">
        <v>102</v>
      </c>
      <c r="T372" s="5" t="s">
        <v>102</v>
      </c>
      <c r="U372" s="5" t="s">
        <v>126</v>
      </c>
      <c r="V372" s="5">
        <v>1</v>
      </c>
      <c r="W372" s="5" t="s">
        <v>106</v>
      </c>
      <c r="X372" s="24">
        <v>0.46</v>
      </c>
      <c r="Y372" s="5" t="s">
        <v>106</v>
      </c>
      <c r="Z372" s="5"/>
      <c r="AA372" s="5"/>
      <c r="AB372" s="24">
        <v>1</v>
      </c>
      <c r="AC372" s="5"/>
      <c r="AD372" s="5" t="str">
        <f t="shared" si="22"/>
        <v>kg_co2e_excl_luc</v>
      </c>
      <c r="AE372" s="24">
        <f>IF(CropLCAs[[#This Row],[Product fraction]]="",CropLCAs[[#This Row],[CO2e (value)]]*CropLCAs[[#This Row],[Conversion factor (value)]],CropLCAs[[#This Row],[CO2e (value)]]*CropLCAs[[#This Row],[Conversion factor (value)]]/CropLCAs[[#This Row],[Product fraction]]*CropLCAs[[#This Row],[Value fraction]])</f>
        <v>0.46</v>
      </c>
      <c r="AF372" s="5"/>
      <c r="AG372" s="5" t="str">
        <f t="shared" si="23"/>
        <v>processed_ghg</v>
      </c>
      <c r="AH372" s="5"/>
      <c r="AI372" s="5"/>
      <c r="AJ372" s="8" t="str">
        <f>IF(CropLCAs[[#This Row],[product_fraction]]&gt;0,CropLCAs[[#This Row],[footprint]]/CropLCAs[[#This Row],[product_fraction]]*CropLCAs[[#This Row],[value_fraction]],"")</f>
        <v/>
      </c>
      <c r="AK372" s="23">
        <f t="shared" si="25"/>
        <v>0.5</v>
      </c>
      <c r="AL372" s="5" t="s">
        <v>109</v>
      </c>
      <c r="AM372" s="5" t="s">
        <v>346</v>
      </c>
      <c r="AN372" s="15" t="s">
        <v>347</v>
      </c>
      <c r="AO372" s="5"/>
      <c r="AP372" s="5"/>
      <c r="AQ372" s="5"/>
      <c r="AR372" s="5"/>
      <c r="AS372" s="5"/>
      <c r="AT372" s="5"/>
      <c r="AU372" s="5"/>
    </row>
    <row r="373" spans="1:47" ht="44.1" customHeight="1" x14ac:dyDescent="0.2">
      <c r="A373" s="5" t="s">
        <v>123</v>
      </c>
      <c r="B373" s="5" t="s">
        <v>1474</v>
      </c>
      <c r="C373" s="16">
        <v>2006</v>
      </c>
      <c r="D373" s="6" t="s">
        <v>129</v>
      </c>
      <c r="E373" s="6" t="s">
        <v>119</v>
      </c>
      <c r="F373" s="5" t="s">
        <v>30</v>
      </c>
      <c r="G373" s="5" t="str">
        <f>IF(CropLCAs[[#This Row],[fbs_item]]="Insects","insect_ghg","plant_ghg")</f>
        <v>plant_ghg</v>
      </c>
      <c r="H373" s="49" t="s">
        <v>130</v>
      </c>
      <c r="I373" s="49"/>
      <c r="J373" s="49"/>
      <c r="K373" s="5" t="s">
        <v>690</v>
      </c>
      <c r="L373" s="5" t="s">
        <v>1300</v>
      </c>
      <c r="M373" s="5" t="s">
        <v>102</v>
      </c>
      <c r="N373" s="5" t="s">
        <v>109</v>
      </c>
      <c r="O373" s="5" t="s">
        <v>109</v>
      </c>
      <c r="P373" s="5" t="s">
        <v>102</v>
      </c>
      <c r="Q373" s="5" t="s">
        <v>102</v>
      </c>
      <c r="R373" s="5" t="s">
        <v>102</v>
      </c>
      <c r="S373" s="5" t="s">
        <v>102</v>
      </c>
      <c r="T373" s="5" t="s">
        <v>102</v>
      </c>
      <c r="U373" s="5">
        <v>100</v>
      </c>
      <c r="V373" s="5">
        <v>1</v>
      </c>
      <c r="W373" s="5" t="s">
        <v>131</v>
      </c>
      <c r="X373" s="24">
        <v>2.6</v>
      </c>
      <c r="Y373" s="5" t="s">
        <v>127</v>
      </c>
      <c r="Z373" s="5"/>
      <c r="AA373" s="5"/>
      <c r="AB373" s="24">
        <f>1/31.4</f>
        <v>3.1847133757961783E-2</v>
      </c>
      <c r="AC373" s="5" t="s">
        <v>132</v>
      </c>
      <c r="AD373" s="5" t="str">
        <f t="shared" si="22"/>
        <v>kg_co2e_excl_luc</v>
      </c>
      <c r="AE373" s="24">
        <f>IF(CropLCAs[[#This Row],[Product fraction]]="",CropLCAs[[#This Row],[CO2e (value)]]*CropLCAs[[#This Row],[Conversion factor (value)]],CropLCAs[[#This Row],[CO2e (value)]]*CropLCAs[[#This Row],[Conversion factor (value)]]/CropLCAs[[#This Row],[Product fraction]]*CropLCAs[[#This Row],[Value fraction]])</f>
        <v>8.2802547770700646E-2</v>
      </c>
      <c r="AF373" s="5"/>
      <c r="AG373" s="5" t="str">
        <f t="shared" si="23"/>
        <v>processed_ghg</v>
      </c>
      <c r="AH373" s="5"/>
      <c r="AI373" s="5"/>
      <c r="AJ373" s="8" t="str">
        <f>IF(CropLCAs[[#This Row],[product_fraction]]&gt;0,CropLCAs[[#This Row],[footprint]]/CropLCAs[[#This Row],[product_fraction]]*CropLCAs[[#This Row],[value_fraction]],"")</f>
        <v/>
      </c>
      <c r="AK373" s="23">
        <v>1</v>
      </c>
      <c r="AL373" s="5" t="s">
        <v>109</v>
      </c>
      <c r="AM373" s="5" t="s">
        <v>133</v>
      </c>
      <c r="AN373" s="5"/>
      <c r="AO373" s="5"/>
      <c r="AP373" s="5"/>
      <c r="AQ373" s="5"/>
      <c r="AR373" s="5"/>
      <c r="AS373" s="5"/>
      <c r="AT373" s="5"/>
      <c r="AU373" s="5"/>
    </row>
    <row r="374" spans="1:47" ht="44.1" customHeight="1" x14ac:dyDescent="0.2">
      <c r="A374" s="5" t="s">
        <v>251</v>
      </c>
      <c r="B374" s="5" t="s">
        <v>1475</v>
      </c>
      <c r="C374" s="16">
        <v>2014</v>
      </c>
      <c r="D374" s="6" t="s">
        <v>259</v>
      </c>
      <c r="E374" s="6" t="s">
        <v>260</v>
      </c>
      <c r="F374" s="7" t="s">
        <v>38</v>
      </c>
      <c r="G374" s="7" t="str">
        <f>IF(CropLCAs[[#This Row],[fbs_item]]="Insects","insect_ghg","plant_ghg")</f>
        <v>plant_ghg</v>
      </c>
      <c r="H374" s="49" t="s">
        <v>261</v>
      </c>
      <c r="I374" s="49"/>
      <c r="J374" s="49"/>
      <c r="K374" s="5" t="s">
        <v>111</v>
      </c>
      <c r="L374" s="5" t="s">
        <v>1352</v>
      </c>
      <c r="M374" s="5" t="s">
        <v>102</v>
      </c>
      <c r="N374" s="5" t="s">
        <v>102</v>
      </c>
      <c r="O374" s="5" t="s">
        <v>262</v>
      </c>
      <c r="P374" s="5" t="s">
        <v>102</v>
      </c>
      <c r="Q374" s="5" t="s">
        <v>262</v>
      </c>
      <c r="R374" s="5" t="s">
        <v>262</v>
      </c>
      <c r="S374" s="5" t="s">
        <v>105</v>
      </c>
      <c r="T374" s="5" t="s">
        <v>102</v>
      </c>
      <c r="U374" s="5">
        <v>100</v>
      </c>
      <c r="V374" s="5">
        <v>1</v>
      </c>
      <c r="W374" s="5" t="s">
        <v>106</v>
      </c>
      <c r="X374" s="24">
        <v>2.46</v>
      </c>
      <c r="Y374" s="5" t="s">
        <v>106</v>
      </c>
      <c r="Z374" s="5"/>
      <c r="AA374" s="5"/>
      <c r="AB374" s="24">
        <v>1</v>
      </c>
      <c r="AC374" s="5"/>
      <c r="AD374" s="5" t="str">
        <f t="shared" si="22"/>
        <v>kg_co2e_excl_luc</v>
      </c>
      <c r="AE374" s="24">
        <f>IF(CropLCAs[[#This Row],[Product fraction]]="",CropLCAs[[#This Row],[CO2e (value)]]*CropLCAs[[#This Row],[Conversion factor (value)]],CropLCAs[[#This Row],[CO2e (value)]]*CropLCAs[[#This Row],[Conversion factor (value)]]/CropLCAs[[#This Row],[Product fraction]]*CropLCAs[[#This Row],[Value fraction]])</f>
        <v>2.46</v>
      </c>
      <c r="AF374" s="5"/>
      <c r="AG374" s="5" t="str">
        <f t="shared" si="23"/>
        <v>processed_ghg</v>
      </c>
      <c r="AH374" s="5"/>
      <c r="AI374" s="5"/>
      <c r="AJ374" s="8" t="str">
        <f>IF(CropLCAs[[#This Row],[product_fraction]]&gt;0,CropLCAs[[#This Row],[footprint]]/CropLCAs[[#This Row],[product_fraction]]*CropLCAs[[#This Row],[value_fraction]],"")</f>
        <v/>
      </c>
      <c r="AK374" s="23">
        <v>1</v>
      </c>
      <c r="AL374" s="5" t="s">
        <v>109</v>
      </c>
      <c r="AM374" s="5" t="s">
        <v>263</v>
      </c>
      <c r="AN374" s="11" t="s">
        <v>1236</v>
      </c>
      <c r="AO374" s="5"/>
      <c r="AP374" s="5"/>
      <c r="AQ374" s="5"/>
      <c r="AR374" s="5"/>
      <c r="AS374" s="5"/>
      <c r="AT374" s="5"/>
      <c r="AU374" s="5"/>
    </row>
    <row r="375" spans="1:47" ht="44.1" customHeight="1" x14ac:dyDescent="0.2">
      <c r="A375" s="5" t="s">
        <v>112</v>
      </c>
      <c r="B375" s="5" t="s">
        <v>1476</v>
      </c>
      <c r="C375" s="16">
        <v>2015</v>
      </c>
      <c r="D375" s="5" t="s">
        <v>237</v>
      </c>
      <c r="E375" s="6" t="s">
        <v>238</v>
      </c>
      <c r="F375" s="5" t="s">
        <v>31</v>
      </c>
      <c r="G375" s="5" t="str">
        <f>IF(CropLCAs[[#This Row],[fbs_item]]="Insects","insect_ghg","plant_ghg")</f>
        <v>plant_ghg</v>
      </c>
      <c r="H375" s="49" t="s">
        <v>239</v>
      </c>
      <c r="I375" s="49"/>
      <c r="J375" s="49"/>
      <c r="K375" s="5" t="s">
        <v>101</v>
      </c>
      <c r="L375" s="5"/>
      <c r="M375" s="5" t="s">
        <v>102</v>
      </c>
      <c r="N375" s="5" t="s">
        <v>102</v>
      </c>
      <c r="O375" s="5" t="s">
        <v>109</v>
      </c>
      <c r="P375" s="5" t="s">
        <v>102</v>
      </c>
      <c r="Q375" s="5" t="s">
        <v>102</v>
      </c>
      <c r="R375" s="5" t="s">
        <v>102</v>
      </c>
      <c r="S375" s="5" t="s">
        <v>102</v>
      </c>
      <c r="T375" s="5" t="s">
        <v>102</v>
      </c>
      <c r="U375" s="5" t="s">
        <v>126</v>
      </c>
      <c r="V375" s="5">
        <v>1</v>
      </c>
      <c r="W375" s="5" t="s">
        <v>106</v>
      </c>
      <c r="X375" s="24">
        <v>0.20399999999999999</v>
      </c>
      <c r="Y375" s="5" t="s">
        <v>106</v>
      </c>
      <c r="Z375" s="5"/>
      <c r="AA375" s="5"/>
      <c r="AB375" s="24">
        <v>1</v>
      </c>
      <c r="AC375" s="5"/>
      <c r="AD375" s="5" t="str">
        <f t="shared" si="22"/>
        <v>kg_co2e_excl_luc</v>
      </c>
      <c r="AE375" s="24">
        <f>IF(CropLCAs[[#This Row],[Product fraction]]="",CropLCAs[[#This Row],[CO2e (value)]]*CropLCAs[[#This Row],[Conversion factor (value)]],CropLCAs[[#This Row],[CO2e (value)]]*CropLCAs[[#This Row],[Conversion factor (value)]]/CropLCAs[[#This Row],[Product fraction]]*CropLCAs[[#This Row],[Value fraction]])</f>
        <v>0.20399999999999999</v>
      </c>
      <c r="AF375" s="5"/>
      <c r="AG375" s="5" t="str">
        <f t="shared" si="23"/>
        <v>processed_ghg</v>
      </c>
      <c r="AH375" s="5"/>
      <c r="AI375" s="5"/>
      <c r="AJ375" s="8" t="str">
        <f>IF(CropLCAs[[#This Row],[product_fraction]]&gt;0,CropLCAs[[#This Row],[footprint]]/CropLCAs[[#This Row],[product_fraction]]*CropLCAs[[#This Row],[value_fraction]],"")</f>
        <v/>
      </c>
      <c r="AK375" s="23">
        <f>1/2</f>
        <v>0.5</v>
      </c>
      <c r="AL375" s="5" t="s">
        <v>109</v>
      </c>
      <c r="AM375" s="5" t="s">
        <v>240</v>
      </c>
      <c r="AN375" s="5" t="s">
        <v>241</v>
      </c>
      <c r="AO375" s="5"/>
      <c r="AP375" s="5"/>
      <c r="AQ375" s="5"/>
      <c r="AR375" s="5"/>
      <c r="AS375" s="5"/>
      <c r="AT375" s="5"/>
      <c r="AU375" s="5"/>
    </row>
    <row r="376" spans="1:47" ht="44.1" customHeight="1" x14ac:dyDescent="0.2">
      <c r="A376" s="5" t="s">
        <v>215</v>
      </c>
      <c r="B376" s="5" t="s">
        <v>1476</v>
      </c>
      <c r="C376" s="16">
        <v>2015</v>
      </c>
      <c r="D376" s="5" t="s">
        <v>237</v>
      </c>
      <c r="E376" s="6" t="s">
        <v>238</v>
      </c>
      <c r="F376" s="5" t="s">
        <v>31</v>
      </c>
      <c r="G376" s="5" t="str">
        <f>IF(CropLCAs[[#This Row],[fbs_item]]="Insects","insect_ghg","plant_ghg")</f>
        <v>plant_ghg</v>
      </c>
      <c r="H376" s="49" t="s">
        <v>239</v>
      </c>
      <c r="I376" s="49"/>
      <c r="J376" s="49"/>
      <c r="K376" s="5" t="s">
        <v>778</v>
      </c>
      <c r="L376" s="5" t="s">
        <v>242</v>
      </c>
      <c r="M376" s="5" t="s">
        <v>102</v>
      </c>
      <c r="N376" s="5" t="s">
        <v>102</v>
      </c>
      <c r="O376" s="5" t="s">
        <v>109</v>
      </c>
      <c r="P376" s="5" t="s">
        <v>102</v>
      </c>
      <c r="Q376" s="5" t="s">
        <v>102</v>
      </c>
      <c r="R376" s="5" t="s">
        <v>102</v>
      </c>
      <c r="S376" s="5" t="s">
        <v>102</v>
      </c>
      <c r="T376" s="5" t="s">
        <v>102</v>
      </c>
      <c r="U376" s="5" t="s">
        <v>126</v>
      </c>
      <c r="V376" s="5">
        <v>1</v>
      </c>
      <c r="W376" s="5" t="s">
        <v>106</v>
      </c>
      <c r="X376" s="24">
        <v>0.217</v>
      </c>
      <c r="Y376" s="5" t="s">
        <v>106</v>
      </c>
      <c r="Z376" s="5"/>
      <c r="AA376" s="5"/>
      <c r="AB376" s="24">
        <v>1</v>
      </c>
      <c r="AC376" s="5"/>
      <c r="AD376" s="5" t="str">
        <f t="shared" si="22"/>
        <v>kg_co2e_excl_luc</v>
      </c>
      <c r="AE376" s="24">
        <f>IF(CropLCAs[[#This Row],[Product fraction]]="",CropLCAs[[#This Row],[CO2e (value)]]*CropLCAs[[#This Row],[Conversion factor (value)]],CropLCAs[[#This Row],[CO2e (value)]]*CropLCAs[[#This Row],[Conversion factor (value)]]/CropLCAs[[#This Row],[Product fraction]]*CropLCAs[[#This Row],[Value fraction]])</f>
        <v>0.217</v>
      </c>
      <c r="AF376" s="5"/>
      <c r="AG376" s="5" t="str">
        <f t="shared" si="23"/>
        <v>processed_ghg</v>
      </c>
      <c r="AH376" s="5"/>
      <c r="AI376" s="5"/>
      <c r="AJ376" s="8" t="str">
        <f>IF(CropLCAs[[#This Row],[product_fraction]]&gt;0,CropLCAs[[#This Row],[footprint]]/CropLCAs[[#This Row],[product_fraction]]*CropLCAs[[#This Row],[value_fraction]],"")</f>
        <v/>
      </c>
      <c r="AK376" s="23">
        <v>1</v>
      </c>
      <c r="AL376" s="5" t="s">
        <v>109</v>
      </c>
      <c r="AM376" s="5"/>
      <c r="AN376" s="5" t="s">
        <v>241</v>
      </c>
      <c r="AO376" s="5"/>
      <c r="AP376" s="5"/>
      <c r="AQ376" s="5"/>
      <c r="AR376" s="5"/>
      <c r="AS376" s="5"/>
      <c r="AT376" s="5"/>
      <c r="AU376" s="5"/>
    </row>
    <row r="377" spans="1:47" ht="44.1" customHeight="1" x14ac:dyDescent="0.2">
      <c r="A377" s="5" t="s">
        <v>112</v>
      </c>
      <c r="B377" s="5" t="s">
        <v>1476</v>
      </c>
      <c r="C377" s="16">
        <v>2015</v>
      </c>
      <c r="D377" s="5" t="s">
        <v>237</v>
      </c>
      <c r="E377" s="6" t="s">
        <v>238</v>
      </c>
      <c r="F377" s="5" t="s">
        <v>31</v>
      </c>
      <c r="G377" s="5" t="str">
        <f>IF(CropLCAs[[#This Row],[fbs_item]]="Insects","insect_ghg","plant_ghg")</f>
        <v>plant_ghg</v>
      </c>
      <c r="H377" s="49" t="s">
        <v>239</v>
      </c>
      <c r="I377" s="49"/>
      <c r="J377" s="49"/>
      <c r="K377" s="5" t="s">
        <v>690</v>
      </c>
      <c r="L377" s="5" t="s">
        <v>1301</v>
      </c>
      <c r="M377" s="5" t="s">
        <v>102</v>
      </c>
      <c r="N377" s="5" t="s">
        <v>102</v>
      </c>
      <c r="O377" s="5" t="s">
        <v>109</v>
      </c>
      <c r="P377" s="5" t="s">
        <v>102</v>
      </c>
      <c r="Q377" s="5" t="s">
        <v>102</v>
      </c>
      <c r="R377" s="5" t="s">
        <v>102</v>
      </c>
      <c r="S377" s="5" t="s">
        <v>102</v>
      </c>
      <c r="T377" s="5" t="s">
        <v>102</v>
      </c>
      <c r="U377" s="5" t="s">
        <v>126</v>
      </c>
      <c r="V377" s="5">
        <v>1</v>
      </c>
      <c r="W377" s="5" t="s">
        <v>106</v>
      </c>
      <c r="X377" s="24">
        <v>0.14599999999999999</v>
      </c>
      <c r="Y377" s="5" t="s">
        <v>106</v>
      </c>
      <c r="Z377" s="5"/>
      <c r="AA377" s="5"/>
      <c r="AB377" s="24">
        <v>1</v>
      </c>
      <c r="AC377" s="5"/>
      <c r="AD377" s="5" t="str">
        <f t="shared" si="22"/>
        <v>kg_co2e_excl_luc</v>
      </c>
      <c r="AE377" s="24">
        <f>IF(CropLCAs[[#This Row],[Product fraction]]="",CropLCAs[[#This Row],[CO2e (value)]]*CropLCAs[[#This Row],[Conversion factor (value)]],CropLCAs[[#This Row],[CO2e (value)]]*CropLCAs[[#This Row],[Conversion factor (value)]]/CropLCAs[[#This Row],[Product fraction]]*CropLCAs[[#This Row],[Value fraction]])</f>
        <v>0.14599999999999999</v>
      </c>
      <c r="AF377" s="5"/>
      <c r="AG377" s="5" t="str">
        <f t="shared" si="23"/>
        <v>processed_ghg</v>
      </c>
      <c r="AH377" s="5"/>
      <c r="AI377" s="5"/>
      <c r="AJ377" s="8" t="str">
        <f>IF(CropLCAs[[#This Row],[product_fraction]]&gt;0,CropLCAs[[#This Row],[footprint]]/CropLCAs[[#This Row],[product_fraction]]*CropLCAs[[#This Row],[value_fraction]],"")</f>
        <v/>
      </c>
      <c r="AK377" s="23">
        <f>1/2</f>
        <v>0.5</v>
      </c>
      <c r="AL377" s="5" t="s">
        <v>109</v>
      </c>
      <c r="AM377" s="5" t="s">
        <v>240</v>
      </c>
      <c r="AN377" s="5" t="s">
        <v>241</v>
      </c>
      <c r="AO377" s="5"/>
      <c r="AP377" s="5"/>
      <c r="AQ377" s="5"/>
      <c r="AR377" s="5"/>
      <c r="AS377" s="5"/>
      <c r="AT377" s="5"/>
      <c r="AU377" s="5"/>
    </row>
    <row r="378" spans="1:47" ht="44.1" customHeight="1" x14ac:dyDescent="0.2">
      <c r="A378" s="17" t="s">
        <v>123</v>
      </c>
      <c r="B378" s="17" t="s">
        <v>748</v>
      </c>
      <c r="C378" s="17"/>
      <c r="D378" s="19" t="s">
        <v>749</v>
      </c>
      <c r="E378" s="19" t="s">
        <v>750</v>
      </c>
      <c r="F378" s="17" t="s">
        <v>0</v>
      </c>
      <c r="G378" s="17" t="str">
        <f>IF(CropLCAs[[#This Row],[fbs_item]]="Insects","insect_ghg","plant_ghg")</f>
        <v>plant_ghg</v>
      </c>
      <c r="H378" s="50" t="s">
        <v>114</v>
      </c>
      <c r="I378" s="50"/>
      <c r="J378" s="50"/>
      <c r="K378" s="17" t="s">
        <v>138</v>
      </c>
      <c r="L378" s="17"/>
      <c r="M378" s="17"/>
      <c r="N378" s="17"/>
      <c r="O378" s="17"/>
      <c r="P378" s="17" t="s">
        <v>102</v>
      </c>
      <c r="Q378" s="17"/>
      <c r="R378" s="17"/>
      <c r="S378" s="17"/>
      <c r="T378" s="17"/>
      <c r="U378" s="17" t="s">
        <v>126</v>
      </c>
      <c r="V378" s="17">
        <v>1</v>
      </c>
      <c r="W378" s="17" t="s">
        <v>106</v>
      </c>
      <c r="X378" s="30">
        <v>370</v>
      </c>
      <c r="Y378" s="17" t="s">
        <v>107</v>
      </c>
      <c r="Z378" s="17"/>
      <c r="AA378" s="17"/>
      <c r="AB378" s="30">
        <v>1E-3</v>
      </c>
      <c r="AC378" s="17" t="s">
        <v>108</v>
      </c>
      <c r="AD378" s="17" t="str">
        <f t="shared" si="22"/>
        <v>kg_co2e_excl_luc</v>
      </c>
      <c r="AE378" s="30">
        <f>IF(CropLCAs[[#This Row],[Product fraction]]="",CropLCAs[[#This Row],[CO2e (value)]]*CropLCAs[[#This Row],[Conversion factor (value)]],CropLCAs[[#This Row],[CO2e (value)]]*CropLCAs[[#This Row],[Conversion factor (value)]]/CropLCAs[[#This Row],[Product fraction]]*CropLCAs[[#This Row],[Value fraction]])</f>
        <v>0.37</v>
      </c>
      <c r="AF378" s="19"/>
      <c r="AG378" s="19" t="str">
        <f t="shared" si="23"/>
        <v>processed_ghg</v>
      </c>
      <c r="AH378" s="19"/>
      <c r="AI378" s="19"/>
      <c r="AJ378" s="18" t="str">
        <f>IF(CropLCAs[[#This Row],[product_fraction]]&gt;0,CropLCAs[[#This Row],[footprint]]/CropLCAs[[#This Row],[product_fraction]]*CropLCAs[[#This Row],[value_fraction]],"")</f>
        <v/>
      </c>
      <c r="AK378" s="29"/>
      <c r="AL378" s="19" t="s">
        <v>751</v>
      </c>
      <c r="AM378" s="17"/>
      <c r="AN378" s="17" t="s">
        <v>752</v>
      </c>
      <c r="AO378" s="17"/>
      <c r="AP378" s="17"/>
      <c r="AQ378" s="5"/>
      <c r="AR378" s="5"/>
      <c r="AS378" s="5"/>
      <c r="AT378" s="5"/>
      <c r="AU378" s="5"/>
    </row>
    <row r="379" spans="1:47" ht="44.1" customHeight="1" x14ac:dyDescent="0.2">
      <c r="A379" s="17" t="s">
        <v>123</v>
      </c>
      <c r="B379" s="17" t="s">
        <v>748</v>
      </c>
      <c r="C379" s="17"/>
      <c r="D379" s="19" t="s">
        <v>749</v>
      </c>
      <c r="E379" s="19" t="s">
        <v>634</v>
      </c>
      <c r="F379" s="17" t="s">
        <v>5</v>
      </c>
      <c r="G379" s="17" t="str">
        <f>IF(CropLCAs[[#This Row],[fbs_item]]="Insects","insect_ghg","plant_ghg")</f>
        <v>plant_ghg</v>
      </c>
      <c r="H379" s="50" t="s">
        <v>114</v>
      </c>
      <c r="I379" s="50"/>
      <c r="J379" s="50"/>
      <c r="K379" s="17" t="s">
        <v>138</v>
      </c>
      <c r="L379" s="17"/>
      <c r="M379" s="17"/>
      <c r="N379" s="17"/>
      <c r="O379" s="17"/>
      <c r="P379" s="17" t="s">
        <v>102</v>
      </c>
      <c r="Q379" s="17"/>
      <c r="R379" s="17"/>
      <c r="S379" s="17"/>
      <c r="T379" s="17"/>
      <c r="U379" s="17" t="s">
        <v>126</v>
      </c>
      <c r="V379" s="17">
        <v>1</v>
      </c>
      <c r="W379" s="17" t="s">
        <v>106</v>
      </c>
      <c r="X379" s="30">
        <v>329</v>
      </c>
      <c r="Y379" s="17" t="s">
        <v>107</v>
      </c>
      <c r="Z379" s="17"/>
      <c r="AA379" s="17"/>
      <c r="AB379" s="30">
        <v>1E-3</v>
      </c>
      <c r="AC379" s="17" t="s">
        <v>108</v>
      </c>
      <c r="AD379" s="17" t="str">
        <f t="shared" si="22"/>
        <v>kg_co2e_excl_luc</v>
      </c>
      <c r="AE379" s="30">
        <f>IF(CropLCAs[[#This Row],[Product fraction]]="",CropLCAs[[#This Row],[CO2e (value)]]*CropLCAs[[#This Row],[Conversion factor (value)]],CropLCAs[[#This Row],[CO2e (value)]]*CropLCAs[[#This Row],[Conversion factor (value)]]/CropLCAs[[#This Row],[Product fraction]]*CropLCAs[[#This Row],[Value fraction]])</f>
        <v>0.32900000000000001</v>
      </c>
      <c r="AF379" s="19"/>
      <c r="AG379" s="19" t="str">
        <f t="shared" si="23"/>
        <v>processed_ghg</v>
      </c>
      <c r="AH379" s="19"/>
      <c r="AI379" s="19"/>
      <c r="AJ379" s="18" t="str">
        <f>IF(CropLCAs[[#This Row],[product_fraction]]&gt;0,CropLCAs[[#This Row],[footprint]]/CropLCAs[[#This Row],[product_fraction]]*CropLCAs[[#This Row],[value_fraction]],"")</f>
        <v/>
      </c>
      <c r="AK379" s="29"/>
      <c r="AL379" s="19" t="s">
        <v>751</v>
      </c>
      <c r="AM379" s="17"/>
      <c r="AN379" s="17" t="s">
        <v>752</v>
      </c>
      <c r="AO379" s="17"/>
      <c r="AP379" s="17"/>
      <c r="AQ379" s="5"/>
      <c r="AR379" s="5"/>
      <c r="AS379" s="5"/>
      <c r="AT379" s="5"/>
      <c r="AU379" s="5"/>
    </row>
    <row r="380" spans="1:47" ht="44.1" customHeight="1" x14ac:dyDescent="0.2">
      <c r="A380" s="17" t="s">
        <v>112</v>
      </c>
      <c r="B380" s="17" t="s">
        <v>701</v>
      </c>
      <c r="C380" s="17"/>
      <c r="D380" s="17" t="s">
        <v>702</v>
      </c>
      <c r="E380" s="17" t="s">
        <v>703</v>
      </c>
      <c r="F380" s="17" t="s">
        <v>10</v>
      </c>
      <c r="G380" s="17" t="str">
        <f>IF(CropLCAs[[#This Row],[fbs_item]]="Insects","insect_ghg","plant_ghg")</f>
        <v>plant_ghg</v>
      </c>
      <c r="H380" s="50" t="s">
        <v>180</v>
      </c>
      <c r="I380" s="50"/>
      <c r="J380" s="50"/>
      <c r="K380" s="17" t="s">
        <v>111</v>
      </c>
      <c r="L380" s="17"/>
      <c r="M380" s="17" t="s">
        <v>102</v>
      </c>
      <c r="N380" s="17" t="s">
        <v>102</v>
      </c>
      <c r="O380" s="17" t="s">
        <v>109</v>
      </c>
      <c r="P380" s="17" t="s">
        <v>704</v>
      </c>
      <c r="Q380" s="17" t="s">
        <v>102</v>
      </c>
      <c r="R380" s="17" t="s">
        <v>109</v>
      </c>
      <c r="S380" s="17" t="s">
        <v>705</v>
      </c>
      <c r="T380" s="17" t="s">
        <v>102</v>
      </c>
      <c r="U380" s="17">
        <v>100</v>
      </c>
      <c r="V380" s="17">
        <v>1</v>
      </c>
      <c r="W380" s="17" t="s">
        <v>706</v>
      </c>
      <c r="X380" s="30">
        <v>0.53200000000000003</v>
      </c>
      <c r="Y380" s="17" t="s">
        <v>106</v>
      </c>
      <c r="Z380" s="17"/>
      <c r="AA380" s="17"/>
      <c r="AB380" s="30">
        <v>1</v>
      </c>
      <c r="AC380" s="17"/>
      <c r="AD380" s="17" t="str">
        <f t="shared" si="22"/>
        <v>kg_co2e_excl_luc</v>
      </c>
      <c r="AE380" s="30">
        <f>IF(CropLCAs[[#This Row],[Product fraction]]="",CropLCAs[[#This Row],[CO2e (value)]]*CropLCAs[[#This Row],[Conversion factor (value)]],CropLCAs[[#This Row],[CO2e (value)]]*CropLCAs[[#This Row],[Conversion factor (value)]]/CropLCAs[[#This Row],[Product fraction]]*CropLCAs[[#This Row],[Value fraction]])</f>
        <v>0.53200000000000003</v>
      </c>
      <c r="AF380" s="17"/>
      <c r="AG380" s="17" t="str">
        <f t="shared" si="23"/>
        <v>processed_ghg</v>
      </c>
      <c r="AH380" s="17"/>
      <c r="AI380" s="17"/>
      <c r="AJ380" s="18" t="str">
        <f>IF(CropLCAs[[#This Row],[product_fraction]]&gt;0,CropLCAs[[#This Row],[footprint]]/CropLCAs[[#This Row],[product_fraction]]*CropLCAs[[#This Row],[value_fraction]],"")</f>
        <v/>
      </c>
      <c r="AK380" s="29"/>
      <c r="AL380" s="17" t="s">
        <v>707</v>
      </c>
      <c r="AM380" s="17" t="s">
        <v>708</v>
      </c>
      <c r="AN380" s="17" t="s">
        <v>709</v>
      </c>
      <c r="AO380" s="17"/>
      <c r="AP380" s="17"/>
      <c r="AQ380" s="5"/>
      <c r="AR380" s="5"/>
      <c r="AS380" s="5"/>
      <c r="AT380" s="5"/>
      <c r="AU380" s="5"/>
    </row>
    <row r="381" spans="1:47" ht="44.1" customHeight="1" x14ac:dyDescent="0.2">
      <c r="A381" s="17" t="s">
        <v>112</v>
      </c>
      <c r="B381" s="17" t="s">
        <v>811</v>
      </c>
      <c r="C381" s="17"/>
      <c r="D381" s="17" t="s">
        <v>812</v>
      </c>
      <c r="E381" s="17" t="s">
        <v>813</v>
      </c>
      <c r="F381" s="17" t="s">
        <v>12</v>
      </c>
      <c r="G381" s="17" t="str">
        <f>IF(CropLCAs[[#This Row],[fbs_item]]="Insects","insect_ghg","plant_ghg")</f>
        <v>plant_ghg</v>
      </c>
      <c r="H381" s="50" t="s">
        <v>170</v>
      </c>
      <c r="I381" s="50"/>
      <c r="J381" s="50"/>
      <c r="K381" s="17" t="s">
        <v>814</v>
      </c>
      <c r="L381" s="17"/>
      <c r="M381" s="17" t="s">
        <v>102</v>
      </c>
      <c r="N381" s="17" t="s">
        <v>150</v>
      </c>
      <c r="O381" s="17" t="s">
        <v>150</v>
      </c>
      <c r="P381" s="17" t="s">
        <v>102</v>
      </c>
      <c r="Q381" s="17" t="s">
        <v>102</v>
      </c>
      <c r="R381" s="17" t="s">
        <v>102</v>
      </c>
      <c r="S381" s="17" t="s">
        <v>815</v>
      </c>
      <c r="T381" s="17" t="s">
        <v>102</v>
      </c>
      <c r="U381" s="17" t="s">
        <v>126</v>
      </c>
      <c r="V381" s="17">
        <v>1</v>
      </c>
      <c r="W381" s="17" t="s">
        <v>816</v>
      </c>
      <c r="X381" s="30">
        <v>311.19</v>
      </c>
      <c r="Y381" s="17" t="s">
        <v>106</v>
      </c>
      <c r="Z381" s="17"/>
      <c r="AA381" s="17"/>
      <c r="AB381" s="30">
        <v>1E-3</v>
      </c>
      <c r="AC381" s="17" t="s">
        <v>817</v>
      </c>
      <c r="AD381" s="17" t="str">
        <f t="shared" si="22"/>
        <v>kg_co2e_excl_luc</v>
      </c>
      <c r="AE381" s="30">
        <f>IF(CropLCAs[[#This Row],[Product fraction]]="",CropLCAs[[#This Row],[CO2e (value)]]*CropLCAs[[#This Row],[Conversion factor (value)]],CropLCAs[[#This Row],[CO2e (value)]]*CropLCAs[[#This Row],[Conversion factor (value)]]/CropLCAs[[#This Row],[Product fraction]]*CropLCAs[[#This Row],[Value fraction]])</f>
        <v>0.31119000000000002</v>
      </c>
      <c r="AF381" s="17" t="s">
        <v>40</v>
      </c>
      <c r="AG381" s="17" t="str">
        <f t="shared" si="23"/>
        <v>processed_ghg</v>
      </c>
      <c r="AH381" s="17">
        <v>0.43</v>
      </c>
      <c r="AI381" s="17"/>
      <c r="AJ381" s="18">
        <f>IF(CropLCAs[[#This Row],[product_fraction]]&gt;0,CropLCAs[[#This Row],[footprint]]/CropLCAs[[#This Row],[product_fraction]]*CropLCAs[[#This Row],[value_fraction]],"")</f>
        <v>0</v>
      </c>
      <c r="AK381" s="29"/>
      <c r="AL381" s="17" t="s">
        <v>809</v>
      </c>
      <c r="AM381" s="17" t="s">
        <v>818</v>
      </c>
      <c r="AN381" s="17"/>
      <c r="AO381" s="17"/>
      <c r="AP381" s="17"/>
      <c r="AQ381" s="5"/>
      <c r="AR381" s="5"/>
      <c r="AS381" s="5"/>
      <c r="AT381" s="5"/>
      <c r="AU381" s="5"/>
    </row>
    <row r="382" spans="1:47" ht="44.1" customHeight="1" x14ac:dyDescent="0.2">
      <c r="A382" s="5" t="s">
        <v>215</v>
      </c>
      <c r="B382" s="5" t="s">
        <v>1476</v>
      </c>
      <c r="C382" s="16">
        <v>2015</v>
      </c>
      <c r="D382" s="5" t="s">
        <v>237</v>
      </c>
      <c r="E382" s="6" t="s">
        <v>238</v>
      </c>
      <c r="F382" s="5" t="s">
        <v>31</v>
      </c>
      <c r="G382" s="5" t="str">
        <f>IF(CropLCAs[[#This Row],[fbs_item]]="Insects","insect_ghg","plant_ghg")</f>
        <v>plant_ghg</v>
      </c>
      <c r="H382" s="49" t="s">
        <v>239</v>
      </c>
      <c r="I382" s="49"/>
      <c r="J382" s="49"/>
      <c r="K382" s="5" t="s">
        <v>778</v>
      </c>
      <c r="L382" s="5" t="s">
        <v>243</v>
      </c>
      <c r="M382" s="5" t="s">
        <v>102</v>
      </c>
      <c r="N382" s="5" t="s">
        <v>102</v>
      </c>
      <c r="O382" s="5" t="s">
        <v>109</v>
      </c>
      <c r="P382" s="5" t="s">
        <v>102</v>
      </c>
      <c r="Q382" s="5" t="s">
        <v>102</v>
      </c>
      <c r="R382" s="5" t="s">
        <v>102</v>
      </c>
      <c r="S382" s="5" t="s">
        <v>102</v>
      </c>
      <c r="T382" s="5" t="s">
        <v>102</v>
      </c>
      <c r="U382" s="5" t="s">
        <v>126</v>
      </c>
      <c r="V382" s="5">
        <v>1</v>
      </c>
      <c r="W382" s="5" t="s">
        <v>106</v>
      </c>
      <c r="X382" s="24">
        <v>0.13500000000000001</v>
      </c>
      <c r="Y382" s="5" t="s">
        <v>106</v>
      </c>
      <c r="Z382" s="5"/>
      <c r="AA382" s="5"/>
      <c r="AB382" s="24">
        <v>1</v>
      </c>
      <c r="AC382" s="5"/>
      <c r="AD382" s="5" t="str">
        <f t="shared" si="22"/>
        <v>kg_co2e_excl_luc</v>
      </c>
      <c r="AE382" s="24">
        <f>IF(CropLCAs[[#This Row],[Product fraction]]="",CropLCAs[[#This Row],[CO2e (value)]]*CropLCAs[[#This Row],[Conversion factor (value)]],CropLCAs[[#This Row],[CO2e (value)]]*CropLCAs[[#This Row],[Conversion factor (value)]]/CropLCAs[[#This Row],[Product fraction]]*CropLCAs[[#This Row],[Value fraction]])</f>
        <v>0.13500000000000001</v>
      </c>
      <c r="AF382" s="5"/>
      <c r="AG382" s="5" t="str">
        <f t="shared" si="23"/>
        <v>processed_ghg</v>
      </c>
      <c r="AH382" s="5"/>
      <c r="AI382" s="5"/>
      <c r="AJ382" s="8" t="str">
        <f>IF(CropLCAs[[#This Row],[product_fraction]]&gt;0,CropLCAs[[#This Row],[footprint]]/CropLCAs[[#This Row],[product_fraction]]*CropLCAs[[#This Row],[value_fraction]],"")</f>
        <v/>
      </c>
      <c r="AK382" s="23">
        <v>1</v>
      </c>
      <c r="AL382" s="5" t="s">
        <v>109</v>
      </c>
      <c r="AM382" s="5"/>
      <c r="AN382" s="5" t="s">
        <v>241</v>
      </c>
      <c r="AO382" s="5"/>
      <c r="AP382" s="5"/>
      <c r="AQ382" s="5"/>
      <c r="AR382" s="5"/>
      <c r="AS382" s="5"/>
      <c r="AT382" s="5"/>
      <c r="AU382" s="5"/>
    </row>
    <row r="383" spans="1:47" ht="44.1" customHeight="1" x14ac:dyDescent="0.2">
      <c r="A383" s="5" t="s">
        <v>123</v>
      </c>
      <c r="B383" s="5" t="s">
        <v>1477</v>
      </c>
      <c r="C383" s="16">
        <v>2009</v>
      </c>
      <c r="D383" s="10" t="s">
        <v>671</v>
      </c>
      <c r="E383" s="5" t="s">
        <v>1341</v>
      </c>
      <c r="F383" s="5" t="s">
        <v>5</v>
      </c>
      <c r="G383" s="5" t="str">
        <f>IF(CropLCAs[[#This Row],[fbs_item]]="Insects","insect_ghg","plant_ghg")</f>
        <v>plant_ghg</v>
      </c>
      <c r="H383" s="49" t="s">
        <v>253</v>
      </c>
      <c r="I383" s="49"/>
      <c r="J383" s="49"/>
      <c r="K383" s="5" t="s">
        <v>111</v>
      </c>
      <c r="L383" s="5" t="s">
        <v>672</v>
      </c>
      <c r="M383" s="5" t="s">
        <v>102</v>
      </c>
      <c r="N383" s="5" t="s">
        <v>102</v>
      </c>
      <c r="O383" s="5" t="s">
        <v>673</v>
      </c>
      <c r="P383" s="5" t="s">
        <v>102</v>
      </c>
      <c r="Q383" s="5" t="s">
        <v>102</v>
      </c>
      <c r="R383" s="5" t="s">
        <v>368</v>
      </c>
      <c r="S383" s="5" t="s">
        <v>105</v>
      </c>
      <c r="T383" s="5" t="s">
        <v>102</v>
      </c>
      <c r="U383" s="5" t="s">
        <v>126</v>
      </c>
      <c r="V383" s="5">
        <v>1</v>
      </c>
      <c r="W383" s="5" t="s">
        <v>106</v>
      </c>
      <c r="X383" s="24">
        <v>202</v>
      </c>
      <c r="Y383" s="5" t="s">
        <v>107</v>
      </c>
      <c r="Z383" s="5"/>
      <c r="AA383" s="5"/>
      <c r="AB383" s="24">
        <v>1E-3</v>
      </c>
      <c r="AC383" s="5" t="s">
        <v>108</v>
      </c>
      <c r="AD383" s="5" t="str">
        <f t="shared" si="22"/>
        <v>kg_co2e_excl_luc</v>
      </c>
      <c r="AE383" s="24">
        <f>IF(CropLCAs[[#This Row],[Product fraction]]="",CropLCAs[[#This Row],[CO2e (value)]]*CropLCAs[[#This Row],[Conversion factor (value)]],CropLCAs[[#This Row],[CO2e (value)]]*CropLCAs[[#This Row],[Conversion factor (value)]]/CropLCAs[[#This Row],[Product fraction]]*CropLCAs[[#This Row],[Value fraction]])</f>
        <v>0.20200000000000001</v>
      </c>
      <c r="AF383" s="5"/>
      <c r="AG383" s="5" t="str">
        <f t="shared" si="23"/>
        <v>processed_ghg</v>
      </c>
      <c r="AH383" s="5"/>
      <c r="AI383" s="5"/>
      <c r="AJ383" s="8" t="str">
        <f>IF(CropLCAs[[#This Row],[product_fraction]]&gt;0,CropLCAs[[#This Row],[footprint]]/CropLCAs[[#This Row],[product_fraction]]*CropLCAs[[#This Row],[value_fraction]],"")</f>
        <v/>
      </c>
      <c r="AK383" s="23">
        <f t="shared" ref="AK383:AK394" si="26">1/3</f>
        <v>0.33333333333333331</v>
      </c>
      <c r="AL383" s="5" t="s">
        <v>109</v>
      </c>
      <c r="AM383" s="5" t="s">
        <v>235</v>
      </c>
      <c r="AN383" s="5" t="s">
        <v>674</v>
      </c>
      <c r="AO383" s="5"/>
      <c r="AP383" s="5"/>
      <c r="AQ383" s="5"/>
      <c r="AR383" s="5"/>
      <c r="AS383" s="5"/>
      <c r="AT383" s="5"/>
      <c r="AU383" s="5"/>
    </row>
    <row r="384" spans="1:47" ht="44.1" customHeight="1" x14ac:dyDescent="0.2">
      <c r="A384" s="5" t="s">
        <v>123</v>
      </c>
      <c r="B384" s="5" t="s">
        <v>1477</v>
      </c>
      <c r="C384" s="16">
        <v>2009</v>
      </c>
      <c r="D384" s="10" t="s">
        <v>671</v>
      </c>
      <c r="E384" s="5" t="s">
        <v>1341</v>
      </c>
      <c r="F384" s="5" t="s">
        <v>5</v>
      </c>
      <c r="G384" s="5" t="str">
        <f>IF(CropLCAs[[#This Row],[fbs_item]]="Insects","insect_ghg","plant_ghg")</f>
        <v>plant_ghg</v>
      </c>
      <c r="H384" s="49" t="s">
        <v>253</v>
      </c>
      <c r="I384" s="49"/>
      <c r="J384" s="49"/>
      <c r="K384" s="5" t="s">
        <v>111</v>
      </c>
      <c r="L384" s="5" t="s">
        <v>675</v>
      </c>
      <c r="M384" s="5" t="s">
        <v>102</v>
      </c>
      <c r="N384" s="5" t="s">
        <v>102</v>
      </c>
      <c r="O384" s="5" t="s">
        <v>673</v>
      </c>
      <c r="P384" s="5" t="s">
        <v>102</v>
      </c>
      <c r="Q384" s="5" t="s">
        <v>102</v>
      </c>
      <c r="R384" s="5" t="s">
        <v>368</v>
      </c>
      <c r="S384" s="5" t="s">
        <v>105</v>
      </c>
      <c r="T384" s="5" t="s">
        <v>102</v>
      </c>
      <c r="U384" s="5" t="s">
        <v>126</v>
      </c>
      <c r="V384" s="5">
        <v>1</v>
      </c>
      <c r="W384" s="5" t="s">
        <v>106</v>
      </c>
      <c r="X384" s="24">
        <v>233</v>
      </c>
      <c r="Y384" s="5" t="s">
        <v>107</v>
      </c>
      <c r="Z384" s="5"/>
      <c r="AA384" s="5"/>
      <c r="AB384" s="24">
        <v>1E-3</v>
      </c>
      <c r="AC384" s="5" t="s">
        <v>108</v>
      </c>
      <c r="AD384" s="5" t="str">
        <f t="shared" si="22"/>
        <v>kg_co2e_excl_luc</v>
      </c>
      <c r="AE384" s="24">
        <f>IF(CropLCAs[[#This Row],[Product fraction]]="",CropLCAs[[#This Row],[CO2e (value)]]*CropLCAs[[#This Row],[Conversion factor (value)]],CropLCAs[[#This Row],[CO2e (value)]]*CropLCAs[[#This Row],[Conversion factor (value)]]/CropLCAs[[#This Row],[Product fraction]]*CropLCAs[[#This Row],[Value fraction]])</f>
        <v>0.23300000000000001</v>
      </c>
      <c r="AF384" s="5"/>
      <c r="AG384" s="5" t="str">
        <f t="shared" si="23"/>
        <v>processed_ghg</v>
      </c>
      <c r="AH384" s="5"/>
      <c r="AI384" s="5"/>
      <c r="AJ384" s="8" t="str">
        <f>IF(CropLCAs[[#This Row],[product_fraction]]&gt;0,CropLCAs[[#This Row],[footprint]]/CropLCAs[[#This Row],[product_fraction]]*CropLCAs[[#This Row],[value_fraction]],"")</f>
        <v/>
      </c>
      <c r="AK384" s="23">
        <f t="shared" si="26"/>
        <v>0.33333333333333331</v>
      </c>
      <c r="AL384" s="5" t="s">
        <v>109</v>
      </c>
      <c r="AM384" s="5" t="s">
        <v>235</v>
      </c>
      <c r="AN384" s="5" t="s">
        <v>674</v>
      </c>
      <c r="AO384" s="5"/>
      <c r="AP384" s="5"/>
      <c r="AQ384" s="5"/>
      <c r="AR384" s="5"/>
      <c r="AS384" s="5"/>
      <c r="AT384" s="5"/>
      <c r="AU384" s="5"/>
    </row>
    <row r="385" spans="1:47" ht="44.1" customHeight="1" x14ac:dyDescent="0.2">
      <c r="A385" s="5" t="s">
        <v>123</v>
      </c>
      <c r="B385" s="5" t="s">
        <v>1477</v>
      </c>
      <c r="C385" s="16">
        <v>2009</v>
      </c>
      <c r="D385" s="10" t="s">
        <v>671</v>
      </c>
      <c r="E385" s="5" t="s">
        <v>1341</v>
      </c>
      <c r="F385" s="5" t="s">
        <v>5</v>
      </c>
      <c r="G385" s="5" t="str">
        <f>IF(CropLCAs[[#This Row],[fbs_item]]="Insects","insect_ghg","plant_ghg")</f>
        <v>plant_ghg</v>
      </c>
      <c r="H385" s="49" t="s">
        <v>253</v>
      </c>
      <c r="I385" s="49"/>
      <c r="J385" s="49"/>
      <c r="K385" s="5" t="s">
        <v>111</v>
      </c>
      <c r="L385" s="5" t="s">
        <v>676</v>
      </c>
      <c r="M385" s="5" t="s">
        <v>102</v>
      </c>
      <c r="N385" s="5" t="s">
        <v>102</v>
      </c>
      <c r="O385" s="5" t="s">
        <v>673</v>
      </c>
      <c r="P385" s="5" t="s">
        <v>102</v>
      </c>
      <c r="Q385" s="5" t="s">
        <v>102</v>
      </c>
      <c r="R385" s="5" t="s">
        <v>368</v>
      </c>
      <c r="S385" s="5" t="s">
        <v>105</v>
      </c>
      <c r="T385" s="5" t="s">
        <v>102</v>
      </c>
      <c r="U385" s="5" t="s">
        <v>126</v>
      </c>
      <c r="V385" s="5">
        <v>1</v>
      </c>
      <c r="W385" s="5" t="s">
        <v>106</v>
      </c>
      <c r="X385" s="24">
        <v>272</v>
      </c>
      <c r="Y385" s="5" t="s">
        <v>107</v>
      </c>
      <c r="Z385" s="5"/>
      <c r="AA385" s="5"/>
      <c r="AB385" s="24">
        <v>1E-3</v>
      </c>
      <c r="AC385" s="5" t="s">
        <v>108</v>
      </c>
      <c r="AD385" s="5" t="str">
        <f t="shared" si="22"/>
        <v>kg_co2e_excl_luc</v>
      </c>
      <c r="AE385" s="24">
        <f>IF(CropLCAs[[#This Row],[Product fraction]]="",CropLCAs[[#This Row],[CO2e (value)]]*CropLCAs[[#This Row],[Conversion factor (value)]],CropLCAs[[#This Row],[CO2e (value)]]*CropLCAs[[#This Row],[Conversion factor (value)]]/CropLCAs[[#This Row],[Product fraction]]*CropLCAs[[#This Row],[Value fraction]])</f>
        <v>0.27200000000000002</v>
      </c>
      <c r="AF385" s="5"/>
      <c r="AG385" s="5" t="str">
        <f t="shared" si="23"/>
        <v>processed_ghg</v>
      </c>
      <c r="AH385" s="5"/>
      <c r="AI385" s="5"/>
      <c r="AJ385" s="8" t="str">
        <f>IF(CropLCAs[[#This Row],[product_fraction]]&gt;0,CropLCAs[[#This Row],[footprint]]/CropLCAs[[#This Row],[product_fraction]]*CropLCAs[[#This Row],[value_fraction]],"")</f>
        <v/>
      </c>
      <c r="AK385" s="23">
        <f t="shared" si="26"/>
        <v>0.33333333333333331</v>
      </c>
      <c r="AL385" s="5" t="s">
        <v>109</v>
      </c>
      <c r="AM385" s="5" t="s">
        <v>235</v>
      </c>
      <c r="AN385" s="5" t="s">
        <v>674</v>
      </c>
      <c r="AO385" s="5"/>
      <c r="AP385" s="5"/>
      <c r="AQ385" s="5"/>
      <c r="AR385" s="5"/>
      <c r="AS385" s="5"/>
      <c r="AT385" s="5"/>
      <c r="AU385" s="5"/>
    </row>
    <row r="386" spans="1:47" ht="44.1" customHeight="1" x14ac:dyDescent="0.2">
      <c r="A386" s="5" t="s">
        <v>123</v>
      </c>
      <c r="B386" s="5" t="s">
        <v>1477</v>
      </c>
      <c r="C386" s="16">
        <v>2009</v>
      </c>
      <c r="D386" s="10" t="s">
        <v>671</v>
      </c>
      <c r="E386" s="5" t="s">
        <v>1342</v>
      </c>
      <c r="F386" s="5" t="s">
        <v>5</v>
      </c>
      <c r="G386" s="5" t="str">
        <f>IF(CropLCAs[[#This Row],[fbs_item]]="Insects","insect_ghg","plant_ghg")</f>
        <v>plant_ghg</v>
      </c>
      <c r="H386" s="49" t="s">
        <v>253</v>
      </c>
      <c r="I386" s="49"/>
      <c r="J386" s="49"/>
      <c r="K386" s="5" t="s">
        <v>111</v>
      </c>
      <c r="L386" s="5" t="s">
        <v>677</v>
      </c>
      <c r="M386" s="5" t="s">
        <v>102</v>
      </c>
      <c r="N386" s="5" t="s">
        <v>102</v>
      </c>
      <c r="O386" s="5" t="s">
        <v>673</v>
      </c>
      <c r="P386" s="5" t="s">
        <v>102</v>
      </c>
      <c r="Q386" s="5" t="s">
        <v>102</v>
      </c>
      <c r="R386" s="5" t="s">
        <v>368</v>
      </c>
      <c r="S386" s="5" t="s">
        <v>105</v>
      </c>
      <c r="T386" s="5" t="s">
        <v>102</v>
      </c>
      <c r="U386" s="5" t="s">
        <v>126</v>
      </c>
      <c r="V386" s="5">
        <v>1</v>
      </c>
      <c r="W386" s="5" t="s">
        <v>106</v>
      </c>
      <c r="X386" s="24">
        <v>136</v>
      </c>
      <c r="Y386" s="5" t="s">
        <v>107</v>
      </c>
      <c r="Z386" s="5"/>
      <c r="AA386" s="5"/>
      <c r="AB386" s="24">
        <v>1E-3</v>
      </c>
      <c r="AC386" s="5" t="s">
        <v>108</v>
      </c>
      <c r="AD386" s="5" t="str">
        <f t="shared" si="22"/>
        <v>kg_co2e_excl_luc</v>
      </c>
      <c r="AE386" s="24">
        <f>IF(CropLCAs[[#This Row],[Product fraction]]="",CropLCAs[[#This Row],[CO2e (value)]]*CropLCAs[[#This Row],[Conversion factor (value)]],CropLCAs[[#This Row],[CO2e (value)]]*CropLCAs[[#This Row],[Conversion factor (value)]]/CropLCAs[[#This Row],[Product fraction]]*CropLCAs[[#This Row],[Value fraction]])</f>
        <v>0.13600000000000001</v>
      </c>
      <c r="AF386" s="5"/>
      <c r="AG386" s="5" t="str">
        <f t="shared" si="23"/>
        <v>processed_ghg</v>
      </c>
      <c r="AH386" s="5"/>
      <c r="AI386" s="5"/>
      <c r="AJ386" s="8" t="str">
        <f>IF(CropLCAs[[#This Row],[product_fraction]]&gt;0,CropLCAs[[#This Row],[footprint]]/CropLCAs[[#This Row],[product_fraction]]*CropLCAs[[#This Row],[value_fraction]],"")</f>
        <v/>
      </c>
      <c r="AK386" s="23">
        <f t="shared" si="26"/>
        <v>0.33333333333333331</v>
      </c>
      <c r="AL386" s="5" t="s">
        <v>109</v>
      </c>
      <c r="AM386" s="5" t="s">
        <v>235</v>
      </c>
      <c r="AN386" s="5" t="s">
        <v>674</v>
      </c>
      <c r="AO386" s="5"/>
      <c r="AP386" s="5"/>
      <c r="AQ386" s="5"/>
      <c r="AR386" s="5"/>
      <c r="AS386" s="5"/>
      <c r="AT386" s="5"/>
      <c r="AU386" s="5"/>
    </row>
    <row r="387" spans="1:47" ht="44.1" customHeight="1" x14ac:dyDescent="0.2">
      <c r="A387" s="5" t="s">
        <v>123</v>
      </c>
      <c r="B387" s="5" t="s">
        <v>1477</v>
      </c>
      <c r="C387" s="16">
        <v>2009</v>
      </c>
      <c r="D387" s="10" t="s">
        <v>671</v>
      </c>
      <c r="E387" s="5" t="s">
        <v>1342</v>
      </c>
      <c r="F387" s="5" t="s">
        <v>5</v>
      </c>
      <c r="G387" s="5" t="str">
        <f>IF(CropLCAs[[#This Row],[fbs_item]]="Insects","insect_ghg","plant_ghg")</f>
        <v>plant_ghg</v>
      </c>
      <c r="H387" s="49" t="s">
        <v>253</v>
      </c>
      <c r="I387" s="49"/>
      <c r="J387" s="49"/>
      <c r="K387" s="5" t="s">
        <v>111</v>
      </c>
      <c r="L387" s="5" t="s">
        <v>672</v>
      </c>
      <c r="M387" s="5" t="s">
        <v>102</v>
      </c>
      <c r="N387" s="5" t="s">
        <v>102</v>
      </c>
      <c r="O387" s="5" t="s">
        <v>673</v>
      </c>
      <c r="P387" s="5" t="s">
        <v>102</v>
      </c>
      <c r="Q387" s="5" t="s">
        <v>102</v>
      </c>
      <c r="R387" s="5" t="s">
        <v>368</v>
      </c>
      <c r="S387" s="5" t="s">
        <v>105</v>
      </c>
      <c r="T387" s="5" t="s">
        <v>102</v>
      </c>
      <c r="U387" s="5" t="s">
        <v>126</v>
      </c>
      <c r="V387" s="5">
        <v>1</v>
      </c>
      <c r="W387" s="5" t="s">
        <v>106</v>
      </c>
      <c r="X387" s="24">
        <v>251</v>
      </c>
      <c r="Y387" s="5" t="s">
        <v>107</v>
      </c>
      <c r="Z387" s="5"/>
      <c r="AA387" s="5"/>
      <c r="AB387" s="24">
        <v>1E-3</v>
      </c>
      <c r="AC387" s="5" t="s">
        <v>108</v>
      </c>
      <c r="AD387" s="5" t="str">
        <f t="shared" si="22"/>
        <v>kg_co2e_excl_luc</v>
      </c>
      <c r="AE387" s="24">
        <f>IF(CropLCAs[[#This Row],[Product fraction]]="",CropLCAs[[#This Row],[CO2e (value)]]*CropLCAs[[#This Row],[Conversion factor (value)]],CropLCAs[[#This Row],[CO2e (value)]]*CropLCAs[[#This Row],[Conversion factor (value)]]/CropLCAs[[#This Row],[Product fraction]]*CropLCAs[[#This Row],[Value fraction]])</f>
        <v>0.251</v>
      </c>
      <c r="AF387" s="5"/>
      <c r="AG387" s="5" t="str">
        <f t="shared" si="23"/>
        <v>processed_ghg</v>
      </c>
      <c r="AH387" s="5"/>
      <c r="AI387" s="5"/>
      <c r="AJ387" s="8" t="str">
        <f>IF(CropLCAs[[#This Row],[product_fraction]]&gt;0,CropLCAs[[#This Row],[footprint]]/CropLCAs[[#This Row],[product_fraction]]*CropLCAs[[#This Row],[value_fraction]],"")</f>
        <v/>
      </c>
      <c r="AK387" s="23">
        <f t="shared" si="26"/>
        <v>0.33333333333333331</v>
      </c>
      <c r="AL387" s="5" t="s">
        <v>109</v>
      </c>
      <c r="AM387" s="5" t="s">
        <v>235</v>
      </c>
      <c r="AN387" s="5" t="s">
        <v>674</v>
      </c>
      <c r="AO387" s="5"/>
      <c r="AP387" s="5"/>
      <c r="AQ387" s="5"/>
      <c r="AR387" s="5"/>
      <c r="AS387" s="5"/>
      <c r="AT387" s="5"/>
      <c r="AU387" s="5"/>
    </row>
    <row r="388" spans="1:47" ht="44.1" customHeight="1" x14ac:dyDescent="0.2">
      <c r="A388" s="5" t="s">
        <v>123</v>
      </c>
      <c r="B388" s="5" t="s">
        <v>1477</v>
      </c>
      <c r="C388" s="16">
        <v>2009</v>
      </c>
      <c r="D388" s="10" t="s">
        <v>671</v>
      </c>
      <c r="E388" s="5" t="s">
        <v>1342</v>
      </c>
      <c r="F388" s="5" t="s">
        <v>5</v>
      </c>
      <c r="G388" s="5" t="str">
        <f>IF(CropLCAs[[#This Row],[fbs_item]]="Insects","insect_ghg","plant_ghg")</f>
        <v>plant_ghg</v>
      </c>
      <c r="H388" s="49" t="s">
        <v>253</v>
      </c>
      <c r="I388" s="49"/>
      <c r="J388" s="49"/>
      <c r="K388" s="5" t="s">
        <v>111</v>
      </c>
      <c r="L388" s="5" t="s">
        <v>678</v>
      </c>
      <c r="M388" s="5" t="s">
        <v>102</v>
      </c>
      <c r="N388" s="5" t="s">
        <v>102</v>
      </c>
      <c r="O388" s="5" t="s">
        <v>673</v>
      </c>
      <c r="P388" s="5" t="s">
        <v>102</v>
      </c>
      <c r="Q388" s="5" t="s">
        <v>102</v>
      </c>
      <c r="R388" s="5" t="s">
        <v>368</v>
      </c>
      <c r="S388" s="5" t="s">
        <v>105</v>
      </c>
      <c r="T388" s="5" t="s">
        <v>102</v>
      </c>
      <c r="U388" s="5" t="s">
        <v>126</v>
      </c>
      <c r="V388" s="5">
        <v>1</v>
      </c>
      <c r="W388" s="5" t="s">
        <v>106</v>
      </c>
      <c r="X388" s="24">
        <v>316</v>
      </c>
      <c r="Y388" s="5" t="s">
        <v>107</v>
      </c>
      <c r="Z388" s="5"/>
      <c r="AA388" s="5"/>
      <c r="AB388" s="24">
        <v>1E-3</v>
      </c>
      <c r="AC388" s="5" t="s">
        <v>108</v>
      </c>
      <c r="AD388" s="5" t="str">
        <f t="shared" si="22"/>
        <v>kg_co2e_excl_luc</v>
      </c>
      <c r="AE388" s="24">
        <f>IF(CropLCAs[[#This Row],[Product fraction]]="",CropLCAs[[#This Row],[CO2e (value)]]*CropLCAs[[#This Row],[Conversion factor (value)]],CropLCAs[[#This Row],[CO2e (value)]]*CropLCAs[[#This Row],[Conversion factor (value)]]/CropLCAs[[#This Row],[Product fraction]]*CropLCAs[[#This Row],[Value fraction]])</f>
        <v>0.316</v>
      </c>
      <c r="AF388" s="5"/>
      <c r="AG388" s="5" t="str">
        <f t="shared" si="23"/>
        <v>processed_ghg</v>
      </c>
      <c r="AH388" s="5"/>
      <c r="AI388" s="5"/>
      <c r="AJ388" s="8" t="str">
        <f>IF(CropLCAs[[#This Row],[product_fraction]]&gt;0,CropLCAs[[#This Row],[footprint]]/CropLCAs[[#This Row],[product_fraction]]*CropLCAs[[#This Row],[value_fraction]],"")</f>
        <v/>
      </c>
      <c r="AK388" s="23">
        <f t="shared" si="26"/>
        <v>0.33333333333333331</v>
      </c>
      <c r="AL388" s="5" t="s">
        <v>109</v>
      </c>
      <c r="AM388" s="5" t="s">
        <v>235</v>
      </c>
      <c r="AN388" s="5" t="s">
        <v>674</v>
      </c>
      <c r="AO388" s="5"/>
      <c r="AP388" s="5"/>
      <c r="AQ388" s="5"/>
      <c r="AR388" s="5"/>
      <c r="AS388" s="5"/>
      <c r="AT388" s="5"/>
      <c r="AU388" s="5"/>
    </row>
    <row r="389" spans="1:47" ht="44.1" customHeight="1" x14ac:dyDescent="0.2">
      <c r="A389" s="5" t="s">
        <v>123</v>
      </c>
      <c r="B389" s="5" t="s">
        <v>1477</v>
      </c>
      <c r="C389" s="16">
        <v>2009</v>
      </c>
      <c r="D389" s="5" t="s">
        <v>671</v>
      </c>
      <c r="E389" s="5" t="s">
        <v>1343</v>
      </c>
      <c r="F389" s="5" t="s">
        <v>5</v>
      </c>
      <c r="G389" s="5" t="str">
        <f>IF(CropLCAs[[#This Row],[fbs_item]]="Insects","insect_ghg","plant_ghg")</f>
        <v>plant_ghg</v>
      </c>
      <c r="H389" s="49" t="s">
        <v>253</v>
      </c>
      <c r="I389" s="49"/>
      <c r="J389" s="49"/>
      <c r="K389" s="5" t="s">
        <v>111</v>
      </c>
      <c r="L389" s="5" t="s">
        <v>679</v>
      </c>
      <c r="M389" s="5" t="s">
        <v>102</v>
      </c>
      <c r="N389" s="5" t="s">
        <v>102</v>
      </c>
      <c r="O389" s="5" t="s">
        <v>673</v>
      </c>
      <c r="P389" s="5" t="s">
        <v>102</v>
      </c>
      <c r="Q389" s="5" t="s">
        <v>102</v>
      </c>
      <c r="R389" s="5" t="s">
        <v>368</v>
      </c>
      <c r="S389" s="5" t="s">
        <v>105</v>
      </c>
      <c r="T389" s="5" t="s">
        <v>102</v>
      </c>
      <c r="U389" s="5" t="s">
        <v>126</v>
      </c>
      <c r="V389" s="5">
        <v>1</v>
      </c>
      <c r="W389" s="5" t="s">
        <v>106</v>
      </c>
      <c r="X389" s="24">
        <v>146</v>
      </c>
      <c r="Y389" s="5" t="s">
        <v>107</v>
      </c>
      <c r="Z389" s="5"/>
      <c r="AA389" s="5"/>
      <c r="AB389" s="24">
        <v>1E-3</v>
      </c>
      <c r="AC389" s="5" t="s">
        <v>108</v>
      </c>
      <c r="AD389" s="5" t="str">
        <f t="shared" ref="AD389:AD452" si="27">"kg_co2e_excl_luc"</f>
        <v>kg_co2e_excl_luc</v>
      </c>
      <c r="AE389" s="24">
        <f>IF(CropLCAs[[#This Row],[Product fraction]]="",CropLCAs[[#This Row],[CO2e (value)]]*CropLCAs[[#This Row],[Conversion factor (value)]],CropLCAs[[#This Row],[CO2e (value)]]*CropLCAs[[#This Row],[Conversion factor (value)]]/CropLCAs[[#This Row],[Product fraction]]*CropLCAs[[#This Row],[Value fraction]])</f>
        <v>0.14599999999999999</v>
      </c>
      <c r="AF389" s="5"/>
      <c r="AG389" s="5" t="str">
        <f t="shared" ref="AG389:AG452" si="28">"processed_ghg"</f>
        <v>processed_ghg</v>
      </c>
      <c r="AH389" s="5"/>
      <c r="AI389" s="5"/>
      <c r="AJ389" s="8" t="str">
        <f>IF(CropLCAs[[#This Row],[product_fraction]]&gt;0,CropLCAs[[#This Row],[footprint]]/CropLCAs[[#This Row],[product_fraction]]*CropLCAs[[#This Row],[value_fraction]],"")</f>
        <v/>
      </c>
      <c r="AK389" s="23">
        <f t="shared" si="26"/>
        <v>0.33333333333333331</v>
      </c>
      <c r="AL389" s="5" t="s">
        <v>109</v>
      </c>
      <c r="AM389" s="5" t="s">
        <v>235</v>
      </c>
      <c r="AN389" s="5" t="s">
        <v>674</v>
      </c>
      <c r="AO389" s="5"/>
      <c r="AP389" s="5"/>
      <c r="AQ389" s="5"/>
      <c r="AR389" s="5"/>
      <c r="AS389" s="5"/>
      <c r="AT389" s="5"/>
      <c r="AU389" s="5"/>
    </row>
    <row r="390" spans="1:47" ht="44.1" customHeight="1" x14ac:dyDescent="0.2">
      <c r="A390" s="5" t="s">
        <v>123</v>
      </c>
      <c r="B390" s="5" t="s">
        <v>1477</v>
      </c>
      <c r="C390" s="16">
        <v>2009</v>
      </c>
      <c r="D390" s="5" t="s">
        <v>671</v>
      </c>
      <c r="E390" s="5" t="s">
        <v>1343</v>
      </c>
      <c r="F390" s="5" t="s">
        <v>5</v>
      </c>
      <c r="G390" s="5" t="str">
        <f>IF(CropLCAs[[#This Row],[fbs_item]]="Insects","insect_ghg","plant_ghg")</f>
        <v>plant_ghg</v>
      </c>
      <c r="H390" s="49" t="s">
        <v>253</v>
      </c>
      <c r="I390" s="49"/>
      <c r="J390" s="49"/>
      <c r="K390" s="5" t="s">
        <v>111</v>
      </c>
      <c r="L390" s="5" t="s">
        <v>680</v>
      </c>
      <c r="M390" s="5" t="s">
        <v>102</v>
      </c>
      <c r="N390" s="5" t="s">
        <v>102</v>
      </c>
      <c r="O390" s="5" t="s">
        <v>673</v>
      </c>
      <c r="P390" s="5" t="s">
        <v>102</v>
      </c>
      <c r="Q390" s="5" t="s">
        <v>102</v>
      </c>
      <c r="R390" s="5" t="s">
        <v>368</v>
      </c>
      <c r="S390" s="5" t="s">
        <v>105</v>
      </c>
      <c r="T390" s="5" t="s">
        <v>102</v>
      </c>
      <c r="U390" s="5" t="s">
        <v>126</v>
      </c>
      <c r="V390" s="5">
        <v>1</v>
      </c>
      <c r="W390" s="5" t="s">
        <v>106</v>
      </c>
      <c r="X390" s="24">
        <v>180</v>
      </c>
      <c r="Y390" s="5" t="s">
        <v>107</v>
      </c>
      <c r="Z390" s="5"/>
      <c r="AA390" s="5"/>
      <c r="AB390" s="24">
        <v>1E-3</v>
      </c>
      <c r="AC390" s="5" t="s">
        <v>108</v>
      </c>
      <c r="AD390" s="5" t="str">
        <f t="shared" si="27"/>
        <v>kg_co2e_excl_luc</v>
      </c>
      <c r="AE390" s="24">
        <f>IF(CropLCAs[[#This Row],[Product fraction]]="",CropLCAs[[#This Row],[CO2e (value)]]*CropLCAs[[#This Row],[Conversion factor (value)]],CropLCAs[[#This Row],[CO2e (value)]]*CropLCAs[[#This Row],[Conversion factor (value)]]/CropLCAs[[#This Row],[Product fraction]]*CropLCAs[[#This Row],[Value fraction]])</f>
        <v>0.18</v>
      </c>
      <c r="AF390" s="5"/>
      <c r="AG390" s="5" t="str">
        <f t="shared" si="28"/>
        <v>processed_ghg</v>
      </c>
      <c r="AH390" s="5"/>
      <c r="AI390" s="5"/>
      <c r="AJ390" s="8" t="str">
        <f>IF(CropLCAs[[#This Row],[product_fraction]]&gt;0,CropLCAs[[#This Row],[footprint]]/CropLCAs[[#This Row],[product_fraction]]*CropLCAs[[#This Row],[value_fraction]],"")</f>
        <v/>
      </c>
      <c r="AK390" s="23">
        <f t="shared" si="26"/>
        <v>0.33333333333333331</v>
      </c>
      <c r="AL390" s="5" t="s">
        <v>109</v>
      </c>
      <c r="AM390" s="5" t="s">
        <v>235</v>
      </c>
      <c r="AN390" s="5" t="s">
        <v>674</v>
      </c>
      <c r="AO390" s="5"/>
      <c r="AP390" s="5"/>
      <c r="AQ390" s="5"/>
      <c r="AR390" s="5"/>
      <c r="AS390" s="5"/>
      <c r="AT390" s="5"/>
      <c r="AU390" s="5"/>
    </row>
    <row r="391" spans="1:47" ht="44.1" customHeight="1" x14ac:dyDescent="0.2">
      <c r="A391" s="5" t="s">
        <v>123</v>
      </c>
      <c r="B391" s="5" t="s">
        <v>1477</v>
      </c>
      <c r="C391" s="16">
        <v>2009</v>
      </c>
      <c r="D391" s="5" t="s">
        <v>671</v>
      </c>
      <c r="E391" s="5" t="s">
        <v>1343</v>
      </c>
      <c r="F391" s="5" t="s">
        <v>5</v>
      </c>
      <c r="G391" s="5" t="str">
        <f>IF(CropLCAs[[#This Row],[fbs_item]]="Insects","insect_ghg","plant_ghg")</f>
        <v>plant_ghg</v>
      </c>
      <c r="H391" s="49" t="s">
        <v>253</v>
      </c>
      <c r="I391" s="49"/>
      <c r="J391" s="49"/>
      <c r="K391" s="5" t="s">
        <v>111</v>
      </c>
      <c r="L391" s="5" t="s">
        <v>681</v>
      </c>
      <c r="M391" s="5" t="s">
        <v>102</v>
      </c>
      <c r="N391" s="5" t="s">
        <v>102</v>
      </c>
      <c r="O391" s="5" t="s">
        <v>673</v>
      </c>
      <c r="P391" s="5" t="s">
        <v>102</v>
      </c>
      <c r="Q391" s="5" t="s">
        <v>102</v>
      </c>
      <c r="R391" s="5" t="s">
        <v>368</v>
      </c>
      <c r="S391" s="5" t="s">
        <v>105</v>
      </c>
      <c r="T391" s="5" t="s">
        <v>102</v>
      </c>
      <c r="U391" s="5" t="s">
        <v>126</v>
      </c>
      <c r="V391" s="5">
        <v>1</v>
      </c>
      <c r="W391" s="5" t="s">
        <v>106</v>
      </c>
      <c r="X391" s="24">
        <v>219</v>
      </c>
      <c r="Y391" s="5" t="s">
        <v>107</v>
      </c>
      <c r="Z391" s="5"/>
      <c r="AA391" s="5"/>
      <c r="AB391" s="24">
        <v>1E-3</v>
      </c>
      <c r="AC391" s="5" t="s">
        <v>108</v>
      </c>
      <c r="AD391" s="5" t="str">
        <f t="shared" si="27"/>
        <v>kg_co2e_excl_luc</v>
      </c>
      <c r="AE391" s="24">
        <f>IF(CropLCAs[[#This Row],[Product fraction]]="",CropLCAs[[#This Row],[CO2e (value)]]*CropLCAs[[#This Row],[Conversion factor (value)]],CropLCAs[[#This Row],[CO2e (value)]]*CropLCAs[[#This Row],[Conversion factor (value)]]/CropLCAs[[#This Row],[Product fraction]]*CropLCAs[[#This Row],[Value fraction]])</f>
        <v>0.219</v>
      </c>
      <c r="AF391" s="5"/>
      <c r="AG391" s="5" t="str">
        <f t="shared" si="28"/>
        <v>processed_ghg</v>
      </c>
      <c r="AH391" s="5"/>
      <c r="AI391" s="5"/>
      <c r="AJ391" s="8" t="str">
        <f>IF(CropLCAs[[#This Row],[product_fraction]]&gt;0,CropLCAs[[#This Row],[footprint]]/CropLCAs[[#This Row],[product_fraction]]*CropLCAs[[#This Row],[value_fraction]],"")</f>
        <v/>
      </c>
      <c r="AK391" s="23">
        <f t="shared" si="26"/>
        <v>0.33333333333333331</v>
      </c>
      <c r="AL391" s="5" t="s">
        <v>109</v>
      </c>
      <c r="AM391" s="5" t="s">
        <v>235</v>
      </c>
      <c r="AN391" s="5" t="s">
        <v>674</v>
      </c>
      <c r="AO391" s="5"/>
      <c r="AP391" s="5"/>
      <c r="AQ391" s="5"/>
      <c r="AR391" s="5"/>
      <c r="AS391" s="5"/>
      <c r="AT391" s="5"/>
      <c r="AU391" s="5"/>
    </row>
    <row r="392" spans="1:47" ht="44.1" customHeight="1" x14ac:dyDescent="0.2">
      <c r="A392" s="5" t="s">
        <v>123</v>
      </c>
      <c r="B392" s="5" t="s">
        <v>1477</v>
      </c>
      <c r="C392" s="16">
        <v>2009</v>
      </c>
      <c r="D392" s="5" t="s">
        <v>671</v>
      </c>
      <c r="E392" s="5" t="s">
        <v>1344</v>
      </c>
      <c r="F392" s="5" t="s">
        <v>5</v>
      </c>
      <c r="G392" s="5" t="str">
        <f>IF(CropLCAs[[#This Row],[fbs_item]]="Insects","insect_ghg","plant_ghg")</f>
        <v>plant_ghg</v>
      </c>
      <c r="H392" s="49" t="s">
        <v>253</v>
      </c>
      <c r="I392" s="49"/>
      <c r="J392" s="49"/>
      <c r="K392" s="5" t="s">
        <v>111</v>
      </c>
      <c r="L392" s="5" t="s">
        <v>682</v>
      </c>
      <c r="M392" s="5" t="s">
        <v>102</v>
      </c>
      <c r="N392" s="5" t="s">
        <v>102</v>
      </c>
      <c r="O392" s="5" t="s">
        <v>673</v>
      </c>
      <c r="P392" s="5" t="s">
        <v>102</v>
      </c>
      <c r="Q392" s="5" t="s">
        <v>102</v>
      </c>
      <c r="R392" s="5" t="s">
        <v>368</v>
      </c>
      <c r="S392" s="5" t="s">
        <v>105</v>
      </c>
      <c r="T392" s="5" t="s">
        <v>102</v>
      </c>
      <c r="U392" s="5" t="s">
        <v>126</v>
      </c>
      <c r="V392" s="5">
        <v>1</v>
      </c>
      <c r="W392" s="5" t="s">
        <v>106</v>
      </c>
      <c r="X392" s="24">
        <v>152</v>
      </c>
      <c r="Y392" s="5" t="s">
        <v>107</v>
      </c>
      <c r="Z392" s="5"/>
      <c r="AA392" s="5"/>
      <c r="AB392" s="24">
        <v>1E-3</v>
      </c>
      <c r="AC392" s="5" t="s">
        <v>108</v>
      </c>
      <c r="AD392" s="5" t="str">
        <f t="shared" si="27"/>
        <v>kg_co2e_excl_luc</v>
      </c>
      <c r="AE392" s="24">
        <f>IF(CropLCAs[[#This Row],[Product fraction]]="",CropLCAs[[#This Row],[CO2e (value)]]*CropLCAs[[#This Row],[Conversion factor (value)]],CropLCAs[[#This Row],[CO2e (value)]]*CropLCAs[[#This Row],[Conversion factor (value)]]/CropLCAs[[#This Row],[Product fraction]]*CropLCAs[[#This Row],[Value fraction]])</f>
        <v>0.152</v>
      </c>
      <c r="AF392" s="5"/>
      <c r="AG392" s="5" t="str">
        <f t="shared" si="28"/>
        <v>processed_ghg</v>
      </c>
      <c r="AH392" s="5"/>
      <c r="AI392" s="5"/>
      <c r="AJ392" s="8" t="str">
        <f>IF(CropLCAs[[#This Row],[product_fraction]]&gt;0,CropLCAs[[#This Row],[footprint]]/CropLCAs[[#This Row],[product_fraction]]*CropLCAs[[#This Row],[value_fraction]],"")</f>
        <v/>
      </c>
      <c r="AK392" s="23">
        <f t="shared" si="26"/>
        <v>0.33333333333333331</v>
      </c>
      <c r="AL392" s="5" t="s">
        <v>109</v>
      </c>
      <c r="AM392" s="5" t="s">
        <v>235</v>
      </c>
      <c r="AN392" s="5" t="s">
        <v>674</v>
      </c>
      <c r="AO392" s="5"/>
      <c r="AP392" s="5"/>
      <c r="AQ392" s="5"/>
      <c r="AR392" s="5"/>
      <c r="AS392" s="5"/>
      <c r="AT392" s="5"/>
      <c r="AU392" s="5"/>
    </row>
    <row r="393" spans="1:47" ht="44.1" customHeight="1" x14ac:dyDescent="0.2">
      <c r="A393" s="5" t="s">
        <v>123</v>
      </c>
      <c r="B393" s="5" t="s">
        <v>1477</v>
      </c>
      <c r="C393" s="16">
        <v>2009</v>
      </c>
      <c r="D393" s="5" t="s">
        <v>671</v>
      </c>
      <c r="E393" s="5" t="s">
        <v>1344</v>
      </c>
      <c r="F393" s="5" t="s">
        <v>5</v>
      </c>
      <c r="G393" s="5" t="str">
        <f>IF(CropLCAs[[#This Row],[fbs_item]]="Insects","insect_ghg","plant_ghg")</f>
        <v>plant_ghg</v>
      </c>
      <c r="H393" s="49" t="s">
        <v>253</v>
      </c>
      <c r="I393" s="49"/>
      <c r="J393" s="49"/>
      <c r="K393" s="5" t="s">
        <v>111</v>
      </c>
      <c r="L393" s="5" t="s">
        <v>683</v>
      </c>
      <c r="M393" s="5" t="s">
        <v>102</v>
      </c>
      <c r="N393" s="5" t="s">
        <v>102</v>
      </c>
      <c r="O393" s="5" t="s">
        <v>673</v>
      </c>
      <c r="P393" s="5" t="s">
        <v>102</v>
      </c>
      <c r="Q393" s="5" t="s">
        <v>102</v>
      </c>
      <c r="R393" s="5" t="s">
        <v>368</v>
      </c>
      <c r="S393" s="5" t="s">
        <v>105</v>
      </c>
      <c r="T393" s="5" t="s">
        <v>102</v>
      </c>
      <c r="U393" s="5" t="s">
        <v>126</v>
      </c>
      <c r="V393" s="5">
        <v>1</v>
      </c>
      <c r="W393" s="5" t="s">
        <v>106</v>
      </c>
      <c r="X393" s="24">
        <v>160</v>
      </c>
      <c r="Y393" s="5" t="s">
        <v>107</v>
      </c>
      <c r="Z393" s="5"/>
      <c r="AA393" s="5"/>
      <c r="AB393" s="24">
        <v>1E-3</v>
      </c>
      <c r="AC393" s="5" t="s">
        <v>108</v>
      </c>
      <c r="AD393" s="5" t="str">
        <f t="shared" si="27"/>
        <v>kg_co2e_excl_luc</v>
      </c>
      <c r="AE393" s="24">
        <f>IF(CropLCAs[[#This Row],[Product fraction]]="",CropLCAs[[#This Row],[CO2e (value)]]*CropLCAs[[#This Row],[Conversion factor (value)]],CropLCAs[[#This Row],[CO2e (value)]]*CropLCAs[[#This Row],[Conversion factor (value)]]/CropLCAs[[#This Row],[Product fraction]]*CropLCAs[[#This Row],[Value fraction]])</f>
        <v>0.16</v>
      </c>
      <c r="AF393" s="5"/>
      <c r="AG393" s="5" t="str">
        <f t="shared" si="28"/>
        <v>processed_ghg</v>
      </c>
      <c r="AH393" s="5"/>
      <c r="AI393" s="5"/>
      <c r="AJ393" s="8" t="str">
        <f>IF(CropLCAs[[#This Row],[product_fraction]]&gt;0,CropLCAs[[#This Row],[footprint]]/CropLCAs[[#This Row],[product_fraction]]*CropLCAs[[#This Row],[value_fraction]],"")</f>
        <v/>
      </c>
      <c r="AK393" s="23">
        <f t="shared" si="26"/>
        <v>0.33333333333333331</v>
      </c>
      <c r="AL393" s="5" t="s">
        <v>109</v>
      </c>
      <c r="AM393" s="5" t="s">
        <v>235</v>
      </c>
      <c r="AN393" s="5" t="s">
        <v>674</v>
      </c>
      <c r="AO393" s="5"/>
      <c r="AP393" s="5"/>
      <c r="AQ393" s="5"/>
      <c r="AR393" s="5"/>
      <c r="AS393" s="5"/>
      <c r="AT393" s="5"/>
      <c r="AU393" s="5"/>
    </row>
    <row r="394" spans="1:47" ht="44.1" customHeight="1" x14ac:dyDescent="0.2">
      <c r="A394" s="5" t="s">
        <v>123</v>
      </c>
      <c r="B394" s="5" t="s">
        <v>1477</v>
      </c>
      <c r="C394" s="16">
        <v>2009</v>
      </c>
      <c r="D394" s="5" t="s">
        <v>671</v>
      </c>
      <c r="E394" s="5" t="s">
        <v>1344</v>
      </c>
      <c r="F394" s="5" t="s">
        <v>5</v>
      </c>
      <c r="G394" s="5" t="str">
        <f>IF(CropLCAs[[#This Row],[fbs_item]]="Insects","insect_ghg","plant_ghg")</f>
        <v>plant_ghg</v>
      </c>
      <c r="H394" s="49" t="s">
        <v>253</v>
      </c>
      <c r="I394" s="49"/>
      <c r="J394" s="49"/>
      <c r="K394" s="5" t="s">
        <v>111</v>
      </c>
      <c r="L394" s="5" t="s">
        <v>684</v>
      </c>
      <c r="M394" s="5" t="s">
        <v>102</v>
      </c>
      <c r="N394" s="5" t="s">
        <v>102</v>
      </c>
      <c r="O394" s="5" t="s">
        <v>673</v>
      </c>
      <c r="P394" s="5" t="s">
        <v>102</v>
      </c>
      <c r="Q394" s="5" t="s">
        <v>102</v>
      </c>
      <c r="R394" s="5" t="s">
        <v>368</v>
      </c>
      <c r="S394" s="5" t="s">
        <v>105</v>
      </c>
      <c r="T394" s="5" t="s">
        <v>102</v>
      </c>
      <c r="U394" s="5" t="s">
        <v>126</v>
      </c>
      <c r="V394" s="5">
        <v>1</v>
      </c>
      <c r="W394" s="5" t="s">
        <v>106</v>
      </c>
      <c r="X394" s="24">
        <v>178</v>
      </c>
      <c r="Y394" s="5" t="s">
        <v>107</v>
      </c>
      <c r="Z394" s="5"/>
      <c r="AA394" s="5"/>
      <c r="AB394" s="24">
        <v>1E-3</v>
      </c>
      <c r="AC394" s="5" t="s">
        <v>108</v>
      </c>
      <c r="AD394" s="5" t="str">
        <f t="shared" si="27"/>
        <v>kg_co2e_excl_luc</v>
      </c>
      <c r="AE394" s="24">
        <f>IF(CropLCAs[[#This Row],[Product fraction]]="",CropLCAs[[#This Row],[CO2e (value)]]*CropLCAs[[#This Row],[Conversion factor (value)]],CropLCAs[[#This Row],[CO2e (value)]]*CropLCAs[[#This Row],[Conversion factor (value)]]/CropLCAs[[#This Row],[Product fraction]]*CropLCAs[[#This Row],[Value fraction]])</f>
        <v>0.17799999999999999</v>
      </c>
      <c r="AF394" s="5"/>
      <c r="AG394" s="5" t="str">
        <f t="shared" si="28"/>
        <v>processed_ghg</v>
      </c>
      <c r="AH394" s="5"/>
      <c r="AI394" s="5"/>
      <c r="AJ394" s="8" t="str">
        <f>IF(CropLCAs[[#This Row],[product_fraction]]&gt;0,CropLCAs[[#This Row],[footprint]]/CropLCAs[[#This Row],[product_fraction]]*CropLCAs[[#This Row],[value_fraction]],"")</f>
        <v/>
      </c>
      <c r="AK394" s="23">
        <f t="shared" si="26"/>
        <v>0.33333333333333331</v>
      </c>
      <c r="AL394" s="5" t="s">
        <v>109</v>
      </c>
      <c r="AM394" s="5" t="s">
        <v>235</v>
      </c>
      <c r="AN394" s="5" t="s">
        <v>674</v>
      </c>
      <c r="AO394" s="5"/>
      <c r="AP394" s="5"/>
      <c r="AQ394" s="5"/>
      <c r="AR394" s="5"/>
      <c r="AS394" s="5"/>
      <c r="AT394" s="5"/>
      <c r="AU394" s="5"/>
    </row>
    <row r="395" spans="1:47" ht="44.1" customHeight="1" x14ac:dyDescent="0.2">
      <c r="A395" s="5" t="s">
        <v>1407</v>
      </c>
      <c r="B395" s="7" t="s">
        <v>1478</v>
      </c>
      <c r="C395" s="7">
        <v>2012</v>
      </c>
      <c r="D395" s="5" t="s">
        <v>1393</v>
      </c>
      <c r="E395" s="6" t="s">
        <v>1394</v>
      </c>
      <c r="F395" s="7" t="s">
        <v>1386</v>
      </c>
      <c r="G395" s="7" t="str">
        <f>IF(CropLCAs[[#This Row],[fbs_item]]="Insects","insect_ghg","plant_ghg")</f>
        <v>insect_ghg</v>
      </c>
      <c r="H395" s="49" t="s">
        <v>554</v>
      </c>
      <c r="I395" s="49"/>
      <c r="J395" s="49"/>
      <c r="K395" s="5" t="s">
        <v>111</v>
      </c>
      <c r="L395" s="5"/>
      <c r="M395" s="5" t="s">
        <v>102</v>
      </c>
      <c r="N395" s="5" t="s">
        <v>109</v>
      </c>
      <c r="O395" s="5" t="s">
        <v>109</v>
      </c>
      <c r="P395" s="5"/>
      <c r="Q395" s="5"/>
      <c r="R395" s="5"/>
      <c r="S395" s="5" t="s">
        <v>102</v>
      </c>
      <c r="T395" s="5" t="s">
        <v>1405</v>
      </c>
      <c r="U395" s="5" t="s">
        <v>1406</v>
      </c>
      <c r="V395" s="5">
        <v>1</v>
      </c>
      <c r="W395" s="5" t="s">
        <v>1402</v>
      </c>
      <c r="X395" s="28">
        <v>2.65</v>
      </c>
      <c r="Y395" s="5" t="s">
        <v>1404</v>
      </c>
      <c r="Z395" s="5"/>
      <c r="AA395" s="5"/>
      <c r="AB395" s="28">
        <v>1</v>
      </c>
      <c r="AC395" s="5"/>
      <c r="AD395" s="5" t="str">
        <f t="shared" si="27"/>
        <v>kg_co2e_excl_luc</v>
      </c>
      <c r="AE395" s="28">
        <f>IF(CropLCAs[[#This Row],[Product fraction]]="",CropLCAs[[#This Row],[CO2e (value)]]*CropLCAs[[#This Row],[Conversion factor (value)]],CropLCAs[[#This Row],[CO2e (value)]]*CropLCAs[[#This Row],[Conversion factor (value)]]/CropLCAs[[#This Row],[Product fraction]]*CropLCAs[[#This Row],[Value fraction]])</f>
        <v>2.65</v>
      </c>
      <c r="AF395" s="6"/>
      <c r="AG395" s="6" t="str">
        <f t="shared" si="28"/>
        <v>processed_ghg</v>
      </c>
      <c r="AH395" s="6"/>
      <c r="AI395" s="6"/>
      <c r="AJ395" s="8" t="str">
        <f>IF(CropLCAs[[#This Row],[product_fraction]]&gt;0,CropLCAs[[#This Row],[footprint]]/CropLCAs[[#This Row],[product_fraction]]*CropLCAs[[#This Row],[value_fraction]],"")</f>
        <v/>
      </c>
      <c r="AK395" s="23">
        <v>1</v>
      </c>
      <c r="AL395" s="6" t="s">
        <v>109</v>
      </c>
      <c r="AM395" s="5" t="s">
        <v>1395</v>
      </c>
      <c r="AN395" s="5"/>
      <c r="AO395" s="5"/>
      <c r="AP395" s="5"/>
      <c r="AQ395" s="5"/>
      <c r="AR395" s="5"/>
      <c r="AS395" s="5"/>
      <c r="AT395" s="5"/>
      <c r="AU395" s="5"/>
    </row>
    <row r="396" spans="1:47" ht="44.1" customHeight="1" x14ac:dyDescent="0.2">
      <c r="A396" s="5" t="s">
        <v>112</v>
      </c>
      <c r="B396" s="5" t="s">
        <v>1479</v>
      </c>
      <c r="C396" s="16">
        <v>2012</v>
      </c>
      <c r="D396" s="5" t="s">
        <v>526</v>
      </c>
      <c r="E396" s="5" t="s">
        <v>525</v>
      </c>
      <c r="F396" s="5" t="s">
        <v>9</v>
      </c>
      <c r="G396" s="5" t="str">
        <f>IF(CropLCAs[[#This Row],[fbs_item]]="Insects","insect_ghg","plant_ghg")</f>
        <v>plant_ghg</v>
      </c>
      <c r="H396" s="49" t="s">
        <v>225</v>
      </c>
      <c r="I396" s="49"/>
      <c r="J396" s="49"/>
      <c r="K396" s="5" t="s">
        <v>230</v>
      </c>
      <c r="L396" s="5" t="s">
        <v>527</v>
      </c>
      <c r="M396" s="5" t="s">
        <v>231</v>
      </c>
      <c r="N396" s="5" t="s">
        <v>102</v>
      </c>
      <c r="O396" s="5" t="s">
        <v>109</v>
      </c>
      <c r="P396" s="5" t="s">
        <v>102</v>
      </c>
      <c r="Q396" s="5" t="s">
        <v>102</v>
      </c>
      <c r="R396" s="5" t="s">
        <v>102</v>
      </c>
      <c r="S396" s="5" t="s">
        <v>105</v>
      </c>
      <c r="T396" s="5" t="s">
        <v>102</v>
      </c>
      <c r="U396" s="5">
        <v>100</v>
      </c>
      <c r="V396" s="5">
        <v>1</v>
      </c>
      <c r="W396" s="5" t="s">
        <v>106</v>
      </c>
      <c r="X396" s="24">
        <v>0.43</v>
      </c>
      <c r="Y396" s="5" t="s">
        <v>106</v>
      </c>
      <c r="Z396" s="5"/>
      <c r="AA396" s="5"/>
      <c r="AB396" s="24">
        <v>1</v>
      </c>
      <c r="AC396" s="5"/>
      <c r="AD396" s="5" t="str">
        <f t="shared" si="27"/>
        <v>kg_co2e_excl_luc</v>
      </c>
      <c r="AE396" s="24">
        <f>IF(CropLCAs[[#This Row],[Product fraction]]="",CropLCAs[[#This Row],[CO2e (value)]]*CropLCAs[[#This Row],[Conversion factor (value)]],CropLCAs[[#This Row],[CO2e (value)]]*CropLCAs[[#This Row],[Conversion factor (value)]]/CropLCAs[[#This Row],[Product fraction]]*CropLCAs[[#This Row],[Value fraction]])</f>
        <v>0.43</v>
      </c>
      <c r="AF396" s="5"/>
      <c r="AG396" s="5" t="str">
        <f t="shared" si="28"/>
        <v>processed_ghg</v>
      </c>
      <c r="AH396" s="5"/>
      <c r="AI396" s="5"/>
      <c r="AJ396" s="8" t="str">
        <f>IF(CropLCAs[[#This Row],[product_fraction]]&gt;0,CropLCAs[[#This Row],[footprint]]/CropLCAs[[#This Row],[product_fraction]]*CropLCAs[[#This Row],[value_fraction]],"")</f>
        <v/>
      </c>
      <c r="AK396" s="23">
        <f t="shared" ref="AK396:AK401" si="29">1/4</f>
        <v>0.25</v>
      </c>
      <c r="AL396" s="5" t="s">
        <v>109</v>
      </c>
      <c r="AM396" s="5" t="s">
        <v>235</v>
      </c>
      <c r="AN396" s="5"/>
      <c r="AO396" s="5"/>
      <c r="AP396" s="5"/>
      <c r="AQ396" s="5"/>
      <c r="AR396" s="5"/>
      <c r="AS396" s="5"/>
      <c r="AT396" s="5"/>
      <c r="AU396" s="5"/>
    </row>
    <row r="397" spans="1:47" ht="44.1" customHeight="1" x14ac:dyDescent="0.2">
      <c r="A397" s="5" t="s">
        <v>112</v>
      </c>
      <c r="B397" s="5" t="s">
        <v>1479</v>
      </c>
      <c r="C397" s="16">
        <v>2012</v>
      </c>
      <c r="D397" s="5" t="s">
        <v>526</v>
      </c>
      <c r="E397" s="5" t="s">
        <v>525</v>
      </c>
      <c r="F397" s="5" t="s">
        <v>9</v>
      </c>
      <c r="G397" s="5" t="str">
        <f>IF(CropLCAs[[#This Row],[fbs_item]]="Insects","insect_ghg","plant_ghg")</f>
        <v>plant_ghg</v>
      </c>
      <c r="H397" s="49" t="s">
        <v>225</v>
      </c>
      <c r="I397" s="49"/>
      <c r="J397" s="49"/>
      <c r="K397" s="5" t="s">
        <v>230</v>
      </c>
      <c r="L397" s="5" t="s">
        <v>528</v>
      </c>
      <c r="M397" s="5" t="s">
        <v>529</v>
      </c>
      <c r="N397" s="5" t="s">
        <v>530</v>
      </c>
      <c r="O397" s="5" t="s">
        <v>109</v>
      </c>
      <c r="P397" s="5" t="s">
        <v>102</v>
      </c>
      <c r="Q397" s="5" t="s">
        <v>102</v>
      </c>
      <c r="R397" s="5" t="s">
        <v>102</v>
      </c>
      <c r="S397" s="5" t="s">
        <v>105</v>
      </c>
      <c r="T397" s="5" t="s">
        <v>102</v>
      </c>
      <c r="U397" s="5">
        <v>100</v>
      </c>
      <c r="V397" s="5">
        <v>1</v>
      </c>
      <c r="W397" s="5" t="s">
        <v>106</v>
      </c>
      <c r="X397" s="24">
        <f>1.71+0.15</f>
        <v>1.8599999999999999</v>
      </c>
      <c r="Y397" s="5" t="s">
        <v>106</v>
      </c>
      <c r="Z397" s="5"/>
      <c r="AA397" s="5"/>
      <c r="AB397" s="24">
        <v>1</v>
      </c>
      <c r="AC397" s="5"/>
      <c r="AD397" s="5" t="str">
        <f t="shared" si="27"/>
        <v>kg_co2e_excl_luc</v>
      </c>
      <c r="AE397" s="24">
        <f>IF(CropLCAs[[#This Row],[Product fraction]]="",CropLCAs[[#This Row],[CO2e (value)]]*CropLCAs[[#This Row],[Conversion factor (value)]],CropLCAs[[#This Row],[CO2e (value)]]*CropLCAs[[#This Row],[Conversion factor (value)]]/CropLCAs[[#This Row],[Product fraction]]*CropLCAs[[#This Row],[Value fraction]])</f>
        <v>1.8599999999999999</v>
      </c>
      <c r="AF397" s="5"/>
      <c r="AG397" s="5" t="str">
        <f t="shared" si="28"/>
        <v>processed_ghg</v>
      </c>
      <c r="AH397" s="5"/>
      <c r="AI397" s="5"/>
      <c r="AJ397" s="8" t="str">
        <f>IF(CropLCAs[[#This Row],[product_fraction]]&gt;0,CropLCAs[[#This Row],[footprint]]/CropLCAs[[#This Row],[product_fraction]]*CropLCAs[[#This Row],[value_fraction]],"")</f>
        <v/>
      </c>
      <c r="AK397" s="23">
        <f t="shared" si="29"/>
        <v>0.25</v>
      </c>
      <c r="AL397" s="5" t="s">
        <v>109</v>
      </c>
      <c r="AM397" s="5" t="s">
        <v>531</v>
      </c>
      <c r="AN397" s="5" t="s">
        <v>532</v>
      </c>
      <c r="AO397" s="5" t="s">
        <v>533</v>
      </c>
      <c r="AP397" s="5"/>
      <c r="AQ397" s="5"/>
      <c r="AR397" s="5"/>
      <c r="AS397" s="5"/>
      <c r="AT397" s="5"/>
      <c r="AU397" s="5"/>
    </row>
    <row r="398" spans="1:47" ht="44.1" customHeight="1" x14ac:dyDescent="0.2">
      <c r="A398" s="5" t="s">
        <v>112</v>
      </c>
      <c r="B398" s="5" t="s">
        <v>1479</v>
      </c>
      <c r="C398" s="16">
        <v>2012</v>
      </c>
      <c r="D398" s="5" t="s">
        <v>526</v>
      </c>
      <c r="E398" s="5" t="s">
        <v>525</v>
      </c>
      <c r="F398" s="5" t="s">
        <v>9</v>
      </c>
      <c r="G398" s="5" t="str">
        <f>IF(CropLCAs[[#This Row],[fbs_item]]="Insects","insect_ghg","plant_ghg")</f>
        <v>plant_ghg</v>
      </c>
      <c r="H398" s="49" t="s">
        <v>225</v>
      </c>
      <c r="I398" s="49"/>
      <c r="J398" s="49"/>
      <c r="K398" s="5" t="s">
        <v>230</v>
      </c>
      <c r="L398" s="5" t="s">
        <v>534</v>
      </c>
      <c r="M398" s="5" t="s">
        <v>529</v>
      </c>
      <c r="N398" s="5" t="s">
        <v>530</v>
      </c>
      <c r="O398" s="5" t="s">
        <v>109</v>
      </c>
      <c r="P398" s="5" t="s">
        <v>102</v>
      </c>
      <c r="Q398" s="5" t="s">
        <v>102</v>
      </c>
      <c r="R398" s="5" t="s">
        <v>102</v>
      </c>
      <c r="S398" s="5" t="s">
        <v>105</v>
      </c>
      <c r="T398" s="5" t="s">
        <v>102</v>
      </c>
      <c r="U398" s="5">
        <v>100</v>
      </c>
      <c r="V398" s="5">
        <v>1</v>
      </c>
      <c r="W398" s="5" t="s">
        <v>106</v>
      </c>
      <c r="X398" s="24">
        <f>1.86+0.15</f>
        <v>2.0100000000000002</v>
      </c>
      <c r="Y398" s="5" t="s">
        <v>106</v>
      </c>
      <c r="Z398" s="5"/>
      <c r="AA398" s="5"/>
      <c r="AB398" s="24">
        <v>1</v>
      </c>
      <c r="AC398" s="5"/>
      <c r="AD398" s="5" t="str">
        <f t="shared" si="27"/>
        <v>kg_co2e_excl_luc</v>
      </c>
      <c r="AE398" s="24">
        <f>IF(CropLCAs[[#This Row],[Product fraction]]="",CropLCAs[[#This Row],[CO2e (value)]]*CropLCAs[[#This Row],[Conversion factor (value)]],CropLCAs[[#This Row],[CO2e (value)]]*CropLCAs[[#This Row],[Conversion factor (value)]]/CropLCAs[[#This Row],[Product fraction]]*CropLCAs[[#This Row],[Value fraction]])</f>
        <v>2.0100000000000002</v>
      </c>
      <c r="AF398" s="5"/>
      <c r="AG398" s="5" t="str">
        <f t="shared" si="28"/>
        <v>processed_ghg</v>
      </c>
      <c r="AH398" s="5"/>
      <c r="AI398" s="5"/>
      <c r="AJ398" s="8" t="str">
        <f>IF(CropLCAs[[#This Row],[product_fraction]]&gt;0,CropLCAs[[#This Row],[footprint]]/CropLCAs[[#This Row],[product_fraction]]*CropLCAs[[#This Row],[value_fraction]],"")</f>
        <v/>
      </c>
      <c r="AK398" s="23">
        <f t="shared" si="29"/>
        <v>0.25</v>
      </c>
      <c r="AL398" s="5" t="s">
        <v>109</v>
      </c>
      <c r="AM398" s="5" t="s">
        <v>531</v>
      </c>
      <c r="AN398" s="5" t="s">
        <v>532</v>
      </c>
      <c r="AO398" s="5" t="s">
        <v>533</v>
      </c>
      <c r="AP398" s="5"/>
      <c r="AQ398" s="5"/>
      <c r="AR398" s="5"/>
      <c r="AS398" s="5"/>
      <c r="AT398" s="5"/>
      <c r="AU398" s="5"/>
    </row>
    <row r="399" spans="1:47" ht="44.1" customHeight="1" x14ac:dyDescent="0.2">
      <c r="A399" s="5" t="s">
        <v>112</v>
      </c>
      <c r="B399" s="5" t="s">
        <v>1479</v>
      </c>
      <c r="C399" s="16">
        <v>2012</v>
      </c>
      <c r="D399" s="5" t="s">
        <v>526</v>
      </c>
      <c r="E399" s="5" t="s">
        <v>525</v>
      </c>
      <c r="F399" s="5" t="s">
        <v>9</v>
      </c>
      <c r="G399" s="5" t="str">
        <f>IF(CropLCAs[[#This Row],[fbs_item]]="Insects","insect_ghg","plant_ghg")</f>
        <v>plant_ghg</v>
      </c>
      <c r="H399" s="49" t="s">
        <v>225</v>
      </c>
      <c r="I399" s="49"/>
      <c r="J399" s="49"/>
      <c r="K399" s="5" t="s">
        <v>590</v>
      </c>
      <c r="L399" s="5"/>
      <c r="M399" s="5" t="s">
        <v>102</v>
      </c>
      <c r="N399" s="5" t="s">
        <v>102</v>
      </c>
      <c r="O399" s="5" t="s">
        <v>109</v>
      </c>
      <c r="P399" s="5" t="s">
        <v>102</v>
      </c>
      <c r="Q399" s="5" t="s">
        <v>102</v>
      </c>
      <c r="R399" s="5" t="s">
        <v>102</v>
      </c>
      <c r="S399" s="5" t="s">
        <v>105</v>
      </c>
      <c r="T399" s="5" t="s">
        <v>102</v>
      </c>
      <c r="U399" s="5">
        <v>100</v>
      </c>
      <c r="V399" s="5">
        <v>1</v>
      </c>
      <c r="W399" s="5" t="s">
        <v>106</v>
      </c>
      <c r="X399" s="24">
        <v>0.3</v>
      </c>
      <c r="Y399" s="5" t="s">
        <v>106</v>
      </c>
      <c r="Z399" s="5"/>
      <c r="AA399" s="5"/>
      <c r="AB399" s="24">
        <v>1</v>
      </c>
      <c r="AC399" s="5"/>
      <c r="AD399" s="5" t="str">
        <f t="shared" si="27"/>
        <v>kg_co2e_excl_luc</v>
      </c>
      <c r="AE399" s="24">
        <f>IF(CropLCAs[[#This Row],[Product fraction]]="",CropLCAs[[#This Row],[CO2e (value)]]*CropLCAs[[#This Row],[Conversion factor (value)]],CropLCAs[[#This Row],[CO2e (value)]]*CropLCAs[[#This Row],[Conversion factor (value)]]/CropLCAs[[#This Row],[Product fraction]]*CropLCAs[[#This Row],[Value fraction]])</f>
        <v>0.3</v>
      </c>
      <c r="AF399" s="5"/>
      <c r="AG399" s="5" t="str">
        <f t="shared" si="28"/>
        <v>processed_ghg</v>
      </c>
      <c r="AH399" s="5"/>
      <c r="AI399" s="5"/>
      <c r="AJ399" s="8" t="str">
        <f>IF(CropLCAs[[#This Row],[product_fraction]]&gt;0,CropLCAs[[#This Row],[footprint]]/CropLCAs[[#This Row],[product_fraction]]*CropLCAs[[#This Row],[value_fraction]],"")</f>
        <v/>
      </c>
      <c r="AK399" s="23">
        <f t="shared" si="29"/>
        <v>0.25</v>
      </c>
      <c r="AL399" s="5" t="s">
        <v>109</v>
      </c>
      <c r="AM399" s="5" t="s">
        <v>235</v>
      </c>
      <c r="AN399" s="5"/>
      <c r="AO399" s="5"/>
      <c r="AP399" s="5"/>
      <c r="AQ399" s="5"/>
      <c r="AR399" s="5"/>
      <c r="AS399" s="5"/>
      <c r="AT399" s="5"/>
      <c r="AU399" s="5"/>
    </row>
    <row r="400" spans="1:47" ht="44.1" customHeight="1" x14ac:dyDescent="0.2">
      <c r="A400" s="5" t="s">
        <v>123</v>
      </c>
      <c r="B400" s="5" t="s">
        <v>1479</v>
      </c>
      <c r="C400" s="16">
        <v>2014</v>
      </c>
      <c r="D400" s="5" t="s">
        <v>535</v>
      </c>
      <c r="E400" s="6" t="s">
        <v>525</v>
      </c>
      <c r="F400" s="5" t="s">
        <v>9</v>
      </c>
      <c r="G400" s="5" t="str">
        <f>IF(CropLCAs[[#This Row],[fbs_item]]="Insects","insect_ghg","plant_ghg")</f>
        <v>plant_ghg</v>
      </c>
      <c r="H400" s="49" t="s">
        <v>225</v>
      </c>
      <c r="I400" s="49"/>
      <c r="J400" s="49"/>
      <c r="K400" s="5" t="s">
        <v>230</v>
      </c>
      <c r="L400" s="5" t="s">
        <v>536</v>
      </c>
      <c r="M400" s="5" t="s">
        <v>231</v>
      </c>
      <c r="N400" s="5" t="s">
        <v>109</v>
      </c>
      <c r="O400" s="5" t="s">
        <v>109</v>
      </c>
      <c r="P400" s="5" t="s">
        <v>102</v>
      </c>
      <c r="Q400" s="5" t="s">
        <v>102</v>
      </c>
      <c r="R400" s="5" t="s">
        <v>102</v>
      </c>
      <c r="S400" s="5" t="s">
        <v>102</v>
      </c>
      <c r="T400" s="5" t="s">
        <v>102</v>
      </c>
      <c r="U400" s="5">
        <v>100</v>
      </c>
      <c r="V400" s="5">
        <v>1</v>
      </c>
      <c r="W400" s="5" t="s">
        <v>106</v>
      </c>
      <c r="X400" s="24">
        <v>0.47</v>
      </c>
      <c r="Y400" s="5" t="s">
        <v>106</v>
      </c>
      <c r="Z400" s="5"/>
      <c r="AA400" s="5"/>
      <c r="AB400" s="24">
        <v>1</v>
      </c>
      <c r="AC400" s="5"/>
      <c r="AD400" s="5" t="str">
        <f t="shared" si="27"/>
        <v>kg_co2e_excl_luc</v>
      </c>
      <c r="AE400" s="24">
        <f>IF(CropLCAs[[#This Row],[Product fraction]]="",CropLCAs[[#This Row],[CO2e (value)]]*CropLCAs[[#This Row],[Conversion factor (value)]],CropLCAs[[#This Row],[CO2e (value)]]*CropLCAs[[#This Row],[Conversion factor (value)]]/CropLCAs[[#This Row],[Product fraction]]*CropLCAs[[#This Row],[Value fraction]])</f>
        <v>0.47</v>
      </c>
      <c r="AF400" s="5"/>
      <c r="AG400" s="5" t="str">
        <f t="shared" si="28"/>
        <v>processed_ghg</v>
      </c>
      <c r="AH400" s="5"/>
      <c r="AI400" s="5"/>
      <c r="AJ400" s="8" t="str">
        <f>IF(CropLCAs[[#This Row],[product_fraction]]&gt;0,CropLCAs[[#This Row],[footprint]]/CropLCAs[[#This Row],[product_fraction]]*CropLCAs[[#This Row],[value_fraction]],"")</f>
        <v/>
      </c>
      <c r="AK400" s="23">
        <f t="shared" si="29"/>
        <v>0.25</v>
      </c>
      <c r="AL400" s="5" t="s">
        <v>109</v>
      </c>
      <c r="AM400" s="5"/>
      <c r="AN400" s="5"/>
      <c r="AO400" s="5"/>
      <c r="AP400" s="5"/>
      <c r="AQ400" s="5"/>
      <c r="AR400" s="5"/>
      <c r="AS400" s="5"/>
      <c r="AT400" s="5"/>
      <c r="AU400" s="5"/>
    </row>
    <row r="401" spans="1:47" ht="44.1" customHeight="1" x14ac:dyDescent="0.2">
      <c r="A401" s="5" t="s">
        <v>123</v>
      </c>
      <c r="B401" s="5" t="s">
        <v>1479</v>
      </c>
      <c r="C401" s="16">
        <v>2014</v>
      </c>
      <c r="D401" s="7" t="s">
        <v>535</v>
      </c>
      <c r="E401" s="6" t="s">
        <v>525</v>
      </c>
      <c r="F401" s="5" t="s">
        <v>9</v>
      </c>
      <c r="G401" s="5" t="str">
        <f>IF(CropLCAs[[#This Row],[fbs_item]]="Insects","insect_ghg","plant_ghg")</f>
        <v>plant_ghg</v>
      </c>
      <c r="H401" s="49" t="s">
        <v>225</v>
      </c>
      <c r="I401" s="49"/>
      <c r="J401" s="49"/>
      <c r="K401" s="5" t="s">
        <v>230</v>
      </c>
      <c r="L401" s="5" t="s">
        <v>537</v>
      </c>
      <c r="M401" s="5" t="s">
        <v>529</v>
      </c>
      <c r="N401" s="5" t="s">
        <v>109</v>
      </c>
      <c r="O401" s="5" t="s">
        <v>109</v>
      </c>
      <c r="P401" s="5" t="s">
        <v>102</v>
      </c>
      <c r="Q401" s="5" t="s">
        <v>102</v>
      </c>
      <c r="R401" s="5" t="s">
        <v>102</v>
      </c>
      <c r="S401" s="5" t="s">
        <v>102</v>
      </c>
      <c r="T401" s="5" t="s">
        <v>102</v>
      </c>
      <c r="U401" s="5">
        <v>100</v>
      </c>
      <c r="V401" s="5">
        <v>1</v>
      </c>
      <c r="W401" s="5" t="s">
        <v>106</v>
      </c>
      <c r="X401" s="24">
        <v>1.89</v>
      </c>
      <c r="Y401" s="5" t="s">
        <v>106</v>
      </c>
      <c r="Z401" s="5"/>
      <c r="AA401" s="5"/>
      <c r="AB401" s="24">
        <v>1</v>
      </c>
      <c r="AC401" s="5"/>
      <c r="AD401" s="5" t="str">
        <f t="shared" si="27"/>
        <v>kg_co2e_excl_luc</v>
      </c>
      <c r="AE401" s="24">
        <f>IF(CropLCAs[[#This Row],[Product fraction]]="",CropLCAs[[#This Row],[CO2e (value)]]*CropLCAs[[#This Row],[Conversion factor (value)]],CropLCAs[[#This Row],[CO2e (value)]]*CropLCAs[[#This Row],[Conversion factor (value)]]/CropLCAs[[#This Row],[Product fraction]]*CropLCAs[[#This Row],[Value fraction]])</f>
        <v>1.89</v>
      </c>
      <c r="AF401" s="5"/>
      <c r="AG401" s="5" t="str">
        <f t="shared" si="28"/>
        <v>processed_ghg</v>
      </c>
      <c r="AH401" s="5"/>
      <c r="AI401" s="5"/>
      <c r="AJ401" s="8" t="str">
        <f>IF(CropLCAs[[#This Row],[product_fraction]]&gt;0,CropLCAs[[#This Row],[footprint]]/CropLCAs[[#This Row],[product_fraction]]*CropLCAs[[#This Row],[value_fraction]],"")</f>
        <v/>
      </c>
      <c r="AK401" s="23">
        <f t="shared" si="29"/>
        <v>0.25</v>
      </c>
      <c r="AL401" s="5" t="s">
        <v>109</v>
      </c>
      <c r="AM401" s="5"/>
      <c r="AN401" s="5"/>
      <c r="AO401" s="5"/>
      <c r="AP401" s="5"/>
      <c r="AQ401" s="5"/>
      <c r="AR401" s="5"/>
      <c r="AS401" s="5"/>
      <c r="AT401" s="5"/>
      <c r="AU401" s="5"/>
    </row>
    <row r="402" spans="1:47" ht="44.1" customHeight="1" x14ac:dyDescent="0.2">
      <c r="A402" s="17" t="s">
        <v>123</v>
      </c>
      <c r="B402" s="17" t="s">
        <v>882</v>
      </c>
      <c r="C402" s="17"/>
      <c r="D402" s="19" t="s">
        <v>883</v>
      </c>
      <c r="E402" s="19" t="s">
        <v>244</v>
      </c>
      <c r="F402" s="17" t="s">
        <v>31</v>
      </c>
      <c r="G402" s="17" t="str">
        <f>IF(CropLCAs[[#This Row],[fbs_item]]="Insects","insect_ghg","plant_ghg")</f>
        <v>plant_ghg</v>
      </c>
      <c r="H402" s="50" t="s">
        <v>308</v>
      </c>
      <c r="I402" s="50"/>
      <c r="J402" s="50"/>
      <c r="K402" s="17" t="s">
        <v>884</v>
      </c>
      <c r="L402" s="17"/>
      <c r="M402" s="17" t="s">
        <v>102</v>
      </c>
      <c r="N402" s="17" t="s">
        <v>102</v>
      </c>
      <c r="O402" s="17" t="s">
        <v>109</v>
      </c>
      <c r="P402" s="17" t="s">
        <v>102</v>
      </c>
      <c r="Q402" s="17" t="s">
        <v>885</v>
      </c>
      <c r="R402" s="17" t="s">
        <v>102</v>
      </c>
      <c r="S402" s="17" t="s">
        <v>886</v>
      </c>
      <c r="T402" s="17" t="s">
        <v>102</v>
      </c>
      <c r="U402" s="17">
        <v>100</v>
      </c>
      <c r="V402" s="17">
        <v>125</v>
      </c>
      <c r="W402" s="17" t="s">
        <v>887</v>
      </c>
      <c r="X402" s="30">
        <v>2.1000000000000001E-2</v>
      </c>
      <c r="Y402" s="17" t="s">
        <v>106</v>
      </c>
      <c r="Z402" s="17"/>
      <c r="AA402" s="17"/>
      <c r="AB402" s="30">
        <f>1/0.125</f>
        <v>8</v>
      </c>
      <c r="AC402" s="17" t="s">
        <v>888</v>
      </c>
      <c r="AD402" s="17" t="str">
        <f t="shared" si="27"/>
        <v>kg_co2e_excl_luc</v>
      </c>
      <c r="AE402" s="30">
        <f>IF(CropLCAs[[#This Row],[Product fraction]]="",CropLCAs[[#This Row],[CO2e (value)]]*CropLCAs[[#This Row],[Conversion factor (value)]],CropLCAs[[#This Row],[CO2e (value)]]*CropLCAs[[#This Row],[Conversion factor (value)]]/CropLCAs[[#This Row],[Product fraction]]*CropLCAs[[#This Row],[Value fraction]])</f>
        <v>0.16800000000000001</v>
      </c>
      <c r="AF402" s="17"/>
      <c r="AG402" s="17" t="str">
        <f t="shared" si="28"/>
        <v>processed_ghg</v>
      </c>
      <c r="AH402" s="17"/>
      <c r="AI402" s="17"/>
      <c r="AJ402" s="18" t="str">
        <f>IF(CropLCAs[[#This Row],[product_fraction]]&gt;0,CropLCAs[[#This Row],[footprint]]/CropLCAs[[#This Row],[product_fraction]]*CropLCAs[[#This Row],[value_fraction]],"")</f>
        <v/>
      </c>
      <c r="AK402" s="29">
        <v>1</v>
      </c>
      <c r="AL402" s="17" t="s">
        <v>102</v>
      </c>
      <c r="AM402" s="17" t="s">
        <v>889</v>
      </c>
      <c r="AN402" s="17" t="s">
        <v>890</v>
      </c>
      <c r="AO402" s="17"/>
      <c r="AP402" s="17"/>
      <c r="AQ402" s="5"/>
      <c r="AR402" s="5"/>
      <c r="AS402" s="5"/>
      <c r="AT402" s="5"/>
      <c r="AU402" s="5"/>
    </row>
    <row r="403" spans="1:47" ht="44.1" customHeight="1" x14ac:dyDescent="0.2">
      <c r="A403" s="17" t="s">
        <v>123</v>
      </c>
      <c r="B403" s="17" t="s">
        <v>882</v>
      </c>
      <c r="C403" s="17"/>
      <c r="D403" s="19" t="s">
        <v>883</v>
      </c>
      <c r="E403" s="19" t="s">
        <v>891</v>
      </c>
      <c r="F403" s="17" t="s">
        <v>31</v>
      </c>
      <c r="G403" s="17" t="str">
        <f>IF(CropLCAs[[#This Row],[fbs_item]]="Insects","insect_ghg","plant_ghg")</f>
        <v>plant_ghg</v>
      </c>
      <c r="H403" s="50" t="s">
        <v>308</v>
      </c>
      <c r="I403" s="50"/>
      <c r="J403" s="50"/>
      <c r="K403" s="17" t="s">
        <v>884</v>
      </c>
      <c r="L403" s="17"/>
      <c r="M403" s="17" t="s">
        <v>102</v>
      </c>
      <c r="N403" s="17" t="s">
        <v>102</v>
      </c>
      <c r="O403" s="17" t="s">
        <v>109</v>
      </c>
      <c r="P403" s="17" t="s">
        <v>102</v>
      </c>
      <c r="Q403" s="17" t="s">
        <v>885</v>
      </c>
      <c r="R403" s="17" t="s">
        <v>102</v>
      </c>
      <c r="S403" s="17" t="s">
        <v>886</v>
      </c>
      <c r="T403" s="17" t="s">
        <v>102</v>
      </c>
      <c r="U403" s="17">
        <v>100</v>
      </c>
      <c r="V403" s="17">
        <v>125</v>
      </c>
      <c r="W403" s="17" t="s">
        <v>107</v>
      </c>
      <c r="X403" s="30">
        <v>2.4E-2</v>
      </c>
      <c r="Y403" s="17" t="s">
        <v>106</v>
      </c>
      <c r="Z403" s="17"/>
      <c r="AA403" s="17"/>
      <c r="AB403" s="30">
        <f>1/0.125</f>
        <v>8</v>
      </c>
      <c r="AC403" s="17" t="s">
        <v>888</v>
      </c>
      <c r="AD403" s="17" t="str">
        <f t="shared" si="27"/>
        <v>kg_co2e_excl_luc</v>
      </c>
      <c r="AE403" s="30">
        <f>IF(CropLCAs[[#This Row],[Product fraction]]="",CropLCAs[[#This Row],[CO2e (value)]]*CropLCAs[[#This Row],[Conversion factor (value)]],CropLCAs[[#This Row],[CO2e (value)]]*CropLCAs[[#This Row],[Conversion factor (value)]]/CropLCAs[[#This Row],[Product fraction]]*CropLCAs[[#This Row],[Value fraction]])</f>
        <v>0.192</v>
      </c>
      <c r="AF403" s="17"/>
      <c r="AG403" s="17" t="str">
        <f t="shared" si="28"/>
        <v>processed_ghg</v>
      </c>
      <c r="AH403" s="17"/>
      <c r="AI403" s="17"/>
      <c r="AJ403" s="18" t="str">
        <f>IF(CropLCAs[[#This Row],[product_fraction]]&gt;0,CropLCAs[[#This Row],[footprint]]/CropLCAs[[#This Row],[product_fraction]]*CropLCAs[[#This Row],[value_fraction]],"")</f>
        <v/>
      </c>
      <c r="AK403" s="29">
        <v>1</v>
      </c>
      <c r="AL403" s="17" t="s">
        <v>102</v>
      </c>
      <c r="AM403" s="17" t="s">
        <v>889</v>
      </c>
      <c r="AN403" s="17" t="s">
        <v>890</v>
      </c>
      <c r="AO403" s="17"/>
      <c r="AP403" s="17"/>
      <c r="AQ403" s="5"/>
      <c r="AR403" s="5"/>
      <c r="AS403" s="5"/>
      <c r="AT403" s="5"/>
      <c r="AU403" s="5"/>
    </row>
    <row r="404" spans="1:47" ht="44.1" customHeight="1" x14ac:dyDescent="0.2">
      <c r="A404" s="17" t="s">
        <v>123</v>
      </c>
      <c r="B404" s="17" t="s">
        <v>882</v>
      </c>
      <c r="C404" s="17"/>
      <c r="D404" s="19" t="s">
        <v>883</v>
      </c>
      <c r="E404" s="19" t="s">
        <v>214</v>
      </c>
      <c r="F404" s="17" t="s">
        <v>31</v>
      </c>
      <c r="G404" s="17" t="str">
        <f>IF(CropLCAs[[#This Row],[fbs_item]]="Insects","insect_ghg","plant_ghg")</f>
        <v>plant_ghg</v>
      </c>
      <c r="H404" s="50" t="s">
        <v>308</v>
      </c>
      <c r="I404" s="50"/>
      <c r="J404" s="50"/>
      <c r="K404" s="17" t="s">
        <v>884</v>
      </c>
      <c r="L404" s="17"/>
      <c r="M404" s="17" t="s">
        <v>102</v>
      </c>
      <c r="N404" s="17" t="s">
        <v>102</v>
      </c>
      <c r="O404" s="17" t="s">
        <v>109</v>
      </c>
      <c r="P404" s="17" t="s">
        <v>102</v>
      </c>
      <c r="Q404" s="17" t="s">
        <v>885</v>
      </c>
      <c r="R404" s="17" t="s">
        <v>102</v>
      </c>
      <c r="S404" s="17" t="s">
        <v>886</v>
      </c>
      <c r="T404" s="17" t="s">
        <v>102</v>
      </c>
      <c r="U404" s="17">
        <v>100</v>
      </c>
      <c r="V404" s="17">
        <v>250</v>
      </c>
      <c r="W404" s="17" t="s">
        <v>107</v>
      </c>
      <c r="X404" s="30">
        <v>8.1000000000000003E-2</v>
      </c>
      <c r="Y404" s="17" t="s">
        <v>106</v>
      </c>
      <c r="Z404" s="17"/>
      <c r="AA404" s="17"/>
      <c r="AB404" s="30">
        <f>1/0.25</f>
        <v>4</v>
      </c>
      <c r="AC404" s="17" t="s">
        <v>892</v>
      </c>
      <c r="AD404" s="17" t="str">
        <f t="shared" si="27"/>
        <v>kg_co2e_excl_luc</v>
      </c>
      <c r="AE404" s="30">
        <f>IF(CropLCAs[[#This Row],[Product fraction]]="",CropLCAs[[#This Row],[CO2e (value)]]*CropLCAs[[#This Row],[Conversion factor (value)]],CropLCAs[[#This Row],[CO2e (value)]]*CropLCAs[[#This Row],[Conversion factor (value)]]/CropLCAs[[#This Row],[Product fraction]]*CropLCAs[[#This Row],[Value fraction]])</f>
        <v>0.32400000000000001</v>
      </c>
      <c r="AF404" s="17"/>
      <c r="AG404" s="17" t="str">
        <f t="shared" si="28"/>
        <v>processed_ghg</v>
      </c>
      <c r="AH404" s="17"/>
      <c r="AI404" s="17"/>
      <c r="AJ404" s="18" t="str">
        <f>IF(CropLCAs[[#This Row],[product_fraction]]&gt;0,CropLCAs[[#This Row],[footprint]]/CropLCAs[[#This Row],[product_fraction]]*CropLCAs[[#This Row],[value_fraction]],"")</f>
        <v/>
      </c>
      <c r="AK404" s="29">
        <v>1</v>
      </c>
      <c r="AL404" s="17" t="s">
        <v>102</v>
      </c>
      <c r="AM404" s="17" t="s">
        <v>889</v>
      </c>
      <c r="AN404" s="17" t="s">
        <v>890</v>
      </c>
      <c r="AO404" s="17"/>
      <c r="AP404" s="17"/>
      <c r="AQ404" s="5"/>
      <c r="AR404" s="5"/>
      <c r="AS404" s="5"/>
      <c r="AT404" s="5"/>
      <c r="AU404" s="5"/>
    </row>
    <row r="405" spans="1:47" ht="44.1" customHeight="1" x14ac:dyDescent="0.2">
      <c r="A405" s="17" t="s">
        <v>123</v>
      </c>
      <c r="B405" s="17" t="s">
        <v>872</v>
      </c>
      <c r="C405" s="17"/>
      <c r="D405" s="19" t="s">
        <v>873</v>
      </c>
      <c r="E405" s="19" t="s">
        <v>630</v>
      </c>
      <c r="F405" s="17" t="s">
        <v>5</v>
      </c>
      <c r="G405" s="17" t="str">
        <f>IF(CropLCAs[[#This Row],[fbs_item]]="Insects","insect_ghg","plant_ghg")</f>
        <v>plant_ghg</v>
      </c>
      <c r="H405" s="50" t="s">
        <v>874</v>
      </c>
      <c r="I405" s="50"/>
      <c r="J405" s="50"/>
      <c r="K405" s="17" t="s">
        <v>111</v>
      </c>
      <c r="L405" s="17"/>
      <c r="M405" s="17" t="s">
        <v>102</v>
      </c>
      <c r="N405" s="17"/>
      <c r="O405" s="17"/>
      <c r="P405" s="17" t="s">
        <v>102</v>
      </c>
      <c r="Q405" s="17"/>
      <c r="R405" s="17"/>
      <c r="S405" s="17" t="s">
        <v>102</v>
      </c>
      <c r="T405" s="17"/>
      <c r="U405" s="17" t="s">
        <v>126</v>
      </c>
      <c r="V405" s="17">
        <v>1</v>
      </c>
      <c r="W405" s="17" t="s">
        <v>127</v>
      </c>
      <c r="X405" s="41">
        <v>852</v>
      </c>
      <c r="Y405" s="17" t="s">
        <v>106</v>
      </c>
      <c r="Z405" s="17"/>
      <c r="AA405" s="17"/>
      <c r="AB405" s="41">
        <v>1E-3</v>
      </c>
      <c r="AC405" s="17" t="s">
        <v>195</v>
      </c>
      <c r="AD405" s="17" t="str">
        <f t="shared" si="27"/>
        <v>kg_co2e_excl_luc</v>
      </c>
      <c r="AE405" s="41">
        <f>IF(CropLCAs[[#This Row],[Product fraction]]="",CropLCAs[[#This Row],[CO2e (value)]]*CropLCAs[[#This Row],[Conversion factor (value)]],CropLCAs[[#This Row],[CO2e (value)]]*CropLCAs[[#This Row],[Conversion factor (value)]]/CropLCAs[[#This Row],[Product fraction]]*CropLCAs[[#This Row],[Value fraction]])</f>
        <v>0.85199999999999998</v>
      </c>
      <c r="AF405" s="19"/>
      <c r="AG405" s="19" t="str">
        <f t="shared" si="28"/>
        <v>processed_ghg</v>
      </c>
      <c r="AH405" s="19"/>
      <c r="AI405" s="19"/>
      <c r="AJ405" s="18" t="str">
        <f>IF(CropLCAs[[#This Row],[product_fraction]]&gt;0,CropLCAs[[#This Row],[footprint]]/CropLCAs[[#This Row],[product_fraction]]*CropLCAs[[#This Row],[value_fraction]],"")</f>
        <v/>
      </c>
      <c r="AK405" s="42"/>
      <c r="AL405" s="19" t="s">
        <v>875</v>
      </c>
      <c r="AM405" s="43" t="s">
        <v>876</v>
      </c>
      <c r="AN405" s="17"/>
      <c r="AO405" s="17"/>
      <c r="AP405" s="17"/>
      <c r="AQ405" s="5"/>
      <c r="AR405" s="5"/>
      <c r="AS405" s="5"/>
      <c r="AT405" s="5"/>
      <c r="AU405" s="5"/>
    </row>
    <row r="406" spans="1:47" ht="44.1" customHeight="1" x14ac:dyDescent="0.2">
      <c r="A406" s="17" t="s">
        <v>123</v>
      </c>
      <c r="B406" s="17" t="s">
        <v>872</v>
      </c>
      <c r="C406" s="17"/>
      <c r="D406" s="19" t="s">
        <v>873</v>
      </c>
      <c r="E406" s="19" t="s">
        <v>630</v>
      </c>
      <c r="F406" s="17" t="s">
        <v>5</v>
      </c>
      <c r="G406" s="17" t="str">
        <f>IF(CropLCAs[[#This Row],[fbs_item]]="Insects","insect_ghg","plant_ghg")</f>
        <v>plant_ghg</v>
      </c>
      <c r="H406" s="50" t="s">
        <v>874</v>
      </c>
      <c r="I406" s="50"/>
      <c r="J406" s="50"/>
      <c r="K406" s="17" t="s">
        <v>219</v>
      </c>
      <c r="L406" s="17"/>
      <c r="M406" s="17" t="s">
        <v>102</v>
      </c>
      <c r="N406" s="17"/>
      <c r="O406" s="17"/>
      <c r="P406" s="17" t="s">
        <v>102</v>
      </c>
      <c r="Q406" s="17"/>
      <c r="R406" s="17"/>
      <c r="S406" s="17" t="s">
        <v>102</v>
      </c>
      <c r="T406" s="17"/>
      <c r="U406" s="17" t="s">
        <v>126</v>
      </c>
      <c r="V406" s="17">
        <v>1</v>
      </c>
      <c r="W406" s="17" t="s">
        <v>127</v>
      </c>
      <c r="X406" s="30">
        <v>793</v>
      </c>
      <c r="Y406" s="17" t="s">
        <v>106</v>
      </c>
      <c r="Z406" s="17"/>
      <c r="AA406" s="17"/>
      <c r="AB406" s="30">
        <v>1E-3</v>
      </c>
      <c r="AC406" s="17" t="s">
        <v>195</v>
      </c>
      <c r="AD406" s="17" t="str">
        <f t="shared" si="27"/>
        <v>kg_co2e_excl_luc</v>
      </c>
      <c r="AE406" s="30">
        <f>IF(CropLCAs[[#This Row],[Product fraction]]="",CropLCAs[[#This Row],[CO2e (value)]]*CropLCAs[[#This Row],[Conversion factor (value)]],CropLCAs[[#This Row],[CO2e (value)]]*CropLCAs[[#This Row],[Conversion factor (value)]]/CropLCAs[[#This Row],[Product fraction]]*CropLCAs[[#This Row],[Value fraction]])</f>
        <v>0.79300000000000004</v>
      </c>
      <c r="AF406" s="19"/>
      <c r="AG406" s="19" t="str">
        <f t="shared" si="28"/>
        <v>processed_ghg</v>
      </c>
      <c r="AH406" s="19"/>
      <c r="AI406" s="19"/>
      <c r="AJ406" s="18" t="str">
        <f>IF(CropLCAs[[#This Row],[product_fraction]]&gt;0,CropLCAs[[#This Row],[footprint]]/CropLCAs[[#This Row],[product_fraction]]*CropLCAs[[#This Row],[value_fraction]],"")</f>
        <v/>
      </c>
      <c r="AK406" s="29"/>
      <c r="AL406" s="19" t="s">
        <v>875</v>
      </c>
      <c r="AM406" s="20" t="s">
        <v>876</v>
      </c>
      <c r="AN406" s="17"/>
      <c r="AO406" s="17"/>
      <c r="AP406" s="17"/>
      <c r="AQ406" s="5"/>
      <c r="AR406" s="5"/>
      <c r="AS406" s="5"/>
      <c r="AT406" s="5"/>
      <c r="AU406" s="5"/>
    </row>
    <row r="407" spans="1:47" ht="44.1" customHeight="1" x14ac:dyDescent="0.2">
      <c r="A407" s="17" t="s">
        <v>123</v>
      </c>
      <c r="B407" s="17" t="s">
        <v>872</v>
      </c>
      <c r="C407" s="17"/>
      <c r="D407" s="19" t="s">
        <v>873</v>
      </c>
      <c r="E407" s="19" t="s">
        <v>630</v>
      </c>
      <c r="F407" s="17" t="s">
        <v>5</v>
      </c>
      <c r="G407" s="17" t="str">
        <f>IF(CropLCAs[[#This Row],[fbs_item]]="Insects","insect_ghg","plant_ghg")</f>
        <v>plant_ghg</v>
      </c>
      <c r="H407" s="50" t="s">
        <v>874</v>
      </c>
      <c r="I407" s="50"/>
      <c r="J407" s="50"/>
      <c r="K407" s="17" t="s">
        <v>877</v>
      </c>
      <c r="L407" s="17"/>
      <c r="M407" s="17" t="s">
        <v>102</v>
      </c>
      <c r="N407" s="17"/>
      <c r="O407" s="17"/>
      <c r="P407" s="17" t="s">
        <v>102</v>
      </c>
      <c r="Q407" s="17"/>
      <c r="R407" s="17"/>
      <c r="S407" s="17" t="s">
        <v>102</v>
      </c>
      <c r="T407" s="17"/>
      <c r="U407" s="17" t="s">
        <v>126</v>
      </c>
      <c r="V407" s="17">
        <v>1</v>
      </c>
      <c r="W407" s="17" t="s">
        <v>127</v>
      </c>
      <c r="X407" s="30">
        <v>938</v>
      </c>
      <c r="Y407" s="17" t="s">
        <v>106</v>
      </c>
      <c r="Z407" s="17"/>
      <c r="AA407" s="17"/>
      <c r="AB407" s="30">
        <v>1E-3</v>
      </c>
      <c r="AC407" s="17" t="s">
        <v>195</v>
      </c>
      <c r="AD407" s="17" t="str">
        <f t="shared" si="27"/>
        <v>kg_co2e_excl_luc</v>
      </c>
      <c r="AE407" s="30">
        <f>IF(CropLCAs[[#This Row],[Product fraction]]="",CropLCAs[[#This Row],[CO2e (value)]]*CropLCAs[[#This Row],[Conversion factor (value)]],CropLCAs[[#This Row],[CO2e (value)]]*CropLCAs[[#This Row],[Conversion factor (value)]]/CropLCAs[[#This Row],[Product fraction]]*CropLCAs[[#This Row],[Value fraction]])</f>
        <v>0.93800000000000006</v>
      </c>
      <c r="AF407" s="19"/>
      <c r="AG407" s="19" t="str">
        <f t="shared" si="28"/>
        <v>processed_ghg</v>
      </c>
      <c r="AH407" s="19"/>
      <c r="AI407" s="19"/>
      <c r="AJ407" s="18" t="str">
        <f>IF(CropLCAs[[#This Row],[product_fraction]]&gt;0,CropLCAs[[#This Row],[footprint]]/CropLCAs[[#This Row],[product_fraction]]*CropLCAs[[#This Row],[value_fraction]],"")</f>
        <v/>
      </c>
      <c r="AK407" s="29"/>
      <c r="AL407" s="19" t="s">
        <v>875</v>
      </c>
      <c r="AM407" s="20" t="s">
        <v>876</v>
      </c>
      <c r="AN407" s="17"/>
      <c r="AO407" s="17"/>
      <c r="AP407" s="17"/>
      <c r="AQ407" s="5"/>
      <c r="AR407" s="5"/>
      <c r="AS407" s="5"/>
      <c r="AT407" s="5"/>
      <c r="AU407" s="5"/>
    </row>
    <row r="408" spans="1:47" ht="44.1" customHeight="1" x14ac:dyDescent="0.2">
      <c r="A408" s="17" t="s">
        <v>123</v>
      </c>
      <c r="B408" s="17" t="s">
        <v>872</v>
      </c>
      <c r="C408" s="17"/>
      <c r="D408" s="19" t="s">
        <v>873</v>
      </c>
      <c r="E408" s="19" t="s">
        <v>630</v>
      </c>
      <c r="F408" s="17" t="s">
        <v>5</v>
      </c>
      <c r="G408" s="17" t="str">
        <f>IF(CropLCAs[[#This Row],[fbs_item]]="Insects","insect_ghg","plant_ghg")</f>
        <v>plant_ghg</v>
      </c>
      <c r="H408" s="50" t="s">
        <v>874</v>
      </c>
      <c r="I408" s="50"/>
      <c r="J408" s="50"/>
      <c r="K408" s="17" t="s">
        <v>101</v>
      </c>
      <c r="L408" s="17"/>
      <c r="M408" s="17" t="s">
        <v>102</v>
      </c>
      <c r="N408" s="17"/>
      <c r="O408" s="17"/>
      <c r="P408" s="17" t="s">
        <v>102</v>
      </c>
      <c r="Q408" s="17"/>
      <c r="R408" s="17"/>
      <c r="S408" s="17" t="s">
        <v>102</v>
      </c>
      <c r="T408" s="17"/>
      <c r="U408" s="17" t="s">
        <v>126</v>
      </c>
      <c r="V408" s="17">
        <v>1</v>
      </c>
      <c r="W408" s="17" t="s">
        <v>127</v>
      </c>
      <c r="X408" s="30">
        <v>629</v>
      </c>
      <c r="Y408" s="17" t="s">
        <v>106</v>
      </c>
      <c r="Z408" s="17"/>
      <c r="AA408" s="17"/>
      <c r="AB408" s="30">
        <v>1E-3</v>
      </c>
      <c r="AC408" s="17" t="s">
        <v>195</v>
      </c>
      <c r="AD408" s="17" t="str">
        <f t="shared" si="27"/>
        <v>kg_co2e_excl_luc</v>
      </c>
      <c r="AE408" s="30">
        <f>IF(CropLCAs[[#This Row],[Product fraction]]="",CropLCAs[[#This Row],[CO2e (value)]]*CropLCAs[[#This Row],[Conversion factor (value)]],CropLCAs[[#This Row],[CO2e (value)]]*CropLCAs[[#This Row],[Conversion factor (value)]]/CropLCAs[[#This Row],[Product fraction]]*CropLCAs[[#This Row],[Value fraction]])</f>
        <v>0.629</v>
      </c>
      <c r="AF408" s="19"/>
      <c r="AG408" s="19" t="str">
        <f t="shared" si="28"/>
        <v>processed_ghg</v>
      </c>
      <c r="AH408" s="19"/>
      <c r="AI408" s="19"/>
      <c r="AJ408" s="18" t="str">
        <f>IF(CropLCAs[[#This Row],[product_fraction]]&gt;0,CropLCAs[[#This Row],[footprint]]/CropLCAs[[#This Row],[product_fraction]]*CropLCAs[[#This Row],[value_fraction]],"")</f>
        <v/>
      </c>
      <c r="AK408" s="29"/>
      <c r="AL408" s="19" t="s">
        <v>875</v>
      </c>
      <c r="AM408" s="20" t="s">
        <v>876</v>
      </c>
      <c r="AN408" s="17"/>
      <c r="AO408" s="17"/>
      <c r="AP408" s="17"/>
      <c r="AQ408" s="5"/>
      <c r="AR408" s="5"/>
      <c r="AS408" s="5"/>
      <c r="AT408" s="5"/>
      <c r="AU408" s="5"/>
    </row>
    <row r="409" spans="1:47" ht="44.1" customHeight="1" x14ac:dyDescent="0.2">
      <c r="A409" s="5" t="s">
        <v>123</v>
      </c>
      <c r="B409" s="5" t="s">
        <v>1479</v>
      </c>
      <c r="C409" s="16">
        <v>2014</v>
      </c>
      <c r="D409" s="7" t="s">
        <v>535</v>
      </c>
      <c r="E409" s="6" t="s">
        <v>525</v>
      </c>
      <c r="F409" s="5" t="s">
        <v>9</v>
      </c>
      <c r="G409" s="5" t="str">
        <f>IF(CropLCAs[[#This Row],[fbs_item]]="Insects","insect_ghg","plant_ghg")</f>
        <v>plant_ghg</v>
      </c>
      <c r="H409" s="49" t="s">
        <v>225</v>
      </c>
      <c r="I409" s="49"/>
      <c r="J409" s="49"/>
      <c r="K409" s="5" t="s">
        <v>230</v>
      </c>
      <c r="L409" s="5" t="s">
        <v>538</v>
      </c>
      <c r="M409" s="5" t="s">
        <v>529</v>
      </c>
      <c r="N409" s="5" t="s">
        <v>109</v>
      </c>
      <c r="O409" s="5" t="s">
        <v>109</v>
      </c>
      <c r="P409" s="5" t="s">
        <v>102</v>
      </c>
      <c r="Q409" s="5" t="s">
        <v>102</v>
      </c>
      <c r="R409" s="5" t="s">
        <v>102</v>
      </c>
      <c r="S409" s="5" t="s">
        <v>102</v>
      </c>
      <c r="T409" s="5" t="s">
        <v>102</v>
      </c>
      <c r="U409" s="5">
        <v>100</v>
      </c>
      <c r="V409" s="5">
        <v>1</v>
      </c>
      <c r="W409" s="5" t="s">
        <v>106</v>
      </c>
      <c r="X409" s="24">
        <v>2.0499999999999998</v>
      </c>
      <c r="Y409" s="5" t="s">
        <v>106</v>
      </c>
      <c r="Z409" s="5"/>
      <c r="AA409" s="5"/>
      <c r="AB409" s="24">
        <v>1</v>
      </c>
      <c r="AC409" s="5"/>
      <c r="AD409" s="5" t="str">
        <f t="shared" si="27"/>
        <v>kg_co2e_excl_luc</v>
      </c>
      <c r="AE409" s="24">
        <f>IF(CropLCAs[[#This Row],[Product fraction]]="",CropLCAs[[#This Row],[CO2e (value)]]*CropLCAs[[#This Row],[Conversion factor (value)]],CropLCAs[[#This Row],[CO2e (value)]]*CropLCAs[[#This Row],[Conversion factor (value)]]/CropLCAs[[#This Row],[Product fraction]]*CropLCAs[[#This Row],[Value fraction]])</f>
        <v>2.0499999999999998</v>
      </c>
      <c r="AF409" s="5"/>
      <c r="AG409" s="5" t="str">
        <f t="shared" si="28"/>
        <v>processed_ghg</v>
      </c>
      <c r="AH409" s="5"/>
      <c r="AI409" s="5"/>
      <c r="AJ409" s="8" t="str">
        <f>IF(CropLCAs[[#This Row],[product_fraction]]&gt;0,CropLCAs[[#This Row],[footprint]]/CropLCAs[[#This Row],[product_fraction]]*CropLCAs[[#This Row],[value_fraction]],"")</f>
        <v/>
      </c>
      <c r="AK409" s="23">
        <f>1/4</f>
        <v>0.25</v>
      </c>
      <c r="AL409" s="5" t="s">
        <v>109</v>
      </c>
      <c r="AM409" s="5"/>
      <c r="AN409" s="5"/>
      <c r="AO409" s="5"/>
      <c r="AP409" s="5"/>
      <c r="AQ409" s="5"/>
      <c r="AR409" s="5"/>
      <c r="AS409" s="5"/>
      <c r="AT409" s="5"/>
      <c r="AU409" s="5"/>
    </row>
    <row r="410" spans="1:47" ht="44.1" customHeight="1" x14ac:dyDescent="0.2">
      <c r="A410" s="5" t="s">
        <v>123</v>
      </c>
      <c r="B410" s="5" t="s">
        <v>1479</v>
      </c>
      <c r="C410" s="16">
        <v>2014</v>
      </c>
      <c r="D410" s="7" t="s">
        <v>535</v>
      </c>
      <c r="E410" s="6" t="s">
        <v>525</v>
      </c>
      <c r="F410" s="5" t="s">
        <v>9</v>
      </c>
      <c r="G410" s="5" t="str">
        <f>IF(CropLCAs[[#This Row],[fbs_item]]="Insects","insect_ghg","plant_ghg")</f>
        <v>plant_ghg</v>
      </c>
      <c r="H410" s="49" t="s">
        <v>225</v>
      </c>
      <c r="I410" s="49"/>
      <c r="J410" s="49"/>
      <c r="K410" s="5" t="s">
        <v>1302</v>
      </c>
      <c r="L410" s="5"/>
      <c r="M410" s="5" t="s">
        <v>102</v>
      </c>
      <c r="N410" s="5" t="s">
        <v>102</v>
      </c>
      <c r="O410" s="5" t="s">
        <v>109</v>
      </c>
      <c r="P410" s="5" t="s">
        <v>102</v>
      </c>
      <c r="Q410" s="5" t="s">
        <v>102</v>
      </c>
      <c r="R410" s="5" t="s">
        <v>102</v>
      </c>
      <c r="S410" s="5" t="s">
        <v>102</v>
      </c>
      <c r="T410" s="5" t="s">
        <v>102</v>
      </c>
      <c r="U410" s="5">
        <v>100</v>
      </c>
      <c r="V410" s="5">
        <v>1</v>
      </c>
      <c r="W410" s="5" t="s">
        <v>106</v>
      </c>
      <c r="X410" s="24">
        <v>0.3</v>
      </c>
      <c r="Y410" s="5" t="s">
        <v>106</v>
      </c>
      <c r="Z410" s="5"/>
      <c r="AA410" s="5"/>
      <c r="AB410" s="24">
        <v>1</v>
      </c>
      <c r="AC410" s="5"/>
      <c r="AD410" s="5" t="str">
        <f t="shared" si="27"/>
        <v>kg_co2e_excl_luc</v>
      </c>
      <c r="AE410" s="24">
        <f>IF(CropLCAs[[#This Row],[Product fraction]]="",CropLCAs[[#This Row],[CO2e (value)]]*CropLCAs[[#This Row],[Conversion factor (value)]],CropLCAs[[#This Row],[CO2e (value)]]*CropLCAs[[#This Row],[Conversion factor (value)]]/CropLCAs[[#This Row],[Product fraction]]*CropLCAs[[#This Row],[Value fraction]])</f>
        <v>0.3</v>
      </c>
      <c r="AF410" s="5"/>
      <c r="AG410" s="5" t="str">
        <f t="shared" si="28"/>
        <v>processed_ghg</v>
      </c>
      <c r="AH410" s="5"/>
      <c r="AI410" s="5"/>
      <c r="AJ410" s="8" t="str">
        <f>IF(CropLCAs[[#This Row],[product_fraction]]&gt;0,CropLCAs[[#This Row],[footprint]]/CropLCAs[[#This Row],[product_fraction]]*CropLCAs[[#This Row],[value_fraction]],"")</f>
        <v/>
      </c>
      <c r="AK410" s="23">
        <f>1/4</f>
        <v>0.25</v>
      </c>
      <c r="AL410" s="5" t="s">
        <v>109</v>
      </c>
      <c r="AM410" s="5"/>
      <c r="AN410" s="5"/>
      <c r="AO410" s="5"/>
      <c r="AP410" s="5"/>
      <c r="AQ410" s="5"/>
      <c r="AR410" s="5"/>
      <c r="AS410" s="5"/>
      <c r="AT410" s="5"/>
      <c r="AU410" s="5"/>
    </row>
    <row r="411" spans="1:47" ht="44.1" customHeight="1" x14ac:dyDescent="0.2">
      <c r="A411" s="5" t="s">
        <v>123</v>
      </c>
      <c r="B411" s="5" t="s">
        <v>1480</v>
      </c>
      <c r="C411" s="16">
        <v>2013</v>
      </c>
      <c r="D411" s="6" t="s">
        <v>313</v>
      </c>
      <c r="E411" s="6" t="s">
        <v>305</v>
      </c>
      <c r="F411" s="5" t="s">
        <v>25</v>
      </c>
      <c r="G411" s="5" t="str">
        <f>IF(CropLCAs[[#This Row],[fbs_item]]="Insects","insect_ghg","plant_ghg")</f>
        <v>plant_ghg</v>
      </c>
      <c r="H411" s="49" t="s">
        <v>314</v>
      </c>
      <c r="I411" s="49"/>
      <c r="J411" s="49"/>
      <c r="K411" s="5" t="s">
        <v>138</v>
      </c>
      <c r="L411" s="5"/>
      <c r="M411" s="5" t="s">
        <v>102</v>
      </c>
      <c r="N411" s="5" t="s">
        <v>109</v>
      </c>
      <c r="O411" s="5" t="s">
        <v>109</v>
      </c>
      <c r="P411" s="5" t="s">
        <v>102</v>
      </c>
      <c r="Q411" s="5" t="s">
        <v>102</v>
      </c>
      <c r="R411" s="5" t="s">
        <v>102</v>
      </c>
      <c r="S411" s="5" t="s">
        <v>102</v>
      </c>
      <c r="T411" s="5" t="s">
        <v>102</v>
      </c>
      <c r="U411" s="5">
        <v>100</v>
      </c>
      <c r="V411" s="5">
        <v>1</v>
      </c>
      <c r="W411" s="5" t="s">
        <v>106</v>
      </c>
      <c r="X411" s="24">
        <v>0.11</v>
      </c>
      <c r="Y411" s="5" t="s">
        <v>106</v>
      </c>
      <c r="Z411" s="5"/>
      <c r="AA411" s="5"/>
      <c r="AB411" s="24">
        <v>1</v>
      </c>
      <c r="AC411" s="5"/>
      <c r="AD411" s="5" t="str">
        <f t="shared" si="27"/>
        <v>kg_co2e_excl_luc</v>
      </c>
      <c r="AE411" s="24">
        <f>IF(CropLCAs[[#This Row],[Product fraction]]="",CropLCAs[[#This Row],[CO2e (value)]]*CropLCAs[[#This Row],[Conversion factor (value)]],CropLCAs[[#This Row],[CO2e (value)]]*CropLCAs[[#This Row],[Conversion factor (value)]]/CropLCAs[[#This Row],[Product fraction]]*CropLCAs[[#This Row],[Value fraction]])</f>
        <v>0.11</v>
      </c>
      <c r="AF411" s="5" t="s">
        <v>45</v>
      </c>
      <c r="AG411" s="5" t="str">
        <f t="shared" si="28"/>
        <v>processed_ghg</v>
      </c>
      <c r="AH411" s="9">
        <v>0.2</v>
      </c>
      <c r="AI411" s="9">
        <v>0.96</v>
      </c>
      <c r="AJ411" s="8">
        <f>IF(CropLCAs[[#This Row],[product_fraction]]&gt;0,CropLCAs[[#This Row],[footprint]]/CropLCAs[[#This Row],[product_fraction]]*CropLCAs[[#This Row],[value_fraction]],"")</f>
        <v>0.52799999999999991</v>
      </c>
      <c r="AK411" s="23">
        <f t="shared" ref="AK411:AK416" si="30">1/2</f>
        <v>0.5</v>
      </c>
      <c r="AL411" s="5" t="s">
        <v>109</v>
      </c>
      <c r="AM411" s="5"/>
      <c r="AN411" s="5"/>
      <c r="AO411" s="5"/>
      <c r="AP411" s="5"/>
      <c r="AQ411" s="5"/>
      <c r="AR411" s="5"/>
      <c r="AS411" s="5"/>
      <c r="AT411" s="5"/>
      <c r="AU411" s="5"/>
    </row>
    <row r="412" spans="1:47" ht="44.1" customHeight="1" x14ac:dyDescent="0.2">
      <c r="A412" s="5" t="s">
        <v>123</v>
      </c>
      <c r="B412" s="5" t="s">
        <v>1480</v>
      </c>
      <c r="C412" s="16">
        <v>2013</v>
      </c>
      <c r="D412" s="6" t="s">
        <v>313</v>
      </c>
      <c r="E412" s="6" t="s">
        <v>305</v>
      </c>
      <c r="F412" s="5" t="s">
        <v>25</v>
      </c>
      <c r="G412" s="5" t="str">
        <f>IF(CropLCAs[[#This Row],[fbs_item]]="Insects","insect_ghg","plant_ghg")</f>
        <v>plant_ghg</v>
      </c>
      <c r="H412" s="49" t="s">
        <v>314</v>
      </c>
      <c r="I412" s="49"/>
      <c r="J412" s="49"/>
      <c r="K412" s="5" t="s">
        <v>1303</v>
      </c>
      <c r="L412" s="5" t="s">
        <v>315</v>
      </c>
      <c r="M412" s="5" t="s">
        <v>102</v>
      </c>
      <c r="N412" s="5" t="s">
        <v>109</v>
      </c>
      <c r="O412" s="5" t="s">
        <v>109</v>
      </c>
      <c r="P412" s="5" t="s">
        <v>102</v>
      </c>
      <c r="Q412" s="5" t="s">
        <v>102</v>
      </c>
      <c r="R412" s="5" t="s">
        <v>102</v>
      </c>
      <c r="S412" s="5" t="s">
        <v>102</v>
      </c>
      <c r="T412" s="5" t="s">
        <v>102</v>
      </c>
      <c r="U412" s="5">
        <v>100</v>
      </c>
      <c r="V412" s="5">
        <v>1</v>
      </c>
      <c r="W412" s="5" t="s">
        <v>106</v>
      </c>
      <c r="X412" s="24">
        <v>0.08</v>
      </c>
      <c r="Y412" s="5" t="s">
        <v>106</v>
      </c>
      <c r="Z412" s="5"/>
      <c r="AA412" s="5"/>
      <c r="AB412" s="24">
        <v>1</v>
      </c>
      <c r="AC412" s="5"/>
      <c r="AD412" s="5" t="str">
        <f t="shared" si="27"/>
        <v>kg_co2e_excl_luc</v>
      </c>
      <c r="AE412" s="24">
        <f>IF(CropLCAs[[#This Row],[Product fraction]]="",CropLCAs[[#This Row],[CO2e (value)]]*CropLCAs[[#This Row],[Conversion factor (value)]],CropLCAs[[#This Row],[CO2e (value)]]*CropLCAs[[#This Row],[Conversion factor (value)]]/CropLCAs[[#This Row],[Product fraction]]*CropLCAs[[#This Row],[Value fraction]])</f>
        <v>0.08</v>
      </c>
      <c r="AF412" s="5" t="s">
        <v>45</v>
      </c>
      <c r="AG412" s="5" t="str">
        <f t="shared" si="28"/>
        <v>processed_ghg</v>
      </c>
      <c r="AH412" s="9">
        <v>0.2</v>
      </c>
      <c r="AI412" s="9">
        <v>0.96</v>
      </c>
      <c r="AJ412" s="8">
        <f>IF(CropLCAs[[#This Row],[product_fraction]]&gt;0,CropLCAs[[#This Row],[footprint]]/CropLCAs[[#This Row],[product_fraction]]*CropLCAs[[#This Row],[value_fraction]],"")</f>
        <v>0.38399999999999995</v>
      </c>
      <c r="AK412" s="23">
        <f t="shared" si="30"/>
        <v>0.5</v>
      </c>
      <c r="AL412" s="5" t="s">
        <v>109</v>
      </c>
      <c r="AM412" s="5"/>
      <c r="AN412" s="5"/>
      <c r="AO412" s="5"/>
      <c r="AP412" s="5"/>
      <c r="AQ412" s="5"/>
      <c r="AR412" s="5"/>
      <c r="AS412" s="5"/>
      <c r="AT412" s="5"/>
      <c r="AU412" s="5"/>
    </row>
    <row r="413" spans="1:47" ht="44.1" customHeight="1" x14ac:dyDescent="0.2">
      <c r="A413" s="5" t="s">
        <v>123</v>
      </c>
      <c r="B413" s="5" t="s">
        <v>1480</v>
      </c>
      <c r="C413" s="16">
        <v>2013</v>
      </c>
      <c r="D413" s="6" t="s">
        <v>269</v>
      </c>
      <c r="E413" s="6" t="s">
        <v>265</v>
      </c>
      <c r="F413" s="5" t="s">
        <v>33</v>
      </c>
      <c r="G413" s="5" t="str">
        <f>IF(CropLCAs[[#This Row],[fbs_item]]="Insects","insect_ghg","plant_ghg")</f>
        <v>plant_ghg</v>
      </c>
      <c r="H413" s="49" t="s">
        <v>314</v>
      </c>
      <c r="I413" s="49"/>
      <c r="J413" s="49"/>
      <c r="K413" s="5" t="s">
        <v>101</v>
      </c>
      <c r="L413" s="5"/>
      <c r="M413" s="5" t="s">
        <v>102</v>
      </c>
      <c r="N413" s="5" t="s">
        <v>109</v>
      </c>
      <c r="O413" s="5" t="s">
        <v>109</v>
      </c>
      <c r="P413" s="5" t="s">
        <v>102</v>
      </c>
      <c r="Q413" s="5" t="s">
        <v>102</v>
      </c>
      <c r="R413" s="5" t="s">
        <v>102</v>
      </c>
      <c r="S413" s="5" t="s">
        <v>102</v>
      </c>
      <c r="T413" s="5" t="s">
        <v>102</v>
      </c>
      <c r="U413" s="5">
        <v>100</v>
      </c>
      <c r="V413" s="5">
        <v>1</v>
      </c>
      <c r="W413" s="5" t="s">
        <v>106</v>
      </c>
      <c r="X413" s="24">
        <v>0.04</v>
      </c>
      <c r="Y413" s="5" t="s">
        <v>106</v>
      </c>
      <c r="Z413" s="5"/>
      <c r="AA413" s="5"/>
      <c r="AB413" s="24">
        <v>1</v>
      </c>
      <c r="AC413" s="5"/>
      <c r="AD413" s="5" t="str">
        <f t="shared" si="27"/>
        <v>kg_co2e_excl_luc</v>
      </c>
      <c r="AE413" s="24">
        <f>IF(CropLCAs[[#This Row],[Product fraction]]="",CropLCAs[[#This Row],[CO2e (value)]]*CropLCAs[[#This Row],[Conversion factor (value)]],CropLCAs[[#This Row],[CO2e (value)]]*CropLCAs[[#This Row],[Conversion factor (value)]]/CropLCAs[[#This Row],[Product fraction]]*CropLCAs[[#This Row],[Value fraction]])</f>
        <v>0.04</v>
      </c>
      <c r="AF413" s="5"/>
      <c r="AG413" s="5" t="str">
        <f t="shared" si="28"/>
        <v>processed_ghg</v>
      </c>
      <c r="AH413" s="5"/>
      <c r="AI413" s="5"/>
      <c r="AJ413" s="8" t="str">
        <f>IF(CropLCAs[[#This Row],[product_fraction]]&gt;0,CropLCAs[[#This Row],[footprint]]/CropLCAs[[#This Row],[product_fraction]]*CropLCAs[[#This Row],[value_fraction]],"")</f>
        <v/>
      </c>
      <c r="AK413" s="23">
        <f t="shared" si="30"/>
        <v>0.5</v>
      </c>
      <c r="AL413" s="5" t="s">
        <v>109</v>
      </c>
      <c r="AM413" s="5"/>
      <c r="AN413" s="5"/>
      <c r="AO413" s="5"/>
      <c r="AP413" s="5"/>
      <c r="AQ413" s="5"/>
      <c r="AR413" s="5"/>
      <c r="AS413" s="5"/>
      <c r="AT413" s="5"/>
      <c r="AU413" s="5"/>
    </row>
    <row r="414" spans="1:47" ht="44.1" customHeight="1" x14ac:dyDescent="0.2">
      <c r="A414" s="5" t="s">
        <v>123</v>
      </c>
      <c r="B414" s="5" t="s">
        <v>1480</v>
      </c>
      <c r="C414" s="16">
        <v>2013</v>
      </c>
      <c r="D414" s="6" t="s">
        <v>269</v>
      </c>
      <c r="E414" s="6" t="s">
        <v>265</v>
      </c>
      <c r="F414" s="5" t="s">
        <v>33</v>
      </c>
      <c r="G414" s="5" t="str">
        <f>IF(CropLCAs[[#This Row],[fbs_item]]="Insects","insect_ghg","plant_ghg")</f>
        <v>plant_ghg</v>
      </c>
      <c r="H414" s="49" t="s">
        <v>314</v>
      </c>
      <c r="I414" s="49"/>
      <c r="J414" s="49"/>
      <c r="K414" s="5" t="s">
        <v>111</v>
      </c>
      <c r="L414" s="5"/>
      <c r="M414" s="5" t="s">
        <v>102</v>
      </c>
      <c r="N414" s="5" t="s">
        <v>109</v>
      </c>
      <c r="O414" s="5" t="s">
        <v>109</v>
      </c>
      <c r="P414" s="5" t="s">
        <v>102</v>
      </c>
      <c r="Q414" s="5" t="s">
        <v>102</v>
      </c>
      <c r="R414" s="5" t="s">
        <v>102</v>
      </c>
      <c r="S414" s="5" t="s">
        <v>102</v>
      </c>
      <c r="T414" s="5" t="s">
        <v>102</v>
      </c>
      <c r="U414" s="5">
        <v>100</v>
      </c>
      <c r="V414" s="5"/>
      <c r="W414" s="5" t="s">
        <v>106</v>
      </c>
      <c r="X414" s="24">
        <v>0.12</v>
      </c>
      <c r="Y414" s="5" t="s">
        <v>106</v>
      </c>
      <c r="Z414" s="5"/>
      <c r="AA414" s="5"/>
      <c r="AB414" s="24">
        <v>1</v>
      </c>
      <c r="AC414" s="5"/>
      <c r="AD414" s="5" t="str">
        <f t="shared" si="27"/>
        <v>kg_co2e_excl_luc</v>
      </c>
      <c r="AE414" s="24">
        <f>IF(CropLCAs[[#This Row],[Product fraction]]="",CropLCAs[[#This Row],[CO2e (value)]]*CropLCAs[[#This Row],[Conversion factor (value)]],CropLCAs[[#This Row],[CO2e (value)]]*CropLCAs[[#This Row],[Conversion factor (value)]]/CropLCAs[[#This Row],[Product fraction]]*CropLCAs[[#This Row],[Value fraction]])</f>
        <v>0.12</v>
      </c>
      <c r="AF414" s="5"/>
      <c r="AG414" s="5" t="str">
        <f t="shared" si="28"/>
        <v>processed_ghg</v>
      </c>
      <c r="AH414" s="5"/>
      <c r="AI414" s="5"/>
      <c r="AJ414" s="8" t="str">
        <f>IF(CropLCAs[[#This Row],[product_fraction]]&gt;0,CropLCAs[[#This Row],[footprint]]/CropLCAs[[#This Row],[product_fraction]]*CropLCAs[[#This Row],[value_fraction]],"")</f>
        <v/>
      </c>
      <c r="AK414" s="23">
        <f t="shared" si="30"/>
        <v>0.5</v>
      </c>
      <c r="AL414" s="5" t="s">
        <v>109</v>
      </c>
      <c r="AM414" s="5"/>
      <c r="AN414" s="5"/>
      <c r="AO414" s="5"/>
      <c r="AP414" s="5"/>
      <c r="AQ414" s="5"/>
      <c r="AR414" s="5"/>
      <c r="AS414" s="5"/>
      <c r="AT414" s="5"/>
      <c r="AU414" s="5"/>
    </row>
    <row r="415" spans="1:47" ht="44.1" customHeight="1" x14ac:dyDescent="0.2">
      <c r="A415" s="5" t="s">
        <v>123</v>
      </c>
      <c r="B415" s="5" t="s">
        <v>1480</v>
      </c>
      <c r="C415" s="16">
        <v>2013</v>
      </c>
      <c r="D415" s="6" t="s">
        <v>269</v>
      </c>
      <c r="E415" s="6" t="s">
        <v>350</v>
      </c>
      <c r="F415" s="5" t="s">
        <v>27</v>
      </c>
      <c r="G415" s="5" t="str">
        <f>IF(CropLCAs[[#This Row],[fbs_item]]="Insects","insect_ghg","plant_ghg")</f>
        <v>plant_ghg</v>
      </c>
      <c r="H415" s="49" t="s">
        <v>314</v>
      </c>
      <c r="I415" s="49"/>
      <c r="J415" s="49"/>
      <c r="K415" s="5" t="s">
        <v>101</v>
      </c>
      <c r="L415" s="5"/>
      <c r="M415" s="5" t="s">
        <v>102</v>
      </c>
      <c r="N415" s="5" t="s">
        <v>109</v>
      </c>
      <c r="O415" s="5" t="s">
        <v>109</v>
      </c>
      <c r="P415" s="5" t="s">
        <v>102</v>
      </c>
      <c r="Q415" s="5" t="s">
        <v>102</v>
      </c>
      <c r="R415" s="5" t="s">
        <v>102</v>
      </c>
      <c r="S415" s="5" t="s">
        <v>102</v>
      </c>
      <c r="T415" s="5" t="s">
        <v>102</v>
      </c>
      <c r="U415" s="5">
        <v>100</v>
      </c>
      <c r="V415" s="5">
        <v>1</v>
      </c>
      <c r="W415" s="5" t="s">
        <v>106</v>
      </c>
      <c r="X415" s="24">
        <v>0.04</v>
      </c>
      <c r="Y415" s="5" t="s">
        <v>106</v>
      </c>
      <c r="Z415" s="5"/>
      <c r="AA415" s="5"/>
      <c r="AB415" s="24">
        <v>1</v>
      </c>
      <c r="AC415" s="5"/>
      <c r="AD415" s="5" t="str">
        <f t="shared" si="27"/>
        <v>kg_co2e_excl_luc</v>
      </c>
      <c r="AE415" s="24">
        <f>IF(CropLCAs[[#This Row],[Product fraction]]="",CropLCAs[[#This Row],[CO2e (value)]]*CropLCAs[[#This Row],[Conversion factor (value)]],CropLCAs[[#This Row],[CO2e (value)]]*CropLCAs[[#This Row],[Conversion factor (value)]]/CropLCAs[[#This Row],[Product fraction]]*CropLCAs[[#This Row],[Value fraction]])</f>
        <v>0.04</v>
      </c>
      <c r="AF415" s="5"/>
      <c r="AG415" s="5" t="str">
        <f t="shared" si="28"/>
        <v>processed_ghg</v>
      </c>
      <c r="AH415" s="5"/>
      <c r="AI415" s="5"/>
      <c r="AJ415" s="8" t="str">
        <f>IF(CropLCAs[[#This Row],[product_fraction]]&gt;0,CropLCAs[[#This Row],[footprint]]/CropLCAs[[#This Row],[product_fraction]]*CropLCAs[[#This Row],[value_fraction]],"")</f>
        <v/>
      </c>
      <c r="AK415" s="23">
        <f t="shared" si="30"/>
        <v>0.5</v>
      </c>
      <c r="AL415" s="5" t="s">
        <v>109</v>
      </c>
      <c r="AM415" s="5"/>
      <c r="AN415" s="5"/>
      <c r="AO415" s="5"/>
      <c r="AP415" s="5"/>
      <c r="AQ415" s="5"/>
      <c r="AR415" s="5"/>
      <c r="AS415" s="5"/>
      <c r="AT415" s="5"/>
      <c r="AU415" s="5"/>
    </row>
    <row r="416" spans="1:47" ht="44.1" customHeight="1" x14ac:dyDescent="0.2">
      <c r="A416" s="5" t="s">
        <v>123</v>
      </c>
      <c r="B416" s="5" t="s">
        <v>1480</v>
      </c>
      <c r="C416" s="16">
        <v>2013</v>
      </c>
      <c r="D416" s="6" t="s">
        <v>269</v>
      </c>
      <c r="E416" s="6" t="s">
        <v>350</v>
      </c>
      <c r="F416" s="5" t="s">
        <v>27</v>
      </c>
      <c r="G416" s="5" t="str">
        <f>IF(CropLCAs[[#This Row],[fbs_item]]="Insects","insect_ghg","plant_ghg")</f>
        <v>plant_ghg</v>
      </c>
      <c r="H416" s="49" t="s">
        <v>314</v>
      </c>
      <c r="I416" s="49"/>
      <c r="J416" s="49"/>
      <c r="K416" s="5" t="s">
        <v>111</v>
      </c>
      <c r="L416" s="5"/>
      <c r="M416" s="5" t="s">
        <v>102</v>
      </c>
      <c r="N416" s="5" t="s">
        <v>109</v>
      </c>
      <c r="O416" s="5" t="s">
        <v>109</v>
      </c>
      <c r="P416" s="5" t="s">
        <v>102</v>
      </c>
      <c r="Q416" s="5" t="s">
        <v>102</v>
      </c>
      <c r="R416" s="5" t="s">
        <v>102</v>
      </c>
      <c r="S416" s="5" t="s">
        <v>102</v>
      </c>
      <c r="T416" s="5" t="s">
        <v>102</v>
      </c>
      <c r="U416" s="5">
        <v>100</v>
      </c>
      <c r="V416" s="5">
        <v>1</v>
      </c>
      <c r="W416" s="5" t="s">
        <v>106</v>
      </c>
      <c r="X416" s="24">
        <v>0.13</v>
      </c>
      <c r="Y416" s="5" t="s">
        <v>106</v>
      </c>
      <c r="Z416" s="5"/>
      <c r="AA416" s="5"/>
      <c r="AB416" s="24">
        <v>1</v>
      </c>
      <c r="AC416" s="5"/>
      <c r="AD416" s="5" t="str">
        <f t="shared" si="27"/>
        <v>kg_co2e_excl_luc</v>
      </c>
      <c r="AE416" s="24">
        <f>IF(CropLCAs[[#This Row],[Product fraction]]="",CropLCAs[[#This Row],[CO2e (value)]]*CropLCAs[[#This Row],[Conversion factor (value)]],CropLCAs[[#This Row],[CO2e (value)]]*CropLCAs[[#This Row],[Conversion factor (value)]]/CropLCAs[[#This Row],[Product fraction]]*CropLCAs[[#This Row],[Value fraction]])</f>
        <v>0.13</v>
      </c>
      <c r="AF416" s="5"/>
      <c r="AG416" s="5" t="str">
        <f t="shared" si="28"/>
        <v>processed_ghg</v>
      </c>
      <c r="AH416" s="5"/>
      <c r="AI416" s="5"/>
      <c r="AJ416" s="8" t="str">
        <f>IF(CropLCAs[[#This Row],[product_fraction]]&gt;0,CropLCAs[[#This Row],[footprint]]/CropLCAs[[#This Row],[product_fraction]]*CropLCAs[[#This Row],[value_fraction]],"")</f>
        <v/>
      </c>
      <c r="AK416" s="23">
        <f t="shared" si="30"/>
        <v>0.5</v>
      </c>
      <c r="AL416" s="5" t="s">
        <v>109</v>
      </c>
      <c r="AM416" s="5"/>
      <c r="AN416" s="5"/>
      <c r="AO416" s="5"/>
      <c r="AP416" s="5"/>
      <c r="AQ416" s="5"/>
      <c r="AR416" s="5"/>
      <c r="AS416" s="5"/>
      <c r="AT416" s="5"/>
      <c r="AU416" s="5"/>
    </row>
    <row r="417" spans="1:47" ht="44.1" customHeight="1" x14ac:dyDescent="0.2">
      <c r="A417" s="5" t="s">
        <v>123</v>
      </c>
      <c r="B417" s="5" t="s">
        <v>1481</v>
      </c>
      <c r="C417" s="16">
        <v>2012</v>
      </c>
      <c r="D417" s="7" t="s">
        <v>383</v>
      </c>
      <c r="E417" s="6" t="s">
        <v>376</v>
      </c>
      <c r="F417" s="5" t="s">
        <v>16</v>
      </c>
      <c r="G417" s="5" t="str">
        <f>IF(CropLCAs[[#This Row],[fbs_item]]="Insects","insect_ghg","plant_ghg")</f>
        <v>plant_ghg</v>
      </c>
      <c r="H417" s="49" t="s">
        <v>170</v>
      </c>
      <c r="I417" s="49"/>
      <c r="J417" s="49"/>
      <c r="K417" s="5" t="s">
        <v>111</v>
      </c>
      <c r="L417" s="5"/>
      <c r="M417" s="5" t="s">
        <v>102</v>
      </c>
      <c r="N417" s="5" t="s">
        <v>109</v>
      </c>
      <c r="O417" s="5" t="s">
        <v>109</v>
      </c>
      <c r="P417" s="5" t="s">
        <v>102</v>
      </c>
      <c r="Q417" s="5" t="s">
        <v>102</v>
      </c>
      <c r="R417" s="5" t="s">
        <v>102</v>
      </c>
      <c r="S417" s="5" t="s">
        <v>102</v>
      </c>
      <c r="T417" s="5" t="s">
        <v>102</v>
      </c>
      <c r="U417" s="5" t="s">
        <v>126</v>
      </c>
      <c r="V417" s="5">
        <v>1</v>
      </c>
      <c r="W417" s="5" t="s">
        <v>131</v>
      </c>
      <c r="X417" s="24">
        <v>992.88</v>
      </c>
      <c r="Y417" s="5" t="s">
        <v>106</v>
      </c>
      <c r="Z417" s="5"/>
      <c r="AA417" s="5"/>
      <c r="AB417" s="24">
        <f>(1/21)*(1/1000)</f>
        <v>4.761904761904762E-5</v>
      </c>
      <c r="AC417" s="5" t="s">
        <v>289</v>
      </c>
      <c r="AD417" s="5" t="str">
        <f t="shared" si="27"/>
        <v>kg_co2e_excl_luc</v>
      </c>
      <c r="AE417" s="24">
        <f>IF(CropLCAs[[#This Row],[Product fraction]]="",CropLCAs[[#This Row],[CO2e (value)]]*CropLCAs[[#This Row],[Conversion factor (value)]],CropLCAs[[#This Row],[CO2e (value)]]*CropLCAs[[#This Row],[Conversion factor (value)]]/CropLCAs[[#This Row],[Product fraction]]*CropLCAs[[#This Row],[Value fraction]])</f>
        <v>4.7280000000000003E-2</v>
      </c>
      <c r="AF417" s="5"/>
      <c r="AG417" s="5" t="str">
        <f t="shared" si="28"/>
        <v>processed_ghg</v>
      </c>
      <c r="AH417" s="5"/>
      <c r="AI417" s="5"/>
      <c r="AJ417" s="8" t="str">
        <f>IF(CropLCAs[[#This Row],[product_fraction]]&gt;0,CropLCAs[[#This Row],[footprint]]/CropLCAs[[#This Row],[product_fraction]]*CropLCAs[[#This Row],[value_fraction]],"")</f>
        <v/>
      </c>
      <c r="AK417" s="23">
        <v>1</v>
      </c>
      <c r="AL417" s="5" t="s">
        <v>109</v>
      </c>
      <c r="AM417" s="5"/>
      <c r="AN417" s="5"/>
      <c r="AO417" s="5"/>
      <c r="AP417" s="5"/>
      <c r="AQ417" s="5"/>
      <c r="AR417" s="5"/>
      <c r="AS417" s="5"/>
      <c r="AT417" s="5"/>
      <c r="AU417" s="5"/>
    </row>
    <row r="418" spans="1:47" ht="44.1" customHeight="1" x14ac:dyDescent="0.2">
      <c r="A418" s="7" t="s">
        <v>123</v>
      </c>
      <c r="B418" s="5" t="s">
        <v>1481</v>
      </c>
      <c r="C418" s="16">
        <v>2013</v>
      </c>
      <c r="D418" s="10" t="s">
        <v>584</v>
      </c>
      <c r="E418" s="6" t="s">
        <v>570</v>
      </c>
      <c r="F418" s="5" t="s">
        <v>3</v>
      </c>
      <c r="G418" s="5" t="str">
        <f>IF(CropLCAs[[#This Row],[fbs_item]]="Insects","insect_ghg","plant_ghg")</f>
        <v>plant_ghg</v>
      </c>
      <c r="H418" s="49" t="s">
        <v>170</v>
      </c>
      <c r="I418" s="49"/>
      <c r="J418" s="49"/>
      <c r="K418" s="5" t="s">
        <v>230</v>
      </c>
      <c r="L418" s="5" t="s">
        <v>585</v>
      </c>
      <c r="M418" s="5" t="s">
        <v>231</v>
      </c>
      <c r="N418" s="5" t="s">
        <v>109</v>
      </c>
      <c r="O418" s="5" t="s">
        <v>109</v>
      </c>
      <c r="P418" s="5" t="s">
        <v>102</v>
      </c>
      <c r="Q418" s="5" t="s">
        <v>102</v>
      </c>
      <c r="R418" s="5" t="s">
        <v>102</v>
      </c>
      <c r="S418" s="5" t="s">
        <v>102</v>
      </c>
      <c r="T418" s="5" t="s">
        <v>102</v>
      </c>
      <c r="U418" s="5" t="s">
        <v>126</v>
      </c>
      <c r="V418" s="5">
        <v>1</v>
      </c>
      <c r="W418" s="5" t="s">
        <v>106</v>
      </c>
      <c r="X418" s="24">
        <v>0.56000000000000005</v>
      </c>
      <c r="Y418" s="5" t="s">
        <v>106</v>
      </c>
      <c r="Z418" s="5"/>
      <c r="AA418" s="5"/>
      <c r="AB418" s="24">
        <v>1</v>
      </c>
      <c r="AC418" s="5"/>
      <c r="AD418" s="5" t="str">
        <f t="shared" si="27"/>
        <v>kg_co2e_excl_luc</v>
      </c>
      <c r="AE418" s="24">
        <f>IF(CropLCAs[[#This Row],[Product fraction]]="",CropLCAs[[#This Row],[CO2e (value)]]*CropLCAs[[#This Row],[Conversion factor (value)]],CropLCAs[[#This Row],[CO2e (value)]]*CropLCAs[[#This Row],[Conversion factor (value)]]/CropLCAs[[#This Row],[Product fraction]]*CropLCAs[[#This Row],[Value fraction]])</f>
        <v>0.56000000000000005</v>
      </c>
      <c r="AF418" s="5"/>
      <c r="AG418" s="5" t="str">
        <f t="shared" si="28"/>
        <v>processed_ghg</v>
      </c>
      <c r="AH418" s="5"/>
      <c r="AI418" s="5"/>
      <c r="AJ418" s="8" t="str">
        <f>IF(CropLCAs[[#This Row],[product_fraction]]&gt;0,CropLCAs[[#This Row],[footprint]]/CropLCAs[[#This Row],[product_fraction]]*CropLCAs[[#This Row],[value_fraction]],"")</f>
        <v/>
      </c>
      <c r="AK418" s="23">
        <f>1/3</f>
        <v>0.33333333333333331</v>
      </c>
      <c r="AL418" s="5" t="s">
        <v>109</v>
      </c>
      <c r="AM418" s="5"/>
      <c r="AN418" s="5"/>
      <c r="AO418" s="5"/>
      <c r="AP418" s="5"/>
      <c r="AQ418" s="5"/>
      <c r="AR418" s="5"/>
      <c r="AS418" s="5"/>
      <c r="AT418" s="5"/>
      <c r="AU418" s="5"/>
    </row>
    <row r="419" spans="1:47" ht="44.1" customHeight="1" x14ac:dyDescent="0.2">
      <c r="A419" s="7" t="s">
        <v>123</v>
      </c>
      <c r="B419" s="5" t="s">
        <v>1481</v>
      </c>
      <c r="C419" s="16">
        <v>2013</v>
      </c>
      <c r="D419" s="10" t="s">
        <v>584</v>
      </c>
      <c r="E419" s="6" t="s">
        <v>570</v>
      </c>
      <c r="F419" s="5" t="s">
        <v>3</v>
      </c>
      <c r="G419" s="5" t="str">
        <f>IF(CropLCAs[[#This Row],[fbs_item]]="Insects","insect_ghg","plant_ghg")</f>
        <v>plant_ghg</v>
      </c>
      <c r="H419" s="49" t="s">
        <v>170</v>
      </c>
      <c r="I419" s="49"/>
      <c r="J419" s="49"/>
      <c r="K419" s="5" t="s">
        <v>230</v>
      </c>
      <c r="L419" s="5" t="s">
        <v>586</v>
      </c>
      <c r="M419" s="5" t="s">
        <v>231</v>
      </c>
      <c r="N419" s="5" t="s">
        <v>109</v>
      </c>
      <c r="O419" s="5" t="s">
        <v>109</v>
      </c>
      <c r="P419" s="5" t="s">
        <v>102</v>
      </c>
      <c r="Q419" s="5" t="s">
        <v>102</v>
      </c>
      <c r="R419" s="5" t="s">
        <v>102</v>
      </c>
      <c r="S419" s="5" t="s">
        <v>102</v>
      </c>
      <c r="T419" s="5" t="s">
        <v>102</v>
      </c>
      <c r="U419" s="5" t="s">
        <v>126</v>
      </c>
      <c r="V419" s="5">
        <v>1</v>
      </c>
      <c r="W419" s="5" t="s">
        <v>106</v>
      </c>
      <c r="X419" s="24">
        <v>0.53</v>
      </c>
      <c r="Y419" s="5" t="s">
        <v>106</v>
      </c>
      <c r="Z419" s="5"/>
      <c r="AA419" s="5"/>
      <c r="AB419" s="24">
        <v>1</v>
      </c>
      <c r="AC419" s="5"/>
      <c r="AD419" s="5" t="str">
        <f t="shared" si="27"/>
        <v>kg_co2e_excl_luc</v>
      </c>
      <c r="AE419" s="24">
        <f>IF(CropLCAs[[#This Row],[Product fraction]]="",CropLCAs[[#This Row],[CO2e (value)]]*CropLCAs[[#This Row],[Conversion factor (value)]],CropLCAs[[#This Row],[CO2e (value)]]*CropLCAs[[#This Row],[Conversion factor (value)]]/CropLCAs[[#This Row],[Product fraction]]*CropLCAs[[#This Row],[Value fraction]])</f>
        <v>0.53</v>
      </c>
      <c r="AF419" s="5"/>
      <c r="AG419" s="5" t="str">
        <f t="shared" si="28"/>
        <v>processed_ghg</v>
      </c>
      <c r="AH419" s="5"/>
      <c r="AI419" s="5"/>
      <c r="AJ419" s="8" t="str">
        <f>IF(CropLCAs[[#This Row],[product_fraction]]&gt;0,CropLCAs[[#This Row],[footprint]]/CropLCAs[[#This Row],[product_fraction]]*CropLCAs[[#This Row],[value_fraction]],"")</f>
        <v/>
      </c>
      <c r="AK419" s="23">
        <f>1/3</f>
        <v>0.33333333333333331</v>
      </c>
      <c r="AL419" s="5" t="s">
        <v>109</v>
      </c>
      <c r="AM419" s="5"/>
      <c r="AN419" s="5"/>
      <c r="AO419" s="5"/>
      <c r="AP419" s="5"/>
      <c r="AQ419" s="5"/>
      <c r="AR419" s="5"/>
      <c r="AS419" s="5"/>
      <c r="AT419" s="5"/>
      <c r="AU419" s="5"/>
    </row>
    <row r="420" spans="1:47" ht="44.1" customHeight="1" x14ac:dyDescent="0.2">
      <c r="A420" s="7" t="s">
        <v>123</v>
      </c>
      <c r="B420" s="5" t="s">
        <v>1481</v>
      </c>
      <c r="C420" s="16">
        <v>2013</v>
      </c>
      <c r="D420" s="10" t="s">
        <v>584</v>
      </c>
      <c r="E420" s="6" t="s">
        <v>570</v>
      </c>
      <c r="F420" s="5" t="s">
        <v>3</v>
      </c>
      <c r="G420" s="5" t="str">
        <f>IF(CropLCAs[[#This Row],[fbs_item]]="Insects","insect_ghg","plant_ghg")</f>
        <v>plant_ghg</v>
      </c>
      <c r="H420" s="49" t="s">
        <v>170</v>
      </c>
      <c r="I420" s="49"/>
      <c r="J420" s="49"/>
      <c r="K420" s="5" t="s">
        <v>230</v>
      </c>
      <c r="L420" s="5" t="s">
        <v>587</v>
      </c>
      <c r="M420" s="5" t="s">
        <v>231</v>
      </c>
      <c r="N420" s="5" t="s">
        <v>109</v>
      </c>
      <c r="O420" s="5" t="s">
        <v>109</v>
      </c>
      <c r="P420" s="5" t="s">
        <v>102</v>
      </c>
      <c r="Q420" s="5" t="s">
        <v>102</v>
      </c>
      <c r="R420" s="5" t="s">
        <v>102</v>
      </c>
      <c r="S420" s="5" t="s">
        <v>102</v>
      </c>
      <c r="T420" s="5" t="s">
        <v>102</v>
      </c>
      <c r="U420" s="5" t="s">
        <v>126</v>
      </c>
      <c r="V420" s="5">
        <v>1</v>
      </c>
      <c r="W420" s="5" t="s">
        <v>106</v>
      </c>
      <c r="X420" s="24">
        <v>0.49</v>
      </c>
      <c r="Y420" s="5" t="s">
        <v>106</v>
      </c>
      <c r="Z420" s="5"/>
      <c r="AA420" s="5"/>
      <c r="AB420" s="24">
        <v>1</v>
      </c>
      <c r="AC420" s="5"/>
      <c r="AD420" s="5" t="str">
        <f t="shared" si="27"/>
        <v>kg_co2e_excl_luc</v>
      </c>
      <c r="AE420" s="24">
        <f>IF(CropLCAs[[#This Row],[Product fraction]]="",CropLCAs[[#This Row],[CO2e (value)]]*CropLCAs[[#This Row],[Conversion factor (value)]],CropLCAs[[#This Row],[CO2e (value)]]*CropLCAs[[#This Row],[Conversion factor (value)]]/CropLCAs[[#This Row],[Product fraction]]*CropLCAs[[#This Row],[Value fraction]])</f>
        <v>0.49</v>
      </c>
      <c r="AF420" s="5"/>
      <c r="AG420" s="5" t="str">
        <f t="shared" si="28"/>
        <v>processed_ghg</v>
      </c>
      <c r="AH420" s="5"/>
      <c r="AI420" s="5"/>
      <c r="AJ420" s="8" t="str">
        <f>IF(CropLCAs[[#This Row],[product_fraction]]&gt;0,CropLCAs[[#This Row],[footprint]]/CropLCAs[[#This Row],[product_fraction]]*CropLCAs[[#This Row],[value_fraction]],"")</f>
        <v/>
      </c>
      <c r="AK420" s="23">
        <f>1/3</f>
        <v>0.33333333333333331</v>
      </c>
      <c r="AL420" s="5" t="s">
        <v>109</v>
      </c>
      <c r="AM420" s="5"/>
      <c r="AN420" s="5"/>
      <c r="AO420" s="5"/>
      <c r="AP420" s="5"/>
      <c r="AQ420" s="5"/>
      <c r="AR420" s="5"/>
      <c r="AS420" s="5"/>
      <c r="AT420" s="5"/>
      <c r="AU420" s="5"/>
    </row>
    <row r="421" spans="1:47" ht="44.1" customHeight="1" x14ac:dyDescent="0.2">
      <c r="A421" s="5" t="s">
        <v>99</v>
      </c>
      <c r="B421" s="5" t="s">
        <v>1482</v>
      </c>
      <c r="C421" s="16">
        <v>2015</v>
      </c>
      <c r="D421" s="6" t="s">
        <v>410</v>
      </c>
      <c r="E421" s="6" t="s">
        <v>411</v>
      </c>
      <c r="F421" s="5" t="s">
        <v>23</v>
      </c>
      <c r="G421" s="5" t="str">
        <f>IF(CropLCAs[[#This Row],[fbs_item]]="Insects","insect_ghg","plant_ghg")</f>
        <v>plant_ghg</v>
      </c>
      <c r="H421" s="49" t="s">
        <v>114</v>
      </c>
      <c r="I421" s="49"/>
      <c r="J421" s="49"/>
      <c r="K421" s="5" t="s">
        <v>778</v>
      </c>
      <c r="L421" s="5" t="s">
        <v>412</v>
      </c>
      <c r="M421" s="5" t="s">
        <v>102</v>
      </c>
      <c r="N421" s="5" t="s">
        <v>102</v>
      </c>
      <c r="O421" s="5" t="s">
        <v>109</v>
      </c>
      <c r="P421" s="5" t="s">
        <v>102</v>
      </c>
      <c r="Q421" s="5" t="s">
        <v>102</v>
      </c>
      <c r="R421" s="5" t="s">
        <v>105</v>
      </c>
      <c r="S421" s="5" t="s">
        <v>102</v>
      </c>
      <c r="T421" s="5" t="s">
        <v>102</v>
      </c>
      <c r="U421" s="5">
        <v>100</v>
      </c>
      <c r="V421" s="5">
        <v>1000</v>
      </c>
      <c r="W421" s="5" t="s">
        <v>106</v>
      </c>
      <c r="X421" s="24">
        <v>804</v>
      </c>
      <c r="Y421" s="5" t="s">
        <v>106</v>
      </c>
      <c r="Z421" s="5"/>
      <c r="AA421" s="5"/>
      <c r="AB421" s="24">
        <v>1E-3</v>
      </c>
      <c r="AC421" s="5"/>
      <c r="AD421" s="5" t="str">
        <f t="shared" si="27"/>
        <v>kg_co2e_excl_luc</v>
      </c>
      <c r="AE421" s="24">
        <f>IF(CropLCAs[[#This Row],[Product fraction]]="",CropLCAs[[#This Row],[CO2e (value)]]*CropLCAs[[#This Row],[Conversion factor (value)]],CropLCAs[[#This Row],[CO2e (value)]]*CropLCAs[[#This Row],[Conversion factor (value)]]/CropLCAs[[#This Row],[Product fraction]]*CropLCAs[[#This Row],[Value fraction]])</f>
        <v>0.80400000000000005</v>
      </c>
      <c r="AF421" s="5" t="s">
        <v>42</v>
      </c>
      <c r="AG421" s="5" t="str">
        <f t="shared" si="28"/>
        <v>processed_ghg</v>
      </c>
      <c r="AH421" s="5">
        <v>0.38</v>
      </c>
      <c r="AI421" s="5">
        <v>0.71</v>
      </c>
      <c r="AJ421" s="8">
        <f>IF(CropLCAs[[#This Row],[product_fraction]]&gt;0,CropLCAs[[#This Row],[footprint]]/CropLCAs[[#This Row],[product_fraction]]*CropLCAs[[#This Row],[value_fraction]],"")</f>
        <v>1.5022105263157894</v>
      </c>
      <c r="AK421" s="23">
        <f t="shared" ref="AK421:AK426" si="31">1/2</f>
        <v>0.5</v>
      </c>
      <c r="AL421" s="5" t="s">
        <v>109</v>
      </c>
      <c r="AM421" s="5" t="s">
        <v>413</v>
      </c>
      <c r="AN421" s="5" t="s">
        <v>414</v>
      </c>
      <c r="AO421" s="5"/>
      <c r="AP421" s="5"/>
      <c r="AQ421" s="5"/>
      <c r="AR421" s="5"/>
      <c r="AS421" s="5"/>
      <c r="AT421" s="5"/>
      <c r="AU421" s="5"/>
    </row>
    <row r="422" spans="1:47" ht="44.1" customHeight="1" x14ac:dyDescent="0.2">
      <c r="A422" s="5" t="s">
        <v>99</v>
      </c>
      <c r="B422" s="5" t="s">
        <v>1482</v>
      </c>
      <c r="C422" s="16">
        <v>2015</v>
      </c>
      <c r="D422" s="6" t="s">
        <v>410</v>
      </c>
      <c r="E422" s="6" t="s">
        <v>411</v>
      </c>
      <c r="F422" s="5" t="s">
        <v>23</v>
      </c>
      <c r="G422" s="5" t="str">
        <f>IF(CropLCAs[[#This Row],[fbs_item]]="Insects","insect_ghg","plant_ghg")</f>
        <v>plant_ghg</v>
      </c>
      <c r="H422" s="49" t="s">
        <v>114</v>
      </c>
      <c r="I422" s="49"/>
      <c r="J422" s="49"/>
      <c r="K422" s="5" t="s">
        <v>778</v>
      </c>
      <c r="L422" s="5" t="s">
        <v>415</v>
      </c>
      <c r="M422" s="5" t="s">
        <v>102</v>
      </c>
      <c r="N422" s="5" t="s">
        <v>102</v>
      </c>
      <c r="O422" s="5" t="s">
        <v>109</v>
      </c>
      <c r="P422" s="5" t="s">
        <v>102</v>
      </c>
      <c r="Q422" s="5" t="s">
        <v>102</v>
      </c>
      <c r="R422" s="5" t="s">
        <v>105</v>
      </c>
      <c r="S422" s="5" t="s">
        <v>102</v>
      </c>
      <c r="T422" s="5" t="s">
        <v>102</v>
      </c>
      <c r="U422" s="5">
        <v>100</v>
      </c>
      <c r="V422" s="5">
        <v>1000</v>
      </c>
      <c r="W422" s="5" t="s">
        <v>106</v>
      </c>
      <c r="X422" s="24">
        <v>651</v>
      </c>
      <c r="Y422" s="5" t="s">
        <v>106</v>
      </c>
      <c r="Z422" s="5"/>
      <c r="AA422" s="5"/>
      <c r="AB422" s="24">
        <v>1E-3</v>
      </c>
      <c r="AC422" s="5"/>
      <c r="AD422" s="5" t="str">
        <f t="shared" si="27"/>
        <v>kg_co2e_excl_luc</v>
      </c>
      <c r="AE422" s="24">
        <f>IF(CropLCAs[[#This Row],[Product fraction]]="",CropLCAs[[#This Row],[CO2e (value)]]*CropLCAs[[#This Row],[Conversion factor (value)]],CropLCAs[[#This Row],[CO2e (value)]]*CropLCAs[[#This Row],[Conversion factor (value)]]/CropLCAs[[#This Row],[Product fraction]]*CropLCAs[[#This Row],[Value fraction]])</f>
        <v>0.65100000000000002</v>
      </c>
      <c r="AF422" s="5" t="s">
        <v>42</v>
      </c>
      <c r="AG422" s="5" t="str">
        <f t="shared" si="28"/>
        <v>processed_ghg</v>
      </c>
      <c r="AH422" s="5">
        <v>0.38</v>
      </c>
      <c r="AI422" s="5">
        <v>0.71</v>
      </c>
      <c r="AJ422" s="8">
        <f>IF(CropLCAs[[#This Row],[product_fraction]]&gt;0,CropLCAs[[#This Row],[footprint]]/CropLCAs[[#This Row],[product_fraction]]*CropLCAs[[#This Row],[value_fraction]],"")</f>
        <v>1.216342105263158</v>
      </c>
      <c r="AK422" s="23">
        <f t="shared" si="31"/>
        <v>0.5</v>
      </c>
      <c r="AL422" s="5" t="s">
        <v>109</v>
      </c>
      <c r="AM422" s="5" t="s">
        <v>416</v>
      </c>
      <c r="AN422" s="5" t="s">
        <v>417</v>
      </c>
      <c r="AO422" s="5"/>
      <c r="AP422" s="5"/>
      <c r="AQ422" s="5"/>
      <c r="AR422" s="5"/>
      <c r="AS422" s="5"/>
      <c r="AT422" s="5"/>
      <c r="AU422" s="5"/>
    </row>
    <row r="423" spans="1:47" ht="44.1" customHeight="1" x14ac:dyDescent="0.2">
      <c r="A423" s="5" t="s">
        <v>99</v>
      </c>
      <c r="B423" s="5" t="s">
        <v>1482</v>
      </c>
      <c r="C423" s="16">
        <v>2015</v>
      </c>
      <c r="D423" s="6" t="s">
        <v>410</v>
      </c>
      <c r="E423" s="6" t="s">
        <v>411</v>
      </c>
      <c r="F423" s="5" t="s">
        <v>23</v>
      </c>
      <c r="G423" s="5" t="str">
        <f>IF(CropLCAs[[#This Row],[fbs_item]]="Insects","insect_ghg","plant_ghg")</f>
        <v>plant_ghg</v>
      </c>
      <c r="H423" s="49" t="s">
        <v>1183</v>
      </c>
      <c r="I423" s="49"/>
      <c r="J423" s="49"/>
      <c r="K423" s="5" t="s">
        <v>778</v>
      </c>
      <c r="L423" s="5" t="s">
        <v>412</v>
      </c>
      <c r="M423" s="5" t="s">
        <v>102</v>
      </c>
      <c r="N423" s="5" t="s">
        <v>102</v>
      </c>
      <c r="O423" s="5" t="s">
        <v>109</v>
      </c>
      <c r="P423" s="5" t="s">
        <v>102</v>
      </c>
      <c r="Q423" s="5" t="s">
        <v>102</v>
      </c>
      <c r="R423" s="5" t="s">
        <v>105</v>
      </c>
      <c r="S423" s="5" t="s">
        <v>102</v>
      </c>
      <c r="T423" s="5" t="s">
        <v>102</v>
      </c>
      <c r="U423" s="5">
        <v>100</v>
      </c>
      <c r="V423" s="5">
        <v>1000</v>
      </c>
      <c r="W423" s="5" t="s">
        <v>106</v>
      </c>
      <c r="X423" s="24">
        <v>858</v>
      </c>
      <c r="Y423" s="5" t="s">
        <v>106</v>
      </c>
      <c r="Z423" s="5"/>
      <c r="AA423" s="5"/>
      <c r="AB423" s="24">
        <v>1E-3</v>
      </c>
      <c r="AC423" s="5"/>
      <c r="AD423" s="5" t="str">
        <f t="shared" si="27"/>
        <v>kg_co2e_excl_luc</v>
      </c>
      <c r="AE423" s="24">
        <f>IF(CropLCAs[[#This Row],[Product fraction]]="",CropLCAs[[#This Row],[CO2e (value)]]*CropLCAs[[#This Row],[Conversion factor (value)]],CropLCAs[[#This Row],[CO2e (value)]]*CropLCAs[[#This Row],[Conversion factor (value)]]/CropLCAs[[#This Row],[Product fraction]]*CropLCAs[[#This Row],[Value fraction]])</f>
        <v>0.85799999999999998</v>
      </c>
      <c r="AF423" s="5" t="s">
        <v>42</v>
      </c>
      <c r="AG423" s="5" t="str">
        <f t="shared" si="28"/>
        <v>processed_ghg</v>
      </c>
      <c r="AH423" s="5">
        <v>0.38</v>
      </c>
      <c r="AI423" s="5">
        <v>0.71</v>
      </c>
      <c r="AJ423" s="8">
        <f>IF(CropLCAs[[#This Row],[product_fraction]]&gt;0,CropLCAs[[#This Row],[footprint]]/CropLCAs[[#This Row],[product_fraction]]*CropLCAs[[#This Row],[value_fraction]],"")</f>
        <v>1.6031052631578948</v>
      </c>
      <c r="AK423" s="23">
        <f t="shared" si="31"/>
        <v>0.5</v>
      </c>
      <c r="AL423" s="5" t="s">
        <v>109</v>
      </c>
      <c r="AM423" s="5" t="s">
        <v>413</v>
      </c>
      <c r="AN423" s="5" t="s">
        <v>418</v>
      </c>
      <c r="AO423" s="5"/>
      <c r="AP423" s="5"/>
      <c r="AQ423" s="5"/>
      <c r="AR423" s="5"/>
      <c r="AS423" s="5"/>
      <c r="AT423" s="5"/>
      <c r="AU423" s="5"/>
    </row>
    <row r="424" spans="1:47" ht="44.1" customHeight="1" x14ac:dyDescent="0.2">
      <c r="A424" s="5" t="s">
        <v>99</v>
      </c>
      <c r="B424" s="5" t="s">
        <v>1482</v>
      </c>
      <c r="C424" s="16">
        <v>2015</v>
      </c>
      <c r="D424" s="6" t="s">
        <v>410</v>
      </c>
      <c r="E424" s="6" t="s">
        <v>411</v>
      </c>
      <c r="F424" s="5" t="s">
        <v>23</v>
      </c>
      <c r="G424" s="5" t="str">
        <f>IF(CropLCAs[[#This Row],[fbs_item]]="Insects","insect_ghg","plant_ghg")</f>
        <v>plant_ghg</v>
      </c>
      <c r="H424" s="49" t="s">
        <v>1183</v>
      </c>
      <c r="I424" s="49"/>
      <c r="J424" s="49"/>
      <c r="K424" s="5" t="s">
        <v>778</v>
      </c>
      <c r="L424" s="5" t="s">
        <v>415</v>
      </c>
      <c r="M424" s="5" t="s">
        <v>102</v>
      </c>
      <c r="N424" s="5" t="s">
        <v>102</v>
      </c>
      <c r="O424" s="5" t="s">
        <v>109</v>
      </c>
      <c r="P424" s="5" t="s">
        <v>102</v>
      </c>
      <c r="Q424" s="5" t="s">
        <v>102</v>
      </c>
      <c r="R424" s="5" t="s">
        <v>105</v>
      </c>
      <c r="S424" s="5" t="s">
        <v>102</v>
      </c>
      <c r="T424" s="5" t="s">
        <v>102</v>
      </c>
      <c r="U424" s="5">
        <v>100</v>
      </c>
      <c r="V424" s="5">
        <v>1000</v>
      </c>
      <c r="W424" s="5" t="s">
        <v>106</v>
      </c>
      <c r="X424" s="24">
        <v>733</v>
      </c>
      <c r="Y424" s="5" t="s">
        <v>106</v>
      </c>
      <c r="Z424" s="5"/>
      <c r="AA424" s="5"/>
      <c r="AB424" s="24">
        <v>1E-3</v>
      </c>
      <c r="AC424" s="5"/>
      <c r="AD424" s="5" t="str">
        <f t="shared" si="27"/>
        <v>kg_co2e_excl_luc</v>
      </c>
      <c r="AE424" s="24">
        <f>IF(CropLCAs[[#This Row],[Product fraction]]="",CropLCAs[[#This Row],[CO2e (value)]]*CropLCAs[[#This Row],[Conversion factor (value)]],CropLCAs[[#This Row],[CO2e (value)]]*CropLCAs[[#This Row],[Conversion factor (value)]]/CropLCAs[[#This Row],[Product fraction]]*CropLCAs[[#This Row],[Value fraction]])</f>
        <v>0.73299999999999998</v>
      </c>
      <c r="AF424" s="5" t="s">
        <v>42</v>
      </c>
      <c r="AG424" s="5" t="str">
        <f t="shared" si="28"/>
        <v>processed_ghg</v>
      </c>
      <c r="AH424" s="5">
        <v>0.38</v>
      </c>
      <c r="AI424" s="5">
        <v>0.71</v>
      </c>
      <c r="AJ424" s="8">
        <f>IF(CropLCAs[[#This Row],[product_fraction]]&gt;0,CropLCAs[[#This Row],[footprint]]/CropLCAs[[#This Row],[product_fraction]]*CropLCAs[[#This Row],[value_fraction]],"")</f>
        <v>1.3695526315789472</v>
      </c>
      <c r="AK424" s="23">
        <f t="shared" si="31"/>
        <v>0.5</v>
      </c>
      <c r="AL424" s="5" t="s">
        <v>109</v>
      </c>
      <c r="AM424" s="5" t="s">
        <v>413</v>
      </c>
      <c r="AN424" s="5" t="s">
        <v>419</v>
      </c>
      <c r="AO424" s="5"/>
      <c r="AP424" s="5"/>
      <c r="AQ424" s="5"/>
      <c r="AR424" s="5"/>
      <c r="AS424" s="5"/>
      <c r="AT424" s="5"/>
      <c r="AU424" s="5"/>
    </row>
    <row r="425" spans="1:47" ht="44.1" customHeight="1" x14ac:dyDescent="0.2">
      <c r="A425" s="5" t="s">
        <v>99</v>
      </c>
      <c r="B425" s="5" t="s">
        <v>1482</v>
      </c>
      <c r="C425" s="16">
        <v>2015</v>
      </c>
      <c r="D425" s="6" t="s">
        <v>410</v>
      </c>
      <c r="E425" s="6" t="s">
        <v>411</v>
      </c>
      <c r="F425" s="5" t="s">
        <v>23</v>
      </c>
      <c r="G425" s="5" t="str">
        <f>IF(CropLCAs[[#This Row],[fbs_item]]="Insects","insect_ghg","plant_ghg")</f>
        <v>plant_ghg</v>
      </c>
      <c r="H425" s="49" t="s">
        <v>1283</v>
      </c>
      <c r="I425" s="49"/>
      <c r="J425" s="49"/>
      <c r="K425" s="5" t="s">
        <v>778</v>
      </c>
      <c r="L425" s="5" t="s">
        <v>412</v>
      </c>
      <c r="M425" s="5" t="s">
        <v>102</v>
      </c>
      <c r="N425" s="5" t="s">
        <v>102</v>
      </c>
      <c r="O425" s="5" t="s">
        <v>109</v>
      </c>
      <c r="P425" s="5" t="s">
        <v>102</v>
      </c>
      <c r="Q425" s="5" t="s">
        <v>102</v>
      </c>
      <c r="R425" s="5" t="s">
        <v>105</v>
      </c>
      <c r="S425" s="5" t="s">
        <v>102</v>
      </c>
      <c r="T425" s="5" t="s">
        <v>102</v>
      </c>
      <c r="U425" s="5">
        <v>100</v>
      </c>
      <c r="V425" s="5">
        <v>1000</v>
      </c>
      <c r="W425" s="5" t="s">
        <v>106</v>
      </c>
      <c r="X425" s="24">
        <v>896</v>
      </c>
      <c r="Y425" s="5" t="s">
        <v>106</v>
      </c>
      <c r="Z425" s="5"/>
      <c r="AA425" s="5"/>
      <c r="AB425" s="24">
        <v>1E-3</v>
      </c>
      <c r="AC425" s="5"/>
      <c r="AD425" s="5" t="str">
        <f t="shared" si="27"/>
        <v>kg_co2e_excl_luc</v>
      </c>
      <c r="AE425" s="24">
        <f>IF(CropLCAs[[#This Row],[Product fraction]]="",CropLCAs[[#This Row],[CO2e (value)]]*CropLCAs[[#This Row],[Conversion factor (value)]],CropLCAs[[#This Row],[CO2e (value)]]*CropLCAs[[#This Row],[Conversion factor (value)]]/CropLCAs[[#This Row],[Product fraction]]*CropLCAs[[#This Row],[Value fraction]])</f>
        <v>0.89600000000000002</v>
      </c>
      <c r="AF425" s="5" t="s">
        <v>42</v>
      </c>
      <c r="AG425" s="5" t="str">
        <f t="shared" si="28"/>
        <v>processed_ghg</v>
      </c>
      <c r="AH425" s="5">
        <v>0.38</v>
      </c>
      <c r="AI425" s="5">
        <v>0.71</v>
      </c>
      <c r="AJ425" s="8">
        <f>IF(CropLCAs[[#This Row],[product_fraction]]&gt;0,CropLCAs[[#This Row],[footprint]]/CropLCAs[[#This Row],[product_fraction]]*CropLCAs[[#This Row],[value_fraction]],"")</f>
        <v>1.6741052631578948</v>
      </c>
      <c r="AK425" s="23">
        <f t="shared" si="31"/>
        <v>0.5</v>
      </c>
      <c r="AL425" s="5" t="s">
        <v>109</v>
      </c>
      <c r="AM425" s="5" t="s">
        <v>416</v>
      </c>
      <c r="AN425" s="5" t="s">
        <v>420</v>
      </c>
      <c r="AO425" s="5"/>
      <c r="AP425" s="5"/>
      <c r="AQ425" s="5"/>
      <c r="AR425" s="5"/>
      <c r="AS425" s="5"/>
      <c r="AT425" s="5"/>
      <c r="AU425" s="5"/>
    </row>
    <row r="426" spans="1:47" ht="44.1" customHeight="1" x14ac:dyDescent="0.2">
      <c r="A426" s="5" t="s">
        <v>99</v>
      </c>
      <c r="B426" s="5" t="s">
        <v>1482</v>
      </c>
      <c r="C426" s="16">
        <v>2015</v>
      </c>
      <c r="D426" s="6" t="s">
        <v>410</v>
      </c>
      <c r="E426" s="6" t="s">
        <v>411</v>
      </c>
      <c r="F426" s="5" t="s">
        <v>23</v>
      </c>
      <c r="G426" s="5" t="str">
        <f>IF(CropLCAs[[#This Row],[fbs_item]]="Insects","insect_ghg","plant_ghg")</f>
        <v>plant_ghg</v>
      </c>
      <c r="H426" s="49" t="s">
        <v>1283</v>
      </c>
      <c r="I426" s="49"/>
      <c r="J426" s="49"/>
      <c r="K426" s="5" t="s">
        <v>778</v>
      </c>
      <c r="L426" s="5" t="s">
        <v>415</v>
      </c>
      <c r="M426" s="5" t="s">
        <v>102</v>
      </c>
      <c r="N426" s="5" t="s">
        <v>102</v>
      </c>
      <c r="O426" s="5" t="s">
        <v>109</v>
      </c>
      <c r="P426" s="5" t="s">
        <v>102</v>
      </c>
      <c r="Q426" s="5" t="s">
        <v>102</v>
      </c>
      <c r="R426" s="5" t="s">
        <v>105</v>
      </c>
      <c r="S426" s="5" t="s">
        <v>102</v>
      </c>
      <c r="T426" s="5" t="s">
        <v>102</v>
      </c>
      <c r="U426" s="5">
        <v>100</v>
      </c>
      <c r="V426" s="5">
        <v>1000</v>
      </c>
      <c r="W426" s="5" t="s">
        <v>106</v>
      </c>
      <c r="X426" s="24">
        <v>758</v>
      </c>
      <c r="Y426" s="5" t="s">
        <v>106</v>
      </c>
      <c r="Z426" s="5"/>
      <c r="AA426" s="5"/>
      <c r="AB426" s="24">
        <v>1E-3</v>
      </c>
      <c r="AC426" s="5"/>
      <c r="AD426" s="5" t="str">
        <f t="shared" si="27"/>
        <v>kg_co2e_excl_luc</v>
      </c>
      <c r="AE426" s="24">
        <f>IF(CropLCAs[[#This Row],[Product fraction]]="",CropLCAs[[#This Row],[CO2e (value)]]*CropLCAs[[#This Row],[Conversion factor (value)]],CropLCAs[[#This Row],[CO2e (value)]]*CropLCAs[[#This Row],[Conversion factor (value)]]/CropLCAs[[#This Row],[Product fraction]]*CropLCAs[[#This Row],[Value fraction]])</f>
        <v>0.75800000000000001</v>
      </c>
      <c r="AF426" s="5" t="s">
        <v>42</v>
      </c>
      <c r="AG426" s="5" t="str">
        <f t="shared" si="28"/>
        <v>processed_ghg</v>
      </c>
      <c r="AH426" s="5">
        <v>0.38</v>
      </c>
      <c r="AI426" s="5">
        <v>0.71</v>
      </c>
      <c r="AJ426" s="8">
        <f>IF(CropLCAs[[#This Row],[product_fraction]]&gt;0,CropLCAs[[#This Row],[footprint]]/CropLCAs[[#This Row],[product_fraction]]*CropLCAs[[#This Row],[value_fraction]],"")</f>
        <v>1.4162631578947367</v>
      </c>
      <c r="AK426" s="23">
        <f t="shared" si="31"/>
        <v>0.5</v>
      </c>
      <c r="AL426" s="5" t="s">
        <v>109</v>
      </c>
      <c r="AM426" s="5" t="s">
        <v>413</v>
      </c>
      <c r="AN426" s="5" t="s">
        <v>421</v>
      </c>
      <c r="AO426" s="5"/>
      <c r="AP426" s="5"/>
      <c r="AQ426" s="5"/>
      <c r="AR426" s="5"/>
      <c r="AS426" s="5"/>
      <c r="AT426" s="5"/>
      <c r="AU426" s="5"/>
    </row>
    <row r="427" spans="1:47" ht="44.1" customHeight="1" x14ac:dyDescent="0.2">
      <c r="A427" s="5" t="s">
        <v>123</v>
      </c>
      <c r="B427" s="5" t="s">
        <v>1483</v>
      </c>
      <c r="C427" s="16">
        <v>2011</v>
      </c>
      <c r="D427" s="10" t="s">
        <v>199</v>
      </c>
      <c r="E427" s="6" t="s">
        <v>161</v>
      </c>
      <c r="F427" s="5" t="s">
        <v>10</v>
      </c>
      <c r="G427" s="5" t="str">
        <f>IF(CropLCAs[[#This Row],[fbs_item]]="Insects","insect_ghg","plant_ghg")</f>
        <v>plant_ghg</v>
      </c>
      <c r="H427" s="49" t="s">
        <v>200</v>
      </c>
      <c r="I427" s="49"/>
      <c r="J427" s="49"/>
      <c r="K427" s="5" t="s">
        <v>201</v>
      </c>
      <c r="L427" s="5"/>
      <c r="M427" s="5" t="s">
        <v>102</v>
      </c>
      <c r="N427" s="5" t="s">
        <v>102</v>
      </c>
      <c r="O427" s="5" t="s">
        <v>202</v>
      </c>
      <c r="P427" s="5" t="s">
        <v>102</v>
      </c>
      <c r="Q427" s="5" t="s">
        <v>102</v>
      </c>
      <c r="R427" s="5" t="s">
        <v>102</v>
      </c>
      <c r="S427" s="5" t="s">
        <v>102</v>
      </c>
      <c r="T427" s="5" t="s">
        <v>102</v>
      </c>
      <c r="U427" s="5" t="s">
        <v>126</v>
      </c>
      <c r="V427" s="5">
        <v>1</v>
      </c>
      <c r="W427" s="5" t="s">
        <v>106</v>
      </c>
      <c r="X427" s="24">
        <v>0.55000000000000004</v>
      </c>
      <c r="Y427" s="5" t="s">
        <v>106</v>
      </c>
      <c r="Z427" s="5"/>
      <c r="AA427" s="5"/>
      <c r="AB427" s="24">
        <v>1</v>
      </c>
      <c r="AC427" s="5"/>
      <c r="AD427" s="5" t="str">
        <f t="shared" si="27"/>
        <v>kg_co2e_excl_luc</v>
      </c>
      <c r="AE427" s="24">
        <f>IF(CropLCAs[[#This Row],[Product fraction]]="",CropLCAs[[#This Row],[CO2e (value)]]*CropLCAs[[#This Row],[Conversion factor (value)]],CropLCAs[[#This Row],[CO2e (value)]]*CropLCAs[[#This Row],[Conversion factor (value)]]/CropLCAs[[#This Row],[Product fraction]]*CropLCAs[[#This Row],[Value fraction]])</f>
        <v>0.55000000000000004</v>
      </c>
      <c r="AF427" s="5"/>
      <c r="AG427" s="5" t="str">
        <f t="shared" si="28"/>
        <v>processed_ghg</v>
      </c>
      <c r="AH427" s="5"/>
      <c r="AI427" s="5"/>
      <c r="AJ427" s="8" t="str">
        <f>IF(CropLCAs[[#This Row],[product_fraction]]&gt;0,CropLCAs[[#This Row],[footprint]]/CropLCAs[[#This Row],[product_fraction]]*CropLCAs[[#This Row],[value_fraction]],"")</f>
        <v/>
      </c>
      <c r="AK427" s="23">
        <f t="shared" ref="AK427:AK438" si="32">1/3</f>
        <v>0.33333333333333331</v>
      </c>
      <c r="AL427" s="5" t="s">
        <v>109</v>
      </c>
      <c r="AM427" s="5" t="s">
        <v>203</v>
      </c>
      <c r="AN427" s="5" t="s">
        <v>204</v>
      </c>
      <c r="AO427" s="5"/>
      <c r="AP427" s="5"/>
      <c r="AQ427" s="5"/>
      <c r="AR427" s="5"/>
      <c r="AS427" s="5"/>
      <c r="AT427" s="5"/>
      <c r="AU427" s="5"/>
    </row>
    <row r="428" spans="1:47" ht="44.1" customHeight="1" x14ac:dyDescent="0.2">
      <c r="A428" s="5" t="s">
        <v>123</v>
      </c>
      <c r="B428" s="5" t="s">
        <v>1483</v>
      </c>
      <c r="C428" s="16">
        <v>2011</v>
      </c>
      <c r="D428" s="10" t="s">
        <v>199</v>
      </c>
      <c r="E428" s="6" t="s">
        <v>161</v>
      </c>
      <c r="F428" s="5" t="s">
        <v>10</v>
      </c>
      <c r="G428" s="5" t="str">
        <f>IF(CropLCAs[[#This Row],[fbs_item]]="Insects","insect_ghg","plant_ghg")</f>
        <v>plant_ghg</v>
      </c>
      <c r="H428" s="49" t="s">
        <v>200</v>
      </c>
      <c r="I428" s="49"/>
      <c r="J428" s="49"/>
      <c r="K428" s="5" t="s">
        <v>205</v>
      </c>
      <c r="L428" s="5"/>
      <c r="M428" s="5" t="s">
        <v>102</v>
      </c>
      <c r="N428" s="5" t="s">
        <v>102</v>
      </c>
      <c r="O428" s="5" t="s">
        <v>202</v>
      </c>
      <c r="P428" s="5" t="s">
        <v>102</v>
      </c>
      <c r="Q428" s="5" t="s">
        <v>102</v>
      </c>
      <c r="R428" s="5" t="s">
        <v>102</v>
      </c>
      <c r="S428" s="5" t="s">
        <v>102</v>
      </c>
      <c r="T428" s="5" t="s">
        <v>102</v>
      </c>
      <c r="U428" s="5" t="s">
        <v>126</v>
      </c>
      <c r="V428" s="5">
        <v>1</v>
      </c>
      <c r="W428" s="5" t="s">
        <v>106</v>
      </c>
      <c r="X428" s="24">
        <v>0.55000000000000004</v>
      </c>
      <c r="Y428" s="5" t="s">
        <v>106</v>
      </c>
      <c r="Z428" s="5"/>
      <c r="AA428" s="5"/>
      <c r="AB428" s="24">
        <v>1</v>
      </c>
      <c r="AC428" s="5"/>
      <c r="AD428" s="5" t="str">
        <f t="shared" si="27"/>
        <v>kg_co2e_excl_luc</v>
      </c>
      <c r="AE428" s="24">
        <f>IF(CropLCAs[[#This Row],[Product fraction]]="",CropLCAs[[#This Row],[CO2e (value)]]*CropLCAs[[#This Row],[Conversion factor (value)]],CropLCAs[[#This Row],[CO2e (value)]]*CropLCAs[[#This Row],[Conversion factor (value)]]/CropLCAs[[#This Row],[Product fraction]]*CropLCAs[[#This Row],[Value fraction]])</f>
        <v>0.55000000000000004</v>
      </c>
      <c r="AF428" s="5"/>
      <c r="AG428" s="5" t="str">
        <f t="shared" si="28"/>
        <v>processed_ghg</v>
      </c>
      <c r="AH428" s="5"/>
      <c r="AI428" s="5"/>
      <c r="AJ428" s="8" t="str">
        <f>IF(CropLCAs[[#This Row],[product_fraction]]&gt;0,CropLCAs[[#This Row],[footprint]]/CropLCAs[[#This Row],[product_fraction]]*CropLCAs[[#This Row],[value_fraction]],"")</f>
        <v/>
      </c>
      <c r="AK428" s="23">
        <f t="shared" si="32"/>
        <v>0.33333333333333331</v>
      </c>
      <c r="AL428" s="5" t="s">
        <v>109</v>
      </c>
      <c r="AM428" s="5" t="s">
        <v>203</v>
      </c>
      <c r="AN428" s="5" t="s">
        <v>204</v>
      </c>
      <c r="AO428" s="5"/>
      <c r="AP428" s="5"/>
      <c r="AQ428" s="5"/>
      <c r="AR428" s="5"/>
      <c r="AS428" s="5"/>
      <c r="AT428" s="5"/>
      <c r="AU428" s="5"/>
    </row>
    <row r="429" spans="1:47" ht="44.1" customHeight="1" x14ac:dyDescent="0.2">
      <c r="A429" s="5" t="s">
        <v>123</v>
      </c>
      <c r="B429" s="5" t="s">
        <v>1483</v>
      </c>
      <c r="C429" s="16">
        <v>2011</v>
      </c>
      <c r="D429" s="10" t="s">
        <v>199</v>
      </c>
      <c r="E429" s="6" t="s">
        <v>161</v>
      </c>
      <c r="F429" s="5" t="s">
        <v>10</v>
      </c>
      <c r="G429" s="5" t="str">
        <f>IF(CropLCAs[[#This Row],[fbs_item]]="Insects","insect_ghg","plant_ghg")</f>
        <v>plant_ghg</v>
      </c>
      <c r="H429" s="49" t="s">
        <v>200</v>
      </c>
      <c r="I429" s="49"/>
      <c r="J429" s="49"/>
      <c r="K429" s="5" t="s">
        <v>111</v>
      </c>
      <c r="L429" s="5"/>
      <c r="M429" s="5" t="s">
        <v>102</v>
      </c>
      <c r="N429" s="5" t="s">
        <v>102</v>
      </c>
      <c r="O429" s="5" t="s">
        <v>202</v>
      </c>
      <c r="P429" s="5" t="s">
        <v>102</v>
      </c>
      <c r="Q429" s="5" t="s">
        <v>102</v>
      </c>
      <c r="R429" s="5" t="s">
        <v>102</v>
      </c>
      <c r="S429" s="5" t="s">
        <v>102</v>
      </c>
      <c r="T429" s="5" t="s">
        <v>102</v>
      </c>
      <c r="U429" s="5" t="s">
        <v>126</v>
      </c>
      <c r="V429" s="5">
        <v>1</v>
      </c>
      <c r="W429" s="5" t="s">
        <v>106</v>
      </c>
      <c r="X429" s="24">
        <v>0.56999999999999995</v>
      </c>
      <c r="Y429" s="5" t="s">
        <v>106</v>
      </c>
      <c r="Z429" s="5"/>
      <c r="AA429" s="5"/>
      <c r="AB429" s="24">
        <v>1</v>
      </c>
      <c r="AC429" s="5"/>
      <c r="AD429" s="5" t="str">
        <f t="shared" si="27"/>
        <v>kg_co2e_excl_luc</v>
      </c>
      <c r="AE429" s="24">
        <f>IF(CropLCAs[[#This Row],[Product fraction]]="",CropLCAs[[#This Row],[CO2e (value)]]*CropLCAs[[#This Row],[Conversion factor (value)]],CropLCAs[[#This Row],[CO2e (value)]]*CropLCAs[[#This Row],[Conversion factor (value)]]/CropLCAs[[#This Row],[Product fraction]]*CropLCAs[[#This Row],[Value fraction]])</f>
        <v>0.56999999999999995</v>
      </c>
      <c r="AF429" s="5"/>
      <c r="AG429" s="5" t="str">
        <f t="shared" si="28"/>
        <v>processed_ghg</v>
      </c>
      <c r="AH429" s="5"/>
      <c r="AI429" s="5"/>
      <c r="AJ429" s="8" t="str">
        <f>IF(CropLCAs[[#This Row],[product_fraction]]&gt;0,CropLCAs[[#This Row],[footprint]]/CropLCAs[[#This Row],[product_fraction]]*CropLCAs[[#This Row],[value_fraction]],"")</f>
        <v/>
      </c>
      <c r="AK429" s="23">
        <f t="shared" si="32"/>
        <v>0.33333333333333331</v>
      </c>
      <c r="AL429" s="5" t="s">
        <v>109</v>
      </c>
      <c r="AM429" s="5" t="s">
        <v>203</v>
      </c>
      <c r="AN429" s="5" t="s">
        <v>204</v>
      </c>
      <c r="AO429" s="5"/>
      <c r="AP429" s="5"/>
      <c r="AQ429" s="5"/>
      <c r="AR429" s="5"/>
      <c r="AS429" s="5"/>
      <c r="AT429" s="5"/>
      <c r="AU429" s="5"/>
    </row>
    <row r="430" spans="1:47" ht="44.1" customHeight="1" x14ac:dyDescent="0.2">
      <c r="A430" s="5" t="s">
        <v>123</v>
      </c>
      <c r="B430" s="5" t="s">
        <v>1483</v>
      </c>
      <c r="C430" s="16">
        <v>2011</v>
      </c>
      <c r="D430" s="10" t="s">
        <v>199</v>
      </c>
      <c r="E430" s="6" t="s">
        <v>303</v>
      </c>
      <c r="F430" s="5" t="s">
        <v>14</v>
      </c>
      <c r="G430" s="5" t="str">
        <f>IF(CropLCAs[[#This Row],[fbs_item]]="Insects","insect_ghg","plant_ghg")</f>
        <v>plant_ghg</v>
      </c>
      <c r="H430" s="49" t="s">
        <v>200</v>
      </c>
      <c r="I430" s="49"/>
      <c r="J430" s="49"/>
      <c r="K430" s="5" t="s">
        <v>201</v>
      </c>
      <c r="L430" s="5"/>
      <c r="M430" s="5" t="s">
        <v>102</v>
      </c>
      <c r="N430" s="5" t="s">
        <v>102</v>
      </c>
      <c r="O430" s="5" t="s">
        <v>202</v>
      </c>
      <c r="P430" s="5" t="s">
        <v>102</v>
      </c>
      <c r="Q430" s="5" t="s">
        <v>102</v>
      </c>
      <c r="R430" s="5" t="s">
        <v>102</v>
      </c>
      <c r="S430" s="5" t="s">
        <v>102</v>
      </c>
      <c r="T430" s="5" t="s">
        <v>102</v>
      </c>
      <c r="U430" s="5" t="s">
        <v>126</v>
      </c>
      <c r="V430" s="5">
        <v>1</v>
      </c>
      <c r="W430" s="5" t="s">
        <v>106</v>
      </c>
      <c r="X430" s="24">
        <v>0.54</v>
      </c>
      <c r="Y430" s="5" t="s">
        <v>106</v>
      </c>
      <c r="Z430" s="5"/>
      <c r="AA430" s="5"/>
      <c r="AB430" s="24">
        <v>1</v>
      </c>
      <c r="AC430" s="5"/>
      <c r="AD430" s="5" t="str">
        <f t="shared" si="27"/>
        <v>kg_co2e_excl_luc</v>
      </c>
      <c r="AE430" s="24">
        <f>IF(CropLCAs[[#This Row],[Product fraction]]="",CropLCAs[[#This Row],[CO2e (value)]]*CropLCAs[[#This Row],[Conversion factor (value)]],CropLCAs[[#This Row],[CO2e (value)]]*CropLCAs[[#This Row],[Conversion factor (value)]]/CropLCAs[[#This Row],[Product fraction]]*CropLCAs[[#This Row],[Value fraction]])</f>
        <v>0.54</v>
      </c>
      <c r="AF430" s="5"/>
      <c r="AG430" s="5" t="str">
        <f t="shared" si="28"/>
        <v>processed_ghg</v>
      </c>
      <c r="AH430" s="5"/>
      <c r="AI430" s="5"/>
      <c r="AJ430" s="8" t="str">
        <f>IF(CropLCAs[[#This Row],[product_fraction]]&gt;0,CropLCAs[[#This Row],[footprint]]/CropLCAs[[#This Row],[product_fraction]]*CropLCAs[[#This Row],[value_fraction]],"")</f>
        <v/>
      </c>
      <c r="AK430" s="23">
        <f t="shared" si="32"/>
        <v>0.33333333333333331</v>
      </c>
      <c r="AL430" s="5" t="s">
        <v>109</v>
      </c>
      <c r="AM430" s="5" t="s">
        <v>203</v>
      </c>
      <c r="AN430" s="5" t="s">
        <v>204</v>
      </c>
      <c r="AO430" s="5"/>
      <c r="AP430" s="5"/>
      <c r="AQ430" s="5"/>
      <c r="AR430" s="5"/>
      <c r="AS430" s="5"/>
      <c r="AT430" s="5"/>
      <c r="AU430" s="5"/>
    </row>
    <row r="431" spans="1:47" ht="44.1" customHeight="1" x14ac:dyDescent="0.2">
      <c r="A431" s="5" t="s">
        <v>123</v>
      </c>
      <c r="B431" s="5" t="s">
        <v>1483</v>
      </c>
      <c r="C431" s="16">
        <v>2011</v>
      </c>
      <c r="D431" s="10" t="s">
        <v>199</v>
      </c>
      <c r="E431" s="6" t="s">
        <v>303</v>
      </c>
      <c r="F431" s="5" t="s">
        <v>14</v>
      </c>
      <c r="G431" s="5" t="str">
        <f>IF(CropLCAs[[#This Row],[fbs_item]]="Insects","insect_ghg","plant_ghg")</f>
        <v>plant_ghg</v>
      </c>
      <c r="H431" s="49" t="s">
        <v>200</v>
      </c>
      <c r="I431" s="49"/>
      <c r="J431" s="49"/>
      <c r="K431" s="5" t="s">
        <v>205</v>
      </c>
      <c r="L431" s="5"/>
      <c r="M431" s="5" t="s">
        <v>102</v>
      </c>
      <c r="N431" s="5" t="s">
        <v>102</v>
      </c>
      <c r="O431" s="5" t="s">
        <v>202</v>
      </c>
      <c r="P431" s="5" t="s">
        <v>102</v>
      </c>
      <c r="Q431" s="5" t="s">
        <v>102</v>
      </c>
      <c r="R431" s="5" t="s">
        <v>102</v>
      </c>
      <c r="S431" s="5" t="s">
        <v>102</v>
      </c>
      <c r="T431" s="5" t="s">
        <v>102</v>
      </c>
      <c r="U431" s="5" t="s">
        <v>126</v>
      </c>
      <c r="V431" s="5">
        <v>1</v>
      </c>
      <c r="W431" s="5" t="s">
        <v>106</v>
      </c>
      <c r="X431" s="24">
        <v>0.54</v>
      </c>
      <c r="Y431" s="5" t="s">
        <v>106</v>
      </c>
      <c r="Z431" s="5"/>
      <c r="AA431" s="5"/>
      <c r="AB431" s="24">
        <v>1</v>
      </c>
      <c r="AC431" s="5"/>
      <c r="AD431" s="5" t="str">
        <f t="shared" si="27"/>
        <v>kg_co2e_excl_luc</v>
      </c>
      <c r="AE431" s="24">
        <f>IF(CropLCAs[[#This Row],[Product fraction]]="",CropLCAs[[#This Row],[CO2e (value)]]*CropLCAs[[#This Row],[Conversion factor (value)]],CropLCAs[[#This Row],[CO2e (value)]]*CropLCAs[[#This Row],[Conversion factor (value)]]/CropLCAs[[#This Row],[Product fraction]]*CropLCAs[[#This Row],[Value fraction]])</f>
        <v>0.54</v>
      </c>
      <c r="AF431" s="5"/>
      <c r="AG431" s="5" t="str">
        <f t="shared" si="28"/>
        <v>processed_ghg</v>
      </c>
      <c r="AH431" s="5"/>
      <c r="AI431" s="5"/>
      <c r="AJ431" s="8" t="str">
        <f>IF(CropLCAs[[#This Row],[product_fraction]]&gt;0,CropLCAs[[#This Row],[footprint]]/CropLCAs[[#This Row],[product_fraction]]*CropLCAs[[#This Row],[value_fraction]],"")</f>
        <v/>
      </c>
      <c r="AK431" s="23">
        <f t="shared" si="32"/>
        <v>0.33333333333333331</v>
      </c>
      <c r="AL431" s="5" t="s">
        <v>109</v>
      </c>
      <c r="AM431" s="5" t="s">
        <v>203</v>
      </c>
      <c r="AN431" s="5" t="s">
        <v>204</v>
      </c>
      <c r="AO431" s="5"/>
      <c r="AP431" s="5"/>
      <c r="AQ431" s="5"/>
      <c r="AR431" s="5"/>
      <c r="AS431" s="5"/>
      <c r="AT431" s="5"/>
      <c r="AU431" s="5"/>
    </row>
    <row r="432" spans="1:47" ht="44.1" customHeight="1" x14ac:dyDescent="0.2">
      <c r="A432" s="5" t="s">
        <v>123</v>
      </c>
      <c r="B432" s="5" t="s">
        <v>1483</v>
      </c>
      <c r="C432" s="16">
        <v>2011</v>
      </c>
      <c r="D432" s="10" t="s">
        <v>199</v>
      </c>
      <c r="E432" s="6" t="s">
        <v>303</v>
      </c>
      <c r="F432" s="5" t="s">
        <v>14</v>
      </c>
      <c r="G432" s="5" t="str">
        <f>IF(CropLCAs[[#This Row],[fbs_item]]="Insects","insect_ghg","plant_ghg")</f>
        <v>plant_ghg</v>
      </c>
      <c r="H432" s="49" t="s">
        <v>200</v>
      </c>
      <c r="I432" s="49"/>
      <c r="J432" s="49"/>
      <c r="K432" s="5" t="s">
        <v>111</v>
      </c>
      <c r="L432" s="5"/>
      <c r="M432" s="5" t="s">
        <v>102</v>
      </c>
      <c r="N432" s="5" t="s">
        <v>102</v>
      </c>
      <c r="O432" s="5" t="s">
        <v>202</v>
      </c>
      <c r="P432" s="5" t="s">
        <v>102</v>
      </c>
      <c r="Q432" s="5" t="s">
        <v>102</v>
      </c>
      <c r="R432" s="5" t="s">
        <v>102</v>
      </c>
      <c r="S432" s="5" t="s">
        <v>102</v>
      </c>
      <c r="T432" s="5" t="s">
        <v>102</v>
      </c>
      <c r="U432" s="5" t="s">
        <v>126</v>
      </c>
      <c r="V432" s="5">
        <v>1</v>
      </c>
      <c r="W432" s="5" t="s">
        <v>106</v>
      </c>
      <c r="X432" s="24">
        <v>0.56999999999999995</v>
      </c>
      <c r="Y432" s="5" t="s">
        <v>106</v>
      </c>
      <c r="Z432" s="5"/>
      <c r="AA432" s="5"/>
      <c r="AB432" s="24">
        <v>1</v>
      </c>
      <c r="AC432" s="5"/>
      <c r="AD432" s="5" t="str">
        <f t="shared" si="27"/>
        <v>kg_co2e_excl_luc</v>
      </c>
      <c r="AE432" s="24">
        <f>IF(CropLCAs[[#This Row],[Product fraction]]="",CropLCAs[[#This Row],[CO2e (value)]]*CropLCAs[[#This Row],[Conversion factor (value)]],CropLCAs[[#This Row],[CO2e (value)]]*CropLCAs[[#This Row],[Conversion factor (value)]]/CropLCAs[[#This Row],[Product fraction]]*CropLCAs[[#This Row],[Value fraction]])</f>
        <v>0.56999999999999995</v>
      </c>
      <c r="AF432" s="5"/>
      <c r="AG432" s="5" t="str">
        <f t="shared" si="28"/>
        <v>processed_ghg</v>
      </c>
      <c r="AH432" s="5"/>
      <c r="AI432" s="5"/>
      <c r="AJ432" s="8" t="str">
        <f>IF(CropLCAs[[#This Row],[product_fraction]]&gt;0,CropLCAs[[#This Row],[footprint]]/CropLCAs[[#This Row],[product_fraction]]*CropLCAs[[#This Row],[value_fraction]],"")</f>
        <v/>
      </c>
      <c r="AK432" s="23">
        <f t="shared" si="32"/>
        <v>0.33333333333333331</v>
      </c>
      <c r="AL432" s="5" t="s">
        <v>109</v>
      </c>
      <c r="AM432" s="5" t="s">
        <v>203</v>
      </c>
      <c r="AN432" s="5" t="s">
        <v>204</v>
      </c>
      <c r="AO432" s="5"/>
      <c r="AP432" s="5"/>
      <c r="AQ432" s="5"/>
      <c r="AR432" s="5"/>
      <c r="AS432" s="5"/>
      <c r="AT432" s="5"/>
      <c r="AU432" s="5"/>
    </row>
    <row r="433" spans="1:47" ht="44.1" customHeight="1" x14ac:dyDescent="0.2">
      <c r="A433" s="5" t="s">
        <v>123</v>
      </c>
      <c r="B433" s="5" t="s">
        <v>1483</v>
      </c>
      <c r="C433" s="16">
        <v>2011</v>
      </c>
      <c r="D433" s="10" t="s">
        <v>199</v>
      </c>
      <c r="E433" s="6" t="s">
        <v>450</v>
      </c>
      <c r="F433" s="5" t="s">
        <v>19</v>
      </c>
      <c r="G433" s="5" t="str">
        <f>IF(CropLCAs[[#This Row],[fbs_item]]="Insects","insect_ghg","plant_ghg")</f>
        <v>plant_ghg</v>
      </c>
      <c r="H433" s="49" t="s">
        <v>200</v>
      </c>
      <c r="I433" s="49"/>
      <c r="J433" s="49"/>
      <c r="K433" s="5" t="s">
        <v>201</v>
      </c>
      <c r="L433" s="5"/>
      <c r="M433" s="5" t="s">
        <v>102</v>
      </c>
      <c r="N433" s="5" t="s">
        <v>102</v>
      </c>
      <c r="O433" s="5" t="s">
        <v>202</v>
      </c>
      <c r="P433" s="5" t="s">
        <v>102</v>
      </c>
      <c r="Q433" s="5" t="s">
        <v>102</v>
      </c>
      <c r="R433" s="5" t="s">
        <v>102</v>
      </c>
      <c r="S433" s="5" t="s">
        <v>102</v>
      </c>
      <c r="T433" s="5" t="s">
        <v>102</v>
      </c>
      <c r="U433" s="5" t="s">
        <v>126</v>
      </c>
      <c r="V433" s="5">
        <v>1</v>
      </c>
      <c r="W433" s="5" t="s">
        <v>106</v>
      </c>
      <c r="X433" s="24">
        <v>0.84</v>
      </c>
      <c r="Y433" s="5" t="s">
        <v>106</v>
      </c>
      <c r="Z433" s="5"/>
      <c r="AA433" s="5"/>
      <c r="AB433" s="24">
        <v>1</v>
      </c>
      <c r="AC433" s="5"/>
      <c r="AD433" s="5" t="str">
        <f t="shared" si="27"/>
        <v>kg_co2e_excl_luc</v>
      </c>
      <c r="AE433" s="24">
        <f>IF(CropLCAs[[#This Row],[Product fraction]]="",CropLCAs[[#This Row],[CO2e (value)]]*CropLCAs[[#This Row],[Conversion factor (value)]],CropLCAs[[#This Row],[CO2e (value)]]*CropLCAs[[#This Row],[Conversion factor (value)]]/CropLCAs[[#This Row],[Product fraction]]*CropLCAs[[#This Row],[Value fraction]])</f>
        <v>0.84</v>
      </c>
      <c r="AF433" s="5"/>
      <c r="AG433" s="5" t="str">
        <f t="shared" si="28"/>
        <v>processed_ghg</v>
      </c>
      <c r="AH433" s="5"/>
      <c r="AI433" s="5"/>
      <c r="AJ433" s="8" t="str">
        <f>IF(CropLCAs[[#This Row],[product_fraction]]&gt;0,CropLCAs[[#This Row],[footprint]]/CropLCAs[[#This Row],[product_fraction]]*CropLCAs[[#This Row],[value_fraction]],"")</f>
        <v/>
      </c>
      <c r="AK433" s="23">
        <f t="shared" si="32"/>
        <v>0.33333333333333331</v>
      </c>
      <c r="AL433" s="5" t="s">
        <v>109</v>
      </c>
      <c r="AM433" s="5" t="s">
        <v>203</v>
      </c>
      <c r="AN433" s="5" t="s">
        <v>204</v>
      </c>
      <c r="AO433" s="5"/>
      <c r="AP433" s="5"/>
      <c r="AQ433" s="5"/>
      <c r="AR433" s="5"/>
      <c r="AS433" s="5"/>
      <c r="AT433" s="5"/>
      <c r="AU433" s="5"/>
    </row>
    <row r="434" spans="1:47" ht="44.1" customHeight="1" x14ac:dyDescent="0.2">
      <c r="A434" s="5" t="s">
        <v>123</v>
      </c>
      <c r="B434" s="5" t="s">
        <v>1483</v>
      </c>
      <c r="C434" s="16">
        <v>2011</v>
      </c>
      <c r="D434" s="10" t="s">
        <v>199</v>
      </c>
      <c r="E434" s="6" t="s">
        <v>450</v>
      </c>
      <c r="F434" s="5" t="s">
        <v>19</v>
      </c>
      <c r="G434" s="5" t="str">
        <f>IF(CropLCAs[[#This Row],[fbs_item]]="Insects","insect_ghg","plant_ghg")</f>
        <v>plant_ghg</v>
      </c>
      <c r="H434" s="49" t="s">
        <v>200</v>
      </c>
      <c r="I434" s="49"/>
      <c r="J434" s="49"/>
      <c r="K434" s="5" t="s">
        <v>205</v>
      </c>
      <c r="L434" s="5"/>
      <c r="M434" s="5" t="s">
        <v>102</v>
      </c>
      <c r="N434" s="5" t="s">
        <v>102</v>
      </c>
      <c r="O434" s="5" t="s">
        <v>202</v>
      </c>
      <c r="P434" s="5" t="s">
        <v>102</v>
      </c>
      <c r="Q434" s="5" t="s">
        <v>102</v>
      </c>
      <c r="R434" s="5" t="s">
        <v>102</v>
      </c>
      <c r="S434" s="5" t="s">
        <v>102</v>
      </c>
      <c r="T434" s="5" t="s">
        <v>102</v>
      </c>
      <c r="U434" s="5" t="s">
        <v>126</v>
      </c>
      <c r="V434" s="5">
        <v>1</v>
      </c>
      <c r="W434" s="5" t="s">
        <v>106</v>
      </c>
      <c r="X434" s="24">
        <v>0.84</v>
      </c>
      <c r="Y434" s="5" t="s">
        <v>106</v>
      </c>
      <c r="Z434" s="5"/>
      <c r="AA434" s="5"/>
      <c r="AB434" s="24">
        <v>1</v>
      </c>
      <c r="AC434" s="5"/>
      <c r="AD434" s="5" t="str">
        <f t="shared" si="27"/>
        <v>kg_co2e_excl_luc</v>
      </c>
      <c r="AE434" s="24">
        <f>IF(CropLCAs[[#This Row],[Product fraction]]="",CropLCAs[[#This Row],[CO2e (value)]]*CropLCAs[[#This Row],[Conversion factor (value)]],CropLCAs[[#This Row],[CO2e (value)]]*CropLCAs[[#This Row],[Conversion factor (value)]]/CropLCAs[[#This Row],[Product fraction]]*CropLCAs[[#This Row],[Value fraction]])</f>
        <v>0.84</v>
      </c>
      <c r="AF434" s="5"/>
      <c r="AG434" s="5" t="str">
        <f t="shared" si="28"/>
        <v>processed_ghg</v>
      </c>
      <c r="AH434" s="5"/>
      <c r="AI434" s="5"/>
      <c r="AJ434" s="8" t="str">
        <f>IF(CropLCAs[[#This Row],[product_fraction]]&gt;0,CropLCAs[[#This Row],[footprint]]/CropLCAs[[#This Row],[product_fraction]]*CropLCAs[[#This Row],[value_fraction]],"")</f>
        <v/>
      </c>
      <c r="AK434" s="23">
        <f t="shared" si="32"/>
        <v>0.33333333333333331</v>
      </c>
      <c r="AL434" s="5" t="s">
        <v>109</v>
      </c>
      <c r="AM434" s="5" t="s">
        <v>203</v>
      </c>
      <c r="AN434" s="5" t="s">
        <v>204</v>
      </c>
      <c r="AO434" s="5"/>
      <c r="AP434" s="5"/>
      <c r="AQ434" s="5"/>
      <c r="AR434" s="5"/>
      <c r="AS434" s="5"/>
      <c r="AT434" s="5"/>
      <c r="AU434" s="5"/>
    </row>
    <row r="435" spans="1:47" ht="44.1" customHeight="1" x14ac:dyDescent="0.2">
      <c r="A435" s="5" t="s">
        <v>123</v>
      </c>
      <c r="B435" s="5" t="s">
        <v>1483</v>
      </c>
      <c r="C435" s="16">
        <v>2011</v>
      </c>
      <c r="D435" s="10" t="s">
        <v>199</v>
      </c>
      <c r="E435" s="6" t="s">
        <v>450</v>
      </c>
      <c r="F435" s="5" t="s">
        <v>19</v>
      </c>
      <c r="G435" s="5" t="str">
        <f>IF(CropLCAs[[#This Row],[fbs_item]]="Insects","insect_ghg","plant_ghg")</f>
        <v>plant_ghg</v>
      </c>
      <c r="H435" s="49" t="s">
        <v>200</v>
      </c>
      <c r="I435" s="49"/>
      <c r="J435" s="49"/>
      <c r="K435" s="5" t="s">
        <v>111</v>
      </c>
      <c r="L435" s="5"/>
      <c r="M435" s="5" t="s">
        <v>102</v>
      </c>
      <c r="N435" s="5" t="s">
        <v>102</v>
      </c>
      <c r="O435" s="5" t="s">
        <v>202</v>
      </c>
      <c r="P435" s="5" t="s">
        <v>102</v>
      </c>
      <c r="Q435" s="5" t="s">
        <v>102</v>
      </c>
      <c r="R435" s="5" t="s">
        <v>102</v>
      </c>
      <c r="S435" s="5" t="s">
        <v>102</v>
      </c>
      <c r="T435" s="5" t="s">
        <v>102</v>
      </c>
      <c r="U435" s="5" t="s">
        <v>126</v>
      </c>
      <c r="V435" s="5">
        <v>1</v>
      </c>
      <c r="W435" s="5" t="s">
        <v>106</v>
      </c>
      <c r="X435" s="24">
        <v>0.87</v>
      </c>
      <c r="Y435" s="5" t="s">
        <v>106</v>
      </c>
      <c r="Z435" s="5"/>
      <c r="AA435" s="5"/>
      <c r="AB435" s="24">
        <v>1</v>
      </c>
      <c r="AC435" s="5"/>
      <c r="AD435" s="5" t="str">
        <f t="shared" si="27"/>
        <v>kg_co2e_excl_luc</v>
      </c>
      <c r="AE435" s="24">
        <f>IF(CropLCAs[[#This Row],[Product fraction]]="",CropLCAs[[#This Row],[CO2e (value)]]*CropLCAs[[#This Row],[Conversion factor (value)]],CropLCAs[[#This Row],[CO2e (value)]]*CropLCAs[[#This Row],[Conversion factor (value)]]/CropLCAs[[#This Row],[Product fraction]]*CropLCAs[[#This Row],[Value fraction]])</f>
        <v>0.87</v>
      </c>
      <c r="AF435" s="5"/>
      <c r="AG435" s="5" t="str">
        <f t="shared" si="28"/>
        <v>processed_ghg</v>
      </c>
      <c r="AH435" s="5"/>
      <c r="AI435" s="5"/>
      <c r="AJ435" s="8" t="str">
        <f>IF(CropLCAs[[#This Row],[product_fraction]]&gt;0,CropLCAs[[#This Row],[footprint]]/CropLCAs[[#This Row],[product_fraction]]*CropLCAs[[#This Row],[value_fraction]],"")</f>
        <v/>
      </c>
      <c r="AK435" s="23">
        <f t="shared" si="32"/>
        <v>0.33333333333333331</v>
      </c>
      <c r="AL435" s="5" t="s">
        <v>109</v>
      </c>
      <c r="AM435" s="5" t="s">
        <v>203</v>
      </c>
      <c r="AN435" s="5" t="s">
        <v>204</v>
      </c>
      <c r="AO435" s="5"/>
      <c r="AP435" s="5"/>
      <c r="AQ435" s="5"/>
      <c r="AR435" s="5"/>
      <c r="AS435" s="5"/>
      <c r="AT435" s="5"/>
      <c r="AU435" s="5"/>
    </row>
    <row r="436" spans="1:47" ht="44.1" customHeight="1" x14ac:dyDescent="0.2">
      <c r="A436" s="5" t="s">
        <v>123</v>
      </c>
      <c r="B436" s="5" t="s">
        <v>1483</v>
      </c>
      <c r="C436" s="16">
        <v>2011</v>
      </c>
      <c r="D436" s="10" t="s">
        <v>199</v>
      </c>
      <c r="E436" s="6" t="s">
        <v>630</v>
      </c>
      <c r="F436" s="5" t="s">
        <v>5</v>
      </c>
      <c r="G436" s="5" t="str">
        <f>IF(CropLCAs[[#This Row],[fbs_item]]="Insects","insect_ghg","plant_ghg")</f>
        <v>plant_ghg</v>
      </c>
      <c r="H436" s="49" t="s">
        <v>200</v>
      </c>
      <c r="I436" s="49"/>
      <c r="J436" s="49"/>
      <c r="K436" s="5" t="s">
        <v>201</v>
      </c>
      <c r="L436" s="5"/>
      <c r="M436" s="5" t="s">
        <v>102</v>
      </c>
      <c r="N436" s="5" t="s">
        <v>102</v>
      </c>
      <c r="O436" s="5" t="s">
        <v>202</v>
      </c>
      <c r="P436" s="5" t="s">
        <v>102</v>
      </c>
      <c r="Q436" s="5" t="s">
        <v>102</v>
      </c>
      <c r="R436" s="5" t="s">
        <v>102</v>
      </c>
      <c r="S436" s="5" t="s">
        <v>102</v>
      </c>
      <c r="T436" s="5" t="s">
        <v>102</v>
      </c>
      <c r="U436" s="5" t="s">
        <v>126</v>
      </c>
      <c r="V436" s="5">
        <v>1</v>
      </c>
      <c r="W436" s="5" t="s">
        <v>106</v>
      </c>
      <c r="X436" s="24">
        <v>0.56999999999999995</v>
      </c>
      <c r="Y436" s="5" t="s">
        <v>106</v>
      </c>
      <c r="Z436" s="5"/>
      <c r="AA436" s="5"/>
      <c r="AB436" s="24">
        <v>1</v>
      </c>
      <c r="AC436" s="5"/>
      <c r="AD436" s="5" t="str">
        <f t="shared" si="27"/>
        <v>kg_co2e_excl_luc</v>
      </c>
      <c r="AE436" s="24">
        <f>IF(CropLCAs[[#This Row],[Product fraction]]="",CropLCAs[[#This Row],[CO2e (value)]]*CropLCAs[[#This Row],[Conversion factor (value)]],CropLCAs[[#This Row],[CO2e (value)]]*CropLCAs[[#This Row],[Conversion factor (value)]]/CropLCAs[[#This Row],[Product fraction]]*CropLCAs[[#This Row],[Value fraction]])</f>
        <v>0.56999999999999995</v>
      </c>
      <c r="AF436" s="5"/>
      <c r="AG436" s="5" t="str">
        <f t="shared" si="28"/>
        <v>processed_ghg</v>
      </c>
      <c r="AH436" s="5"/>
      <c r="AI436" s="5"/>
      <c r="AJ436" s="8" t="str">
        <f>IF(CropLCAs[[#This Row],[product_fraction]]&gt;0,CropLCAs[[#This Row],[footprint]]/CropLCAs[[#This Row],[product_fraction]]*CropLCAs[[#This Row],[value_fraction]],"")</f>
        <v/>
      </c>
      <c r="AK436" s="23">
        <f t="shared" si="32"/>
        <v>0.33333333333333331</v>
      </c>
      <c r="AL436" s="5" t="s">
        <v>109</v>
      </c>
      <c r="AM436" s="5" t="s">
        <v>203</v>
      </c>
      <c r="AN436" s="5" t="s">
        <v>204</v>
      </c>
      <c r="AO436" s="5"/>
      <c r="AP436" s="5"/>
      <c r="AQ436" s="5"/>
      <c r="AR436" s="5"/>
      <c r="AS436" s="5"/>
      <c r="AT436" s="5"/>
      <c r="AU436" s="5"/>
    </row>
    <row r="437" spans="1:47" ht="44.1" customHeight="1" x14ac:dyDescent="0.2">
      <c r="A437" s="5" t="s">
        <v>123</v>
      </c>
      <c r="B437" s="5" t="s">
        <v>1483</v>
      </c>
      <c r="C437" s="16">
        <v>2011</v>
      </c>
      <c r="D437" s="10" t="s">
        <v>199</v>
      </c>
      <c r="E437" s="6" t="s">
        <v>630</v>
      </c>
      <c r="F437" s="5" t="s">
        <v>5</v>
      </c>
      <c r="G437" s="5" t="str">
        <f>IF(CropLCAs[[#This Row],[fbs_item]]="Insects","insect_ghg","plant_ghg")</f>
        <v>plant_ghg</v>
      </c>
      <c r="H437" s="49" t="s">
        <v>200</v>
      </c>
      <c r="I437" s="49"/>
      <c r="J437" s="49"/>
      <c r="K437" s="5" t="s">
        <v>205</v>
      </c>
      <c r="L437" s="5"/>
      <c r="M437" s="5" t="s">
        <v>102</v>
      </c>
      <c r="N437" s="5" t="s">
        <v>102</v>
      </c>
      <c r="O437" s="5" t="s">
        <v>202</v>
      </c>
      <c r="P437" s="5" t="s">
        <v>102</v>
      </c>
      <c r="Q437" s="5" t="s">
        <v>102</v>
      </c>
      <c r="R437" s="5" t="s">
        <v>102</v>
      </c>
      <c r="S437" s="5" t="s">
        <v>102</v>
      </c>
      <c r="T437" s="5" t="s">
        <v>102</v>
      </c>
      <c r="U437" s="5" t="s">
        <v>126</v>
      </c>
      <c r="V437" s="5">
        <v>1</v>
      </c>
      <c r="W437" s="5" t="s">
        <v>106</v>
      </c>
      <c r="X437" s="24">
        <v>0.56999999999999995</v>
      </c>
      <c r="Y437" s="5" t="s">
        <v>106</v>
      </c>
      <c r="Z437" s="5"/>
      <c r="AA437" s="5"/>
      <c r="AB437" s="24">
        <v>1</v>
      </c>
      <c r="AC437" s="5"/>
      <c r="AD437" s="5" t="str">
        <f t="shared" si="27"/>
        <v>kg_co2e_excl_luc</v>
      </c>
      <c r="AE437" s="24">
        <f>IF(CropLCAs[[#This Row],[Product fraction]]="",CropLCAs[[#This Row],[CO2e (value)]]*CropLCAs[[#This Row],[Conversion factor (value)]],CropLCAs[[#This Row],[CO2e (value)]]*CropLCAs[[#This Row],[Conversion factor (value)]]/CropLCAs[[#This Row],[Product fraction]]*CropLCAs[[#This Row],[Value fraction]])</f>
        <v>0.56999999999999995</v>
      </c>
      <c r="AF437" s="5"/>
      <c r="AG437" s="5" t="str">
        <f t="shared" si="28"/>
        <v>processed_ghg</v>
      </c>
      <c r="AH437" s="5"/>
      <c r="AI437" s="5"/>
      <c r="AJ437" s="8" t="str">
        <f>IF(CropLCAs[[#This Row],[product_fraction]]&gt;0,CropLCAs[[#This Row],[footprint]]/CropLCAs[[#This Row],[product_fraction]]*CropLCAs[[#This Row],[value_fraction]],"")</f>
        <v/>
      </c>
      <c r="AK437" s="23">
        <f t="shared" si="32"/>
        <v>0.33333333333333331</v>
      </c>
      <c r="AL437" s="5" t="s">
        <v>109</v>
      </c>
      <c r="AM437" s="5" t="s">
        <v>203</v>
      </c>
      <c r="AN437" s="5" t="s">
        <v>204</v>
      </c>
      <c r="AO437" s="5"/>
      <c r="AP437" s="5"/>
      <c r="AQ437" s="5"/>
      <c r="AR437" s="5"/>
      <c r="AS437" s="5"/>
      <c r="AT437" s="5"/>
      <c r="AU437" s="5"/>
    </row>
    <row r="438" spans="1:47" ht="44.1" customHeight="1" x14ac:dyDescent="0.2">
      <c r="A438" s="5" t="s">
        <v>123</v>
      </c>
      <c r="B438" s="5" t="s">
        <v>1483</v>
      </c>
      <c r="C438" s="16">
        <v>2011</v>
      </c>
      <c r="D438" s="10" t="s">
        <v>199</v>
      </c>
      <c r="E438" s="6" t="s">
        <v>630</v>
      </c>
      <c r="F438" s="5" t="s">
        <v>5</v>
      </c>
      <c r="G438" s="5" t="str">
        <f>IF(CropLCAs[[#This Row],[fbs_item]]="Insects","insect_ghg","plant_ghg")</f>
        <v>plant_ghg</v>
      </c>
      <c r="H438" s="49" t="s">
        <v>200</v>
      </c>
      <c r="I438" s="49"/>
      <c r="J438" s="49"/>
      <c r="K438" s="5" t="s">
        <v>111</v>
      </c>
      <c r="L438" s="5"/>
      <c r="M438" s="5" t="s">
        <v>102</v>
      </c>
      <c r="N438" s="5" t="s">
        <v>102</v>
      </c>
      <c r="O438" s="5" t="s">
        <v>202</v>
      </c>
      <c r="P438" s="5" t="s">
        <v>102</v>
      </c>
      <c r="Q438" s="5" t="s">
        <v>102</v>
      </c>
      <c r="R438" s="5" t="s">
        <v>102</v>
      </c>
      <c r="S438" s="5" t="s">
        <v>102</v>
      </c>
      <c r="T438" s="5" t="s">
        <v>102</v>
      </c>
      <c r="U438" s="5" t="s">
        <v>126</v>
      </c>
      <c r="V438" s="5">
        <v>1</v>
      </c>
      <c r="W438" s="5" t="s">
        <v>106</v>
      </c>
      <c r="X438" s="24">
        <v>0.59</v>
      </c>
      <c r="Y438" s="5" t="s">
        <v>106</v>
      </c>
      <c r="Z438" s="5"/>
      <c r="AA438" s="5"/>
      <c r="AB438" s="24">
        <v>1</v>
      </c>
      <c r="AC438" s="5"/>
      <c r="AD438" s="5" t="str">
        <f t="shared" si="27"/>
        <v>kg_co2e_excl_luc</v>
      </c>
      <c r="AE438" s="24">
        <f>IF(CropLCAs[[#This Row],[Product fraction]]="",CropLCAs[[#This Row],[CO2e (value)]]*CropLCAs[[#This Row],[Conversion factor (value)]],CropLCAs[[#This Row],[CO2e (value)]]*CropLCAs[[#This Row],[Conversion factor (value)]]/CropLCAs[[#This Row],[Product fraction]]*CropLCAs[[#This Row],[Value fraction]])</f>
        <v>0.59</v>
      </c>
      <c r="AF438" s="5"/>
      <c r="AG438" s="5" t="str">
        <f t="shared" si="28"/>
        <v>processed_ghg</v>
      </c>
      <c r="AH438" s="5"/>
      <c r="AI438" s="5"/>
      <c r="AJ438" s="8" t="str">
        <f>IF(CropLCAs[[#This Row],[product_fraction]]&gt;0,CropLCAs[[#This Row],[footprint]]/CropLCAs[[#This Row],[product_fraction]]*CropLCAs[[#This Row],[value_fraction]],"")</f>
        <v/>
      </c>
      <c r="AK438" s="23">
        <f t="shared" si="32"/>
        <v>0.33333333333333331</v>
      </c>
      <c r="AL438" s="5" t="s">
        <v>109</v>
      </c>
      <c r="AM438" s="5" t="s">
        <v>203</v>
      </c>
      <c r="AN438" s="5" t="s">
        <v>204</v>
      </c>
      <c r="AO438" s="5"/>
      <c r="AP438" s="5"/>
      <c r="AQ438" s="5"/>
      <c r="AR438" s="5"/>
      <c r="AS438" s="5"/>
      <c r="AT438" s="5"/>
      <c r="AU438" s="5"/>
    </row>
    <row r="439" spans="1:47" ht="44.1" customHeight="1" x14ac:dyDescent="0.2">
      <c r="A439" s="5" t="s">
        <v>99</v>
      </c>
      <c r="B439" s="5" t="s">
        <v>1484</v>
      </c>
      <c r="C439" s="16">
        <v>2004</v>
      </c>
      <c r="D439" s="7" t="s">
        <v>489</v>
      </c>
      <c r="E439" s="6" t="s">
        <v>490</v>
      </c>
      <c r="F439" s="5" t="s">
        <v>35</v>
      </c>
      <c r="G439" s="5" t="str">
        <f>IF(CropLCAs[[#This Row],[fbs_item]]="Insects","insect_ghg","plant_ghg")</f>
        <v>plant_ghg</v>
      </c>
      <c r="H439" s="49" t="s">
        <v>491</v>
      </c>
      <c r="I439" s="49"/>
      <c r="J439" s="49"/>
      <c r="K439" s="5" t="s">
        <v>111</v>
      </c>
      <c r="L439" s="5"/>
      <c r="M439" s="5" t="s">
        <v>102</v>
      </c>
      <c r="N439" s="5" t="s">
        <v>102</v>
      </c>
      <c r="O439" s="5" t="s">
        <v>109</v>
      </c>
      <c r="P439" s="5" t="s">
        <v>102</v>
      </c>
      <c r="Q439" s="5" t="s">
        <v>102</v>
      </c>
      <c r="R439" s="5" t="s">
        <v>102</v>
      </c>
      <c r="S439" s="5" t="s">
        <v>105</v>
      </c>
      <c r="T439" s="5" t="s">
        <v>492</v>
      </c>
      <c r="U439" s="5" t="s">
        <v>126</v>
      </c>
      <c r="V439" s="5">
        <v>1</v>
      </c>
      <c r="W439" s="5" t="s">
        <v>127</v>
      </c>
      <c r="X439" s="24">
        <f>0.352*233</f>
        <v>82.015999999999991</v>
      </c>
      <c r="Y439" s="5" t="s">
        <v>106</v>
      </c>
      <c r="Z439" s="5"/>
      <c r="AA439" s="5"/>
      <c r="AB439" s="24">
        <v>1E-3</v>
      </c>
      <c r="AC439" s="5" t="s">
        <v>195</v>
      </c>
      <c r="AD439" s="5" t="str">
        <f t="shared" si="27"/>
        <v>kg_co2e_excl_luc</v>
      </c>
      <c r="AE439" s="24">
        <f>IF(CropLCAs[[#This Row],[Product fraction]]="",CropLCAs[[#This Row],[CO2e (value)]]*CropLCAs[[#This Row],[Conversion factor (value)]],CropLCAs[[#This Row],[CO2e (value)]]*CropLCAs[[#This Row],[Conversion factor (value)]]/CropLCAs[[#This Row],[Product fraction]]*CropLCAs[[#This Row],[Value fraction]])</f>
        <v>8.2015999999999992E-2</v>
      </c>
      <c r="AF439" s="5" t="s">
        <v>37</v>
      </c>
      <c r="AG439" s="5" t="str">
        <f t="shared" si="28"/>
        <v>processed_ghg</v>
      </c>
      <c r="AH439" s="5">
        <v>0.11</v>
      </c>
      <c r="AI439" s="5">
        <v>0.87</v>
      </c>
      <c r="AJ439" s="8">
        <f>IF(CropLCAs[[#This Row],[product_fraction]]&gt;0,CropLCAs[[#This Row],[footprint]]/CropLCAs[[#This Row],[product_fraction]]*CropLCAs[[#This Row],[value_fraction]],"")</f>
        <v>0.64867199999999992</v>
      </c>
      <c r="AK439" s="23">
        <v>1</v>
      </c>
      <c r="AL439" s="5" t="s">
        <v>109</v>
      </c>
      <c r="AM439" s="5" t="s">
        <v>493</v>
      </c>
      <c r="AN439" s="13" t="s">
        <v>494</v>
      </c>
      <c r="AO439" s="8">
        <f>AE439/0.09</f>
        <v>0.91128888888888882</v>
      </c>
      <c r="AP439" s="5"/>
      <c r="AQ439" s="5"/>
      <c r="AR439" s="5"/>
      <c r="AS439" s="5"/>
      <c r="AT439" s="5"/>
      <c r="AU439" s="5"/>
    </row>
    <row r="440" spans="1:47" ht="44.1" customHeight="1" x14ac:dyDescent="0.2">
      <c r="A440" s="5" t="s">
        <v>123</v>
      </c>
      <c r="B440" s="5" t="s">
        <v>1485</v>
      </c>
      <c r="C440" s="16">
        <v>2015</v>
      </c>
      <c r="D440" s="6" t="s">
        <v>467</v>
      </c>
      <c r="E440" s="6" t="s">
        <v>453</v>
      </c>
      <c r="F440" s="5" t="s">
        <v>20</v>
      </c>
      <c r="G440" s="5" t="str">
        <f>IF(CropLCAs[[#This Row],[fbs_item]]="Insects","insect_ghg","plant_ghg")</f>
        <v>plant_ghg</v>
      </c>
      <c r="H440" s="49" t="s">
        <v>351</v>
      </c>
      <c r="I440" s="49"/>
      <c r="J440" s="49"/>
      <c r="K440" s="5" t="s">
        <v>111</v>
      </c>
      <c r="L440" s="5" t="s">
        <v>468</v>
      </c>
      <c r="M440" s="5" t="s">
        <v>102</v>
      </c>
      <c r="N440" s="5" t="s">
        <v>102</v>
      </c>
      <c r="O440" s="5" t="s">
        <v>109</v>
      </c>
      <c r="P440" s="5" t="s">
        <v>102</v>
      </c>
      <c r="Q440" s="5" t="s">
        <v>102</v>
      </c>
      <c r="R440" s="5" t="s">
        <v>102</v>
      </c>
      <c r="S440" s="5" t="s">
        <v>102</v>
      </c>
      <c r="T440" s="5" t="s">
        <v>102</v>
      </c>
      <c r="U440" s="5">
        <v>100</v>
      </c>
      <c r="V440" s="5">
        <v>1</v>
      </c>
      <c r="W440" s="5" t="s">
        <v>106</v>
      </c>
      <c r="X440" s="24">
        <v>0.191</v>
      </c>
      <c r="Y440" s="5" t="s">
        <v>106</v>
      </c>
      <c r="Z440" s="5"/>
      <c r="AA440" s="5"/>
      <c r="AB440" s="24">
        <v>1</v>
      </c>
      <c r="AC440" s="5"/>
      <c r="AD440" s="5" t="str">
        <f t="shared" si="27"/>
        <v>kg_co2e_excl_luc</v>
      </c>
      <c r="AE440" s="24">
        <f>IF(CropLCAs[[#This Row],[Product fraction]]="",CropLCAs[[#This Row],[CO2e (value)]]*CropLCAs[[#This Row],[Conversion factor (value)]],CropLCAs[[#This Row],[CO2e (value)]]*CropLCAs[[#This Row],[Conversion factor (value)]]/CropLCAs[[#This Row],[Product fraction]]*CropLCAs[[#This Row],[Value fraction]])</f>
        <v>0.191</v>
      </c>
      <c r="AF440" s="5" t="s">
        <v>39</v>
      </c>
      <c r="AG440" s="5" t="str">
        <f t="shared" si="28"/>
        <v>processed_ghg</v>
      </c>
      <c r="AH440" s="5">
        <v>0.18</v>
      </c>
      <c r="AI440" s="5">
        <v>0.34</v>
      </c>
      <c r="AJ440" s="8">
        <f>IF(CropLCAs[[#This Row],[product_fraction]]&gt;0,CropLCAs[[#This Row],[footprint]]/CropLCAs[[#This Row],[product_fraction]]*CropLCAs[[#This Row],[value_fraction]],"")</f>
        <v>0.36077777777777781</v>
      </c>
      <c r="AK440" s="23">
        <f t="shared" ref="AK440:AK445" si="33">1/6</f>
        <v>0.16666666666666666</v>
      </c>
      <c r="AL440" s="5" t="s">
        <v>109</v>
      </c>
      <c r="AM440" s="5"/>
      <c r="AN440" s="5" t="s">
        <v>469</v>
      </c>
      <c r="AO440" s="5"/>
      <c r="AP440" s="5"/>
      <c r="AQ440" s="5"/>
      <c r="AR440" s="5"/>
      <c r="AS440" s="5"/>
      <c r="AT440" s="5"/>
      <c r="AU440" s="5"/>
    </row>
    <row r="441" spans="1:47" ht="44.1" customHeight="1" x14ac:dyDescent="0.2">
      <c r="A441" s="5" t="s">
        <v>123</v>
      </c>
      <c r="B441" s="5" t="s">
        <v>1485</v>
      </c>
      <c r="C441" s="16">
        <v>2015</v>
      </c>
      <c r="D441" s="6" t="s">
        <v>467</v>
      </c>
      <c r="E441" s="6" t="s">
        <v>453</v>
      </c>
      <c r="F441" s="5" t="s">
        <v>20</v>
      </c>
      <c r="G441" s="5" t="str">
        <f>IF(CropLCAs[[#This Row],[fbs_item]]="Insects","insect_ghg","plant_ghg")</f>
        <v>plant_ghg</v>
      </c>
      <c r="H441" s="49" t="s">
        <v>351</v>
      </c>
      <c r="I441" s="49"/>
      <c r="J441" s="49"/>
      <c r="K441" s="5" t="s">
        <v>111</v>
      </c>
      <c r="L441" s="5" t="s">
        <v>470</v>
      </c>
      <c r="M441" s="5" t="s">
        <v>102</v>
      </c>
      <c r="N441" s="5" t="s">
        <v>102</v>
      </c>
      <c r="O441" s="5" t="s">
        <v>109</v>
      </c>
      <c r="P441" s="5" t="s">
        <v>102</v>
      </c>
      <c r="Q441" s="5" t="s">
        <v>102</v>
      </c>
      <c r="R441" s="5" t="s">
        <v>102</v>
      </c>
      <c r="S441" s="5" t="s">
        <v>102</v>
      </c>
      <c r="T441" s="5" t="s">
        <v>102</v>
      </c>
      <c r="U441" s="5">
        <v>100</v>
      </c>
      <c r="V441" s="5">
        <v>1</v>
      </c>
      <c r="W441" s="5" t="s">
        <v>106</v>
      </c>
      <c r="X441" s="24">
        <v>0.187</v>
      </c>
      <c r="Y441" s="5" t="s">
        <v>106</v>
      </c>
      <c r="Z441" s="5"/>
      <c r="AA441" s="5"/>
      <c r="AB441" s="24">
        <v>1</v>
      </c>
      <c r="AC441" s="5"/>
      <c r="AD441" s="5" t="str">
        <f t="shared" si="27"/>
        <v>kg_co2e_excl_luc</v>
      </c>
      <c r="AE441" s="24">
        <f>IF(CropLCAs[[#This Row],[Product fraction]]="",CropLCAs[[#This Row],[CO2e (value)]]*CropLCAs[[#This Row],[Conversion factor (value)]],CropLCAs[[#This Row],[CO2e (value)]]*CropLCAs[[#This Row],[Conversion factor (value)]]/CropLCAs[[#This Row],[Product fraction]]*CropLCAs[[#This Row],[Value fraction]])</f>
        <v>0.187</v>
      </c>
      <c r="AF441" s="5" t="s">
        <v>39</v>
      </c>
      <c r="AG441" s="5" t="str">
        <f t="shared" si="28"/>
        <v>processed_ghg</v>
      </c>
      <c r="AH441" s="5">
        <v>0.18</v>
      </c>
      <c r="AI441" s="5">
        <v>0.34</v>
      </c>
      <c r="AJ441" s="8">
        <f>IF(CropLCAs[[#This Row],[product_fraction]]&gt;0,CropLCAs[[#This Row],[footprint]]/CropLCAs[[#This Row],[product_fraction]]*CropLCAs[[#This Row],[value_fraction]],"")</f>
        <v>0.35322222222222227</v>
      </c>
      <c r="AK441" s="23">
        <f t="shared" si="33"/>
        <v>0.16666666666666666</v>
      </c>
      <c r="AL441" s="5" t="s">
        <v>109</v>
      </c>
      <c r="AM441" s="5"/>
      <c r="AN441" s="5" t="s">
        <v>469</v>
      </c>
      <c r="AO441" s="5"/>
      <c r="AP441" s="5"/>
      <c r="AQ441" s="5"/>
      <c r="AR441" s="5"/>
      <c r="AS441" s="5"/>
      <c r="AT441" s="5"/>
      <c r="AU441" s="5"/>
    </row>
    <row r="442" spans="1:47" ht="44.1" customHeight="1" x14ac:dyDescent="0.2">
      <c r="A442" s="5" t="s">
        <v>123</v>
      </c>
      <c r="B442" s="5" t="s">
        <v>1485</v>
      </c>
      <c r="C442" s="16">
        <v>2015</v>
      </c>
      <c r="D442" s="6" t="s">
        <v>467</v>
      </c>
      <c r="E442" s="6" t="s">
        <v>453</v>
      </c>
      <c r="F442" s="5" t="s">
        <v>20</v>
      </c>
      <c r="G442" s="5" t="str">
        <f>IF(CropLCAs[[#This Row],[fbs_item]]="Insects","insect_ghg","plant_ghg")</f>
        <v>plant_ghg</v>
      </c>
      <c r="H442" s="49" t="s">
        <v>351</v>
      </c>
      <c r="I442" s="49"/>
      <c r="J442" s="49"/>
      <c r="K442" s="5" t="s">
        <v>111</v>
      </c>
      <c r="L442" s="5" t="s">
        <v>471</v>
      </c>
      <c r="M442" s="5" t="s">
        <v>102</v>
      </c>
      <c r="N442" s="5" t="s">
        <v>102</v>
      </c>
      <c r="O442" s="5" t="s">
        <v>109</v>
      </c>
      <c r="P442" s="5" t="s">
        <v>102</v>
      </c>
      <c r="Q442" s="5" t="s">
        <v>102</v>
      </c>
      <c r="R442" s="5" t="s">
        <v>102</v>
      </c>
      <c r="S442" s="5" t="s">
        <v>102</v>
      </c>
      <c r="T442" s="5" t="s">
        <v>102</v>
      </c>
      <c r="U442" s="5">
        <v>100</v>
      </c>
      <c r="V442" s="5">
        <v>1</v>
      </c>
      <c r="W442" s="5" t="s">
        <v>106</v>
      </c>
      <c r="X442" s="24">
        <v>0.184</v>
      </c>
      <c r="Y442" s="5" t="s">
        <v>106</v>
      </c>
      <c r="Z442" s="5"/>
      <c r="AA442" s="5"/>
      <c r="AB442" s="24">
        <v>1</v>
      </c>
      <c r="AC442" s="5"/>
      <c r="AD442" s="5" t="str">
        <f t="shared" si="27"/>
        <v>kg_co2e_excl_luc</v>
      </c>
      <c r="AE442" s="24">
        <f>IF(CropLCAs[[#This Row],[Product fraction]]="",CropLCAs[[#This Row],[CO2e (value)]]*CropLCAs[[#This Row],[Conversion factor (value)]],CropLCAs[[#This Row],[CO2e (value)]]*CropLCAs[[#This Row],[Conversion factor (value)]]/CropLCAs[[#This Row],[Product fraction]]*CropLCAs[[#This Row],[Value fraction]])</f>
        <v>0.184</v>
      </c>
      <c r="AF442" s="5" t="s">
        <v>39</v>
      </c>
      <c r="AG442" s="5" t="str">
        <f t="shared" si="28"/>
        <v>processed_ghg</v>
      </c>
      <c r="AH442" s="5">
        <v>0.18</v>
      </c>
      <c r="AI442" s="5">
        <v>0.34</v>
      </c>
      <c r="AJ442" s="8">
        <f>IF(CropLCAs[[#This Row],[product_fraction]]&gt;0,CropLCAs[[#This Row],[footprint]]/CropLCAs[[#This Row],[product_fraction]]*CropLCAs[[#This Row],[value_fraction]],"")</f>
        <v>0.34755555555555556</v>
      </c>
      <c r="AK442" s="23">
        <f t="shared" si="33"/>
        <v>0.16666666666666666</v>
      </c>
      <c r="AL442" s="5" t="s">
        <v>109</v>
      </c>
      <c r="AM442" s="5"/>
      <c r="AN442" s="5" t="s">
        <v>469</v>
      </c>
      <c r="AO442" s="5"/>
      <c r="AP442" s="5"/>
      <c r="AQ442" s="5"/>
      <c r="AR442" s="5"/>
      <c r="AS442" s="5"/>
      <c r="AT442" s="5"/>
      <c r="AU442" s="5"/>
    </row>
    <row r="443" spans="1:47" ht="44.1" customHeight="1" x14ac:dyDescent="0.2">
      <c r="A443" s="5" t="s">
        <v>123</v>
      </c>
      <c r="B443" s="5" t="s">
        <v>1485</v>
      </c>
      <c r="C443" s="16">
        <v>2015</v>
      </c>
      <c r="D443" s="6" t="s">
        <v>467</v>
      </c>
      <c r="E443" s="6" t="s">
        <v>453</v>
      </c>
      <c r="F443" s="5" t="s">
        <v>20</v>
      </c>
      <c r="G443" s="5" t="str">
        <f>IF(CropLCAs[[#This Row],[fbs_item]]="Insects","insect_ghg","plant_ghg")</f>
        <v>plant_ghg</v>
      </c>
      <c r="H443" s="49" t="s">
        <v>351</v>
      </c>
      <c r="I443" s="49"/>
      <c r="J443" s="49"/>
      <c r="K443" s="5" t="s">
        <v>111</v>
      </c>
      <c r="L443" s="5" t="s">
        <v>472</v>
      </c>
      <c r="M443" s="5" t="s">
        <v>102</v>
      </c>
      <c r="N443" s="5" t="s">
        <v>102</v>
      </c>
      <c r="O443" s="5" t="s">
        <v>109</v>
      </c>
      <c r="P443" s="5" t="s">
        <v>102</v>
      </c>
      <c r="Q443" s="5" t="s">
        <v>102</v>
      </c>
      <c r="R443" s="5" t="s">
        <v>102</v>
      </c>
      <c r="S443" s="5" t="s">
        <v>102</v>
      </c>
      <c r="T443" s="5" t="s">
        <v>102</v>
      </c>
      <c r="U443" s="5">
        <v>100</v>
      </c>
      <c r="V443" s="5">
        <v>1</v>
      </c>
      <c r="W443" s="5" t="s">
        <v>106</v>
      </c>
      <c r="X443" s="24">
        <v>0.19600000000000001</v>
      </c>
      <c r="Y443" s="5" t="s">
        <v>106</v>
      </c>
      <c r="Z443" s="5"/>
      <c r="AA443" s="5"/>
      <c r="AB443" s="24">
        <v>1</v>
      </c>
      <c r="AC443" s="5"/>
      <c r="AD443" s="5" t="str">
        <f t="shared" si="27"/>
        <v>kg_co2e_excl_luc</v>
      </c>
      <c r="AE443" s="24">
        <f>IF(CropLCAs[[#This Row],[Product fraction]]="",CropLCAs[[#This Row],[CO2e (value)]]*CropLCAs[[#This Row],[Conversion factor (value)]],CropLCAs[[#This Row],[CO2e (value)]]*CropLCAs[[#This Row],[Conversion factor (value)]]/CropLCAs[[#This Row],[Product fraction]]*CropLCAs[[#This Row],[Value fraction]])</f>
        <v>0.19600000000000001</v>
      </c>
      <c r="AF443" s="5" t="s">
        <v>39</v>
      </c>
      <c r="AG443" s="5" t="str">
        <f t="shared" si="28"/>
        <v>processed_ghg</v>
      </c>
      <c r="AH443" s="5">
        <v>0.18</v>
      </c>
      <c r="AI443" s="5">
        <v>0.34</v>
      </c>
      <c r="AJ443" s="8">
        <f>IF(CropLCAs[[#This Row],[product_fraction]]&gt;0,CropLCAs[[#This Row],[footprint]]/CropLCAs[[#This Row],[product_fraction]]*CropLCAs[[#This Row],[value_fraction]],"")</f>
        <v>0.37022222222222229</v>
      </c>
      <c r="AK443" s="23">
        <f t="shared" si="33"/>
        <v>0.16666666666666666</v>
      </c>
      <c r="AL443" s="5" t="s">
        <v>109</v>
      </c>
      <c r="AM443" s="5"/>
      <c r="AN443" s="5" t="s">
        <v>469</v>
      </c>
      <c r="AO443" s="5"/>
      <c r="AP443" s="5"/>
      <c r="AQ443" s="5"/>
      <c r="AR443" s="5"/>
      <c r="AS443" s="5"/>
      <c r="AT443" s="5"/>
      <c r="AU443" s="5"/>
    </row>
    <row r="444" spans="1:47" ht="44.1" customHeight="1" x14ac:dyDescent="0.2">
      <c r="A444" s="5" t="s">
        <v>123</v>
      </c>
      <c r="B444" s="5" t="s">
        <v>1485</v>
      </c>
      <c r="C444" s="16">
        <v>2015</v>
      </c>
      <c r="D444" s="6" t="s">
        <v>467</v>
      </c>
      <c r="E444" s="6" t="s">
        <v>453</v>
      </c>
      <c r="F444" s="5" t="s">
        <v>20</v>
      </c>
      <c r="G444" s="5" t="str">
        <f>IF(CropLCAs[[#This Row],[fbs_item]]="Insects","insect_ghg","plant_ghg")</f>
        <v>plant_ghg</v>
      </c>
      <c r="H444" s="49" t="s">
        <v>351</v>
      </c>
      <c r="I444" s="49"/>
      <c r="J444" s="49"/>
      <c r="K444" s="5" t="s">
        <v>111</v>
      </c>
      <c r="L444" s="5" t="s">
        <v>473</v>
      </c>
      <c r="M444" s="5" t="s">
        <v>102</v>
      </c>
      <c r="N444" s="5" t="s">
        <v>102</v>
      </c>
      <c r="O444" s="5" t="s">
        <v>109</v>
      </c>
      <c r="P444" s="5" t="s">
        <v>102</v>
      </c>
      <c r="Q444" s="5" t="s">
        <v>102</v>
      </c>
      <c r="R444" s="5" t="s">
        <v>102</v>
      </c>
      <c r="S444" s="5" t="s">
        <v>102</v>
      </c>
      <c r="T444" s="5" t="s">
        <v>102</v>
      </c>
      <c r="U444" s="5">
        <v>100</v>
      </c>
      <c r="V444" s="5">
        <v>1</v>
      </c>
      <c r="W444" s="5" t="s">
        <v>106</v>
      </c>
      <c r="X444" s="24">
        <v>0.186</v>
      </c>
      <c r="Y444" s="5" t="s">
        <v>106</v>
      </c>
      <c r="Z444" s="5"/>
      <c r="AA444" s="5"/>
      <c r="AB444" s="24">
        <v>1</v>
      </c>
      <c r="AC444" s="5"/>
      <c r="AD444" s="5" t="str">
        <f t="shared" si="27"/>
        <v>kg_co2e_excl_luc</v>
      </c>
      <c r="AE444" s="24">
        <f>IF(CropLCAs[[#This Row],[Product fraction]]="",CropLCAs[[#This Row],[CO2e (value)]]*CropLCAs[[#This Row],[Conversion factor (value)]],CropLCAs[[#This Row],[CO2e (value)]]*CropLCAs[[#This Row],[Conversion factor (value)]]/CropLCAs[[#This Row],[Product fraction]]*CropLCAs[[#This Row],[Value fraction]])</f>
        <v>0.186</v>
      </c>
      <c r="AF444" s="5" t="s">
        <v>39</v>
      </c>
      <c r="AG444" s="5" t="str">
        <f t="shared" si="28"/>
        <v>processed_ghg</v>
      </c>
      <c r="AH444" s="5">
        <v>0.18</v>
      </c>
      <c r="AI444" s="5">
        <v>0.34</v>
      </c>
      <c r="AJ444" s="8">
        <f>IF(CropLCAs[[#This Row],[product_fraction]]&gt;0,CropLCAs[[#This Row],[footprint]]/CropLCAs[[#This Row],[product_fraction]]*CropLCAs[[#This Row],[value_fraction]],"")</f>
        <v>0.35133333333333339</v>
      </c>
      <c r="AK444" s="23">
        <f t="shared" si="33"/>
        <v>0.16666666666666666</v>
      </c>
      <c r="AL444" s="5" t="s">
        <v>109</v>
      </c>
      <c r="AM444" s="5"/>
      <c r="AN444" s="5" t="s">
        <v>469</v>
      </c>
      <c r="AO444" s="5"/>
      <c r="AP444" s="5"/>
      <c r="AQ444" s="5"/>
      <c r="AR444" s="5"/>
      <c r="AS444" s="5"/>
      <c r="AT444" s="5"/>
      <c r="AU444" s="5"/>
    </row>
    <row r="445" spans="1:47" ht="44.1" customHeight="1" x14ac:dyDescent="0.2">
      <c r="A445" s="5" t="s">
        <v>123</v>
      </c>
      <c r="B445" s="5" t="s">
        <v>1485</v>
      </c>
      <c r="C445" s="16">
        <v>2015</v>
      </c>
      <c r="D445" s="6" t="s">
        <v>467</v>
      </c>
      <c r="E445" s="6" t="s">
        <v>453</v>
      </c>
      <c r="F445" s="5" t="s">
        <v>20</v>
      </c>
      <c r="G445" s="5" t="str">
        <f>IF(CropLCAs[[#This Row],[fbs_item]]="Insects","insect_ghg","plant_ghg")</f>
        <v>plant_ghg</v>
      </c>
      <c r="H445" s="49" t="s">
        <v>351</v>
      </c>
      <c r="I445" s="49"/>
      <c r="J445" s="49"/>
      <c r="K445" s="5" t="s">
        <v>111</v>
      </c>
      <c r="L445" s="5" t="s">
        <v>474</v>
      </c>
      <c r="M445" s="5" t="s">
        <v>102</v>
      </c>
      <c r="N445" s="5" t="s">
        <v>102</v>
      </c>
      <c r="O445" s="5" t="s">
        <v>109</v>
      </c>
      <c r="P445" s="5" t="s">
        <v>102</v>
      </c>
      <c r="Q445" s="5" t="s">
        <v>102</v>
      </c>
      <c r="R445" s="5" t="s">
        <v>102</v>
      </c>
      <c r="S445" s="5" t="s">
        <v>102</v>
      </c>
      <c r="T445" s="5" t="s">
        <v>102</v>
      </c>
      <c r="U445" s="5">
        <v>100</v>
      </c>
      <c r="V445" s="5">
        <v>1</v>
      </c>
      <c r="W445" s="5" t="s">
        <v>106</v>
      </c>
      <c r="X445" s="24">
        <v>0.17599999999999999</v>
      </c>
      <c r="Y445" s="5" t="s">
        <v>106</v>
      </c>
      <c r="Z445" s="5"/>
      <c r="AA445" s="5"/>
      <c r="AB445" s="24">
        <v>1</v>
      </c>
      <c r="AC445" s="5"/>
      <c r="AD445" s="5" t="str">
        <f t="shared" si="27"/>
        <v>kg_co2e_excl_luc</v>
      </c>
      <c r="AE445" s="24">
        <f>IF(CropLCAs[[#This Row],[Product fraction]]="",CropLCAs[[#This Row],[CO2e (value)]]*CropLCAs[[#This Row],[Conversion factor (value)]],CropLCAs[[#This Row],[CO2e (value)]]*CropLCAs[[#This Row],[Conversion factor (value)]]/CropLCAs[[#This Row],[Product fraction]]*CropLCAs[[#This Row],[Value fraction]])</f>
        <v>0.17599999999999999</v>
      </c>
      <c r="AF445" s="5" t="s">
        <v>39</v>
      </c>
      <c r="AG445" s="5" t="str">
        <f t="shared" si="28"/>
        <v>processed_ghg</v>
      </c>
      <c r="AH445" s="5">
        <v>0.18</v>
      </c>
      <c r="AI445" s="5">
        <v>0.34</v>
      </c>
      <c r="AJ445" s="8">
        <f>IF(CropLCAs[[#This Row],[product_fraction]]&gt;0,CropLCAs[[#This Row],[footprint]]/CropLCAs[[#This Row],[product_fraction]]*CropLCAs[[#This Row],[value_fraction]],"")</f>
        <v>0.33244444444444443</v>
      </c>
      <c r="AK445" s="23">
        <f t="shared" si="33"/>
        <v>0.16666666666666666</v>
      </c>
      <c r="AL445" s="5" t="s">
        <v>109</v>
      </c>
      <c r="AM445" s="5"/>
      <c r="AN445" s="5" t="s">
        <v>469</v>
      </c>
      <c r="AO445" s="5"/>
      <c r="AP445" s="5"/>
      <c r="AQ445" s="5"/>
      <c r="AR445" s="5"/>
      <c r="AS445" s="5"/>
      <c r="AT445" s="5"/>
      <c r="AU445" s="5"/>
    </row>
    <row r="446" spans="1:47" ht="44.1" customHeight="1" x14ac:dyDescent="0.2">
      <c r="A446" s="5" t="s">
        <v>99</v>
      </c>
      <c r="B446" s="5" t="s">
        <v>1486</v>
      </c>
      <c r="C446" s="16">
        <v>2012</v>
      </c>
      <c r="D446" s="6" t="s">
        <v>206</v>
      </c>
      <c r="E446" s="6" t="s">
        <v>161</v>
      </c>
      <c r="F446" s="5" t="s">
        <v>10</v>
      </c>
      <c r="G446" s="5" t="str">
        <f>IF(CropLCAs[[#This Row],[fbs_item]]="Insects","insect_ghg","plant_ghg")</f>
        <v>plant_ghg</v>
      </c>
      <c r="H446" s="49" t="s">
        <v>186</v>
      </c>
      <c r="I446" s="49"/>
      <c r="J446" s="49"/>
      <c r="K446" s="5" t="s">
        <v>111</v>
      </c>
      <c r="L446" s="5"/>
      <c r="M446" s="5" t="s">
        <v>102</v>
      </c>
      <c r="N446" s="5" t="s">
        <v>109</v>
      </c>
      <c r="O446" s="5" t="s">
        <v>109</v>
      </c>
      <c r="P446" s="5" t="s">
        <v>102</v>
      </c>
      <c r="Q446" s="5" t="s">
        <v>102</v>
      </c>
      <c r="R446" s="5" t="s">
        <v>207</v>
      </c>
      <c r="S446" s="5" t="s">
        <v>102</v>
      </c>
      <c r="T446" s="5" t="s">
        <v>102</v>
      </c>
      <c r="U446" s="5" t="s">
        <v>126</v>
      </c>
      <c r="V446" s="5">
        <v>1</v>
      </c>
      <c r="W446" s="5" t="s">
        <v>106</v>
      </c>
      <c r="X446" s="24">
        <f>0.794-(0.794*0.3)</f>
        <v>0.55580000000000007</v>
      </c>
      <c r="Y446" s="5" t="s">
        <v>106</v>
      </c>
      <c r="Z446" s="5"/>
      <c r="AA446" s="5"/>
      <c r="AB446" s="24">
        <v>1</v>
      </c>
      <c r="AC446" s="5"/>
      <c r="AD446" s="5" t="str">
        <f t="shared" si="27"/>
        <v>kg_co2e_excl_luc</v>
      </c>
      <c r="AE446" s="24">
        <f>IF(CropLCAs[[#This Row],[Product fraction]]="",CropLCAs[[#This Row],[CO2e (value)]]*CropLCAs[[#This Row],[Conversion factor (value)]],CropLCAs[[#This Row],[CO2e (value)]]*CropLCAs[[#This Row],[Conversion factor (value)]]/CropLCAs[[#This Row],[Product fraction]]*CropLCAs[[#This Row],[Value fraction]])</f>
        <v>0.55580000000000007</v>
      </c>
      <c r="AF446" s="5"/>
      <c r="AG446" s="5" t="str">
        <f t="shared" si="28"/>
        <v>processed_ghg</v>
      </c>
      <c r="AH446" s="5"/>
      <c r="AI446" s="5"/>
      <c r="AJ446" s="8" t="str">
        <f>IF(CropLCAs[[#This Row],[product_fraction]]&gt;0,CropLCAs[[#This Row],[footprint]]/CropLCAs[[#This Row],[product_fraction]]*CropLCAs[[#This Row],[value_fraction]],"")</f>
        <v/>
      </c>
      <c r="AK446" s="23">
        <v>1</v>
      </c>
      <c r="AL446" s="5" t="s">
        <v>109</v>
      </c>
      <c r="AM446" s="5" t="s">
        <v>208</v>
      </c>
      <c r="AN446" s="5"/>
      <c r="AO446" s="5"/>
      <c r="AP446" s="5"/>
      <c r="AQ446" s="5"/>
      <c r="AR446" s="5"/>
      <c r="AS446" s="5"/>
      <c r="AT446" s="5"/>
      <c r="AU446" s="5"/>
    </row>
    <row r="447" spans="1:47" ht="44.1" customHeight="1" x14ac:dyDescent="0.2">
      <c r="A447" s="5" t="s">
        <v>99</v>
      </c>
      <c r="B447" s="5" t="s">
        <v>1486</v>
      </c>
      <c r="C447" s="16">
        <v>2012</v>
      </c>
      <c r="D447" s="6" t="s">
        <v>206</v>
      </c>
      <c r="E447" s="6" t="s">
        <v>303</v>
      </c>
      <c r="F447" s="5" t="s">
        <v>14</v>
      </c>
      <c r="G447" s="5" t="str">
        <f>IF(CropLCAs[[#This Row],[fbs_item]]="Insects","insect_ghg","plant_ghg")</f>
        <v>plant_ghg</v>
      </c>
      <c r="H447" s="49" t="s">
        <v>186</v>
      </c>
      <c r="I447" s="49"/>
      <c r="J447" s="49"/>
      <c r="K447" s="5" t="s">
        <v>111</v>
      </c>
      <c r="L447" s="5"/>
      <c r="M447" s="5" t="s">
        <v>102</v>
      </c>
      <c r="N447" s="5" t="s">
        <v>109</v>
      </c>
      <c r="O447" s="5" t="s">
        <v>109</v>
      </c>
      <c r="P447" s="5" t="s">
        <v>102</v>
      </c>
      <c r="Q447" s="5" t="s">
        <v>102</v>
      </c>
      <c r="R447" s="5" t="s">
        <v>207</v>
      </c>
      <c r="S447" s="5" t="s">
        <v>102</v>
      </c>
      <c r="T447" s="5" t="s">
        <v>102</v>
      </c>
      <c r="U447" s="5" t="s">
        <v>126</v>
      </c>
      <c r="V447" s="5">
        <v>1</v>
      </c>
      <c r="W447" s="5" t="s">
        <v>106</v>
      </c>
      <c r="X447" s="24">
        <f>0.765-(0.765*0.3)</f>
        <v>0.53550000000000009</v>
      </c>
      <c r="Y447" s="5" t="s">
        <v>106</v>
      </c>
      <c r="Z447" s="5"/>
      <c r="AA447" s="5"/>
      <c r="AB447" s="24">
        <v>1</v>
      </c>
      <c r="AC447" s="5"/>
      <c r="AD447" s="5" t="str">
        <f t="shared" si="27"/>
        <v>kg_co2e_excl_luc</v>
      </c>
      <c r="AE447" s="24">
        <f>IF(CropLCAs[[#This Row],[Product fraction]]="",CropLCAs[[#This Row],[CO2e (value)]]*CropLCAs[[#This Row],[Conversion factor (value)]],CropLCAs[[#This Row],[CO2e (value)]]*CropLCAs[[#This Row],[Conversion factor (value)]]/CropLCAs[[#This Row],[Product fraction]]*CropLCAs[[#This Row],[Value fraction]])</f>
        <v>0.53550000000000009</v>
      </c>
      <c r="AF447" s="5"/>
      <c r="AG447" s="5" t="str">
        <f t="shared" si="28"/>
        <v>processed_ghg</v>
      </c>
      <c r="AH447" s="5"/>
      <c r="AI447" s="5"/>
      <c r="AJ447" s="8" t="str">
        <f>IF(CropLCAs[[#This Row],[product_fraction]]&gt;0,CropLCAs[[#This Row],[footprint]]/CropLCAs[[#This Row],[product_fraction]]*CropLCAs[[#This Row],[value_fraction]],"")</f>
        <v/>
      </c>
      <c r="AK447" s="23">
        <v>1</v>
      </c>
      <c r="AL447" s="5" t="s">
        <v>109</v>
      </c>
      <c r="AM447" s="5" t="s">
        <v>208</v>
      </c>
      <c r="AN447" s="5"/>
      <c r="AO447" s="5"/>
      <c r="AP447" s="5"/>
      <c r="AQ447" s="5"/>
      <c r="AR447" s="5"/>
      <c r="AS447" s="5"/>
      <c r="AT447" s="5"/>
      <c r="AU447" s="5"/>
    </row>
    <row r="448" spans="1:47" ht="44.1" customHeight="1" x14ac:dyDescent="0.2">
      <c r="A448" s="5" t="s">
        <v>99</v>
      </c>
      <c r="B448" s="5" t="s">
        <v>1486</v>
      </c>
      <c r="C448" s="16">
        <v>2012</v>
      </c>
      <c r="D448" s="6" t="s">
        <v>206</v>
      </c>
      <c r="E448" s="6" t="s">
        <v>666</v>
      </c>
      <c r="F448" s="5" t="s">
        <v>5</v>
      </c>
      <c r="G448" s="5" t="str">
        <f>IF(CropLCAs[[#This Row],[fbs_item]]="Insects","insect_ghg","plant_ghg")</f>
        <v>plant_ghg</v>
      </c>
      <c r="H448" s="49" t="s">
        <v>186</v>
      </c>
      <c r="I448" s="49"/>
      <c r="J448" s="49"/>
      <c r="K448" s="5" t="s">
        <v>111</v>
      </c>
      <c r="L448" s="5"/>
      <c r="M448" s="5" t="s">
        <v>102</v>
      </c>
      <c r="N448" s="5" t="s">
        <v>109</v>
      </c>
      <c r="O448" s="5" t="s">
        <v>109</v>
      </c>
      <c r="P448" s="5" t="s">
        <v>102</v>
      </c>
      <c r="Q448" s="5" t="s">
        <v>102</v>
      </c>
      <c r="R448" s="5" t="s">
        <v>207</v>
      </c>
      <c r="S448" s="5" t="s">
        <v>102</v>
      </c>
      <c r="T448" s="5" t="s">
        <v>102</v>
      </c>
      <c r="U448" s="5" t="s">
        <v>126</v>
      </c>
      <c r="V448" s="5">
        <v>1</v>
      </c>
      <c r="W448" s="5" t="s">
        <v>106</v>
      </c>
      <c r="X448" s="24">
        <f>0.735-(0.735*0.27)</f>
        <v>0.53654999999999997</v>
      </c>
      <c r="Y448" s="5" t="s">
        <v>106</v>
      </c>
      <c r="Z448" s="5"/>
      <c r="AA448" s="5"/>
      <c r="AB448" s="24">
        <v>1</v>
      </c>
      <c r="AC448" s="5"/>
      <c r="AD448" s="5" t="str">
        <f t="shared" si="27"/>
        <v>kg_co2e_excl_luc</v>
      </c>
      <c r="AE448" s="24">
        <f>IF(CropLCAs[[#This Row],[Product fraction]]="",CropLCAs[[#This Row],[CO2e (value)]]*CropLCAs[[#This Row],[Conversion factor (value)]],CropLCAs[[#This Row],[CO2e (value)]]*CropLCAs[[#This Row],[Conversion factor (value)]]/CropLCAs[[#This Row],[Product fraction]]*CropLCAs[[#This Row],[Value fraction]])</f>
        <v>0.53654999999999997</v>
      </c>
      <c r="AF448" s="5"/>
      <c r="AG448" s="5" t="str">
        <f t="shared" si="28"/>
        <v>processed_ghg</v>
      </c>
      <c r="AH448" s="5"/>
      <c r="AI448" s="5"/>
      <c r="AJ448" s="8" t="str">
        <f>IF(CropLCAs[[#This Row],[product_fraction]]&gt;0,CropLCAs[[#This Row],[footprint]]/CropLCAs[[#This Row],[product_fraction]]*CropLCAs[[#This Row],[value_fraction]],"")</f>
        <v/>
      </c>
      <c r="AK448" s="23">
        <v>1</v>
      </c>
      <c r="AL448" s="5" t="s">
        <v>109</v>
      </c>
      <c r="AM448" s="5" t="s">
        <v>208</v>
      </c>
      <c r="AN448" s="5"/>
      <c r="AO448" s="5"/>
      <c r="AP448" s="5"/>
      <c r="AQ448" s="5"/>
      <c r="AR448" s="5"/>
      <c r="AS448" s="5"/>
      <c r="AT448" s="5"/>
      <c r="AU448" s="5"/>
    </row>
    <row r="449" spans="1:47" ht="44.1" customHeight="1" x14ac:dyDescent="0.2">
      <c r="A449" s="5" t="s">
        <v>99</v>
      </c>
      <c r="B449" s="5" t="s">
        <v>1487</v>
      </c>
      <c r="C449" s="16">
        <v>2012</v>
      </c>
      <c r="D449" s="10" t="s">
        <v>588</v>
      </c>
      <c r="E449" s="6" t="s">
        <v>589</v>
      </c>
      <c r="F449" s="5" t="s">
        <v>3</v>
      </c>
      <c r="G449" s="5" t="str">
        <f>IF(CropLCAs[[#This Row],[fbs_item]]="Insects","insect_ghg","plant_ghg")</f>
        <v>plant_ghg</v>
      </c>
      <c r="H449" s="49" t="s">
        <v>77</v>
      </c>
      <c r="I449" s="49"/>
      <c r="J449" s="49"/>
      <c r="K449" s="5" t="s">
        <v>590</v>
      </c>
      <c r="L449" s="5"/>
      <c r="M449" s="5" t="s">
        <v>102</v>
      </c>
      <c r="N449" s="5" t="s">
        <v>109</v>
      </c>
      <c r="O449" s="5" t="s">
        <v>591</v>
      </c>
      <c r="P449" s="5" t="s">
        <v>102</v>
      </c>
      <c r="Q449" s="5" t="s">
        <v>102</v>
      </c>
      <c r="R449" s="5" t="s">
        <v>102</v>
      </c>
      <c r="S449" s="5" t="s">
        <v>592</v>
      </c>
      <c r="T449" s="5" t="s">
        <v>102</v>
      </c>
      <c r="U449" s="5">
        <v>100</v>
      </c>
      <c r="V449" s="5">
        <v>1</v>
      </c>
      <c r="W449" s="5" t="s">
        <v>106</v>
      </c>
      <c r="X449" s="24">
        <v>0.13300000000000001</v>
      </c>
      <c r="Y449" s="5" t="s">
        <v>106</v>
      </c>
      <c r="Z449" s="5"/>
      <c r="AA449" s="5"/>
      <c r="AB449" s="24">
        <v>1</v>
      </c>
      <c r="AC449" s="5"/>
      <c r="AD449" s="5" t="str">
        <f t="shared" si="27"/>
        <v>kg_co2e_excl_luc</v>
      </c>
      <c r="AE449" s="24">
        <f>IF(CropLCAs[[#This Row],[Product fraction]]="",CropLCAs[[#This Row],[CO2e (value)]]*CropLCAs[[#This Row],[Conversion factor (value)]],CropLCAs[[#This Row],[CO2e (value)]]*CropLCAs[[#This Row],[Conversion factor (value)]]/CropLCAs[[#This Row],[Product fraction]]*CropLCAs[[#This Row],[Value fraction]])</f>
        <v>0.13300000000000001</v>
      </c>
      <c r="AF449" s="5"/>
      <c r="AG449" s="5" t="str">
        <f t="shared" si="28"/>
        <v>processed_ghg</v>
      </c>
      <c r="AH449" s="5"/>
      <c r="AI449" s="5"/>
      <c r="AJ449" s="8" t="str">
        <f>IF(CropLCAs[[#This Row],[product_fraction]]&gt;0,CropLCAs[[#This Row],[footprint]]/CropLCAs[[#This Row],[product_fraction]]*CropLCAs[[#This Row],[value_fraction]],"")</f>
        <v/>
      </c>
      <c r="AK449" s="23">
        <f>1/3</f>
        <v>0.33333333333333331</v>
      </c>
      <c r="AL449" s="5" t="s">
        <v>109</v>
      </c>
      <c r="AM449" s="5" t="s">
        <v>593</v>
      </c>
      <c r="AN449" s="5" t="s">
        <v>594</v>
      </c>
      <c r="AO449" s="5" t="s">
        <v>595</v>
      </c>
      <c r="AP449" s="5"/>
      <c r="AQ449" s="5"/>
      <c r="AR449" s="5"/>
      <c r="AS449" s="5"/>
      <c r="AT449" s="5"/>
      <c r="AU449" s="5"/>
    </row>
    <row r="450" spans="1:47" ht="44.1" customHeight="1" x14ac:dyDescent="0.2">
      <c r="A450" s="17" t="s">
        <v>123</v>
      </c>
      <c r="B450" s="17" t="s">
        <v>753</v>
      </c>
      <c r="C450" s="17"/>
      <c r="D450" s="19" t="s">
        <v>754</v>
      </c>
      <c r="E450" s="19" t="s">
        <v>568</v>
      </c>
      <c r="F450" s="17" t="s">
        <v>3</v>
      </c>
      <c r="G450" s="17" t="str">
        <f>IF(CropLCAs[[#This Row],[fbs_item]]="Insects","insect_ghg","plant_ghg")</f>
        <v>plant_ghg</v>
      </c>
      <c r="H450" s="50" t="s">
        <v>225</v>
      </c>
      <c r="I450" s="50"/>
      <c r="J450" s="50"/>
      <c r="K450" s="17" t="s">
        <v>755</v>
      </c>
      <c r="L450" s="17"/>
      <c r="M450" s="17" t="s">
        <v>102</v>
      </c>
      <c r="N450" s="17" t="s">
        <v>109</v>
      </c>
      <c r="O450" s="17" t="s">
        <v>109</v>
      </c>
      <c r="P450" s="17" t="s">
        <v>102</v>
      </c>
      <c r="Q450" s="17" t="s">
        <v>102</v>
      </c>
      <c r="R450" s="17" t="s">
        <v>109</v>
      </c>
      <c r="S450" s="17" t="s">
        <v>105</v>
      </c>
      <c r="T450" s="17" t="s">
        <v>102</v>
      </c>
      <c r="U450" s="17">
        <v>100</v>
      </c>
      <c r="V450" s="17">
        <v>1</v>
      </c>
      <c r="W450" s="17" t="s">
        <v>106</v>
      </c>
      <c r="X450" s="30"/>
      <c r="Y450" s="17"/>
      <c r="Z450" s="17"/>
      <c r="AA450" s="17"/>
      <c r="AB450" s="30"/>
      <c r="AC450" s="17"/>
      <c r="AD450" s="17" t="str">
        <f t="shared" si="27"/>
        <v>kg_co2e_excl_luc</v>
      </c>
      <c r="AE450" s="30">
        <f>IF(CropLCAs[[#This Row],[Product fraction]]="",CropLCAs[[#This Row],[CO2e (value)]]*CropLCAs[[#This Row],[Conversion factor (value)]],CropLCAs[[#This Row],[CO2e (value)]]*CropLCAs[[#This Row],[Conversion factor (value)]]/CropLCAs[[#This Row],[Product fraction]]*CropLCAs[[#This Row],[Value fraction]])</f>
        <v>0</v>
      </c>
      <c r="AF450" s="19"/>
      <c r="AG450" s="19" t="str">
        <f t="shared" si="28"/>
        <v>processed_ghg</v>
      </c>
      <c r="AH450" s="19"/>
      <c r="AI450" s="19"/>
      <c r="AJ450" s="18" t="str">
        <f>IF(CropLCAs[[#This Row],[product_fraction]]&gt;0,CropLCAs[[#This Row],[footprint]]/CropLCAs[[#This Row],[product_fraction]]*CropLCAs[[#This Row],[value_fraction]],"")</f>
        <v/>
      </c>
      <c r="AK450" s="29">
        <v>0</v>
      </c>
      <c r="AL450" s="19" t="s">
        <v>756</v>
      </c>
      <c r="AM450" s="17"/>
      <c r="AN450" s="17"/>
      <c r="AO450" s="17"/>
      <c r="AP450" s="17"/>
      <c r="AQ450" s="5"/>
      <c r="AR450" s="5"/>
      <c r="AS450" s="5"/>
      <c r="AT450" s="5"/>
      <c r="AU450" s="5"/>
    </row>
    <row r="451" spans="1:47" ht="44.1" customHeight="1" x14ac:dyDescent="0.2">
      <c r="A451" s="17" t="s">
        <v>123</v>
      </c>
      <c r="B451" s="17" t="s">
        <v>753</v>
      </c>
      <c r="C451" s="17"/>
      <c r="D451" s="19" t="s">
        <v>754</v>
      </c>
      <c r="E451" s="19" t="s">
        <v>568</v>
      </c>
      <c r="F451" s="17" t="s">
        <v>3</v>
      </c>
      <c r="G451" s="17" t="str">
        <f>IF(CropLCAs[[#This Row],[fbs_item]]="Insects","insect_ghg","plant_ghg")</f>
        <v>plant_ghg</v>
      </c>
      <c r="H451" s="50" t="s">
        <v>225</v>
      </c>
      <c r="I451" s="50"/>
      <c r="J451" s="50"/>
      <c r="K451" s="17" t="s">
        <v>797</v>
      </c>
      <c r="L451" s="17"/>
      <c r="M451" s="17" t="s">
        <v>102</v>
      </c>
      <c r="N451" s="17" t="s">
        <v>109</v>
      </c>
      <c r="O451" s="17" t="s">
        <v>109</v>
      </c>
      <c r="P451" s="17" t="s">
        <v>102</v>
      </c>
      <c r="Q451" s="17" t="s">
        <v>102</v>
      </c>
      <c r="R451" s="17" t="s">
        <v>798</v>
      </c>
      <c r="S451" s="17" t="s">
        <v>105</v>
      </c>
      <c r="T451" s="17" t="s">
        <v>102</v>
      </c>
      <c r="U451" s="17">
        <v>100</v>
      </c>
      <c r="V451" s="17">
        <v>1</v>
      </c>
      <c r="W451" s="17" t="s">
        <v>106</v>
      </c>
      <c r="X451" s="30"/>
      <c r="Y451" s="17"/>
      <c r="Z451" s="17"/>
      <c r="AA451" s="17"/>
      <c r="AB451" s="30"/>
      <c r="AC451" s="17"/>
      <c r="AD451" s="17" t="str">
        <f t="shared" si="27"/>
        <v>kg_co2e_excl_luc</v>
      </c>
      <c r="AE451" s="30">
        <f>IF(CropLCAs[[#This Row],[Product fraction]]="",CropLCAs[[#This Row],[CO2e (value)]]*CropLCAs[[#This Row],[Conversion factor (value)]],CropLCAs[[#This Row],[CO2e (value)]]*CropLCAs[[#This Row],[Conversion factor (value)]]/CropLCAs[[#This Row],[Product fraction]]*CropLCAs[[#This Row],[Value fraction]])</f>
        <v>0</v>
      </c>
      <c r="AF451" s="19"/>
      <c r="AG451" s="19" t="str">
        <f t="shared" si="28"/>
        <v>processed_ghg</v>
      </c>
      <c r="AH451" s="19"/>
      <c r="AI451" s="19"/>
      <c r="AJ451" s="18" t="str">
        <f>IF(CropLCAs[[#This Row],[product_fraction]]&gt;0,CropLCAs[[#This Row],[footprint]]/CropLCAs[[#This Row],[product_fraction]]*CropLCAs[[#This Row],[value_fraction]],"")</f>
        <v/>
      </c>
      <c r="AK451" s="29"/>
      <c r="AL451" s="19" t="s">
        <v>774</v>
      </c>
      <c r="AM451" s="17"/>
      <c r="AN451" s="17"/>
      <c r="AO451" s="17"/>
      <c r="AP451" s="17"/>
      <c r="AQ451" s="5"/>
      <c r="AR451" s="5"/>
      <c r="AS451" s="5"/>
      <c r="AT451" s="5"/>
      <c r="AU451" s="5"/>
    </row>
    <row r="452" spans="1:47" ht="44.1" customHeight="1" x14ac:dyDescent="0.2">
      <c r="A452" s="17" t="s">
        <v>123</v>
      </c>
      <c r="B452" s="17" t="s">
        <v>753</v>
      </c>
      <c r="C452" s="17"/>
      <c r="D452" s="19" t="s">
        <v>754</v>
      </c>
      <c r="E452" s="19" t="s">
        <v>568</v>
      </c>
      <c r="F452" s="17" t="s">
        <v>3</v>
      </c>
      <c r="G452" s="17" t="str">
        <f>IF(CropLCAs[[#This Row],[fbs_item]]="Insects","insect_ghg","plant_ghg")</f>
        <v>plant_ghg</v>
      </c>
      <c r="H452" s="50" t="s">
        <v>225</v>
      </c>
      <c r="I452" s="50"/>
      <c r="J452" s="50"/>
      <c r="K452" s="17" t="s">
        <v>755</v>
      </c>
      <c r="L452" s="17"/>
      <c r="M452" s="17" t="s">
        <v>102</v>
      </c>
      <c r="N452" s="17" t="s">
        <v>109</v>
      </c>
      <c r="O452" s="17" t="s">
        <v>109</v>
      </c>
      <c r="P452" s="17" t="s">
        <v>102</v>
      </c>
      <c r="Q452" s="17" t="s">
        <v>102</v>
      </c>
      <c r="R452" s="17" t="s">
        <v>109</v>
      </c>
      <c r="S452" s="17" t="s">
        <v>105</v>
      </c>
      <c r="T452" s="17" t="s">
        <v>102</v>
      </c>
      <c r="U452" s="17">
        <v>100</v>
      </c>
      <c r="V452" s="17">
        <v>1</v>
      </c>
      <c r="W452" s="17" t="s">
        <v>106</v>
      </c>
      <c r="X452" s="30"/>
      <c r="Y452" s="17"/>
      <c r="Z452" s="17"/>
      <c r="AA452" s="17"/>
      <c r="AB452" s="30"/>
      <c r="AC452" s="17"/>
      <c r="AD452" s="17" t="str">
        <f t="shared" si="27"/>
        <v>kg_co2e_excl_luc</v>
      </c>
      <c r="AE452" s="30">
        <f>IF(CropLCAs[[#This Row],[Product fraction]]="",CropLCAs[[#This Row],[CO2e (value)]]*CropLCAs[[#This Row],[Conversion factor (value)]],CropLCAs[[#This Row],[CO2e (value)]]*CropLCAs[[#This Row],[Conversion factor (value)]]/CropLCAs[[#This Row],[Product fraction]]*CropLCAs[[#This Row],[Value fraction]])</f>
        <v>0</v>
      </c>
      <c r="AF452" s="19"/>
      <c r="AG452" s="19" t="str">
        <f t="shared" si="28"/>
        <v>processed_ghg</v>
      </c>
      <c r="AH452" s="19"/>
      <c r="AI452" s="19"/>
      <c r="AJ452" s="18" t="str">
        <f>IF(CropLCAs[[#This Row],[product_fraction]]&gt;0,CropLCAs[[#This Row],[footprint]]/CropLCAs[[#This Row],[product_fraction]]*CropLCAs[[#This Row],[value_fraction]],"")</f>
        <v/>
      </c>
      <c r="AK452" s="29">
        <v>0</v>
      </c>
      <c r="AL452" s="19" t="s">
        <v>774</v>
      </c>
      <c r="AM452" s="17"/>
      <c r="AN452" s="17"/>
      <c r="AO452" s="17"/>
      <c r="AP452" s="17"/>
      <c r="AQ452" s="5"/>
      <c r="AR452" s="5"/>
      <c r="AS452" s="5"/>
      <c r="AT452" s="5"/>
      <c r="AU452" s="5"/>
    </row>
    <row r="453" spans="1:47" ht="44.1" customHeight="1" x14ac:dyDescent="0.2">
      <c r="A453" s="17" t="s">
        <v>123</v>
      </c>
      <c r="B453" s="17" t="s">
        <v>753</v>
      </c>
      <c r="C453" s="17"/>
      <c r="D453" s="19" t="s">
        <v>754</v>
      </c>
      <c r="E453" s="19" t="s">
        <v>568</v>
      </c>
      <c r="F453" s="17" t="s">
        <v>3</v>
      </c>
      <c r="G453" s="17" t="str">
        <f>IF(CropLCAs[[#This Row],[fbs_item]]="Insects","insect_ghg","plant_ghg")</f>
        <v>plant_ghg</v>
      </c>
      <c r="H453" s="50" t="s">
        <v>225</v>
      </c>
      <c r="I453" s="50"/>
      <c r="J453" s="50"/>
      <c r="K453" s="17" t="s">
        <v>799</v>
      </c>
      <c r="L453" s="17"/>
      <c r="M453" s="17" t="s">
        <v>102</v>
      </c>
      <c r="N453" s="17" t="s">
        <v>109</v>
      </c>
      <c r="O453" s="17" t="s">
        <v>109</v>
      </c>
      <c r="P453" s="17" t="s">
        <v>102</v>
      </c>
      <c r="Q453" s="17" t="s">
        <v>102</v>
      </c>
      <c r="R453" s="17" t="s">
        <v>109</v>
      </c>
      <c r="S453" s="17" t="s">
        <v>105</v>
      </c>
      <c r="T453" s="17" t="s">
        <v>102</v>
      </c>
      <c r="U453" s="17">
        <v>100</v>
      </c>
      <c r="V453" s="17">
        <v>1</v>
      </c>
      <c r="W453" s="17" t="s">
        <v>106</v>
      </c>
      <c r="X453" s="30"/>
      <c r="Y453" s="17"/>
      <c r="Z453" s="17"/>
      <c r="AA453" s="17"/>
      <c r="AB453" s="30"/>
      <c r="AC453" s="17"/>
      <c r="AD453" s="17" t="str">
        <f t="shared" ref="AD453:AD516" si="34">"kg_co2e_excl_luc"</f>
        <v>kg_co2e_excl_luc</v>
      </c>
      <c r="AE453" s="30">
        <f>IF(CropLCAs[[#This Row],[Product fraction]]="",CropLCAs[[#This Row],[CO2e (value)]]*CropLCAs[[#This Row],[Conversion factor (value)]],CropLCAs[[#This Row],[CO2e (value)]]*CropLCAs[[#This Row],[Conversion factor (value)]]/CropLCAs[[#This Row],[Product fraction]]*CropLCAs[[#This Row],[Value fraction]])</f>
        <v>0</v>
      </c>
      <c r="AF453" s="19"/>
      <c r="AG453" s="19" t="str">
        <f t="shared" ref="AG453:AG516" si="35">"processed_ghg"</f>
        <v>processed_ghg</v>
      </c>
      <c r="AH453" s="19"/>
      <c r="AI453" s="19"/>
      <c r="AJ453" s="18" t="str">
        <f>IF(CropLCAs[[#This Row],[product_fraction]]&gt;0,CropLCAs[[#This Row],[footprint]]/CropLCAs[[#This Row],[product_fraction]]*CropLCAs[[#This Row],[value_fraction]],"")</f>
        <v/>
      </c>
      <c r="AK453" s="29">
        <v>0</v>
      </c>
      <c r="AL453" s="19" t="s">
        <v>774</v>
      </c>
      <c r="AM453" s="17"/>
      <c r="AN453" s="17"/>
      <c r="AO453" s="17"/>
      <c r="AP453" s="17"/>
      <c r="AQ453" s="5"/>
      <c r="AR453" s="5"/>
      <c r="AS453" s="5"/>
      <c r="AT453" s="5"/>
      <c r="AU453" s="5"/>
    </row>
    <row r="454" spans="1:47" ht="44.1" customHeight="1" x14ac:dyDescent="0.2">
      <c r="A454" s="17" t="s">
        <v>123</v>
      </c>
      <c r="B454" s="17" t="s">
        <v>753</v>
      </c>
      <c r="C454" s="17"/>
      <c r="D454" s="19" t="s">
        <v>754</v>
      </c>
      <c r="E454" s="19" t="s">
        <v>568</v>
      </c>
      <c r="F454" s="17" t="s">
        <v>3</v>
      </c>
      <c r="G454" s="17" t="str">
        <f>IF(CropLCAs[[#This Row],[fbs_item]]="Insects","insect_ghg","plant_ghg")</f>
        <v>plant_ghg</v>
      </c>
      <c r="H454" s="50" t="s">
        <v>225</v>
      </c>
      <c r="I454" s="50"/>
      <c r="J454" s="50"/>
      <c r="K454" s="17" t="s">
        <v>800</v>
      </c>
      <c r="L454" s="17"/>
      <c r="M454" s="17" t="s">
        <v>530</v>
      </c>
      <c r="N454" s="17" t="s">
        <v>109</v>
      </c>
      <c r="O454" s="17" t="s">
        <v>109</v>
      </c>
      <c r="P454" s="17" t="s">
        <v>102</v>
      </c>
      <c r="Q454" s="17" t="s">
        <v>102</v>
      </c>
      <c r="R454" s="17" t="s">
        <v>109</v>
      </c>
      <c r="S454" s="17" t="s">
        <v>105</v>
      </c>
      <c r="T454" s="17" t="s">
        <v>102</v>
      </c>
      <c r="U454" s="17">
        <v>100</v>
      </c>
      <c r="V454" s="17">
        <v>1</v>
      </c>
      <c r="W454" s="17" t="s">
        <v>106</v>
      </c>
      <c r="X454" s="30"/>
      <c r="Y454" s="17"/>
      <c r="Z454" s="17"/>
      <c r="AA454" s="17"/>
      <c r="AB454" s="30"/>
      <c r="AC454" s="17"/>
      <c r="AD454" s="17" t="str">
        <f t="shared" si="34"/>
        <v>kg_co2e_excl_luc</v>
      </c>
      <c r="AE454" s="30">
        <f>IF(CropLCAs[[#This Row],[Product fraction]]="",CropLCAs[[#This Row],[CO2e (value)]]*CropLCAs[[#This Row],[Conversion factor (value)]],CropLCAs[[#This Row],[CO2e (value)]]*CropLCAs[[#This Row],[Conversion factor (value)]]/CropLCAs[[#This Row],[Product fraction]]*CropLCAs[[#This Row],[Value fraction]])</f>
        <v>0</v>
      </c>
      <c r="AF454" s="19"/>
      <c r="AG454" s="19" t="str">
        <f t="shared" si="35"/>
        <v>processed_ghg</v>
      </c>
      <c r="AH454" s="19"/>
      <c r="AI454" s="19"/>
      <c r="AJ454" s="18" t="str">
        <f>IF(CropLCAs[[#This Row],[product_fraction]]&gt;0,CropLCAs[[#This Row],[footprint]]/CropLCAs[[#This Row],[product_fraction]]*CropLCAs[[#This Row],[value_fraction]],"")</f>
        <v/>
      </c>
      <c r="AK454" s="29">
        <v>0</v>
      </c>
      <c r="AL454" s="19" t="s">
        <v>774</v>
      </c>
      <c r="AM454" s="17"/>
      <c r="AN454" s="17" t="s">
        <v>801</v>
      </c>
      <c r="AO454" s="17"/>
      <c r="AP454" s="17"/>
      <c r="AQ454" s="5"/>
      <c r="AR454" s="5"/>
      <c r="AS454" s="5"/>
      <c r="AT454" s="5"/>
      <c r="AU454" s="5"/>
    </row>
    <row r="455" spans="1:47" ht="44.1" customHeight="1" x14ac:dyDescent="0.2">
      <c r="A455" s="5" t="s">
        <v>99</v>
      </c>
      <c r="B455" s="5" t="s">
        <v>1487</v>
      </c>
      <c r="C455" s="16">
        <v>2012</v>
      </c>
      <c r="D455" s="10" t="s">
        <v>588</v>
      </c>
      <c r="E455" s="6" t="s">
        <v>589</v>
      </c>
      <c r="F455" s="5" t="s">
        <v>3</v>
      </c>
      <c r="G455" s="5" t="str">
        <f>IF(CropLCAs[[#This Row],[fbs_item]]="Insects","insect_ghg","plant_ghg")</f>
        <v>plant_ghg</v>
      </c>
      <c r="H455" s="49" t="s">
        <v>77</v>
      </c>
      <c r="I455" s="49"/>
      <c r="J455" s="49"/>
      <c r="K455" s="5" t="s">
        <v>596</v>
      </c>
      <c r="L455" s="5"/>
      <c r="M455" s="5" t="s">
        <v>231</v>
      </c>
      <c r="N455" s="5" t="s">
        <v>109</v>
      </c>
      <c r="O455" s="5" t="s">
        <v>591</v>
      </c>
      <c r="P455" s="5" t="s">
        <v>102</v>
      </c>
      <c r="Q455" s="5" t="s">
        <v>102</v>
      </c>
      <c r="R455" s="5" t="s">
        <v>102</v>
      </c>
      <c r="S455" s="5" t="s">
        <v>592</v>
      </c>
      <c r="T455" s="5" t="s">
        <v>102</v>
      </c>
      <c r="U455" s="5">
        <v>100</v>
      </c>
      <c r="V455" s="5">
        <v>1</v>
      </c>
      <c r="W455" s="5" t="s">
        <v>106</v>
      </c>
      <c r="X455" s="24">
        <v>0.10100000000000001</v>
      </c>
      <c r="Y455" s="5" t="s">
        <v>106</v>
      </c>
      <c r="Z455" s="5"/>
      <c r="AA455" s="5"/>
      <c r="AB455" s="24">
        <v>1</v>
      </c>
      <c r="AC455" s="5"/>
      <c r="AD455" s="5" t="str">
        <f t="shared" si="34"/>
        <v>kg_co2e_excl_luc</v>
      </c>
      <c r="AE455" s="24">
        <f>IF(CropLCAs[[#This Row],[Product fraction]]="",CropLCAs[[#This Row],[CO2e (value)]]*CropLCAs[[#This Row],[Conversion factor (value)]],CropLCAs[[#This Row],[CO2e (value)]]*CropLCAs[[#This Row],[Conversion factor (value)]]/CropLCAs[[#This Row],[Product fraction]]*CropLCAs[[#This Row],[Value fraction]])</f>
        <v>0.10100000000000001</v>
      </c>
      <c r="AF455" s="5"/>
      <c r="AG455" s="5" t="str">
        <f t="shared" si="35"/>
        <v>processed_ghg</v>
      </c>
      <c r="AH455" s="5"/>
      <c r="AI455" s="5"/>
      <c r="AJ455" s="8" t="str">
        <f>IF(CropLCAs[[#This Row],[product_fraction]]&gt;0,CropLCAs[[#This Row],[footprint]]/CropLCAs[[#This Row],[product_fraction]]*CropLCAs[[#This Row],[value_fraction]],"")</f>
        <v/>
      </c>
      <c r="AK455" s="23">
        <f>1/3</f>
        <v>0.33333333333333331</v>
      </c>
      <c r="AL455" s="5" t="s">
        <v>109</v>
      </c>
      <c r="AM455" s="5" t="s">
        <v>593</v>
      </c>
      <c r="AN455" s="5" t="s">
        <v>594</v>
      </c>
      <c r="AO455" s="5" t="s">
        <v>595</v>
      </c>
      <c r="AP455" s="5"/>
      <c r="AQ455" s="5"/>
      <c r="AR455" s="5"/>
      <c r="AS455" s="5"/>
      <c r="AT455" s="5"/>
      <c r="AU455" s="5"/>
    </row>
    <row r="456" spans="1:47" ht="44.1" customHeight="1" x14ac:dyDescent="0.2">
      <c r="A456" s="5" t="s">
        <v>99</v>
      </c>
      <c r="B456" s="5" t="s">
        <v>1487</v>
      </c>
      <c r="C456" s="16">
        <v>2012</v>
      </c>
      <c r="D456" s="10" t="s">
        <v>588</v>
      </c>
      <c r="E456" s="6" t="s">
        <v>589</v>
      </c>
      <c r="F456" s="5" t="s">
        <v>3</v>
      </c>
      <c r="G456" s="5" t="str">
        <f>IF(CropLCAs[[#This Row],[fbs_item]]="Insects","insect_ghg","plant_ghg")</f>
        <v>plant_ghg</v>
      </c>
      <c r="H456" s="49" t="s">
        <v>77</v>
      </c>
      <c r="I456" s="49"/>
      <c r="J456" s="49"/>
      <c r="K456" s="5" t="s">
        <v>596</v>
      </c>
      <c r="L456" s="5" t="s">
        <v>1304</v>
      </c>
      <c r="M456" s="5" t="s">
        <v>552</v>
      </c>
      <c r="N456" s="5" t="s">
        <v>109</v>
      </c>
      <c r="O456" s="5" t="s">
        <v>591</v>
      </c>
      <c r="P456" s="5" t="s">
        <v>102</v>
      </c>
      <c r="Q456" s="5" t="s">
        <v>102</v>
      </c>
      <c r="R456" s="5" t="s">
        <v>102</v>
      </c>
      <c r="S456" s="5" t="s">
        <v>592</v>
      </c>
      <c r="T456" s="5" t="s">
        <v>102</v>
      </c>
      <c r="U456" s="5">
        <v>100</v>
      </c>
      <c r="V456" s="5">
        <v>1</v>
      </c>
      <c r="W456" s="5" t="s">
        <v>106</v>
      </c>
      <c r="X456" s="24">
        <v>9.9000000000000005E-2</v>
      </c>
      <c r="Y456" s="5" t="s">
        <v>106</v>
      </c>
      <c r="Z456" s="5"/>
      <c r="AA456" s="5"/>
      <c r="AB456" s="24">
        <v>1</v>
      </c>
      <c r="AC456" s="5"/>
      <c r="AD456" s="5" t="str">
        <f t="shared" si="34"/>
        <v>kg_co2e_excl_luc</v>
      </c>
      <c r="AE456" s="24">
        <f>IF(CropLCAs[[#This Row],[Product fraction]]="",CropLCAs[[#This Row],[CO2e (value)]]*CropLCAs[[#This Row],[Conversion factor (value)]],CropLCAs[[#This Row],[CO2e (value)]]*CropLCAs[[#This Row],[Conversion factor (value)]]/CropLCAs[[#This Row],[Product fraction]]*CropLCAs[[#This Row],[Value fraction]])</f>
        <v>9.9000000000000005E-2</v>
      </c>
      <c r="AF456" s="5"/>
      <c r="AG456" s="5" t="str">
        <f t="shared" si="35"/>
        <v>processed_ghg</v>
      </c>
      <c r="AH456" s="5"/>
      <c r="AI456" s="5"/>
      <c r="AJ456" s="8" t="str">
        <f>IF(CropLCAs[[#This Row],[product_fraction]]&gt;0,CropLCAs[[#This Row],[footprint]]/CropLCAs[[#This Row],[product_fraction]]*CropLCAs[[#This Row],[value_fraction]],"")</f>
        <v/>
      </c>
      <c r="AK456" s="23">
        <f>1/3</f>
        <v>0.33333333333333331</v>
      </c>
      <c r="AL456" s="5" t="s">
        <v>109</v>
      </c>
      <c r="AM456" s="5" t="s">
        <v>593</v>
      </c>
      <c r="AN456" s="5" t="s">
        <v>594</v>
      </c>
      <c r="AO456" s="5" t="s">
        <v>595</v>
      </c>
      <c r="AP456" s="5"/>
      <c r="AQ456" s="5"/>
      <c r="AR456" s="5"/>
      <c r="AS456" s="5"/>
      <c r="AT456" s="5"/>
      <c r="AU456" s="5"/>
    </row>
    <row r="457" spans="1:47" ht="44.1" customHeight="1" x14ac:dyDescent="0.2">
      <c r="A457" s="5" t="s">
        <v>251</v>
      </c>
      <c r="B457" s="5" t="s">
        <v>1488</v>
      </c>
      <c r="C457" s="16">
        <v>2012</v>
      </c>
      <c r="D457" s="5" t="s">
        <v>316</v>
      </c>
      <c r="E457" s="6" t="s">
        <v>1345</v>
      </c>
      <c r="F457" s="5" t="s">
        <v>25</v>
      </c>
      <c r="G457" s="5" t="str">
        <f>IF(CropLCAs[[#This Row],[fbs_item]]="Insects","insect_ghg","plant_ghg")</f>
        <v>plant_ghg</v>
      </c>
      <c r="H457" s="49" t="s">
        <v>314</v>
      </c>
      <c r="I457" s="49"/>
      <c r="J457" s="49"/>
      <c r="K457" s="5" t="s">
        <v>111</v>
      </c>
      <c r="L457" s="5" t="s">
        <v>317</v>
      </c>
      <c r="M457" s="5" t="s">
        <v>102</v>
      </c>
      <c r="N457" s="5" t="s">
        <v>102</v>
      </c>
      <c r="O457" s="5" t="s">
        <v>109</v>
      </c>
      <c r="P457" s="5" t="s">
        <v>102</v>
      </c>
      <c r="Q457" s="5" t="s">
        <v>102</v>
      </c>
      <c r="R457" s="5" t="s">
        <v>102</v>
      </c>
      <c r="S457" s="5" t="s">
        <v>318</v>
      </c>
      <c r="T457" s="5" t="s">
        <v>319</v>
      </c>
      <c r="U457" s="5">
        <v>100</v>
      </c>
      <c r="V457" s="5">
        <v>1</v>
      </c>
      <c r="W457" s="5" t="s">
        <v>320</v>
      </c>
      <c r="X457" s="24">
        <f>481*0.942</f>
        <v>453.10199999999998</v>
      </c>
      <c r="Y457" s="5" t="s">
        <v>321</v>
      </c>
      <c r="Z457" s="5"/>
      <c r="AA457" s="5"/>
      <c r="AB457" s="24">
        <v>1E-3</v>
      </c>
      <c r="AC457" s="5" t="s">
        <v>274</v>
      </c>
      <c r="AD457" s="5" t="str">
        <f t="shared" si="34"/>
        <v>kg_co2e_excl_luc</v>
      </c>
      <c r="AE457" s="24">
        <f>IF(CropLCAs[[#This Row],[Product fraction]]="",CropLCAs[[#This Row],[CO2e (value)]]*CropLCAs[[#This Row],[Conversion factor (value)]],CropLCAs[[#This Row],[CO2e (value)]]*CropLCAs[[#This Row],[Conversion factor (value)]]/CropLCAs[[#This Row],[Product fraction]]*CropLCAs[[#This Row],[Value fraction]])</f>
        <v>0.453102</v>
      </c>
      <c r="AF457" s="5" t="s">
        <v>45</v>
      </c>
      <c r="AG457" s="5" t="str">
        <f t="shared" si="35"/>
        <v>processed_ghg</v>
      </c>
      <c r="AH457" s="9">
        <v>0.2</v>
      </c>
      <c r="AI457" s="9">
        <v>0.96</v>
      </c>
      <c r="AJ457" s="8">
        <f>IF(CropLCAs[[#This Row],[product_fraction]]&gt;0,CropLCAs[[#This Row],[footprint]]/CropLCAs[[#This Row],[product_fraction]]*CropLCAs[[#This Row],[value_fraction]],"")</f>
        <v>2.1748895999999998</v>
      </c>
      <c r="AK457" s="23">
        <f>1/4</f>
        <v>0.25</v>
      </c>
      <c r="AL457" s="5" t="s">
        <v>109</v>
      </c>
      <c r="AM457" s="5" t="s">
        <v>322</v>
      </c>
      <c r="AN457" s="5" t="s">
        <v>323</v>
      </c>
      <c r="AO457" s="5" t="s">
        <v>324</v>
      </c>
      <c r="AP457" s="5"/>
      <c r="AQ457" s="5"/>
      <c r="AR457" s="5"/>
      <c r="AS457" s="5"/>
      <c r="AT457" s="5"/>
      <c r="AU457" s="5"/>
    </row>
    <row r="458" spans="1:47" ht="44.1" customHeight="1" x14ac:dyDescent="0.2">
      <c r="A458" s="5" t="s">
        <v>251</v>
      </c>
      <c r="B458" s="5" t="s">
        <v>1488</v>
      </c>
      <c r="C458" s="16">
        <v>2012</v>
      </c>
      <c r="D458" s="5" t="s">
        <v>316</v>
      </c>
      <c r="E458" s="6" t="s">
        <v>1345</v>
      </c>
      <c r="F458" s="5" t="s">
        <v>25</v>
      </c>
      <c r="G458" s="5" t="str">
        <f>IF(CropLCAs[[#This Row],[fbs_item]]="Insects","insect_ghg","plant_ghg")</f>
        <v>plant_ghg</v>
      </c>
      <c r="H458" s="49" t="s">
        <v>314</v>
      </c>
      <c r="I458" s="49"/>
      <c r="J458" s="49"/>
      <c r="K458" s="5" t="s">
        <v>111</v>
      </c>
      <c r="L458" s="5" t="s">
        <v>325</v>
      </c>
      <c r="M458" s="5" t="s">
        <v>102</v>
      </c>
      <c r="N458" s="5" t="s">
        <v>102</v>
      </c>
      <c r="O458" s="5" t="s">
        <v>109</v>
      </c>
      <c r="P458" s="5" t="s">
        <v>102</v>
      </c>
      <c r="Q458" s="5" t="s">
        <v>102</v>
      </c>
      <c r="R458" s="5" t="s">
        <v>102</v>
      </c>
      <c r="S458" s="5" t="s">
        <v>318</v>
      </c>
      <c r="T458" s="5" t="s">
        <v>319</v>
      </c>
      <c r="U458" s="5">
        <v>100</v>
      </c>
      <c r="V458" s="5">
        <v>1</v>
      </c>
      <c r="W458" s="5" t="s">
        <v>320</v>
      </c>
      <c r="X458" s="24">
        <f>510*0.89</f>
        <v>453.90000000000003</v>
      </c>
      <c r="Y458" s="5" t="s">
        <v>321</v>
      </c>
      <c r="Z458" s="5"/>
      <c r="AA458" s="5"/>
      <c r="AB458" s="24">
        <v>1E-3</v>
      </c>
      <c r="AC458" s="5" t="s">
        <v>274</v>
      </c>
      <c r="AD458" s="5" t="str">
        <f t="shared" si="34"/>
        <v>kg_co2e_excl_luc</v>
      </c>
      <c r="AE458" s="24">
        <f>IF(CropLCAs[[#This Row],[Product fraction]]="",CropLCAs[[#This Row],[CO2e (value)]]*CropLCAs[[#This Row],[Conversion factor (value)]],CropLCAs[[#This Row],[CO2e (value)]]*CropLCAs[[#This Row],[Conversion factor (value)]]/CropLCAs[[#This Row],[Product fraction]]*CropLCAs[[#This Row],[Value fraction]])</f>
        <v>0.45390000000000003</v>
      </c>
      <c r="AF458" s="5" t="s">
        <v>45</v>
      </c>
      <c r="AG458" s="5" t="str">
        <f t="shared" si="35"/>
        <v>processed_ghg</v>
      </c>
      <c r="AH458" s="9">
        <v>0.2</v>
      </c>
      <c r="AI458" s="9">
        <v>0.96</v>
      </c>
      <c r="AJ458" s="8">
        <f>IF(CropLCAs[[#This Row],[product_fraction]]&gt;0,CropLCAs[[#This Row],[footprint]]/CropLCAs[[#This Row],[product_fraction]]*CropLCAs[[#This Row],[value_fraction]],"")</f>
        <v>2.1787199999999998</v>
      </c>
      <c r="AK458" s="23">
        <f>1/4</f>
        <v>0.25</v>
      </c>
      <c r="AL458" s="5" t="s">
        <v>109</v>
      </c>
      <c r="AM458" s="5" t="s">
        <v>322</v>
      </c>
      <c r="AN458" s="5" t="s">
        <v>323</v>
      </c>
      <c r="AO458" s="5" t="s">
        <v>324</v>
      </c>
      <c r="AP458" s="5"/>
      <c r="AQ458" s="5"/>
      <c r="AR458" s="5"/>
      <c r="AS458" s="5"/>
      <c r="AT458" s="5"/>
      <c r="AU458" s="5"/>
    </row>
    <row r="459" spans="1:47" ht="44.1" customHeight="1" x14ac:dyDescent="0.2">
      <c r="A459" s="17" t="s">
        <v>123</v>
      </c>
      <c r="B459" s="17" t="s">
        <v>802</v>
      </c>
      <c r="C459" s="17"/>
      <c r="D459" s="17" t="s">
        <v>803</v>
      </c>
      <c r="E459" s="19" t="s">
        <v>640</v>
      </c>
      <c r="F459" s="17" t="s">
        <v>5</v>
      </c>
      <c r="G459" s="17" t="str">
        <f>IF(CropLCAs[[#This Row],[fbs_item]]="Insects","insect_ghg","plant_ghg")</f>
        <v>plant_ghg</v>
      </c>
      <c r="H459" s="50" t="s">
        <v>253</v>
      </c>
      <c r="I459" s="50"/>
      <c r="J459" s="50"/>
      <c r="K459" s="17" t="s">
        <v>111</v>
      </c>
      <c r="L459" s="17"/>
      <c r="M459" s="17" t="s">
        <v>102</v>
      </c>
      <c r="N459" s="17" t="s">
        <v>150</v>
      </c>
      <c r="O459" s="17" t="s">
        <v>479</v>
      </c>
      <c r="P459" s="17" t="s">
        <v>102</v>
      </c>
      <c r="Q459" s="17" t="s">
        <v>102</v>
      </c>
      <c r="R459" s="17" t="s">
        <v>102</v>
      </c>
      <c r="S459" s="17" t="s">
        <v>804</v>
      </c>
      <c r="T459" s="17" t="s">
        <v>102</v>
      </c>
      <c r="U459" s="17">
        <v>100</v>
      </c>
      <c r="V459" s="17">
        <v>1</v>
      </c>
      <c r="W459" s="17" t="s">
        <v>106</v>
      </c>
      <c r="X459" s="30">
        <v>0.3</v>
      </c>
      <c r="Y459" s="17" t="s">
        <v>106</v>
      </c>
      <c r="Z459" s="17"/>
      <c r="AA459" s="17"/>
      <c r="AB459" s="30">
        <v>1</v>
      </c>
      <c r="AC459" s="17"/>
      <c r="AD459" s="17" t="str">
        <f t="shared" si="34"/>
        <v>kg_co2e_excl_luc</v>
      </c>
      <c r="AE459" s="30">
        <f>IF(CropLCAs[[#This Row],[Product fraction]]="",CropLCAs[[#This Row],[CO2e (value)]]*CropLCAs[[#This Row],[Conversion factor (value)]],CropLCAs[[#This Row],[CO2e (value)]]*CropLCAs[[#This Row],[Conversion factor (value)]]/CropLCAs[[#This Row],[Product fraction]]*CropLCAs[[#This Row],[Value fraction]])</f>
        <v>0.3</v>
      </c>
      <c r="AF459" s="19"/>
      <c r="AG459" s="19" t="str">
        <f t="shared" si="35"/>
        <v>processed_ghg</v>
      </c>
      <c r="AH459" s="19"/>
      <c r="AI459" s="19"/>
      <c r="AJ459" s="18" t="str">
        <f>IF(CropLCAs[[#This Row],[product_fraction]]&gt;0,CropLCAs[[#This Row],[footprint]]/CropLCAs[[#This Row],[product_fraction]]*CropLCAs[[#This Row],[value_fraction]],"")</f>
        <v/>
      </c>
      <c r="AK459" s="29"/>
      <c r="AL459" s="19" t="s">
        <v>805</v>
      </c>
      <c r="AM459" s="17"/>
      <c r="AN459" s="17"/>
      <c r="AO459" s="17"/>
      <c r="AP459" s="17"/>
      <c r="AQ459" s="5"/>
      <c r="AR459" s="5"/>
      <c r="AS459" s="5"/>
      <c r="AT459" s="5"/>
      <c r="AU459" s="5"/>
    </row>
    <row r="460" spans="1:47" ht="44.1" customHeight="1" x14ac:dyDescent="0.2">
      <c r="A460" s="17" t="s">
        <v>251</v>
      </c>
      <c r="B460" s="17" t="s">
        <v>729</v>
      </c>
      <c r="C460" s="17"/>
      <c r="D460" s="17" t="s">
        <v>730</v>
      </c>
      <c r="E460" s="19" t="s">
        <v>731</v>
      </c>
      <c r="F460" s="17" t="s">
        <v>37</v>
      </c>
      <c r="G460" s="17" t="str">
        <f>IF(CropLCAs[[#This Row],[fbs_item]]="Insects","insect_ghg","plant_ghg")</f>
        <v>plant_ghg</v>
      </c>
      <c r="H460" s="50" t="s">
        <v>351</v>
      </c>
      <c r="I460" s="50"/>
      <c r="J460" s="50"/>
      <c r="K460" s="17" t="s">
        <v>732</v>
      </c>
      <c r="L460" s="17"/>
      <c r="M460" s="17" t="s">
        <v>102</v>
      </c>
      <c r="N460" s="17" t="s">
        <v>102</v>
      </c>
      <c r="O460" s="17" t="s">
        <v>109</v>
      </c>
      <c r="P460" s="17" t="s">
        <v>151</v>
      </c>
      <c r="Q460" s="17" t="s">
        <v>102</v>
      </c>
      <c r="R460" s="17" t="s">
        <v>102</v>
      </c>
      <c r="S460" s="17" t="s">
        <v>109</v>
      </c>
      <c r="T460" s="17" t="s">
        <v>105</v>
      </c>
      <c r="U460" s="17" t="s">
        <v>126</v>
      </c>
      <c r="V460" s="17">
        <v>1</v>
      </c>
      <c r="W460" s="17" t="s">
        <v>106</v>
      </c>
      <c r="X460" s="30">
        <v>234</v>
      </c>
      <c r="Y460" s="17" t="s">
        <v>107</v>
      </c>
      <c r="Z460" s="17"/>
      <c r="AA460" s="17"/>
      <c r="AB460" s="30">
        <v>1E-3</v>
      </c>
      <c r="AC460" s="17" t="s">
        <v>108</v>
      </c>
      <c r="AD460" s="17" t="str">
        <f t="shared" si="34"/>
        <v>kg_co2e_excl_luc</v>
      </c>
      <c r="AE460" s="30">
        <f>IF(CropLCAs[[#This Row],[Product fraction]]="",CropLCAs[[#This Row],[CO2e (value)]]*CropLCAs[[#This Row],[Conversion factor (value)]],CropLCAs[[#This Row],[CO2e (value)]]*CropLCAs[[#This Row],[Conversion factor (value)]]/CropLCAs[[#This Row],[Product fraction]]*CropLCAs[[#This Row],[Value fraction]])</f>
        <v>0.23400000000000001</v>
      </c>
      <c r="AF460" s="19"/>
      <c r="AG460" s="19" t="str">
        <f t="shared" si="35"/>
        <v>processed_ghg</v>
      </c>
      <c r="AH460" s="19"/>
      <c r="AI460" s="19"/>
      <c r="AJ460" s="18" t="str">
        <f>IF(CropLCAs[[#This Row],[product_fraction]]&gt;0,CropLCAs[[#This Row],[footprint]]/CropLCAs[[#This Row],[product_fraction]]*CropLCAs[[#This Row],[value_fraction]],"")</f>
        <v/>
      </c>
      <c r="AK460" s="29">
        <v>0</v>
      </c>
      <c r="AL460" s="19" t="s">
        <v>733</v>
      </c>
      <c r="AM460" s="17" t="s">
        <v>734</v>
      </c>
      <c r="AN460" s="20" t="s">
        <v>735</v>
      </c>
      <c r="AO460" s="17" t="s">
        <v>736</v>
      </c>
      <c r="AP460" s="17"/>
      <c r="AQ460" s="5"/>
      <c r="AR460" s="5"/>
      <c r="AS460" s="5"/>
      <c r="AT460" s="5"/>
      <c r="AU460" s="5"/>
    </row>
    <row r="461" spans="1:47" ht="44.1" customHeight="1" x14ac:dyDescent="0.2">
      <c r="A461" s="17" t="s">
        <v>123</v>
      </c>
      <c r="B461" s="17" t="s">
        <v>757</v>
      </c>
      <c r="C461" s="17"/>
      <c r="D461" s="19" t="s">
        <v>758</v>
      </c>
      <c r="E461" s="19" t="s">
        <v>179</v>
      </c>
      <c r="F461" s="17" t="s">
        <v>10</v>
      </c>
      <c r="G461" s="17" t="str">
        <f>IF(CropLCAs[[#This Row],[fbs_item]]="Insects","insect_ghg","plant_ghg")</f>
        <v>plant_ghg</v>
      </c>
      <c r="H461" s="50" t="s">
        <v>180</v>
      </c>
      <c r="I461" s="50"/>
      <c r="J461" s="50"/>
      <c r="K461" s="17" t="s">
        <v>759</v>
      </c>
      <c r="L461" s="17"/>
      <c r="M461" s="17" t="s">
        <v>102</v>
      </c>
      <c r="N461" s="17" t="s">
        <v>109</v>
      </c>
      <c r="O461" s="17" t="s">
        <v>109</v>
      </c>
      <c r="P461" s="17" t="s">
        <v>102</v>
      </c>
      <c r="Q461" s="17" t="s">
        <v>102</v>
      </c>
      <c r="R461" s="17" t="s">
        <v>760</v>
      </c>
      <c r="S461" s="17" t="s">
        <v>424</v>
      </c>
      <c r="T461" s="17" t="s">
        <v>102</v>
      </c>
      <c r="U461" s="17" t="s">
        <v>126</v>
      </c>
      <c r="V461" s="17">
        <v>1</v>
      </c>
      <c r="W461" s="17" t="s">
        <v>106</v>
      </c>
      <c r="X461" s="30">
        <v>755</v>
      </c>
      <c r="Y461" s="17" t="s">
        <v>107</v>
      </c>
      <c r="Z461" s="17"/>
      <c r="AA461" s="17"/>
      <c r="AB461" s="30">
        <v>1E-3</v>
      </c>
      <c r="AC461" s="17" t="s">
        <v>108</v>
      </c>
      <c r="AD461" s="17" t="str">
        <f t="shared" si="34"/>
        <v>kg_co2e_excl_luc</v>
      </c>
      <c r="AE461" s="30">
        <f>IF(CropLCAs[[#This Row],[Product fraction]]="",CropLCAs[[#This Row],[CO2e (value)]]*CropLCAs[[#This Row],[Conversion factor (value)]],CropLCAs[[#This Row],[CO2e (value)]]*CropLCAs[[#This Row],[Conversion factor (value)]]/CropLCAs[[#This Row],[Product fraction]]*CropLCAs[[#This Row],[Value fraction]])</f>
        <v>0.755</v>
      </c>
      <c r="AF461" s="19"/>
      <c r="AG461" s="19" t="str">
        <f t="shared" si="35"/>
        <v>processed_ghg</v>
      </c>
      <c r="AH461" s="19"/>
      <c r="AI461" s="19"/>
      <c r="AJ461" s="18" t="str">
        <f>IF(CropLCAs[[#This Row],[product_fraction]]&gt;0,CropLCAs[[#This Row],[footprint]]/CropLCAs[[#This Row],[product_fraction]]*CropLCAs[[#This Row],[value_fraction]],"")</f>
        <v/>
      </c>
      <c r="AK461" s="29"/>
      <c r="AL461" s="19" t="s">
        <v>761</v>
      </c>
      <c r="AM461" s="17" t="s">
        <v>762</v>
      </c>
      <c r="AN461" s="17"/>
      <c r="AO461" s="17"/>
      <c r="AP461" s="17"/>
      <c r="AQ461" s="5"/>
      <c r="AR461" s="5"/>
      <c r="AS461" s="5"/>
      <c r="AT461" s="5"/>
      <c r="AU461" s="5"/>
    </row>
    <row r="462" spans="1:47" ht="44.1" customHeight="1" x14ac:dyDescent="0.2">
      <c r="A462" s="17" t="s">
        <v>123</v>
      </c>
      <c r="B462" s="17" t="s">
        <v>757</v>
      </c>
      <c r="C462" s="17"/>
      <c r="D462" s="19" t="s">
        <v>758</v>
      </c>
      <c r="E462" s="19" t="s">
        <v>179</v>
      </c>
      <c r="F462" s="17" t="s">
        <v>10</v>
      </c>
      <c r="G462" s="17" t="str">
        <f>IF(CropLCAs[[#This Row],[fbs_item]]="Insects","insect_ghg","plant_ghg")</f>
        <v>plant_ghg</v>
      </c>
      <c r="H462" s="50" t="s">
        <v>180</v>
      </c>
      <c r="I462" s="50"/>
      <c r="J462" s="50"/>
      <c r="K462" s="17" t="s">
        <v>763</v>
      </c>
      <c r="L462" s="17"/>
      <c r="M462" s="17" t="s">
        <v>102</v>
      </c>
      <c r="N462" s="17" t="s">
        <v>109</v>
      </c>
      <c r="O462" s="17" t="s">
        <v>109</v>
      </c>
      <c r="P462" s="17" t="s">
        <v>102</v>
      </c>
      <c r="Q462" s="17" t="s">
        <v>102</v>
      </c>
      <c r="R462" s="17" t="s">
        <v>760</v>
      </c>
      <c r="S462" s="17" t="s">
        <v>424</v>
      </c>
      <c r="T462" s="17" t="s">
        <v>102</v>
      </c>
      <c r="U462" s="17" t="s">
        <v>126</v>
      </c>
      <c r="V462" s="17">
        <v>1</v>
      </c>
      <c r="W462" s="17" t="s">
        <v>106</v>
      </c>
      <c r="X462" s="30">
        <v>729</v>
      </c>
      <c r="Y462" s="17" t="s">
        <v>107</v>
      </c>
      <c r="Z462" s="17"/>
      <c r="AA462" s="17"/>
      <c r="AB462" s="30">
        <v>1E-3</v>
      </c>
      <c r="AC462" s="17" t="s">
        <v>108</v>
      </c>
      <c r="AD462" s="17" t="str">
        <f t="shared" si="34"/>
        <v>kg_co2e_excl_luc</v>
      </c>
      <c r="AE462" s="30">
        <f>IF(CropLCAs[[#This Row],[Product fraction]]="",CropLCAs[[#This Row],[CO2e (value)]]*CropLCAs[[#This Row],[Conversion factor (value)]],CropLCAs[[#This Row],[CO2e (value)]]*CropLCAs[[#This Row],[Conversion factor (value)]]/CropLCAs[[#This Row],[Product fraction]]*CropLCAs[[#This Row],[Value fraction]])</f>
        <v>0.72899999999999998</v>
      </c>
      <c r="AF462" s="19"/>
      <c r="AG462" s="19" t="str">
        <f t="shared" si="35"/>
        <v>processed_ghg</v>
      </c>
      <c r="AH462" s="19"/>
      <c r="AI462" s="19"/>
      <c r="AJ462" s="18" t="str">
        <f>IF(CropLCAs[[#This Row],[product_fraction]]&gt;0,CropLCAs[[#This Row],[footprint]]/CropLCAs[[#This Row],[product_fraction]]*CropLCAs[[#This Row],[value_fraction]],"")</f>
        <v/>
      </c>
      <c r="AK462" s="29"/>
      <c r="AL462" s="19" t="s">
        <v>761</v>
      </c>
      <c r="AM462" s="17" t="s">
        <v>762</v>
      </c>
      <c r="AN462" s="17"/>
      <c r="AO462" s="17"/>
      <c r="AP462" s="17"/>
      <c r="AQ462" s="5"/>
      <c r="AR462" s="5"/>
      <c r="AS462" s="5"/>
      <c r="AT462" s="5"/>
      <c r="AU462" s="5"/>
    </row>
    <row r="463" spans="1:47" ht="44.1" customHeight="1" x14ac:dyDescent="0.2">
      <c r="A463" s="17" t="s">
        <v>123</v>
      </c>
      <c r="B463" s="17" t="s">
        <v>757</v>
      </c>
      <c r="C463" s="17"/>
      <c r="D463" s="19" t="s">
        <v>758</v>
      </c>
      <c r="E463" s="19" t="s">
        <v>179</v>
      </c>
      <c r="F463" s="17" t="s">
        <v>10</v>
      </c>
      <c r="G463" s="17" t="str">
        <f>IF(CropLCAs[[#This Row],[fbs_item]]="Insects","insect_ghg","plant_ghg")</f>
        <v>plant_ghg</v>
      </c>
      <c r="H463" s="50" t="s">
        <v>180</v>
      </c>
      <c r="I463" s="50"/>
      <c r="J463" s="50"/>
      <c r="K463" s="17" t="s">
        <v>764</v>
      </c>
      <c r="L463" s="17"/>
      <c r="M463" s="17" t="s">
        <v>102</v>
      </c>
      <c r="N463" s="17" t="s">
        <v>109</v>
      </c>
      <c r="O463" s="17" t="s">
        <v>109</v>
      </c>
      <c r="P463" s="17" t="s">
        <v>102</v>
      </c>
      <c r="Q463" s="17" t="s">
        <v>102</v>
      </c>
      <c r="R463" s="17" t="s">
        <v>760</v>
      </c>
      <c r="S463" s="17" t="s">
        <v>424</v>
      </c>
      <c r="T463" s="17" t="s">
        <v>102</v>
      </c>
      <c r="U463" s="17" t="s">
        <v>126</v>
      </c>
      <c r="V463" s="17">
        <v>1</v>
      </c>
      <c r="W463" s="17" t="s">
        <v>106</v>
      </c>
      <c r="X463" s="30">
        <v>821</v>
      </c>
      <c r="Y463" s="17" t="s">
        <v>107</v>
      </c>
      <c r="Z463" s="17"/>
      <c r="AA463" s="17"/>
      <c r="AB463" s="30">
        <v>1E-3</v>
      </c>
      <c r="AC463" s="17" t="s">
        <v>108</v>
      </c>
      <c r="AD463" s="17" t="str">
        <f t="shared" si="34"/>
        <v>kg_co2e_excl_luc</v>
      </c>
      <c r="AE463" s="30">
        <f>IF(CropLCAs[[#This Row],[Product fraction]]="",CropLCAs[[#This Row],[CO2e (value)]]*CropLCAs[[#This Row],[Conversion factor (value)]],CropLCAs[[#This Row],[CO2e (value)]]*CropLCAs[[#This Row],[Conversion factor (value)]]/CropLCAs[[#This Row],[Product fraction]]*CropLCAs[[#This Row],[Value fraction]])</f>
        <v>0.82100000000000006</v>
      </c>
      <c r="AF463" s="19"/>
      <c r="AG463" s="19" t="str">
        <f t="shared" si="35"/>
        <v>processed_ghg</v>
      </c>
      <c r="AH463" s="19"/>
      <c r="AI463" s="19"/>
      <c r="AJ463" s="18" t="str">
        <f>IF(CropLCAs[[#This Row],[product_fraction]]&gt;0,CropLCAs[[#This Row],[footprint]]/CropLCAs[[#This Row],[product_fraction]]*CropLCAs[[#This Row],[value_fraction]],"")</f>
        <v/>
      </c>
      <c r="AK463" s="29"/>
      <c r="AL463" s="19" t="s">
        <v>761</v>
      </c>
      <c r="AM463" s="17" t="s">
        <v>762</v>
      </c>
      <c r="AN463" s="17"/>
      <c r="AO463" s="17"/>
      <c r="AP463" s="17"/>
      <c r="AQ463" s="5"/>
      <c r="AR463" s="5"/>
      <c r="AS463" s="5"/>
      <c r="AT463" s="5"/>
      <c r="AU463" s="5"/>
    </row>
    <row r="464" spans="1:47" ht="44.1" customHeight="1" x14ac:dyDescent="0.2">
      <c r="A464" s="17" t="s">
        <v>123</v>
      </c>
      <c r="B464" s="17" t="s">
        <v>757</v>
      </c>
      <c r="C464" s="17"/>
      <c r="D464" s="19" t="s">
        <v>758</v>
      </c>
      <c r="E464" s="19" t="s">
        <v>411</v>
      </c>
      <c r="F464" s="17" t="s">
        <v>23</v>
      </c>
      <c r="G464" s="17" t="str">
        <f>IF(CropLCAs[[#This Row],[fbs_item]]="Insects","insect_ghg","plant_ghg")</f>
        <v>plant_ghg</v>
      </c>
      <c r="H464" s="50" t="s">
        <v>180</v>
      </c>
      <c r="I464" s="50"/>
      <c r="J464" s="50"/>
      <c r="K464" s="17" t="s">
        <v>759</v>
      </c>
      <c r="L464" s="17"/>
      <c r="M464" s="17" t="s">
        <v>102</v>
      </c>
      <c r="N464" s="17" t="s">
        <v>109</v>
      </c>
      <c r="O464" s="17" t="s">
        <v>109</v>
      </c>
      <c r="P464" s="17" t="s">
        <v>102</v>
      </c>
      <c r="Q464" s="17" t="s">
        <v>102</v>
      </c>
      <c r="R464" s="17" t="s">
        <v>760</v>
      </c>
      <c r="S464" s="17" t="s">
        <v>424</v>
      </c>
      <c r="T464" s="17" t="s">
        <v>102</v>
      </c>
      <c r="U464" s="17" t="s">
        <v>126</v>
      </c>
      <c r="V464" s="17">
        <v>1</v>
      </c>
      <c r="W464" s="17" t="s">
        <v>106</v>
      </c>
      <c r="X464" s="30">
        <v>1620</v>
      </c>
      <c r="Y464" s="17" t="s">
        <v>107</v>
      </c>
      <c r="Z464" s="17"/>
      <c r="AA464" s="17"/>
      <c r="AB464" s="30">
        <v>1E-3</v>
      </c>
      <c r="AC464" s="17" t="s">
        <v>108</v>
      </c>
      <c r="AD464" s="17" t="str">
        <f t="shared" si="34"/>
        <v>kg_co2e_excl_luc</v>
      </c>
      <c r="AE464" s="30">
        <f>IF(CropLCAs[[#This Row],[Product fraction]]="",CropLCAs[[#This Row],[CO2e (value)]]*CropLCAs[[#This Row],[Conversion factor (value)]],CropLCAs[[#This Row],[CO2e (value)]]*CropLCAs[[#This Row],[Conversion factor (value)]]/CropLCAs[[#This Row],[Product fraction]]*CropLCAs[[#This Row],[Value fraction]])</f>
        <v>1.62</v>
      </c>
      <c r="AF464" s="36" t="s">
        <v>42</v>
      </c>
      <c r="AG464" s="36" t="str">
        <f t="shared" si="35"/>
        <v>processed_ghg</v>
      </c>
      <c r="AH464" s="17">
        <v>0.38</v>
      </c>
      <c r="AI464" s="17"/>
      <c r="AJ464" s="18">
        <f>IF(CropLCAs[[#This Row],[product_fraction]]&gt;0,CropLCAs[[#This Row],[footprint]]/CropLCAs[[#This Row],[product_fraction]]*CropLCAs[[#This Row],[value_fraction]],"")</f>
        <v>0</v>
      </c>
      <c r="AK464" s="29"/>
      <c r="AL464" s="19" t="s">
        <v>761</v>
      </c>
      <c r="AM464" s="17" t="s">
        <v>765</v>
      </c>
      <c r="AN464" s="17"/>
      <c r="AO464" s="17"/>
      <c r="AP464" s="17"/>
      <c r="AQ464" s="5"/>
      <c r="AR464" s="5"/>
      <c r="AS464" s="5"/>
      <c r="AT464" s="5"/>
      <c r="AU464" s="5"/>
    </row>
    <row r="465" spans="1:47" ht="44.1" customHeight="1" x14ac:dyDescent="0.2">
      <c r="A465" s="17" t="s">
        <v>123</v>
      </c>
      <c r="B465" s="17" t="s">
        <v>757</v>
      </c>
      <c r="C465" s="17"/>
      <c r="D465" s="19" t="s">
        <v>758</v>
      </c>
      <c r="E465" s="19" t="s">
        <v>411</v>
      </c>
      <c r="F465" s="17" t="s">
        <v>23</v>
      </c>
      <c r="G465" s="17" t="str">
        <f>IF(CropLCAs[[#This Row],[fbs_item]]="Insects","insect_ghg","plant_ghg")</f>
        <v>plant_ghg</v>
      </c>
      <c r="H465" s="50" t="s">
        <v>180</v>
      </c>
      <c r="I465" s="50"/>
      <c r="J465" s="50"/>
      <c r="K465" s="17" t="s">
        <v>763</v>
      </c>
      <c r="L465" s="17"/>
      <c r="M465" s="17" t="s">
        <v>102</v>
      </c>
      <c r="N465" s="17" t="s">
        <v>109</v>
      </c>
      <c r="O465" s="17" t="s">
        <v>109</v>
      </c>
      <c r="P465" s="17" t="s">
        <v>102</v>
      </c>
      <c r="Q465" s="17" t="s">
        <v>102</v>
      </c>
      <c r="R465" s="17" t="s">
        <v>760</v>
      </c>
      <c r="S465" s="17" t="s">
        <v>424</v>
      </c>
      <c r="T465" s="17" t="s">
        <v>102</v>
      </c>
      <c r="U465" s="17" t="s">
        <v>126</v>
      </c>
      <c r="V465" s="17">
        <v>1</v>
      </c>
      <c r="W465" s="17" t="s">
        <v>106</v>
      </c>
      <c r="X465" s="30">
        <v>1554</v>
      </c>
      <c r="Y465" s="17" t="s">
        <v>107</v>
      </c>
      <c r="Z465" s="17"/>
      <c r="AA465" s="17"/>
      <c r="AB465" s="30">
        <v>1E-3</v>
      </c>
      <c r="AC465" s="17" t="s">
        <v>108</v>
      </c>
      <c r="AD465" s="17" t="str">
        <f t="shared" si="34"/>
        <v>kg_co2e_excl_luc</v>
      </c>
      <c r="AE465" s="30">
        <f>IF(CropLCAs[[#This Row],[Product fraction]]="",CropLCAs[[#This Row],[CO2e (value)]]*CropLCAs[[#This Row],[Conversion factor (value)]],CropLCAs[[#This Row],[CO2e (value)]]*CropLCAs[[#This Row],[Conversion factor (value)]]/CropLCAs[[#This Row],[Product fraction]]*CropLCAs[[#This Row],[Value fraction]])</f>
        <v>1.554</v>
      </c>
      <c r="AF465" s="36" t="s">
        <v>42</v>
      </c>
      <c r="AG465" s="36" t="str">
        <f t="shared" si="35"/>
        <v>processed_ghg</v>
      </c>
      <c r="AH465" s="17">
        <v>0.38</v>
      </c>
      <c r="AI465" s="17"/>
      <c r="AJ465" s="18">
        <f>IF(CropLCAs[[#This Row],[product_fraction]]&gt;0,CropLCAs[[#This Row],[footprint]]/CropLCAs[[#This Row],[product_fraction]]*CropLCAs[[#This Row],[value_fraction]],"")</f>
        <v>0</v>
      </c>
      <c r="AK465" s="29"/>
      <c r="AL465" s="19" t="s">
        <v>761</v>
      </c>
      <c r="AM465" s="17" t="s">
        <v>765</v>
      </c>
      <c r="AN465" s="17"/>
      <c r="AO465" s="17"/>
      <c r="AP465" s="17"/>
      <c r="AQ465" s="5"/>
      <c r="AR465" s="5"/>
      <c r="AS465" s="5"/>
      <c r="AT465" s="5"/>
      <c r="AU465" s="5"/>
    </row>
    <row r="466" spans="1:47" ht="44.1" customHeight="1" x14ac:dyDescent="0.2">
      <c r="A466" s="17" t="s">
        <v>123</v>
      </c>
      <c r="B466" s="17" t="s">
        <v>757</v>
      </c>
      <c r="C466" s="17"/>
      <c r="D466" s="19" t="s">
        <v>758</v>
      </c>
      <c r="E466" s="19" t="s">
        <v>411</v>
      </c>
      <c r="F466" s="17" t="s">
        <v>23</v>
      </c>
      <c r="G466" s="17" t="str">
        <f>IF(CropLCAs[[#This Row],[fbs_item]]="Insects","insect_ghg","plant_ghg")</f>
        <v>plant_ghg</v>
      </c>
      <c r="H466" s="50" t="s">
        <v>180</v>
      </c>
      <c r="I466" s="50"/>
      <c r="J466" s="50"/>
      <c r="K466" s="17" t="s">
        <v>764</v>
      </c>
      <c r="L466" s="17"/>
      <c r="M466" s="17" t="s">
        <v>102</v>
      </c>
      <c r="N466" s="17" t="s">
        <v>109</v>
      </c>
      <c r="O466" s="17" t="s">
        <v>109</v>
      </c>
      <c r="P466" s="17" t="s">
        <v>102</v>
      </c>
      <c r="Q466" s="17" t="s">
        <v>102</v>
      </c>
      <c r="R466" s="17" t="s">
        <v>760</v>
      </c>
      <c r="S466" s="17" t="s">
        <v>424</v>
      </c>
      <c r="T466" s="17" t="s">
        <v>102</v>
      </c>
      <c r="U466" s="17" t="s">
        <v>126</v>
      </c>
      <c r="V466" s="17">
        <v>1</v>
      </c>
      <c r="W466" s="17" t="s">
        <v>106</v>
      </c>
      <c r="X466" s="30">
        <v>1716</v>
      </c>
      <c r="Y466" s="17" t="s">
        <v>107</v>
      </c>
      <c r="Z466" s="17"/>
      <c r="AA466" s="17"/>
      <c r="AB466" s="30">
        <v>1E-3</v>
      </c>
      <c r="AC466" s="17" t="s">
        <v>108</v>
      </c>
      <c r="AD466" s="17" t="str">
        <f t="shared" si="34"/>
        <v>kg_co2e_excl_luc</v>
      </c>
      <c r="AE466" s="30">
        <f>IF(CropLCAs[[#This Row],[Product fraction]]="",CropLCAs[[#This Row],[CO2e (value)]]*CropLCAs[[#This Row],[Conversion factor (value)]],CropLCAs[[#This Row],[CO2e (value)]]*CropLCAs[[#This Row],[Conversion factor (value)]]/CropLCAs[[#This Row],[Product fraction]]*CropLCAs[[#This Row],[Value fraction]])</f>
        <v>1.716</v>
      </c>
      <c r="AF466" s="36" t="s">
        <v>42</v>
      </c>
      <c r="AG466" s="36" t="str">
        <f t="shared" si="35"/>
        <v>processed_ghg</v>
      </c>
      <c r="AH466" s="17">
        <v>0.38</v>
      </c>
      <c r="AI466" s="17"/>
      <c r="AJ466" s="18">
        <f>IF(CropLCAs[[#This Row],[product_fraction]]&gt;0,CropLCAs[[#This Row],[footprint]]/CropLCAs[[#This Row],[product_fraction]]*CropLCAs[[#This Row],[value_fraction]],"")</f>
        <v>0</v>
      </c>
      <c r="AK466" s="29"/>
      <c r="AL466" s="19" t="s">
        <v>761</v>
      </c>
      <c r="AM466" s="17" t="s">
        <v>765</v>
      </c>
      <c r="AN466" s="17"/>
      <c r="AO466" s="17"/>
      <c r="AP466" s="17"/>
      <c r="AQ466" s="5"/>
      <c r="AR466" s="5"/>
      <c r="AS466" s="5"/>
      <c r="AT466" s="5"/>
      <c r="AU466" s="5"/>
    </row>
    <row r="467" spans="1:47" ht="44.1" customHeight="1" x14ac:dyDescent="0.2">
      <c r="A467" s="17" t="s">
        <v>123</v>
      </c>
      <c r="B467" s="17" t="s">
        <v>757</v>
      </c>
      <c r="C467" s="17"/>
      <c r="D467" s="19" t="s">
        <v>758</v>
      </c>
      <c r="E467" s="19" t="s">
        <v>766</v>
      </c>
      <c r="F467" s="17" t="s">
        <v>5</v>
      </c>
      <c r="G467" s="17" t="str">
        <f>IF(CropLCAs[[#This Row],[fbs_item]]="Insects","insect_ghg","plant_ghg")</f>
        <v>plant_ghg</v>
      </c>
      <c r="H467" s="50" t="s">
        <v>180</v>
      </c>
      <c r="I467" s="50"/>
      <c r="J467" s="50"/>
      <c r="K467" s="17" t="s">
        <v>759</v>
      </c>
      <c r="L467" s="17"/>
      <c r="M467" s="17" t="s">
        <v>102</v>
      </c>
      <c r="N467" s="17" t="s">
        <v>109</v>
      </c>
      <c r="O467" s="17" t="s">
        <v>109</v>
      </c>
      <c r="P467" s="17" t="s">
        <v>102</v>
      </c>
      <c r="Q467" s="17" t="s">
        <v>102</v>
      </c>
      <c r="R467" s="17" t="s">
        <v>760</v>
      </c>
      <c r="S467" s="17" t="s">
        <v>424</v>
      </c>
      <c r="T467" s="17" t="s">
        <v>102</v>
      </c>
      <c r="U467" s="17" t="s">
        <v>126</v>
      </c>
      <c r="V467" s="17">
        <v>1</v>
      </c>
      <c r="W467" s="17" t="s">
        <v>106</v>
      </c>
      <c r="X467" s="30">
        <v>632</v>
      </c>
      <c r="Y467" s="17" t="s">
        <v>107</v>
      </c>
      <c r="Z467" s="17"/>
      <c r="AA467" s="17"/>
      <c r="AB467" s="30">
        <v>1E-3</v>
      </c>
      <c r="AC467" s="17" t="s">
        <v>108</v>
      </c>
      <c r="AD467" s="17" t="str">
        <f t="shared" si="34"/>
        <v>kg_co2e_excl_luc</v>
      </c>
      <c r="AE467" s="30">
        <f>IF(CropLCAs[[#This Row],[Product fraction]]="",CropLCAs[[#This Row],[CO2e (value)]]*CropLCAs[[#This Row],[Conversion factor (value)]],CropLCAs[[#This Row],[CO2e (value)]]*CropLCAs[[#This Row],[Conversion factor (value)]]/CropLCAs[[#This Row],[Product fraction]]*CropLCAs[[#This Row],[Value fraction]])</f>
        <v>0.63200000000000001</v>
      </c>
      <c r="AF467" s="19"/>
      <c r="AG467" s="19" t="str">
        <f t="shared" si="35"/>
        <v>processed_ghg</v>
      </c>
      <c r="AH467" s="19"/>
      <c r="AI467" s="19"/>
      <c r="AJ467" s="18" t="str">
        <f>IF(CropLCAs[[#This Row],[product_fraction]]&gt;0,CropLCAs[[#This Row],[footprint]]/CropLCAs[[#This Row],[product_fraction]]*CropLCAs[[#This Row],[value_fraction]],"")</f>
        <v/>
      </c>
      <c r="AK467" s="29"/>
      <c r="AL467" s="19" t="s">
        <v>761</v>
      </c>
      <c r="AM467" s="17" t="s">
        <v>767</v>
      </c>
      <c r="AN467" s="17"/>
      <c r="AO467" s="17"/>
      <c r="AP467" s="17"/>
      <c r="AQ467" s="5"/>
      <c r="AR467" s="5"/>
      <c r="AS467" s="5"/>
      <c r="AT467" s="5"/>
      <c r="AU467" s="5"/>
    </row>
    <row r="468" spans="1:47" ht="44.1" customHeight="1" x14ac:dyDescent="0.2">
      <c r="A468" s="17" t="s">
        <v>123</v>
      </c>
      <c r="B468" s="17" t="s">
        <v>757</v>
      </c>
      <c r="C468" s="17"/>
      <c r="D468" s="19" t="s">
        <v>758</v>
      </c>
      <c r="E468" s="19" t="s">
        <v>766</v>
      </c>
      <c r="F468" s="17" t="s">
        <v>5</v>
      </c>
      <c r="G468" s="17" t="str">
        <f>IF(CropLCAs[[#This Row],[fbs_item]]="Insects","insect_ghg","plant_ghg")</f>
        <v>plant_ghg</v>
      </c>
      <c r="H468" s="50" t="s">
        <v>180</v>
      </c>
      <c r="I468" s="50"/>
      <c r="J468" s="50"/>
      <c r="K468" s="17" t="s">
        <v>763</v>
      </c>
      <c r="L468" s="17"/>
      <c r="M468" s="17" t="s">
        <v>102</v>
      </c>
      <c r="N468" s="17" t="s">
        <v>109</v>
      </c>
      <c r="O468" s="17" t="s">
        <v>109</v>
      </c>
      <c r="P468" s="17" t="s">
        <v>102</v>
      </c>
      <c r="Q468" s="17" t="s">
        <v>102</v>
      </c>
      <c r="R468" s="17" t="s">
        <v>760</v>
      </c>
      <c r="S468" s="17" t="s">
        <v>424</v>
      </c>
      <c r="T468" s="17" t="s">
        <v>102</v>
      </c>
      <c r="U468" s="17" t="s">
        <v>126</v>
      </c>
      <c r="V468" s="17">
        <v>1</v>
      </c>
      <c r="W468" s="17" t="s">
        <v>106</v>
      </c>
      <c r="X468" s="30">
        <v>598</v>
      </c>
      <c r="Y468" s="17" t="s">
        <v>107</v>
      </c>
      <c r="Z468" s="17"/>
      <c r="AA468" s="17"/>
      <c r="AB468" s="30">
        <v>1E-3</v>
      </c>
      <c r="AC468" s="17" t="s">
        <v>108</v>
      </c>
      <c r="AD468" s="17" t="str">
        <f t="shared" si="34"/>
        <v>kg_co2e_excl_luc</v>
      </c>
      <c r="AE468" s="30">
        <f>IF(CropLCAs[[#This Row],[Product fraction]]="",CropLCAs[[#This Row],[CO2e (value)]]*CropLCAs[[#This Row],[Conversion factor (value)]],CropLCAs[[#This Row],[CO2e (value)]]*CropLCAs[[#This Row],[Conversion factor (value)]]/CropLCAs[[#This Row],[Product fraction]]*CropLCAs[[#This Row],[Value fraction]])</f>
        <v>0.59799999999999998</v>
      </c>
      <c r="AF468" s="19"/>
      <c r="AG468" s="19" t="str">
        <f t="shared" si="35"/>
        <v>processed_ghg</v>
      </c>
      <c r="AH468" s="19"/>
      <c r="AI468" s="19"/>
      <c r="AJ468" s="18" t="str">
        <f>IF(CropLCAs[[#This Row],[product_fraction]]&gt;0,CropLCAs[[#This Row],[footprint]]/CropLCAs[[#This Row],[product_fraction]]*CropLCAs[[#This Row],[value_fraction]],"")</f>
        <v/>
      </c>
      <c r="AK468" s="29"/>
      <c r="AL468" s="19" t="s">
        <v>761</v>
      </c>
      <c r="AM468" s="17" t="s">
        <v>767</v>
      </c>
      <c r="AN468" s="17"/>
      <c r="AO468" s="17"/>
      <c r="AP468" s="17"/>
      <c r="AQ468" s="5"/>
      <c r="AR468" s="5"/>
      <c r="AS468" s="5"/>
      <c r="AT468" s="5"/>
      <c r="AU468" s="5"/>
    </row>
    <row r="469" spans="1:47" ht="44.1" customHeight="1" x14ac:dyDescent="0.2">
      <c r="A469" s="17" t="s">
        <v>123</v>
      </c>
      <c r="B469" s="17" t="s">
        <v>757</v>
      </c>
      <c r="C469" s="17"/>
      <c r="D469" s="19" t="s">
        <v>758</v>
      </c>
      <c r="E469" s="19" t="s">
        <v>766</v>
      </c>
      <c r="F469" s="17" t="s">
        <v>5</v>
      </c>
      <c r="G469" s="17" t="str">
        <f>IF(CropLCAs[[#This Row],[fbs_item]]="Insects","insect_ghg","plant_ghg")</f>
        <v>plant_ghg</v>
      </c>
      <c r="H469" s="50" t="s">
        <v>180</v>
      </c>
      <c r="I469" s="50"/>
      <c r="J469" s="50"/>
      <c r="K469" s="17" t="s">
        <v>764</v>
      </c>
      <c r="L469" s="17"/>
      <c r="M469" s="17" t="s">
        <v>102</v>
      </c>
      <c r="N469" s="17" t="s">
        <v>109</v>
      </c>
      <c r="O469" s="17" t="s">
        <v>109</v>
      </c>
      <c r="P469" s="17" t="s">
        <v>102</v>
      </c>
      <c r="Q469" s="17" t="s">
        <v>102</v>
      </c>
      <c r="R469" s="17" t="s">
        <v>760</v>
      </c>
      <c r="S469" s="17" t="s">
        <v>424</v>
      </c>
      <c r="T469" s="17" t="s">
        <v>102</v>
      </c>
      <c r="U469" s="17" t="s">
        <v>126</v>
      </c>
      <c r="V469" s="17">
        <v>1</v>
      </c>
      <c r="W469" s="17" t="s">
        <v>106</v>
      </c>
      <c r="X469" s="30">
        <v>694</v>
      </c>
      <c r="Y469" s="17" t="s">
        <v>107</v>
      </c>
      <c r="Z469" s="17"/>
      <c r="AA469" s="17"/>
      <c r="AB469" s="30">
        <v>1E-3</v>
      </c>
      <c r="AC469" s="17" t="s">
        <v>108</v>
      </c>
      <c r="AD469" s="17" t="str">
        <f t="shared" si="34"/>
        <v>kg_co2e_excl_luc</v>
      </c>
      <c r="AE469" s="30">
        <f>IF(CropLCAs[[#This Row],[Product fraction]]="",CropLCAs[[#This Row],[CO2e (value)]]*CropLCAs[[#This Row],[Conversion factor (value)]],CropLCAs[[#This Row],[CO2e (value)]]*CropLCAs[[#This Row],[Conversion factor (value)]]/CropLCAs[[#This Row],[Product fraction]]*CropLCAs[[#This Row],[Value fraction]])</f>
        <v>0.69400000000000006</v>
      </c>
      <c r="AF469" s="19"/>
      <c r="AG469" s="19" t="str">
        <f t="shared" si="35"/>
        <v>processed_ghg</v>
      </c>
      <c r="AH469" s="19"/>
      <c r="AI469" s="19"/>
      <c r="AJ469" s="18" t="str">
        <f>IF(CropLCAs[[#This Row],[product_fraction]]&gt;0,CropLCAs[[#This Row],[footprint]]/CropLCAs[[#This Row],[product_fraction]]*CropLCAs[[#This Row],[value_fraction]],"")</f>
        <v/>
      </c>
      <c r="AK469" s="29"/>
      <c r="AL469" s="19" t="s">
        <v>761</v>
      </c>
      <c r="AM469" s="17" t="s">
        <v>767</v>
      </c>
      <c r="AN469" s="17"/>
      <c r="AO469" s="17"/>
      <c r="AP469" s="17"/>
      <c r="AQ469" s="5"/>
      <c r="AR469" s="5"/>
      <c r="AS469" s="5"/>
      <c r="AT469" s="5"/>
      <c r="AU469" s="5"/>
    </row>
    <row r="470" spans="1:47" ht="44.1" customHeight="1" x14ac:dyDescent="0.2">
      <c r="A470" s="17" t="s">
        <v>123</v>
      </c>
      <c r="B470" s="17" t="s">
        <v>757</v>
      </c>
      <c r="C470" s="17"/>
      <c r="D470" s="19" t="s">
        <v>758</v>
      </c>
      <c r="E470" s="19" t="s">
        <v>634</v>
      </c>
      <c r="F470" s="17" t="s">
        <v>5</v>
      </c>
      <c r="G470" s="17" t="str">
        <f>IF(CropLCAs[[#This Row],[fbs_item]]="Insects","insect_ghg","plant_ghg")</f>
        <v>plant_ghg</v>
      </c>
      <c r="H470" s="50" t="s">
        <v>180</v>
      </c>
      <c r="I470" s="50"/>
      <c r="J470" s="50"/>
      <c r="K470" s="17" t="s">
        <v>764</v>
      </c>
      <c r="L470" s="17"/>
      <c r="M470" s="17" t="s">
        <v>102</v>
      </c>
      <c r="N470" s="17" t="s">
        <v>109</v>
      </c>
      <c r="O470" s="17" t="s">
        <v>109</v>
      </c>
      <c r="P470" s="17" t="s">
        <v>102</v>
      </c>
      <c r="Q470" s="17" t="s">
        <v>102</v>
      </c>
      <c r="R470" s="17" t="s">
        <v>760</v>
      </c>
      <c r="S470" s="17" t="s">
        <v>424</v>
      </c>
      <c r="T470" s="17" t="s">
        <v>102</v>
      </c>
      <c r="U470" s="17" t="s">
        <v>126</v>
      </c>
      <c r="V470" s="17">
        <v>1</v>
      </c>
      <c r="W470" s="17" t="s">
        <v>106</v>
      </c>
      <c r="X470" s="30">
        <v>655</v>
      </c>
      <c r="Y470" s="17" t="s">
        <v>107</v>
      </c>
      <c r="Z470" s="17"/>
      <c r="AA470" s="17"/>
      <c r="AB470" s="30">
        <v>1E-3</v>
      </c>
      <c r="AC470" s="17" t="s">
        <v>108</v>
      </c>
      <c r="AD470" s="17" t="str">
        <f t="shared" si="34"/>
        <v>kg_co2e_excl_luc</v>
      </c>
      <c r="AE470" s="30">
        <f>IF(CropLCAs[[#This Row],[Product fraction]]="",CropLCAs[[#This Row],[CO2e (value)]]*CropLCAs[[#This Row],[Conversion factor (value)]],CropLCAs[[#This Row],[CO2e (value)]]*CropLCAs[[#This Row],[Conversion factor (value)]]/CropLCAs[[#This Row],[Product fraction]]*CropLCAs[[#This Row],[Value fraction]])</f>
        <v>0.65500000000000003</v>
      </c>
      <c r="AF470" s="19"/>
      <c r="AG470" s="19" t="str">
        <f t="shared" si="35"/>
        <v>processed_ghg</v>
      </c>
      <c r="AH470" s="19"/>
      <c r="AI470" s="19"/>
      <c r="AJ470" s="18" t="str">
        <f>IF(CropLCAs[[#This Row],[product_fraction]]&gt;0,CropLCAs[[#This Row],[footprint]]/CropLCAs[[#This Row],[product_fraction]]*CropLCAs[[#This Row],[value_fraction]],"")</f>
        <v/>
      </c>
      <c r="AK470" s="29"/>
      <c r="AL470" s="19" t="s">
        <v>761</v>
      </c>
      <c r="AM470" s="17" t="s">
        <v>768</v>
      </c>
      <c r="AN470" s="17"/>
      <c r="AO470" s="17"/>
      <c r="AP470" s="17"/>
      <c r="AQ470" s="5"/>
      <c r="AR470" s="5"/>
      <c r="AS470" s="5"/>
      <c r="AT470" s="5"/>
      <c r="AU470" s="5"/>
    </row>
    <row r="471" spans="1:47" ht="44.1" customHeight="1" x14ac:dyDescent="0.2">
      <c r="A471" s="17" t="s">
        <v>123</v>
      </c>
      <c r="B471" s="17" t="s">
        <v>757</v>
      </c>
      <c r="C471" s="17"/>
      <c r="D471" s="19" t="s">
        <v>758</v>
      </c>
      <c r="E471" s="19" t="s">
        <v>634</v>
      </c>
      <c r="F471" s="17" t="s">
        <v>5</v>
      </c>
      <c r="G471" s="17" t="str">
        <f>IF(CropLCAs[[#This Row],[fbs_item]]="Insects","insect_ghg","plant_ghg")</f>
        <v>plant_ghg</v>
      </c>
      <c r="H471" s="50" t="s">
        <v>180</v>
      </c>
      <c r="I471" s="50"/>
      <c r="J471" s="50"/>
      <c r="K471" s="17" t="s">
        <v>759</v>
      </c>
      <c r="L471" s="17"/>
      <c r="M471" s="17" t="s">
        <v>102</v>
      </c>
      <c r="N471" s="17" t="s">
        <v>109</v>
      </c>
      <c r="O471" s="17" t="s">
        <v>109</v>
      </c>
      <c r="P471" s="17" t="s">
        <v>102</v>
      </c>
      <c r="Q471" s="17" t="s">
        <v>102</v>
      </c>
      <c r="R471" s="17" t="s">
        <v>760</v>
      </c>
      <c r="S471" s="17" t="s">
        <v>424</v>
      </c>
      <c r="T471" s="17" t="s">
        <v>102</v>
      </c>
      <c r="U471" s="17" t="s">
        <v>126</v>
      </c>
      <c r="V471" s="17">
        <v>1</v>
      </c>
      <c r="W471" s="17" t="s">
        <v>106</v>
      </c>
      <c r="X471" s="30">
        <v>628</v>
      </c>
      <c r="Y471" s="17" t="s">
        <v>107</v>
      </c>
      <c r="Z471" s="17"/>
      <c r="AA471" s="17"/>
      <c r="AB471" s="30">
        <v>1E-3</v>
      </c>
      <c r="AC471" s="17" t="s">
        <v>108</v>
      </c>
      <c r="AD471" s="17" t="str">
        <f t="shared" si="34"/>
        <v>kg_co2e_excl_luc</v>
      </c>
      <c r="AE471" s="30">
        <f>IF(CropLCAs[[#This Row],[Product fraction]]="",CropLCAs[[#This Row],[CO2e (value)]]*CropLCAs[[#This Row],[Conversion factor (value)]],CropLCAs[[#This Row],[CO2e (value)]]*CropLCAs[[#This Row],[Conversion factor (value)]]/CropLCAs[[#This Row],[Product fraction]]*CropLCAs[[#This Row],[Value fraction]])</f>
        <v>0.628</v>
      </c>
      <c r="AF471" s="19"/>
      <c r="AG471" s="19" t="str">
        <f t="shared" si="35"/>
        <v>processed_ghg</v>
      </c>
      <c r="AH471" s="19"/>
      <c r="AI471" s="19"/>
      <c r="AJ471" s="18" t="str">
        <f>IF(CropLCAs[[#This Row],[product_fraction]]&gt;0,CropLCAs[[#This Row],[footprint]]/CropLCAs[[#This Row],[product_fraction]]*CropLCAs[[#This Row],[value_fraction]],"")</f>
        <v/>
      </c>
      <c r="AK471" s="29"/>
      <c r="AL471" s="19" t="s">
        <v>761</v>
      </c>
      <c r="AM471" s="17" t="s">
        <v>768</v>
      </c>
      <c r="AN471" s="17"/>
      <c r="AO471" s="17"/>
      <c r="AP471" s="17"/>
      <c r="AQ471" s="5"/>
      <c r="AR471" s="5"/>
      <c r="AS471" s="5"/>
      <c r="AT471" s="5"/>
      <c r="AU471" s="5"/>
    </row>
    <row r="472" spans="1:47" ht="44.1" customHeight="1" x14ac:dyDescent="0.2">
      <c r="A472" s="17" t="s">
        <v>123</v>
      </c>
      <c r="B472" s="17" t="s">
        <v>757</v>
      </c>
      <c r="C472" s="17"/>
      <c r="D472" s="19" t="s">
        <v>758</v>
      </c>
      <c r="E472" s="19" t="s">
        <v>634</v>
      </c>
      <c r="F472" s="17" t="s">
        <v>5</v>
      </c>
      <c r="G472" s="17" t="str">
        <f>IF(CropLCAs[[#This Row],[fbs_item]]="Insects","insect_ghg","plant_ghg")</f>
        <v>plant_ghg</v>
      </c>
      <c r="H472" s="50" t="s">
        <v>180</v>
      </c>
      <c r="I472" s="50"/>
      <c r="J472" s="50"/>
      <c r="K472" s="17" t="s">
        <v>763</v>
      </c>
      <c r="L472" s="17"/>
      <c r="M472" s="17" t="s">
        <v>102</v>
      </c>
      <c r="N472" s="17" t="s">
        <v>109</v>
      </c>
      <c r="O472" s="17" t="s">
        <v>109</v>
      </c>
      <c r="P472" s="17" t="s">
        <v>102</v>
      </c>
      <c r="Q472" s="17" t="s">
        <v>102</v>
      </c>
      <c r="R472" s="17" t="s">
        <v>760</v>
      </c>
      <c r="S472" s="17" t="s">
        <v>424</v>
      </c>
      <c r="T472" s="17" t="s">
        <v>102</v>
      </c>
      <c r="U472" s="17" t="s">
        <v>126</v>
      </c>
      <c r="V472" s="17">
        <v>1</v>
      </c>
      <c r="W472" s="17" t="s">
        <v>106</v>
      </c>
      <c r="X472" s="30">
        <v>589</v>
      </c>
      <c r="Y472" s="17" t="s">
        <v>107</v>
      </c>
      <c r="Z472" s="17"/>
      <c r="AA472" s="17"/>
      <c r="AB472" s="30">
        <v>1E-3</v>
      </c>
      <c r="AC472" s="17" t="s">
        <v>108</v>
      </c>
      <c r="AD472" s="17" t="str">
        <f t="shared" si="34"/>
        <v>kg_co2e_excl_luc</v>
      </c>
      <c r="AE472" s="30">
        <f>IF(CropLCAs[[#This Row],[Product fraction]]="",CropLCAs[[#This Row],[CO2e (value)]]*CropLCAs[[#This Row],[Conversion factor (value)]],CropLCAs[[#This Row],[CO2e (value)]]*CropLCAs[[#This Row],[Conversion factor (value)]]/CropLCAs[[#This Row],[Product fraction]]*CropLCAs[[#This Row],[Value fraction]])</f>
        <v>0.58899999999999997</v>
      </c>
      <c r="AF472" s="19"/>
      <c r="AG472" s="19" t="str">
        <f t="shared" si="35"/>
        <v>processed_ghg</v>
      </c>
      <c r="AH472" s="19"/>
      <c r="AI472" s="19"/>
      <c r="AJ472" s="18" t="str">
        <f>IF(CropLCAs[[#This Row],[product_fraction]]&gt;0,CropLCAs[[#This Row],[footprint]]/CropLCAs[[#This Row],[product_fraction]]*CropLCAs[[#This Row],[value_fraction]],"")</f>
        <v/>
      </c>
      <c r="AK472" s="29"/>
      <c r="AL472" s="19" t="s">
        <v>761</v>
      </c>
      <c r="AM472" s="17" t="s">
        <v>768</v>
      </c>
      <c r="AN472" s="17"/>
      <c r="AO472" s="17"/>
      <c r="AP472" s="17"/>
      <c r="AQ472" s="5"/>
      <c r="AR472" s="5"/>
      <c r="AS472" s="5"/>
      <c r="AT472" s="5"/>
      <c r="AU472" s="5"/>
    </row>
    <row r="473" spans="1:47" ht="44.1" customHeight="1" x14ac:dyDescent="0.2">
      <c r="A473" s="5" t="s">
        <v>251</v>
      </c>
      <c r="B473" s="5" t="s">
        <v>1488</v>
      </c>
      <c r="C473" s="16">
        <v>2012</v>
      </c>
      <c r="D473" s="5" t="s">
        <v>316</v>
      </c>
      <c r="E473" s="6" t="s">
        <v>1345</v>
      </c>
      <c r="F473" s="5" t="s">
        <v>25</v>
      </c>
      <c r="G473" s="5" t="str">
        <f>IF(CropLCAs[[#This Row],[fbs_item]]="Insects","insect_ghg","plant_ghg")</f>
        <v>plant_ghg</v>
      </c>
      <c r="H473" s="49" t="s">
        <v>314</v>
      </c>
      <c r="I473" s="49"/>
      <c r="J473" s="49"/>
      <c r="K473" s="5" t="s">
        <v>111</v>
      </c>
      <c r="L473" s="5" t="s">
        <v>326</v>
      </c>
      <c r="M473" s="5" t="s">
        <v>102</v>
      </c>
      <c r="N473" s="5" t="s">
        <v>102</v>
      </c>
      <c r="O473" s="5" t="s">
        <v>109</v>
      </c>
      <c r="P473" s="5" t="s">
        <v>102</v>
      </c>
      <c r="Q473" s="5" t="s">
        <v>102</v>
      </c>
      <c r="R473" s="5" t="s">
        <v>102</v>
      </c>
      <c r="S473" s="5" t="s">
        <v>318</v>
      </c>
      <c r="T473" s="5" t="s">
        <v>319</v>
      </c>
      <c r="U473" s="5">
        <v>100</v>
      </c>
      <c r="V473" s="5">
        <v>1</v>
      </c>
      <c r="W473" s="5" t="s">
        <v>320</v>
      </c>
      <c r="X473" s="24">
        <f>467*0.94</f>
        <v>438.97999999999996</v>
      </c>
      <c r="Y473" s="5" t="s">
        <v>321</v>
      </c>
      <c r="Z473" s="5"/>
      <c r="AA473" s="5"/>
      <c r="AB473" s="24">
        <v>1E-3</v>
      </c>
      <c r="AC473" s="5" t="s">
        <v>274</v>
      </c>
      <c r="AD473" s="5" t="str">
        <f t="shared" si="34"/>
        <v>kg_co2e_excl_luc</v>
      </c>
      <c r="AE473" s="24">
        <f>IF(CropLCAs[[#This Row],[Product fraction]]="",CropLCAs[[#This Row],[CO2e (value)]]*CropLCAs[[#This Row],[Conversion factor (value)]],CropLCAs[[#This Row],[CO2e (value)]]*CropLCAs[[#This Row],[Conversion factor (value)]]/CropLCAs[[#This Row],[Product fraction]]*CropLCAs[[#This Row],[Value fraction]])</f>
        <v>0.43897999999999998</v>
      </c>
      <c r="AF473" s="5" t="s">
        <v>45</v>
      </c>
      <c r="AG473" s="5" t="str">
        <f t="shared" si="35"/>
        <v>processed_ghg</v>
      </c>
      <c r="AH473" s="9">
        <v>0.2</v>
      </c>
      <c r="AI473" s="9">
        <v>0.96</v>
      </c>
      <c r="AJ473" s="8">
        <f>IF(CropLCAs[[#This Row],[product_fraction]]&gt;0,CropLCAs[[#This Row],[footprint]]/CropLCAs[[#This Row],[product_fraction]]*CropLCAs[[#This Row],[value_fraction]],"")</f>
        <v>2.1071039999999996</v>
      </c>
      <c r="AK473" s="23">
        <f>1/4</f>
        <v>0.25</v>
      </c>
      <c r="AL473" s="5" t="s">
        <v>109</v>
      </c>
      <c r="AM473" s="5" t="s">
        <v>322</v>
      </c>
      <c r="AN473" s="5" t="s">
        <v>323</v>
      </c>
      <c r="AO473" s="5" t="s">
        <v>324</v>
      </c>
      <c r="AP473" s="5"/>
      <c r="AQ473" s="5"/>
      <c r="AR473" s="5"/>
      <c r="AS473" s="5"/>
      <c r="AT473" s="5"/>
      <c r="AU473" s="5"/>
    </row>
    <row r="474" spans="1:47" ht="44.1" customHeight="1" x14ac:dyDescent="0.2">
      <c r="A474" s="5" t="s">
        <v>251</v>
      </c>
      <c r="B474" s="5" t="s">
        <v>1488</v>
      </c>
      <c r="C474" s="16">
        <v>2012</v>
      </c>
      <c r="D474" s="5" t="s">
        <v>316</v>
      </c>
      <c r="E474" s="6" t="s">
        <v>1345</v>
      </c>
      <c r="F474" s="5" t="s">
        <v>25</v>
      </c>
      <c r="G474" s="5" t="str">
        <f>IF(CropLCAs[[#This Row],[fbs_item]]="Insects","insect_ghg","plant_ghg")</f>
        <v>plant_ghg</v>
      </c>
      <c r="H474" s="49" t="s">
        <v>314</v>
      </c>
      <c r="I474" s="49"/>
      <c r="J474" s="49"/>
      <c r="K474" s="5" t="s">
        <v>111</v>
      </c>
      <c r="L474" s="5" t="s">
        <v>327</v>
      </c>
      <c r="M474" s="5" t="s">
        <v>102</v>
      </c>
      <c r="N474" s="5" t="s">
        <v>102</v>
      </c>
      <c r="O474" s="5" t="s">
        <v>109</v>
      </c>
      <c r="P474" s="5" t="s">
        <v>102</v>
      </c>
      <c r="Q474" s="5" t="s">
        <v>102</v>
      </c>
      <c r="R474" s="5" t="s">
        <v>102</v>
      </c>
      <c r="S474" s="5" t="s">
        <v>318</v>
      </c>
      <c r="T474" s="5" t="s">
        <v>319</v>
      </c>
      <c r="U474" s="5">
        <v>100</v>
      </c>
      <c r="V474" s="5">
        <v>1</v>
      </c>
      <c r="W474" s="5" t="s">
        <v>320</v>
      </c>
      <c r="X474" s="24">
        <f>496*0.887</f>
        <v>439.952</v>
      </c>
      <c r="Y474" s="5" t="s">
        <v>321</v>
      </c>
      <c r="Z474" s="5"/>
      <c r="AA474" s="5"/>
      <c r="AB474" s="24">
        <v>1E-3</v>
      </c>
      <c r="AC474" s="5" t="s">
        <v>274</v>
      </c>
      <c r="AD474" s="5" t="str">
        <f t="shared" si="34"/>
        <v>kg_co2e_excl_luc</v>
      </c>
      <c r="AE474" s="24">
        <f>IF(CropLCAs[[#This Row],[Product fraction]]="",CropLCAs[[#This Row],[CO2e (value)]]*CropLCAs[[#This Row],[Conversion factor (value)]],CropLCAs[[#This Row],[CO2e (value)]]*CropLCAs[[#This Row],[Conversion factor (value)]]/CropLCAs[[#This Row],[Product fraction]]*CropLCAs[[#This Row],[Value fraction]])</f>
        <v>0.43995200000000001</v>
      </c>
      <c r="AF474" s="5" t="s">
        <v>45</v>
      </c>
      <c r="AG474" s="5" t="str">
        <f t="shared" si="35"/>
        <v>processed_ghg</v>
      </c>
      <c r="AH474" s="9">
        <v>0.2</v>
      </c>
      <c r="AI474" s="9">
        <v>0.96</v>
      </c>
      <c r="AJ474" s="8">
        <f>IF(CropLCAs[[#This Row],[product_fraction]]&gt;0,CropLCAs[[#This Row],[footprint]]/CropLCAs[[#This Row],[product_fraction]]*CropLCAs[[#This Row],[value_fraction]],"")</f>
        <v>2.1117695999999997</v>
      </c>
      <c r="AK474" s="23">
        <f>1/4</f>
        <v>0.25</v>
      </c>
      <c r="AL474" s="5" t="s">
        <v>109</v>
      </c>
      <c r="AM474" s="5" t="s">
        <v>322</v>
      </c>
      <c r="AN474" s="5" t="s">
        <v>323</v>
      </c>
      <c r="AO474" s="5" t="s">
        <v>324</v>
      </c>
      <c r="AP474" s="5"/>
      <c r="AQ474" s="5"/>
      <c r="AR474" s="5"/>
      <c r="AS474" s="5"/>
      <c r="AT474" s="5"/>
      <c r="AU474" s="5"/>
    </row>
    <row r="475" spans="1:47" ht="44.1" customHeight="1" x14ac:dyDescent="0.2">
      <c r="A475" s="5" t="s">
        <v>215</v>
      </c>
      <c r="B475" s="5" t="s">
        <v>1489</v>
      </c>
      <c r="C475" s="16">
        <v>2008</v>
      </c>
      <c r="D475" s="6" t="s">
        <v>422</v>
      </c>
      <c r="E475" s="6" t="s">
        <v>396</v>
      </c>
      <c r="F475" s="5" t="s">
        <v>23</v>
      </c>
      <c r="G475" s="5" t="str">
        <f>IF(CropLCAs[[#This Row],[fbs_item]]="Insects","insect_ghg","plant_ghg")</f>
        <v>plant_ghg</v>
      </c>
      <c r="H475" s="49" t="s">
        <v>253</v>
      </c>
      <c r="I475" s="49"/>
      <c r="J475" s="49" t="s">
        <v>1292</v>
      </c>
      <c r="K475" s="5" t="s">
        <v>111</v>
      </c>
      <c r="L475" s="5" t="s">
        <v>423</v>
      </c>
      <c r="M475" s="5" t="s">
        <v>102</v>
      </c>
      <c r="N475" s="5" t="s">
        <v>109</v>
      </c>
      <c r="O475" s="5" t="s">
        <v>109</v>
      </c>
      <c r="P475" s="5" t="s">
        <v>102</v>
      </c>
      <c r="Q475" s="5" t="s">
        <v>102</v>
      </c>
      <c r="R475" s="5" t="s">
        <v>102</v>
      </c>
      <c r="S475" s="5" t="s">
        <v>424</v>
      </c>
      <c r="T475" s="5" t="s">
        <v>102</v>
      </c>
      <c r="U475" s="5">
        <v>100</v>
      </c>
      <c r="V475" s="5">
        <v>1</v>
      </c>
      <c r="W475" s="5" t="s">
        <v>127</v>
      </c>
      <c r="X475" s="24">
        <v>58.94</v>
      </c>
      <c r="Y475" s="5" t="s">
        <v>106</v>
      </c>
      <c r="Z475" s="5"/>
      <c r="AA475" s="5"/>
      <c r="AB475" s="24">
        <v>1E-3</v>
      </c>
      <c r="AC475" s="5" t="s">
        <v>195</v>
      </c>
      <c r="AD475" s="5" t="str">
        <f t="shared" si="34"/>
        <v>kg_co2e_excl_luc</v>
      </c>
      <c r="AE475" s="24">
        <f>IF(CropLCAs[[#This Row],[Product fraction]]="",CropLCAs[[#This Row],[CO2e (value)]]*CropLCAs[[#This Row],[Conversion factor (value)]],CropLCAs[[#This Row],[CO2e (value)]]*CropLCAs[[#This Row],[Conversion factor (value)]]/CropLCAs[[#This Row],[Product fraction]]*CropLCAs[[#This Row],[Value fraction]])</f>
        <v>5.8939999999999999E-2</v>
      </c>
      <c r="AF475" s="5" t="s">
        <v>42</v>
      </c>
      <c r="AG475" s="5" t="str">
        <f t="shared" si="35"/>
        <v>processed_ghg</v>
      </c>
      <c r="AH475" s="5">
        <v>0.38</v>
      </c>
      <c r="AI475" s="5">
        <v>0.71</v>
      </c>
      <c r="AJ475" s="8">
        <f>IF(CropLCAs[[#This Row],[product_fraction]]&gt;0,CropLCAs[[#This Row],[footprint]]/CropLCAs[[#This Row],[product_fraction]]*CropLCAs[[#This Row],[value_fraction]],"")</f>
        <v>0.11012473684210526</v>
      </c>
      <c r="AK475" s="23">
        <f t="shared" ref="AK475:AK492" si="36">1/10</f>
        <v>0.1</v>
      </c>
      <c r="AL475" s="5" t="s">
        <v>109</v>
      </c>
      <c r="AM475" s="5" t="s">
        <v>425</v>
      </c>
      <c r="AN475" s="5"/>
      <c r="AO475" s="5"/>
      <c r="AP475" s="5"/>
      <c r="AQ475" s="5"/>
      <c r="AR475" s="5"/>
      <c r="AS475" s="5"/>
      <c r="AT475" s="5"/>
      <c r="AU475" s="5"/>
    </row>
    <row r="476" spans="1:47" ht="44.1" customHeight="1" x14ac:dyDescent="0.2">
      <c r="A476" s="5" t="s">
        <v>215</v>
      </c>
      <c r="B476" s="5" t="s">
        <v>1489</v>
      </c>
      <c r="C476" s="16">
        <v>2008</v>
      </c>
      <c r="D476" s="6" t="s">
        <v>422</v>
      </c>
      <c r="E476" s="6" t="s">
        <v>396</v>
      </c>
      <c r="F476" s="5" t="s">
        <v>23</v>
      </c>
      <c r="G476" s="5" t="str">
        <f>IF(CropLCAs[[#This Row],[fbs_item]]="Insects","insect_ghg","plant_ghg")</f>
        <v>plant_ghg</v>
      </c>
      <c r="H476" s="49" t="s">
        <v>253</v>
      </c>
      <c r="I476" s="49"/>
      <c r="J476" s="49" t="s">
        <v>1292</v>
      </c>
      <c r="K476" s="5" t="s">
        <v>111</v>
      </c>
      <c r="L476" s="5" t="s">
        <v>426</v>
      </c>
      <c r="M476" s="5" t="s">
        <v>102</v>
      </c>
      <c r="N476" s="5" t="s">
        <v>109</v>
      </c>
      <c r="O476" s="5" t="s">
        <v>109</v>
      </c>
      <c r="P476" s="5" t="s">
        <v>102</v>
      </c>
      <c r="Q476" s="5" t="s">
        <v>102</v>
      </c>
      <c r="R476" s="5" t="s">
        <v>102</v>
      </c>
      <c r="S476" s="5" t="s">
        <v>424</v>
      </c>
      <c r="T476" s="5" t="s">
        <v>102</v>
      </c>
      <c r="U476" s="5">
        <v>100</v>
      </c>
      <c r="V476" s="5">
        <v>1</v>
      </c>
      <c r="W476" s="5" t="s">
        <v>127</v>
      </c>
      <c r="X476" s="24">
        <v>96.54</v>
      </c>
      <c r="Y476" s="5" t="s">
        <v>106</v>
      </c>
      <c r="Z476" s="5"/>
      <c r="AA476" s="5"/>
      <c r="AB476" s="24">
        <v>1E-3</v>
      </c>
      <c r="AC476" s="5" t="s">
        <v>195</v>
      </c>
      <c r="AD476" s="5" t="str">
        <f t="shared" si="34"/>
        <v>kg_co2e_excl_luc</v>
      </c>
      <c r="AE476" s="24">
        <f>IF(CropLCAs[[#This Row],[Product fraction]]="",CropLCAs[[#This Row],[CO2e (value)]]*CropLCAs[[#This Row],[Conversion factor (value)]],CropLCAs[[#This Row],[CO2e (value)]]*CropLCAs[[#This Row],[Conversion factor (value)]]/CropLCAs[[#This Row],[Product fraction]]*CropLCAs[[#This Row],[Value fraction]])</f>
        <v>9.6540000000000015E-2</v>
      </c>
      <c r="AF476" s="5" t="s">
        <v>42</v>
      </c>
      <c r="AG476" s="5" t="str">
        <f t="shared" si="35"/>
        <v>processed_ghg</v>
      </c>
      <c r="AH476" s="5">
        <v>0.38</v>
      </c>
      <c r="AI476" s="5">
        <v>0.71</v>
      </c>
      <c r="AJ476" s="8">
        <f>IF(CropLCAs[[#This Row],[product_fraction]]&gt;0,CropLCAs[[#This Row],[footprint]]/CropLCAs[[#This Row],[product_fraction]]*CropLCAs[[#This Row],[value_fraction]],"")</f>
        <v>0.18037736842105265</v>
      </c>
      <c r="AK476" s="23">
        <f t="shared" si="36"/>
        <v>0.1</v>
      </c>
      <c r="AL476" s="5" t="s">
        <v>109</v>
      </c>
      <c r="AM476" s="5" t="s">
        <v>425</v>
      </c>
      <c r="AN476" s="5"/>
      <c r="AO476" s="5"/>
      <c r="AP476" s="5"/>
      <c r="AQ476" s="5"/>
      <c r="AR476" s="5"/>
      <c r="AS476" s="5"/>
      <c r="AT476" s="5"/>
      <c r="AU476" s="5"/>
    </row>
    <row r="477" spans="1:47" ht="44.1" customHeight="1" x14ac:dyDescent="0.2">
      <c r="A477" s="5" t="s">
        <v>215</v>
      </c>
      <c r="B477" s="5" t="s">
        <v>1489</v>
      </c>
      <c r="C477" s="16">
        <v>2008</v>
      </c>
      <c r="D477" s="6" t="s">
        <v>422</v>
      </c>
      <c r="E477" s="6" t="s">
        <v>396</v>
      </c>
      <c r="F477" s="5" t="s">
        <v>23</v>
      </c>
      <c r="G477" s="5" t="str">
        <f>IF(CropLCAs[[#This Row],[fbs_item]]="Insects","insect_ghg","plant_ghg")</f>
        <v>plant_ghg</v>
      </c>
      <c r="H477" s="49" t="s">
        <v>253</v>
      </c>
      <c r="I477" s="49"/>
      <c r="J477" s="49" t="s">
        <v>1292</v>
      </c>
      <c r="K477" s="5" t="s">
        <v>111</v>
      </c>
      <c r="L477" s="5" t="s">
        <v>427</v>
      </c>
      <c r="M477" s="5" t="s">
        <v>102</v>
      </c>
      <c r="N477" s="5" t="s">
        <v>109</v>
      </c>
      <c r="O477" s="5" t="s">
        <v>109</v>
      </c>
      <c r="P477" s="5" t="s">
        <v>102</v>
      </c>
      <c r="Q477" s="5" t="s">
        <v>102</v>
      </c>
      <c r="R477" s="5" t="s">
        <v>102</v>
      </c>
      <c r="S477" s="5" t="s">
        <v>424</v>
      </c>
      <c r="T477" s="5" t="s">
        <v>102</v>
      </c>
      <c r="U477" s="5">
        <v>100</v>
      </c>
      <c r="V477" s="5">
        <v>1</v>
      </c>
      <c r="W477" s="5" t="s">
        <v>127</v>
      </c>
      <c r="X477" s="24">
        <v>142.28</v>
      </c>
      <c r="Y477" s="5" t="s">
        <v>106</v>
      </c>
      <c r="Z477" s="5"/>
      <c r="AA477" s="5"/>
      <c r="AB477" s="24">
        <v>1E-3</v>
      </c>
      <c r="AC477" s="5" t="s">
        <v>195</v>
      </c>
      <c r="AD477" s="5" t="str">
        <f t="shared" si="34"/>
        <v>kg_co2e_excl_luc</v>
      </c>
      <c r="AE477" s="24">
        <f>IF(CropLCAs[[#This Row],[Product fraction]]="",CropLCAs[[#This Row],[CO2e (value)]]*CropLCAs[[#This Row],[Conversion factor (value)]],CropLCAs[[#This Row],[CO2e (value)]]*CropLCAs[[#This Row],[Conversion factor (value)]]/CropLCAs[[#This Row],[Product fraction]]*CropLCAs[[#This Row],[Value fraction]])</f>
        <v>0.14228000000000002</v>
      </c>
      <c r="AF477" s="5" t="s">
        <v>42</v>
      </c>
      <c r="AG477" s="5" t="str">
        <f t="shared" si="35"/>
        <v>processed_ghg</v>
      </c>
      <c r="AH477" s="5">
        <v>0.38</v>
      </c>
      <c r="AI477" s="5">
        <v>0.71</v>
      </c>
      <c r="AJ477" s="8">
        <f>IF(CropLCAs[[#This Row],[product_fraction]]&gt;0,CropLCAs[[#This Row],[footprint]]/CropLCAs[[#This Row],[product_fraction]]*CropLCAs[[#This Row],[value_fraction]],"")</f>
        <v>0.26583894736842106</v>
      </c>
      <c r="AK477" s="23">
        <f t="shared" si="36"/>
        <v>0.1</v>
      </c>
      <c r="AL477" s="5" t="s">
        <v>109</v>
      </c>
      <c r="AM477" s="5" t="s">
        <v>425</v>
      </c>
      <c r="AN477" s="5"/>
      <c r="AO477" s="5"/>
      <c r="AP477" s="5"/>
      <c r="AQ477" s="5"/>
      <c r="AR477" s="5"/>
      <c r="AS477" s="5"/>
      <c r="AT477" s="5"/>
      <c r="AU477" s="5"/>
    </row>
    <row r="478" spans="1:47" ht="44.1" customHeight="1" x14ac:dyDescent="0.2">
      <c r="A478" s="5" t="s">
        <v>215</v>
      </c>
      <c r="B478" s="5" t="s">
        <v>1489</v>
      </c>
      <c r="C478" s="16">
        <v>2008</v>
      </c>
      <c r="D478" s="6" t="s">
        <v>422</v>
      </c>
      <c r="E478" s="6" t="s">
        <v>396</v>
      </c>
      <c r="F478" s="5" t="s">
        <v>23</v>
      </c>
      <c r="G478" s="5" t="str">
        <f>IF(CropLCAs[[#This Row],[fbs_item]]="Insects","insect_ghg","plant_ghg")</f>
        <v>plant_ghg</v>
      </c>
      <c r="H478" s="49" t="s">
        <v>253</v>
      </c>
      <c r="I478" s="49"/>
      <c r="J478" s="49" t="s">
        <v>1292</v>
      </c>
      <c r="K478" s="5" t="s">
        <v>111</v>
      </c>
      <c r="L478" s="5" t="s">
        <v>428</v>
      </c>
      <c r="M478" s="5" t="s">
        <v>102</v>
      </c>
      <c r="N478" s="5" t="s">
        <v>109</v>
      </c>
      <c r="O478" s="5" t="s">
        <v>109</v>
      </c>
      <c r="P478" s="5" t="s">
        <v>102</v>
      </c>
      <c r="Q478" s="5" t="s">
        <v>102</v>
      </c>
      <c r="R478" s="5" t="s">
        <v>102</v>
      </c>
      <c r="S478" s="5" t="s">
        <v>424</v>
      </c>
      <c r="T478" s="5" t="s">
        <v>102</v>
      </c>
      <c r="U478" s="5">
        <v>100</v>
      </c>
      <c r="V478" s="5">
        <v>1</v>
      </c>
      <c r="W478" s="5" t="s">
        <v>127</v>
      </c>
      <c r="X478" s="24">
        <v>173.78</v>
      </c>
      <c r="Y478" s="5" t="s">
        <v>106</v>
      </c>
      <c r="Z478" s="5"/>
      <c r="AA478" s="5"/>
      <c r="AB478" s="24">
        <v>1E-3</v>
      </c>
      <c r="AC478" s="5" t="s">
        <v>195</v>
      </c>
      <c r="AD478" s="5" t="str">
        <f t="shared" si="34"/>
        <v>kg_co2e_excl_luc</v>
      </c>
      <c r="AE478" s="24">
        <f>IF(CropLCAs[[#This Row],[Product fraction]]="",CropLCAs[[#This Row],[CO2e (value)]]*CropLCAs[[#This Row],[Conversion factor (value)]],CropLCAs[[#This Row],[CO2e (value)]]*CropLCAs[[#This Row],[Conversion factor (value)]]/CropLCAs[[#This Row],[Product fraction]]*CropLCAs[[#This Row],[Value fraction]])</f>
        <v>0.17378000000000002</v>
      </c>
      <c r="AF478" s="5" t="s">
        <v>42</v>
      </c>
      <c r="AG478" s="5" t="str">
        <f t="shared" si="35"/>
        <v>processed_ghg</v>
      </c>
      <c r="AH478" s="5">
        <v>0.38</v>
      </c>
      <c r="AI478" s="5">
        <v>0.71</v>
      </c>
      <c r="AJ478" s="8">
        <f>IF(CropLCAs[[#This Row],[product_fraction]]&gt;0,CropLCAs[[#This Row],[footprint]]/CropLCAs[[#This Row],[product_fraction]]*CropLCAs[[#This Row],[value_fraction]],"")</f>
        <v>0.32469421052631581</v>
      </c>
      <c r="AK478" s="23">
        <f t="shared" si="36"/>
        <v>0.1</v>
      </c>
      <c r="AL478" s="5" t="s">
        <v>109</v>
      </c>
      <c r="AM478" s="5" t="s">
        <v>425</v>
      </c>
      <c r="AN478" s="5"/>
      <c r="AO478" s="5"/>
      <c r="AP478" s="5"/>
      <c r="AQ478" s="5"/>
      <c r="AR478" s="5"/>
      <c r="AS478" s="5"/>
      <c r="AT478" s="5"/>
      <c r="AU478" s="5"/>
    </row>
    <row r="479" spans="1:47" ht="44.1" customHeight="1" x14ac:dyDescent="0.2">
      <c r="A479" s="5" t="s">
        <v>215</v>
      </c>
      <c r="B479" s="5" t="s">
        <v>1489</v>
      </c>
      <c r="C479" s="16">
        <v>2008</v>
      </c>
      <c r="D479" s="6" t="s">
        <v>422</v>
      </c>
      <c r="E479" s="6" t="s">
        <v>396</v>
      </c>
      <c r="F479" s="5" t="s">
        <v>23</v>
      </c>
      <c r="G479" s="5" t="str">
        <f>IF(CropLCAs[[#This Row],[fbs_item]]="Insects","insect_ghg","plant_ghg")</f>
        <v>plant_ghg</v>
      </c>
      <c r="H479" s="49" t="s">
        <v>253</v>
      </c>
      <c r="I479" s="49"/>
      <c r="J479" s="49" t="s">
        <v>1292</v>
      </c>
      <c r="K479" s="5" t="s">
        <v>111</v>
      </c>
      <c r="L479" s="5" t="s">
        <v>429</v>
      </c>
      <c r="M479" s="5" t="s">
        <v>102</v>
      </c>
      <c r="N479" s="5" t="s">
        <v>109</v>
      </c>
      <c r="O479" s="5" t="s">
        <v>109</v>
      </c>
      <c r="P479" s="5" t="s">
        <v>102</v>
      </c>
      <c r="Q479" s="5" t="s">
        <v>102</v>
      </c>
      <c r="R479" s="5" t="s">
        <v>102</v>
      </c>
      <c r="S479" s="5" t="s">
        <v>424</v>
      </c>
      <c r="T479" s="5" t="s">
        <v>102</v>
      </c>
      <c r="U479" s="5">
        <v>100</v>
      </c>
      <c r="V479" s="5">
        <v>1</v>
      </c>
      <c r="W479" s="5" t="s">
        <v>127</v>
      </c>
      <c r="X479" s="24">
        <v>195.12</v>
      </c>
      <c r="Y479" s="5" t="s">
        <v>106</v>
      </c>
      <c r="Z479" s="5"/>
      <c r="AA479" s="5"/>
      <c r="AB479" s="24">
        <v>1E-3</v>
      </c>
      <c r="AC479" s="5" t="s">
        <v>195</v>
      </c>
      <c r="AD479" s="5" t="str">
        <f t="shared" si="34"/>
        <v>kg_co2e_excl_luc</v>
      </c>
      <c r="AE479" s="24">
        <f>IF(CropLCAs[[#This Row],[Product fraction]]="",CropLCAs[[#This Row],[CO2e (value)]]*CropLCAs[[#This Row],[Conversion factor (value)]],CropLCAs[[#This Row],[CO2e (value)]]*CropLCAs[[#This Row],[Conversion factor (value)]]/CropLCAs[[#This Row],[Product fraction]]*CropLCAs[[#This Row],[Value fraction]])</f>
        <v>0.19512000000000002</v>
      </c>
      <c r="AF479" s="5" t="s">
        <v>42</v>
      </c>
      <c r="AG479" s="5" t="str">
        <f t="shared" si="35"/>
        <v>processed_ghg</v>
      </c>
      <c r="AH479" s="5">
        <v>0.38</v>
      </c>
      <c r="AI479" s="5">
        <v>0.71</v>
      </c>
      <c r="AJ479" s="8">
        <f>IF(CropLCAs[[#This Row],[product_fraction]]&gt;0,CropLCAs[[#This Row],[footprint]]/CropLCAs[[#This Row],[product_fraction]]*CropLCAs[[#This Row],[value_fraction]],"")</f>
        <v>0.36456631578947368</v>
      </c>
      <c r="AK479" s="23">
        <f t="shared" si="36"/>
        <v>0.1</v>
      </c>
      <c r="AL479" s="5" t="s">
        <v>109</v>
      </c>
      <c r="AM479" s="5" t="s">
        <v>425</v>
      </c>
      <c r="AN479" s="5"/>
      <c r="AO479" s="5"/>
      <c r="AP479" s="5"/>
      <c r="AQ479" s="5"/>
      <c r="AR479" s="5"/>
      <c r="AS479" s="5"/>
      <c r="AT479" s="5"/>
      <c r="AU479" s="5"/>
    </row>
    <row r="480" spans="1:47" ht="44.1" customHeight="1" x14ac:dyDescent="0.2">
      <c r="A480" s="5" t="s">
        <v>215</v>
      </c>
      <c r="B480" s="5" t="s">
        <v>1489</v>
      </c>
      <c r="C480" s="16">
        <v>2008</v>
      </c>
      <c r="D480" s="6" t="s">
        <v>422</v>
      </c>
      <c r="E480" s="6" t="s">
        <v>396</v>
      </c>
      <c r="F480" s="5" t="s">
        <v>23</v>
      </c>
      <c r="G480" s="5" t="str">
        <f>IF(CropLCAs[[#This Row],[fbs_item]]="Insects","insect_ghg","plant_ghg")</f>
        <v>plant_ghg</v>
      </c>
      <c r="H480" s="49" t="s">
        <v>253</v>
      </c>
      <c r="I480" s="49"/>
      <c r="J480" s="49" t="s">
        <v>1293</v>
      </c>
      <c r="K480" s="5" t="s">
        <v>111</v>
      </c>
      <c r="L480" s="5" t="s">
        <v>423</v>
      </c>
      <c r="M480" s="5" t="s">
        <v>102</v>
      </c>
      <c r="N480" s="5" t="s">
        <v>109</v>
      </c>
      <c r="O480" s="5" t="s">
        <v>109</v>
      </c>
      <c r="P480" s="5" t="s">
        <v>102</v>
      </c>
      <c r="Q480" s="5" t="s">
        <v>102</v>
      </c>
      <c r="R480" s="5" t="s">
        <v>102</v>
      </c>
      <c r="S480" s="5" t="s">
        <v>424</v>
      </c>
      <c r="T480" s="5" t="s">
        <v>102</v>
      </c>
      <c r="U480" s="5">
        <v>100</v>
      </c>
      <c r="V480" s="5">
        <v>1</v>
      </c>
      <c r="W480" s="5" t="s">
        <v>127</v>
      </c>
      <c r="X480" s="24">
        <v>95.85</v>
      </c>
      <c r="Y480" s="5" t="s">
        <v>106</v>
      </c>
      <c r="Z480" s="5"/>
      <c r="AA480" s="5"/>
      <c r="AB480" s="24">
        <v>1E-3</v>
      </c>
      <c r="AC480" s="5" t="s">
        <v>195</v>
      </c>
      <c r="AD480" s="5" t="str">
        <f t="shared" si="34"/>
        <v>kg_co2e_excl_luc</v>
      </c>
      <c r="AE480" s="24">
        <f>IF(CropLCAs[[#This Row],[Product fraction]]="",CropLCAs[[#This Row],[CO2e (value)]]*CropLCAs[[#This Row],[Conversion factor (value)]],CropLCAs[[#This Row],[CO2e (value)]]*CropLCAs[[#This Row],[Conversion factor (value)]]/CropLCAs[[#This Row],[Product fraction]]*CropLCAs[[#This Row],[Value fraction]])</f>
        <v>9.5849999999999991E-2</v>
      </c>
      <c r="AF480" s="5" t="s">
        <v>42</v>
      </c>
      <c r="AG480" s="5" t="str">
        <f t="shared" si="35"/>
        <v>processed_ghg</v>
      </c>
      <c r="AH480" s="5">
        <v>0.38</v>
      </c>
      <c r="AI480" s="5">
        <v>0.71</v>
      </c>
      <c r="AJ480" s="8">
        <f>IF(CropLCAs[[#This Row],[product_fraction]]&gt;0,CropLCAs[[#This Row],[footprint]]/CropLCAs[[#This Row],[product_fraction]]*CropLCAs[[#This Row],[value_fraction]],"")</f>
        <v>0.17908815789473684</v>
      </c>
      <c r="AK480" s="23">
        <f t="shared" si="36"/>
        <v>0.1</v>
      </c>
      <c r="AL480" s="5" t="s">
        <v>109</v>
      </c>
      <c r="AM480" s="5" t="s">
        <v>425</v>
      </c>
      <c r="AN480" s="5"/>
      <c r="AO480" s="5"/>
      <c r="AP480" s="5"/>
      <c r="AQ480" s="5"/>
      <c r="AR480" s="5"/>
      <c r="AS480" s="5"/>
      <c r="AT480" s="5"/>
      <c r="AU480" s="5"/>
    </row>
    <row r="481" spans="1:47" ht="44.1" customHeight="1" x14ac:dyDescent="0.2">
      <c r="A481" s="5" t="s">
        <v>215</v>
      </c>
      <c r="B481" s="5" t="s">
        <v>1489</v>
      </c>
      <c r="C481" s="16">
        <v>2008</v>
      </c>
      <c r="D481" s="6" t="s">
        <v>422</v>
      </c>
      <c r="E481" s="6" t="s">
        <v>396</v>
      </c>
      <c r="F481" s="5" t="s">
        <v>23</v>
      </c>
      <c r="G481" s="5" t="str">
        <f>IF(CropLCAs[[#This Row],[fbs_item]]="Insects","insect_ghg","plant_ghg")</f>
        <v>plant_ghg</v>
      </c>
      <c r="H481" s="49" t="s">
        <v>253</v>
      </c>
      <c r="I481" s="49"/>
      <c r="J481" s="49" t="s">
        <v>1293</v>
      </c>
      <c r="K481" s="5" t="s">
        <v>111</v>
      </c>
      <c r="L481" s="5" t="s">
        <v>426</v>
      </c>
      <c r="M481" s="5" t="s">
        <v>102</v>
      </c>
      <c r="N481" s="5" t="s">
        <v>109</v>
      </c>
      <c r="O481" s="5" t="s">
        <v>109</v>
      </c>
      <c r="P481" s="5" t="s">
        <v>102</v>
      </c>
      <c r="Q481" s="5" t="s">
        <v>102</v>
      </c>
      <c r="R481" s="5" t="s">
        <v>102</v>
      </c>
      <c r="S481" s="5" t="s">
        <v>424</v>
      </c>
      <c r="T481" s="5" t="s">
        <v>102</v>
      </c>
      <c r="U481" s="5">
        <v>100</v>
      </c>
      <c r="V481" s="5">
        <v>1</v>
      </c>
      <c r="W481" s="5" t="s">
        <v>127</v>
      </c>
      <c r="X481" s="24">
        <v>110.67</v>
      </c>
      <c r="Y481" s="5" t="s">
        <v>106</v>
      </c>
      <c r="Z481" s="5"/>
      <c r="AA481" s="5"/>
      <c r="AB481" s="24">
        <v>1E-3</v>
      </c>
      <c r="AC481" s="5" t="s">
        <v>195</v>
      </c>
      <c r="AD481" s="5" t="str">
        <f t="shared" si="34"/>
        <v>kg_co2e_excl_luc</v>
      </c>
      <c r="AE481" s="24">
        <f>IF(CropLCAs[[#This Row],[Product fraction]]="",CropLCAs[[#This Row],[CO2e (value)]]*CropLCAs[[#This Row],[Conversion factor (value)]],CropLCAs[[#This Row],[CO2e (value)]]*CropLCAs[[#This Row],[Conversion factor (value)]]/CropLCAs[[#This Row],[Product fraction]]*CropLCAs[[#This Row],[Value fraction]])</f>
        <v>0.11067</v>
      </c>
      <c r="AF481" s="5" t="s">
        <v>42</v>
      </c>
      <c r="AG481" s="5" t="str">
        <f t="shared" si="35"/>
        <v>processed_ghg</v>
      </c>
      <c r="AH481" s="5">
        <v>0.38</v>
      </c>
      <c r="AI481" s="5">
        <v>0.71</v>
      </c>
      <c r="AJ481" s="8">
        <f>IF(CropLCAs[[#This Row],[product_fraction]]&gt;0,CropLCAs[[#This Row],[footprint]]/CropLCAs[[#This Row],[product_fraction]]*CropLCAs[[#This Row],[value_fraction]],"")</f>
        <v>0.20677815789473686</v>
      </c>
      <c r="AK481" s="23">
        <f t="shared" si="36"/>
        <v>0.1</v>
      </c>
      <c r="AL481" s="5" t="s">
        <v>109</v>
      </c>
      <c r="AM481" s="5" t="s">
        <v>425</v>
      </c>
      <c r="AN481" s="5"/>
      <c r="AO481" s="5"/>
      <c r="AP481" s="5"/>
      <c r="AQ481" s="5"/>
      <c r="AR481" s="5"/>
      <c r="AS481" s="5"/>
      <c r="AT481" s="5"/>
      <c r="AU481" s="5"/>
    </row>
    <row r="482" spans="1:47" ht="44.1" customHeight="1" x14ac:dyDescent="0.2">
      <c r="A482" s="5" t="s">
        <v>215</v>
      </c>
      <c r="B482" s="5" t="s">
        <v>1489</v>
      </c>
      <c r="C482" s="16">
        <v>2008</v>
      </c>
      <c r="D482" s="6" t="s">
        <v>422</v>
      </c>
      <c r="E482" s="6" t="s">
        <v>396</v>
      </c>
      <c r="F482" s="5" t="s">
        <v>23</v>
      </c>
      <c r="G482" s="5" t="str">
        <f>IF(CropLCAs[[#This Row],[fbs_item]]="Insects","insect_ghg","plant_ghg")</f>
        <v>plant_ghg</v>
      </c>
      <c r="H482" s="49" t="s">
        <v>253</v>
      </c>
      <c r="I482" s="49"/>
      <c r="J482" s="49" t="s">
        <v>1293</v>
      </c>
      <c r="K482" s="5" t="s">
        <v>111</v>
      </c>
      <c r="L482" s="5" t="s">
        <v>427</v>
      </c>
      <c r="M482" s="5" t="s">
        <v>102</v>
      </c>
      <c r="N482" s="5" t="s">
        <v>109</v>
      </c>
      <c r="O482" s="5" t="s">
        <v>109</v>
      </c>
      <c r="P482" s="5" t="s">
        <v>102</v>
      </c>
      <c r="Q482" s="5" t="s">
        <v>102</v>
      </c>
      <c r="R482" s="5" t="s">
        <v>102</v>
      </c>
      <c r="S482" s="5" t="s">
        <v>424</v>
      </c>
      <c r="T482" s="5" t="s">
        <v>102</v>
      </c>
      <c r="U482" s="5">
        <v>100</v>
      </c>
      <c r="V482" s="5">
        <v>1</v>
      </c>
      <c r="W482" s="5" t="s">
        <v>127</v>
      </c>
      <c r="X482" s="24">
        <v>152.16999999999999</v>
      </c>
      <c r="Y482" s="5" t="s">
        <v>106</v>
      </c>
      <c r="Z482" s="5"/>
      <c r="AA482" s="5"/>
      <c r="AB482" s="24">
        <v>1E-3</v>
      </c>
      <c r="AC482" s="5" t="s">
        <v>195</v>
      </c>
      <c r="AD482" s="5" t="str">
        <f t="shared" si="34"/>
        <v>kg_co2e_excl_luc</v>
      </c>
      <c r="AE482" s="24">
        <f>IF(CropLCAs[[#This Row],[Product fraction]]="",CropLCAs[[#This Row],[CO2e (value)]]*CropLCAs[[#This Row],[Conversion factor (value)]],CropLCAs[[#This Row],[CO2e (value)]]*CropLCAs[[#This Row],[Conversion factor (value)]]/CropLCAs[[#This Row],[Product fraction]]*CropLCAs[[#This Row],[Value fraction]])</f>
        <v>0.15217</v>
      </c>
      <c r="AF482" s="5" t="s">
        <v>42</v>
      </c>
      <c r="AG482" s="5" t="str">
        <f t="shared" si="35"/>
        <v>processed_ghg</v>
      </c>
      <c r="AH482" s="5">
        <v>0.38</v>
      </c>
      <c r="AI482" s="5">
        <v>0.71</v>
      </c>
      <c r="AJ482" s="8">
        <f>IF(CropLCAs[[#This Row],[product_fraction]]&gt;0,CropLCAs[[#This Row],[footprint]]/CropLCAs[[#This Row],[product_fraction]]*CropLCAs[[#This Row],[value_fraction]],"")</f>
        <v>0.28431763157894735</v>
      </c>
      <c r="AK482" s="23">
        <f t="shared" si="36"/>
        <v>0.1</v>
      </c>
      <c r="AL482" s="5" t="s">
        <v>109</v>
      </c>
      <c r="AM482" s="5" t="s">
        <v>425</v>
      </c>
      <c r="AN482" s="5"/>
      <c r="AO482" s="5"/>
      <c r="AP482" s="5"/>
      <c r="AQ482" s="5"/>
      <c r="AR482" s="5"/>
      <c r="AS482" s="5"/>
      <c r="AT482" s="5"/>
      <c r="AU482" s="5"/>
    </row>
    <row r="483" spans="1:47" ht="44.1" customHeight="1" x14ac:dyDescent="0.2">
      <c r="A483" s="5" t="s">
        <v>215</v>
      </c>
      <c r="B483" s="5" t="s">
        <v>1489</v>
      </c>
      <c r="C483" s="16">
        <v>2008</v>
      </c>
      <c r="D483" s="6" t="s">
        <v>422</v>
      </c>
      <c r="E483" s="6" t="s">
        <v>396</v>
      </c>
      <c r="F483" s="5" t="s">
        <v>23</v>
      </c>
      <c r="G483" s="5" t="str">
        <f>IF(CropLCAs[[#This Row],[fbs_item]]="Insects","insect_ghg","plant_ghg")</f>
        <v>plant_ghg</v>
      </c>
      <c r="H483" s="49" t="s">
        <v>253</v>
      </c>
      <c r="I483" s="49"/>
      <c r="J483" s="49" t="s">
        <v>1293</v>
      </c>
      <c r="K483" s="5" t="s">
        <v>111</v>
      </c>
      <c r="L483" s="5" t="s">
        <v>428</v>
      </c>
      <c r="M483" s="5" t="s">
        <v>102</v>
      </c>
      <c r="N483" s="5" t="s">
        <v>109</v>
      </c>
      <c r="O483" s="5" t="s">
        <v>109</v>
      </c>
      <c r="P483" s="5" t="s">
        <v>102</v>
      </c>
      <c r="Q483" s="5" t="s">
        <v>102</v>
      </c>
      <c r="R483" s="5" t="s">
        <v>102</v>
      </c>
      <c r="S483" s="5" t="s">
        <v>424</v>
      </c>
      <c r="T483" s="5" t="s">
        <v>102</v>
      </c>
      <c r="U483" s="5">
        <v>100</v>
      </c>
      <c r="V483" s="5">
        <v>1</v>
      </c>
      <c r="W483" s="5" t="s">
        <v>127</v>
      </c>
      <c r="X483" s="24">
        <v>187.75</v>
      </c>
      <c r="Y483" s="5" t="s">
        <v>106</v>
      </c>
      <c r="Z483" s="5"/>
      <c r="AA483" s="5"/>
      <c r="AB483" s="24">
        <v>1E-3</v>
      </c>
      <c r="AC483" s="5" t="s">
        <v>195</v>
      </c>
      <c r="AD483" s="5" t="str">
        <f t="shared" si="34"/>
        <v>kg_co2e_excl_luc</v>
      </c>
      <c r="AE483" s="24">
        <f>IF(CropLCAs[[#This Row],[Product fraction]]="",CropLCAs[[#This Row],[CO2e (value)]]*CropLCAs[[#This Row],[Conversion factor (value)]],CropLCAs[[#This Row],[CO2e (value)]]*CropLCAs[[#This Row],[Conversion factor (value)]]/CropLCAs[[#This Row],[Product fraction]]*CropLCAs[[#This Row],[Value fraction]])</f>
        <v>0.18775</v>
      </c>
      <c r="AF483" s="5" t="s">
        <v>42</v>
      </c>
      <c r="AG483" s="5" t="str">
        <f t="shared" si="35"/>
        <v>processed_ghg</v>
      </c>
      <c r="AH483" s="5">
        <v>0.38</v>
      </c>
      <c r="AI483" s="5">
        <v>0.71</v>
      </c>
      <c r="AJ483" s="8">
        <f>IF(CropLCAs[[#This Row],[product_fraction]]&gt;0,CropLCAs[[#This Row],[footprint]]/CropLCAs[[#This Row],[product_fraction]]*CropLCAs[[#This Row],[value_fraction]],"")</f>
        <v>0.35079605263157893</v>
      </c>
      <c r="AK483" s="23">
        <f t="shared" si="36"/>
        <v>0.1</v>
      </c>
      <c r="AL483" s="5" t="s">
        <v>109</v>
      </c>
      <c r="AM483" s="5" t="s">
        <v>425</v>
      </c>
      <c r="AN483" s="5"/>
      <c r="AO483" s="5"/>
      <c r="AP483" s="5"/>
      <c r="AQ483" s="5"/>
      <c r="AR483" s="5"/>
      <c r="AS483" s="5"/>
      <c r="AT483" s="5"/>
      <c r="AU483" s="5"/>
    </row>
    <row r="484" spans="1:47" ht="44.1" customHeight="1" x14ac:dyDescent="0.2">
      <c r="A484" s="5" t="s">
        <v>215</v>
      </c>
      <c r="B484" s="5" t="s">
        <v>1489</v>
      </c>
      <c r="C484" s="16">
        <v>2008</v>
      </c>
      <c r="D484" s="6" t="s">
        <v>422</v>
      </c>
      <c r="E484" s="6" t="s">
        <v>396</v>
      </c>
      <c r="F484" s="5" t="s">
        <v>23</v>
      </c>
      <c r="G484" s="5" t="str">
        <f>IF(CropLCAs[[#This Row],[fbs_item]]="Insects","insect_ghg","plant_ghg")</f>
        <v>plant_ghg</v>
      </c>
      <c r="H484" s="49" t="s">
        <v>253</v>
      </c>
      <c r="I484" s="49"/>
      <c r="J484" s="49" t="s">
        <v>1293</v>
      </c>
      <c r="K484" s="5" t="s">
        <v>111</v>
      </c>
      <c r="L484" s="5" t="s">
        <v>429</v>
      </c>
      <c r="M484" s="5" t="s">
        <v>102</v>
      </c>
      <c r="N484" s="5" t="s">
        <v>109</v>
      </c>
      <c r="O484" s="5" t="s">
        <v>109</v>
      </c>
      <c r="P484" s="5" t="s">
        <v>102</v>
      </c>
      <c r="Q484" s="5" t="s">
        <v>102</v>
      </c>
      <c r="R484" s="5" t="s">
        <v>102</v>
      </c>
      <c r="S484" s="5" t="s">
        <v>424</v>
      </c>
      <c r="T484" s="5" t="s">
        <v>102</v>
      </c>
      <c r="U484" s="5">
        <v>100</v>
      </c>
      <c r="V484" s="5">
        <v>1</v>
      </c>
      <c r="W484" s="5" t="s">
        <v>127</v>
      </c>
      <c r="X484" s="24">
        <v>208.5</v>
      </c>
      <c r="Y484" s="5" t="s">
        <v>106</v>
      </c>
      <c r="Z484" s="5"/>
      <c r="AA484" s="5"/>
      <c r="AB484" s="24">
        <v>1E-3</v>
      </c>
      <c r="AC484" s="5" t="s">
        <v>195</v>
      </c>
      <c r="AD484" s="5" t="str">
        <f t="shared" si="34"/>
        <v>kg_co2e_excl_luc</v>
      </c>
      <c r="AE484" s="24">
        <f>IF(CropLCAs[[#This Row],[Product fraction]]="",CropLCAs[[#This Row],[CO2e (value)]]*CropLCAs[[#This Row],[Conversion factor (value)]],CropLCAs[[#This Row],[CO2e (value)]]*CropLCAs[[#This Row],[Conversion factor (value)]]/CropLCAs[[#This Row],[Product fraction]]*CropLCAs[[#This Row],[Value fraction]])</f>
        <v>0.20849999999999999</v>
      </c>
      <c r="AF484" s="5" t="s">
        <v>42</v>
      </c>
      <c r="AG484" s="5" t="str">
        <f t="shared" si="35"/>
        <v>processed_ghg</v>
      </c>
      <c r="AH484" s="5">
        <v>0.38</v>
      </c>
      <c r="AI484" s="5">
        <v>0.71</v>
      </c>
      <c r="AJ484" s="8">
        <f>IF(CropLCAs[[#This Row],[product_fraction]]&gt;0,CropLCAs[[#This Row],[footprint]]/CropLCAs[[#This Row],[product_fraction]]*CropLCAs[[#This Row],[value_fraction]],"")</f>
        <v>0.3895657894736842</v>
      </c>
      <c r="AK484" s="23">
        <f t="shared" si="36"/>
        <v>0.1</v>
      </c>
      <c r="AL484" s="5" t="s">
        <v>109</v>
      </c>
      <c r="AM484" s="5" t="s">
        <v>425</v>
      </c>
      <c r="AN484" s="5"/>
      <c r="AO484" s="5"/>
      <c r="AP484" s="5"/>
      <c r="AQ484" s="5"/>
      <c r="AR484" s="5"/>
      <c r="AS484" s="5"/>
      <c r="AT484" s="5"/>
      <c r="AU484" s="5"/>
    </row>
    <row r="485" spans="1:47" ht="44.1" customHeight="1" x14ac:dyDescent="0.2">
      <c r="A485" s="5" t="s">
        <v>215</v>
      </c>
      <c r="B485" s="5" t="s">
        <v>1489</v>
      </c>
      <c r="C485" s="16">
        <v>2008</v>
      </c>
      <c r="D485" s="6" t="s">
        <v>422</v>
      </c>
      <c r="E485" s="6" t="s">
        <v>396</v>
      </c>
      <c r="F485" s="5" t="s">
        <v>23</v>
      </c>
      <c r="G485" s="5" t="str">
        <f>IF(CropLCAs[[#This Row],[fbs_item]]="Insects","insect_ghg","plant_ghg")</f>
        <v>plant_ghg</v>
      </c>
      <c r="H485" s="49" t="s">
        <v>253</v>
      </c>
      <c r="I485" s="49"/>
      <c r="J485" s="49" t="s">
        <v>1292</v>
      </c>
      <c r="K485" s="5" t="s">
        <v>1377</v>
      </c>
      <c r="L485" s="5" t="s">
        <v>423</v>
      </c>
      <c r="M485" s="5" t="s">
        <v>102</v>
      </c>
      <c r="N485" s="5" t="s">
        <v>109</v>
      </c>
      <c r="O485" s="5" t="s">
        <v>109</v>
      </c>
      <c r="P485" s="5" t="s">
        <v>102</v>
      </c>
      <c r="Q485" s="5" t="s">
        <v>102</v>
      </c>
      <c r="R485" s="5" t="s">
        <v>102</v>
      </c>
      <c r="S485" s="5" t="s">
        <v>424</v>
      </c>
      <c r="T485" s="5" t="s">
        <v>102</v>
      </c>
      <c r="U485" s="5">
        <v>100</v>
      </c>
      <c r="V485" s="5">
        <v>1</v>
      </c>
      <c r="W485" s="5" t="s">
        <v>127</v>
      </c>
      <c r="X485" s="24">
        <v>41.67</v>
      </c>
      <c r="Y485" s="5" t="s">
        <v>106</v>
      </c>
      <c r="Z485" s="5"/>
      <c r="AA485" s="5"/>
      <c r="AB485" s="24">
        <v>1E-3</v>
      </c>
      <c r="AC485" s="5" t="s">
        <v>195</v>
      </c>
      <c r="AD485" s="5" t="str">
        <f t="shared" si="34"/>
        <v>kg_co2e_excl_luc</v>
      </c>
      <c r="AE485" s="24">
        <f>IF(CropLCAs[[#This Row],[Product fraction]]="",CropLCAs[[#This Row],[CO2e (value)]]*CropLCAs[[#This Row],[Conversion factor (value)]],CropLCAs[[#This Row],[CO2e (value)]]*CropLCAs[[#This Row],[Conversion factor (value)]]/CropLCAs[[#This Row],[Product fraction]]*CropLCAs[[#This Row],[Value fraction]])</f>
        <v>4.1670000000000006E-2</v>
      </c>
      <c r="AF485" s="5" t="s">
        <v>42</v>
      </c>
      <c r="AG485" s="5" t="str">
        <f t="shared" si="35"/>
        <v>processed_ghg</v>
      </c>
      <c r="AH485" s="5">
        <v>0.38</v>
      </c>
      <c r="AI485" s="5">
        <v>0.71</v>
      </c>
      <c r="AJ485" s="8">
        <f>IF(CropLCAs[[#This Row],[product_fraction]]&gt;0,CropLCAs[[#This Row],[footprint]]/CropLCAs[[#This Row],[product_fraction]]*CropLCAs[[#This Row],[value_fraction]],"")</f>
        <v>7.7857105263157908E-2</v>
      </c>
      <c r="AK485" s="23">
        <f t="shared" si="36"/>
        <v>0.1</v>
      </c>
      <c r="AL485" s="5" t="s">
        <v>109</v>
      </c>
      <c r="AM485" s="5" t="s">
        <v>425</v>
      </c>
      <c r="AN485" s="5"/>
      <c r="AO485" s="5"/>
      <c r="AP485" s="5"/>
      <c r="AQ485" s="5"/>
      <c r="AR485" s="5"/>
      <c r="AS485" s="5"/>
      <c r="AT485" s="5"/>
      <c r="AU485" s="5"/>
    </row>
    <row r="486" spans="1:47" ht="44.1" customHeight="1" x14ac:dyDescent="0.2">
      <c r="A486" s="5" t="s">
        <v>215</v>
      </c>
      <c r="B486" s="5" t="s">
        <v>1489</v>
      </c>
      <c r="C486" s="16">
        <v>2008</v>
      </c>
      <c r="D486" s="6" t="s">
        <v>422</v>
      </c>
      <c r="E486" s="6" t="s">
        <v>396</v>
      </c>
      <c r="F486" s="5" t="s">
        <v>23</v>
      </c>
      <c r="G486" s="5" t="str">
        <f>IF(CropLCAs[[#This Row],[fbs_item]]="Insects","insect_ghg","plant_ghg")</f>
        <v>plant_ghg</v>
      </c>
      <c r="H486" s="49" t="s">
        <v>253</v>
      </c>
      <c r="I486" s="49"/>
      <c r="J486" s="49" t="s">
        <v>1292</v>
      </c>
      <c r="K486" s="5" t="s">
        <v>1377</v>
      </c>
      <c r="L486" s="5" t="s">
        <v>426</v>
      </c>
      <c r="M486" s="5" t="s">
        <v>102</v>
      </c>
      <c r="N486" s="5" t="s">
        <v>109</v>
      </c>
      <c r="O486" s="5" t="s">
        <v>109</v>
      </c>
      <c r="P486" s="5" t="s">
        <v>102</v>
      </c>
      <c r="Q486" s="5" t="s">
        <v>102</v>
      </c>
      <c r="R486" s="5" t="s">
        <v>102</v>
      </c>
      <c r="S486" s="5" t="s">
        <v>424</v>
      </c>
      <c r="T486" s="5" t="s">
        <v>102</v>
      </c>
      <c r="U486" s="5">
        <v>100</v>
      </c>
      <c r="V486" s="5">
        <v>1</v>
      </c>
      <c r="W486" s="5" t="s">
        <v>127</v>
      </c>
      <c r="X486" s="24">
        <v>81.3</v>
      </c>
      <c r="Y486" s="5" t="s">
        <v>106</v>
      </c>
      <c r="Z486" s="5"/>
      <c r="AA486" s="5"/>
      <c r="AB486" s="24">
        <v>1E-3</v>
      </c>
      <c r="AC486" s="5" t="s">
        <v>195</v>
      </c>
      <c r="AD486" s="5" t="str">
        <f t="shared" si="34"/>
        <v>kg_co2e_excl_luc</v>
      </c>
      <c r="AE486" s="24">
        <f>IF(CropLCAs[[#This Row],[Product fraction]]="",CropLCAs[[#This Row],[CO2e (value)]]*CropLCAs[[#This Row],[Conversion factor (value)]],CropLCAs[[#This Row],[CO2e (value)]]*CropLCAs[[#This Row],[Conversion factor (value)]]/CropLCAs[[#This Row],[Product fraction]]*CropLCAs[[#This Row],[Value fraction]])</f>
        <v>8.1299999999999997E-2</v>
      </c>
      <c r="AF486" s="5" t="s">
        <v>42</v>
      </c>
      <c r="AG486" s="5" t="str">
        <f t="shared" si="35"/>
        <v>processed_ghg</v>
      </c>
      <c r="AH486" s="5">
        <v>0.38</v>
      </c>
      <c r="AI486" s="5">
        <v>0.71</v>
      </c>
      <c r="AJ486" s="8">
        <f>IF(CropLCAs[[#This Row],[product_fraction]]&gt;0,CropLCAs[[#This Row],[footprint]]/CropLCAs[[#This Row],[product_fraction]]*CropLCAs[[#This Row],[value_fraction]],"")</f>
        <v>0.15190263157894734</v>
      </c>
      <c r="AK486" s="23">
        <f t="shared" si="36"/>
        <v>0.1</v>
      </c>
      <c r="AL486" s="5" t="s">
        <v>109</v>
      </c>
      <c r="AM486" s="5" t="s">
        <v>425</v>
      </c>
      <c r="AN486" s="5"/>
      <c r="AO486" s="5"/>
      <c r="AP486" s="5"/>
      <c r="AQ486" s="5"/>
      <c r="AR486" s="5"/>
      <c r="AS486" s="5"/>
      <c r="AT486" s="5"/>
      <c r="AU486" s="5"/>
    </row>
    <row r="487" spans="1:47" ht="44.1" customHeight="1" x14ac:dyDescent="0.2">
      <c r="A487" s="5" t="s">
        <v>215</v>
      </c>
      <c r="B487" s="5" t="s">
        <v>1489</v>
      </c>
      <c r="C487" s="16">
        <v>2008</v>
      </c>
      <c r="D487" s="6" t="s">
        <v>422</v>
      </c>
      <c r="E487" s="6" t="s">
        <v>396</v>
      </c>
      <c r="F487" s="5" t="s">
        <v>23</v>
      </c>
      <c r="G487" s="5" t="str">
        <f>IF(CropLCAs[[#This Row],[fbs_item]]="Insects","insect_ghg","plant_ghg")</f>
        <v>plant_ghg</v>
      </c>
      <c r="H487" s="49" t="s">
        <v>253</v>
      </c>
      <c r="I487" s="49"/>
      <c r="J487" s="49" t="s">
        <v>1292</v>
      </c>
      <c r="K487" s="5" t="s">
        <v>1377</v>
      </c>
      <c r="L487" s="5" t="s">
        <v>427</v>
      </c>
      <c r="M487" s="5" t="s">
        <v>102</v>
      </c>
      <c r="N487" s="5" t="s">
        <v>109</v>
      </c>
      <c r="O487" s="5" t="s">
        <v>109</v>
      </c>
      <c r="P487" s="5" t="s">
        <v>102</v>
      </c>
      <c r="Q487" s="5" t="s">
        <v>102</v>
      </c>
      <c r="R487" s="5" t="s">
        <v>102</v>
      </c>
      <c r="S487" s="5" t="s">
        <v>424</v>
      </c>
      <c r="T487" s="5" t="s">
        <v>102</v>
      </c>
      <c r="U487" s="5">
        <v>100</v>
      </c>
      <c r="V487" s="5">
        <v>1</v>
      </c>
      <c r="W487" s="5" t="s">
        <v>127</v>
      </c>
      <c r="X487" s="24">
        <v>116.87</v>
      </c>
      <c r="Y487" s="5" t="s">
        <v>106</v>
      </c>
      <c r="Z487" s="5"/>
      <c r="AA487" s="5"/>
      <c r="AB487" s="24">
        <v>1E-3</v>
      </c>
      <c r="AC487" s="5" t="s">
        <v>195</v>
      </c>
      <c r="AD487" s="5" t="str">
        <f t="shared" si="34"/>
        <v>kg_co2e_excl_luc</v>
      </c>
      <c r="AE487" s="24">
        <f>IF(CropLCAs[[#This Row],[Product fraction]]="",CropLCAs[[#This Row],[CO2e (value)]]*CropLCAs[[#This Row],[Conversion factor (value)]],CropLCAs[[#This Row],[CO2e (value)]]*CropLCAs[[#This Row],[Conversion factor (value)]]/CropLCAs[[#This Row],[Product fraction]]*CropLCAs[[#This Row],[Value fraction]])</f>
        <v>0.11687</v>
      </c>
      <c r="AF487" s="5" t="s">
        <v>42</v>
      </c>
      <c r="AG487" s="5" t="str">
        <f t="shared" si="35"/>
        <v>processed_ghg</v>
      </c>
      <c r="AH487" s="5">
        <v>0.38</v>
      </c>
      <c r="AI487" s="5">
        <v>0.71</v>
      </c>
      <c r="AJ487" s="8">
        <f>IF(CropLCAs[[#This Row],[product_fraction]]&gt;0,CropLCAs[[#This Row],[footprint]]/CropLCAs[[#This Row],[product_fraction]]*CropLCAs[[#This Row],[value_fraction]],"")</f>
        <v>0.21836236842105261</v>
      </c>
      <c r="AK487" s="23">
        <f t="shared" si="36"/>
        <v>0.1</v>
      </c>
      <c r="AL487" s="5" t="s">
        <v>109</v>
      </c>
      <c r="AM487" s="5" t="s">
        <v>425</v>
      </c>
      <c r="AN487" s="5"/>
      <c r="AO487" s="5"/>
      <c r="AP487" s="5"/>
      <c r="AQ487" s="5"/>
      <c r="AR487" s="5"/>
      <c r="AS487" s="5"/>
      <c r="AT487" s="5"/>
      <c r="AU487" s="5"/>
    </row>
    <row r="488" spans="1:47" ht="44.1" customHeight="1" x14ac:dyDescent="0.2">
      <c r="A488" s="5" t="s">
        <v>215</v>
      </c>
      <c r="B488" s="5" t="s">
        <v>1489</v>
      </c>
      <c r="C488" s="16">
        <v>2008</v>
      </c>
      <c r="D488" s="6" t="s">
        <v>422</v>
      </c>
      <c r="E488" s="6" t="s">
        <v>396</v>
      </c>
      <c r="F488" s="5" t="s">
        <v>23</v>
      </c>
      <c r="G488" s="5" t="str">
        <f>IF(CropLCAs[[#This Row],[fbs_item]]="Insects","insect_ghg","plant_ghg")</f>
        <v>plant_ghg</v>
      </c>
      <c r="H488" s="49" t="s">
        <v>253</v>
      </c>
      <c r="I488" s="49"/>
      <c r="J488" s="49" t="s">
        <v>1292</v>
      </c>
      <c r="K488" s="5" t="s">
        <v>1377</v>
      </c>
      <c r="L488" s="5" t="s">
        <v>428</v>
      </c>
      <c r="M488" s="5" t="s">
        <v>102</v>
      </c>
      <c r="N488" s="5" t="s">
        <v>109</v>
      </c>
      <c r="O488" s="5" t="s">
        <v>109</v>
      </c>
      <c r="P488" s="5" t="s">
        <v>102</v>
      </c>
      <c r="Q488" s="5" t="s">
        <v>102</v>
      </c>
      <c r="R488" s="5" t="s">
        <v>102</v>
      </c>
      <c r="S488" s="5" t="s">
        <v>424</v>
      </c>
      <c r="T488" s="5" t="s">
        <v>102</v>
      </c>
      <c r="U488" s="5">
        <v>100</v>
      </c>
      <c r="V488" s="5">
        <v>1</v>
      </c>
      <c r="W488" s="5" t="s">
        <v>127</v>
      </c>
      <c r="X488" s="24">
        <v>155.49</v>
      </c>
      <c r="Y488" s="5" t="s">
        <v>106</v>
      </c>
      <c r="Z488" s="5"/>
      <c r="AA488" s="5"/>
      <c r="AB488" s="24">
        <v>1E-3</v>
      </c>
      <c r="AC488" s="5" t="s">
        <v>195</v>
      </c>
      <c r="AD488" s="5" t="str">
        <f t="shared" si="34"/>
        <v>kg_co2e_excl_luc</v>
      </c>
      <c r="AE488" s="24">
        <f>IF(CropLCAs[[#This Row],[Product fraction]]="",CropLCAs[[#This Row],[CO2e (value)]]*CropLCAs[[#This Row],[Conversion factor (value)]],CropLCAs[[#This Row],[CO2e (value)]]*CropLCAs[[#This Row],[Conversion factor (value)]]/CropLCAs[[#This Row],[Product fraction]]*CropLCAs[[#This Row],[Value fraction]])</f>
        <v>0.15549000000000002</v>
      </c>
      <c r="AF488" s="5" t="s">
        <v>42</v>
      </c>
      <c r="AG488" s="5" t="str">
        <f t="shared" si="35"/>
        <v>processed_ghg</v>
      </c>
      <c r="AH488" s="5">
        <v>0.38</v>
      </c>
      <c r="AI488" s="5">
        <v>0.71</v>
      </c>
      <c r="AJ488" s="8">
        <f>IF(CropLCAs[[#This Row],[product_fraction]]&gt;0,CropLCAs[[#This Row],[footprint]]/CropLCAs[[#This Row],[product_fraction]]*CropLCAs[[#This Row],[value_fraction]],"")</f>
        <v>0.2905207894736842</v>
      </c>
      <c r="AK488" s="23">
        <f t="shared" si="36"/>
        <v>0.1</v>
      </c>
      <c r="AL488" s="5" t="s">
        <v>109</v>
      </c>
      <c r="AM488" s="5" t="s">
        <v>425</v>
      </c>
      <c r="AN488" s="5"/>
      <c r="AO488" s="5"/>
      <c r="AP488" s="5"/>
      <c r="AQ488" s="5"/>
      <c r="AR488" s="5"/>
      <c r="AS488" s="5"/>
      <c r="AT488" s="5"/>
      <c r="AU488" s="5"/>
    </row>
    <row r="489" spans="1:47" ht="44.1" customHeight="1" x14ac:dyDescent="0.2">
      <c r="A489" s="5" t="s">
        <v>215</v>
      </c>
      <c r="B489" s="5" t="s">
        <v>1489</v>
      </c>
      <c r="C489" s="16">
        <v>2008</v>
      </c>
      <c r="D489" s="6" t="s">
        <v>422</v>
      </c>
      <c r="E489" s="6" t="s">
        <v>396</v>
      </c>
      <c r="F489" s="5" t="s">
        <v>23</v>
      </c>
      <c r="G489" s="5" t="str">
        <f>IF(CropLCAs[[#This Row],[fbs_item]]="Insects","insect_ghg","plant_ghg")</f>
        <v>plant_ghg</v>
      </c>
      <c r="H489" s="49" t="s">
        <v>253</v>
      </c>
      <c r="I489" s="49"/>
      <c r="J489" s="49" t="s">
        <v>1292</v>
      </c>
      <c r="K489" s="5" t="s">
        <v>1377</v>
      </c>
      <c r="L489" s="5" t="s">
        <v>429</v>
      </c>
      <c r="M489" s="5" t="s">
        <v>102</v>
      </c>
      <c r="N489" s="5" t="s">
        <v>109</v>
      </c>
      <c r="O489" s="5" t="s">
        <v>109</v>
      </c>
      <c r="P489" s="5" t="s">
        <v>102</v>
      </c>
      <c r="Q489" s="5" t="s">
        <v>102</v>
      </c>
      <c r="R489" s="5" t="s">
        <v>102</v>
      </c>
      <c r="S489" s="5" t="s">
        <v>424</v>
      </c>
      <c r="T489" s="5" t="s">
        <v>102</v>
      </c>
      <c r="U489" s="5">
        <v>100</v>
      </c>
      <c r="V489" s="5">
        <v>1</v>
      </c>
      <c r="W489" s="5" t="s">
        <v>127</v>
      </c>
      <c r="X489" s="24">
        <v>182.93</v>
      </c>
      <c r="Y489" s="5" t="s">
        <v>106</v>
      </c>
      <c r="Z489" s="5"/>
      <c r="AA489" s="5"/>
      <c r="AB489" s="24">
        <v>1E-3</v>
      </c>
      <c r="AC489" s="5" t="s">
        <v>195</v>
      </c>
      <c r="AD489" s="5" t="str">
        <f t="shared" si="34"/>
        <v>kg_co2e_excl_luc</v>
      </c>
      <c r="AE489" s="24">
        <f>IF(CropLCAs[[#This Row],[Product fraction]]="",CropLCAs[[#This Row],[CO2e (value)]]*CropLCAs[[#This Row],[Conversion factor (value)]],CropLCAs[[#This Row],[CO2e (value)]]*CropLCAs[[#This Row],[Conversion factor (value)]]/CropLCAs[[#This Row],[Product fraction]]*CropLCAs[[#This Row],[Value fraction]])</f>
        <v>0.18293000000000001</v>
      </c>
      <c r="AF489" s="5" t="s">
        <v>42</v>
      </c>
      <c r="AG489" s="5" t="str">
        <f t="shared" si="35"/>
        <v>processed_ghg</v>
      </c>
      <c r="AH489" s="5">
        <v>0.38</v>
      </c>
      <c r="AI489" s="5">
        <v>0.71</v>
      </c>
      <c r="AJ489" s="8">
        <f>IF(CropLCAs[[#This Row],[product_fraction]]&gt;0,CropLCAs[[#This Row],[footprint]]/CropLCAs[[#This Row],[product_fraction]]*CropLCAs[[#This Row],[value_fraction]],"")</f>
        <v>0.34179026315789474</v>
      </c>
      <c r="AK489" s="23">
        <f t="shared" si="36"/>
        <v>0.1</v>
      </c>
      <c r="AL489" s="5" t="s">
        <v>109</v>
      </c>
      <c r="AM489" s="5" t="s">
        <v>425</v>
      </c>
      <c r="AN489" s="5"/>
      <c r="AO489" s="5"/>
      <c r="AP489" s="5"/>
      <c r="AQ489" s="5"/>
      <c r="AR489" s="5"/>
      <c r="AS489" s="5"/>
      <c r="AT489" s="5"/>
      <c r="AU489" s="5"/>
    </row>
    <row r="490" spans="1:47" ht="44.1" customHeight="1" x14ac:dyDescent="0.2">
      <c r="A490" s="5" t="s">
        <v>215</v>
      </c>
      <c r="B490" s="5" t="s">
        <v>1489</v>
      </c>
      <c r="C490" s="16">
        <v>2008</v>
      </c>
      <c r="D490" s="6" t="s">
        <v>422</v>
      </c>
      <c r="E490" s="6" t="s">
        <v>396</v>
      </c>
      <c r="F490" s="5" t="s">
        <v>23</v>
      </c>
      <c r="G490" s="5" t="str">
        <f>IF(CropLCAs[[#This Row],[fbs_item]]="Insects","insect_ghg","plant_ghg")</f>
        <v>plant_ghg</v>
      </c>
      <c r="H490" s="49" t="s">
        <v>253</v>
      </c>
      <c r="I490" s="49"/>
      <c r="J490" s="49" t="s">
        <v>1293</v>
      </c>
      <c r="K490" s="5" t="s">
        <v>1377</v>
      </c>
      <c r="L490" s="5" t="s">
        <v>423</v>
      </c>
      <c r="M490" s="5" t="s">
        <v>102</v>
      </c>
      <c r="N490" s="5" t="s">
        <v>109</v>
      </c>
      <c r="O490" s="5" t="s">
        <v>109</v>
      </c>
      <c r="P490" s="5" t="s">
        <v>102</v>
      </c>
      <c r="Q490" s="5" t="s">
        <v>102</v>
      </c>
      <c r="R490" s="5" t="s">
        <v>102</v>
      </c>
      <c r="S490" s="5" t="s">
        <v>424</v>
      </c>
      <c r="T490" s="5" t="s">
        <v>102</v>
      </c>
      <c r="U490" s="5">
        <v>100</v>
      </c>
      <c r="V490" s="5">
        <v>1</v>
      </c>
      <c r="W490" s="5" t="s">
        <v>127</v>
      </c>
      <c r="X490" s="24">
        <v>65.22</v>
      </c>
      <c r="Y490" s="5" t="s">
        <v>106</v>
      </c>
      <c r="Z490" s="5"/>
      <c r="AA490" s="5"/>
      <c r="AB490" s="24">
        <v>1E-3</v>
      </c>
      <c r="AC490" s="5" t="s">
        <v>195</v>
      </c>
      <c r="AD490" s="5" t="str">
        <f t="shared" si="34"/>
        <v>kg_co2e_excl_luc</v>
      </c>
      <c r="AE490" s="24">
        <f>IF(CropLCAs[[#This Row],[Product fraction]]="",CropLCAs[[#This Row],[CO2e (value)]]*CropLCAs[[#This Row],[Conversion factor (value)]],CropLCAs[[#This Row],[CO2e (value)]]*CropLCAs[[#This Row],[Conversion factor (value)]]/CropLCAs[[#This Row],[Product fraction]]*CropLCAs[[#This Row],[Value fraction]])</f>
        <v>6.522E-2</v>
      </c>
      <c r="AF490" s="5" t="s">
        <v>42</v>
      </c>
      <c r="AG490" s="5" t="str">
        <f t="shared" si="35"/>
        <v>processed_ghg</v>
      </c>
      <c r="AH490" s="5">
        <v>0.38</v>
      </c>
      <c r="AI490" s="5">
        <v>0.71</v>
      </c>
      <c r="AJ490" s="8">
        <f>IF(CropLCAs[[#This Row],[product_fraction]]&gt;0,CropLCAs[[#This Row],[footprint]]/CropLCAs[[#This Row],[product_fraction]]*CropLCAs[[#This Row],[value_fraction]],"")</f>
        <v>0.12185842105263156</v>
      </c>
      <c r="AK490" s="23">
        <f t="shared" si="36"/>
        <v>0.1</v>
      </c>
      <c r="AL490" s="5" t="s">
        <v>109</v>
      </c>
      <c r="AM490" s="5" t="s">
        <v>425</v>
      </c>
      <c r="AN490" s="5"/>
      <c r="AO490" s="5"/>
      <c r="AP490" s="5"/>
      <c r="AQ490" s="5"/>
      <c r="AR490" s="5"/>
      <c r="AS490" s="5"/>
      <c r="AT490" s="5"/>
      <c r="AU490" s="5"/>
    </row>
    <row r="491" spans="1:47" ht="44.1" customHeight="1" x14ac:dyDescent="0.2">
      <c r="A491" s="5" t="s">
        <v>215</v>
      </c>
      <c r="B491" s="5" t="s">
        <v>1489</v>
      </c>
      <c r="C491" s="16">
        <v>2008</v>
      </c>
      <c r="D491" s="6" t="s">
        <v>422</v>
      </c>
      <c r="E491" s="6" t="s">
        <v>396</v>
      </c>
      <c r="F491" s="5" t="s">
        <v>23</v>
      </c>
      <c r="G491" s="5" t="str">
        <f>IF(CropLCAs[[#This Row],[fbs_item]]="Insects","insect_ghg","plant_ghg")</f>
        <v>plant_ghg</v>
      </c>
      <c r="H491" s="49" t="s">
        <v>253</v>
      </c>
      <c r="I491" s="49"/>
      <c r="J491" s="49" t="s">
        <v>1293</v>
      </c>
      <c r="K491" s="5" t="s">
        <v>1377</v>
      </c>
      <c r="L491" s="5" t="s">
        <v>426</v>
      </c>
      <c r="M491" s="5" t="s">
        <v>102</v>
      </c>
      <c r="N491" s="5" t="s">
        <v>109</v>
      </c>
      <c r="O491" s="5" t="s">
        <v>109</v>
      </c>
      <c r="P491" s="5" t="s">
        <v>102</v>
      </c>
      <c r="Q491" s="5" t="s">
        <v>102</v>
      </c>
      <c r="R491" s="5" t="s">
        <v>102</v>
      </c>
      <c r="S491" s="5" t="s">
        <v>424</v>
      </c>
      <c r="T491" s="5" t="s">
        <v>102</v>
      </c>
      <c r="U491" s="5">
        <v>100</v>
      </c>
      <c r="V491" s="5">
        <v>1</v>
      </c>
      <c r="W491" s="5" t="s">
        <v>127</v>
      </c>
      <c r="X491" s="24">
        <v>101.78</v>
      </c>
      <c r="Y491" s="5" t="s">
        <v>106</v>
      </c>
      <c r="Z491" s="5"/>
      <c r="AA491" s="5"/>
      <c r="AB491" s="24">
        <v>1E-3</v>
      </c>
      <c r="AC491" s="5" t="s">
        <v>195</v>
      </c>
      <c r="AD491" s="5" t="str">
        <f t="shared" si="34"/>
        <v>kg_co2e_excl_luc</v>
      </c>
      <c r="AE491" s="24">
        <f>IF(CropLCAs[[#This Row],[Product fraction]]="",CropLCAs[[#This Row],[CO2e (value)]]*CropLCAs[[#This Row],[Conversion factor (value)]],CropLCAs[[#This Row],[CO2e (value)]]*CropLCAs[[#This Row],[Conversion factor (value)]]/CropLCAs[[#This Row],[Product fraction]]*CropLCAs[[#This Row],[Value fraction]])</f>
        <v>0.10178000000000001</v>
      </c>
      <c r="AF491" s="5" t="s">
        <v>42</v>
      </c>
      <c r="AG491" s="5" t="str">
        <f t="shared" si="35"/>
        <v>processed_ghg</v>
      </c>
      <c r="AH491" s="5">
        <v>0.38</v>
      </c>
      <c r="AI491" s="5">
        <v>0.71</v>
      </c>
      <c r="AJ491" s="8">
        <f>IF(CropLCAs[[#This Row],[product_fraction]]&gt;0,CropLCAs[[#This Row],[footprint]]/CropLCAs[[#This Row],[product_fraction]]*CropLCAs[[#This Row],[value_fraction]],"")</f>
        <v>0.19016789473684212</v>
      </c>
      <c r="AK491" s="23">
        <f t="shared" si="36"/>
        <v>0.1</v>
      </c>
      <c r="AL491" s="5" t="s">
        <v>109</v>
      </c>
      <c r="AM491" s="5" t="s">
        <v>425</v>
      </c>
      <c r="AN491" s="5"/>
      <c r="AO491" s="5"/>
      <c r="AP491" s="5"/>
      <c r="AQ491" s="5"/>
      <c r="AR491" s="5"/>
      <c r="AS491" s="5"/>
      <c r="AT491" s="5"/>
      <c r="AU491" s="5"/>
    </row>
    <row r="492" spans="1:47" ht="44.1" customHeight="1" x14ac:dyDescent="0.2">
      <c r="A492" s="5" t="s">
        <v>215</v>
      </c>
      <c r="B492" s="5" t="s">
        <v>1489</v>
      </c>
      <c r="C492" s="16">
        <v>2008</v>
      </c>
      <c r="D492" s="6" t="s">
        <v>422</v>
      </c>
      <c r="E492" s="6" t="s">
        <v>396</v>
      </c>
      <c r="F492" s="5" t="s">
        <v>23</v>
      </c>
      <c r="G492" s="5" t="str">
        <f>IF(CropLCAs[[#This Row],[fbs_item]]="Insects","insect_ghg","plant_ghg")</f>
        <v>plant_ghg</v>
      </c>
      <c r="H492" s="49" t="s">
        <v>253</v>
      </c>
      <c r="I492" s="49"/>
      <c r="J492" s="49" t="s">
        <v>1293</v>
      </c>
      <c r="K492" s="5" t="s">
        <v>1377</v>
      </c>
      <c r="L492" s="5" t="s">
        <v>427</v>
      </c>
      <c r="M492" s="5" t="s">
        <v>102</v>
      </c>
      <c r="N492" s="5" t="s">
        <v>109</v>
      </c>
      <c r="O492" s="5" t="s">
        <v>109</v>
      </c>
      <c r="P492" s="5" t="s">
        <v>102</v>
      </c>
      <c r="Q492" s="5" t="s">
        <v>102</v>
      </c>
      <c r="R492" s="5" t="s">
        <v>102</v>
      </c>
      <c r="S492" s="5" t="s">
        <v>424</v>
      </c>
      <c r="T492" s="5" t="s">
        <v>102</v>
      </c>
      <c r="U492" s="5">
        <v>100</v>
      </c>
      <c r="V492" s="5">
        <v>1</v>
      </c>
      <c r="W492" s="5" t="s">
        <v>127</v>
      </c>
      <c r="X492" s="24">
        <v>128.46</v>
      </c>
      <c r="Y492" s="5" t="s">
        <v>106</v>
      </c>
      <c r="Z492" s="5"/>
      <c r="AA492" s="5"/>
      <c r="AB492" s="24">
        <v>1E-3</v>
      </c>
      <c r="AC492" s="5" t="s">
        <v>195</v>
      </c>
      <c r="AD492" s="5" t="str">
        <f t="shared" si="34"/>
        <v>kg_co2e_excl_luc</v>
      </c>
      <c r="AE492" s="24">
        <f>IF(CropLCAs[[#This Row],[Product fraction]]="",CropLCAs[[#This Row],[CO2e (value)]]*CropLCAs[[#This Row],[Conversion factor (value)]],CropLCAs[[#This Row],[CO2e (value)]]*CropLCAs[[#This Row],[Conversion factor (value)]]/CropLCAs[[#This Row],[Product fraction]]*CropLCAs[[#This Row],[Value fraction]])</f>
        <v>0.12846000000000002</v>
      </c>
      <c r="AF492" s="5" t="s">
        <v>42</v>
      </c>
      <c r="AG492" s="5" t="str">
        <f t="shared" si="35"/>
        <v>processed_ghg</v>
      </c>
      <c r="AH492" s="5">
        <v>0.38</v>
      </c>
      <c r="AI492" s="5">
        <v>0.71</v>
      </c>
      <c r="AJ492" s="8">
        <f>IF(CropLCAs[[#This Row],[product_fraction]]&gt;0,CropLCAs[[#This Row],[footprint]]/CropLCAs[[#This Row],[product_fraction]]*CropLCAs[[#This Row],[value_fraction]],"")</f>
        <v>0.24001736842105267</v>
      </c>
      <c r="AK492" s="23">
        <f t="shared" si="36"/>
        <v>0.1</v>
      </c>
      <c r="AL492" s="5" t="s">
        <v>109</v>
      </c>
      <c r="AM492" s="5" t="s">
        <v>425</v>
      </c>
      <c r="AN492" s="5"/>
      <c r="AO492" s="5"/>
      <c r="AP492" s="5"/>
      <c r="AQ492" s="5"/>
      <c r="AR492" s="5"/>
      <c r="AS492" s="5"/>
      <c r="AT492" s="5"/>
      <c r="AU492" s="5"/>
    </row>
    <row r="493" spans="1:47" ht="44.1" customHeight="1" x14ac:dyDescent="0.2">
      <c r="A493" s="17" t="s">
        <v>123</v>
      </c>
      <c r="B493" s="17" t="s">
        <v>806</v>
      </c>
      <c r="C493" s="17"/>
      <c r="D493" s="19" t="s">
        <v>807</v>
      </c>
      <c r="E493" s="19" t="s">
        <v>119</v>
      </c>
      <c r="F493" s="17" t="s">
        <v>30</v>
      </c>
      <c r="G493" s="17" t="str">
        <f>IF(CropLCAs[[#This Row],[fbs_item]]="Insects","insect_ghg","plant_ghg")</f>
        <v>plant_ghg</v>
      </c>
      <c r="H493" s="50" t="s">
        <v>308</v>
      </c>
      <c r="I493" s="50"/>
      <c r="J493" s="50"/>
      <c r="K493" s="17" t="s">
        <v>138</v>
      </c>
      <c r="L493" s="17"/>
      <c r="M493" s="17" t="s">
        <v>102</v>
      </c>
      <c r="N493" s="17" t="s">
        <v>109</v>
      </c>
      <c r="O493" s="17" t="s">
        <v>109</v>
      </c>
      <c r="P493" s="17" t="s">
        <v>102</v>
      </c>
      <c r="Q493" s="17" t="s">
        <v>102</v>
      </c>
      <c r="R493" s="17" t="s">
        <v>102</v>
      </c>
      <c r="S493" s="17" t="s">
        <v>808</v>
      </c>
      <c r="T493" s="17" t="s">
        <v>102</v>
      </c>
      <c r="U493" s="17">
        <v>100</v>
      </c>
      <c r="V493" s="17">
        <v>1</v>
      </c>
      <c r="W493" s="5" t="s">
        <v>1423</v>
      </c>
      <c r="X493" s="30">
        <v>9.7000000000000003E-2</v>
      </c>
      <c r="Y493" s="17" t="s">
        <v>106</v>
      </c>
      <c r="Z493" s="17"/>
      <c r="AA493" s="17"/>
      <c r="AB493" s="30">
        <v>1</v>
      </c>
      <c r="AC493" s="17"/>
      <c r="AD493" s="17" t="str">
        <f t="shared" si="34"/>
        <v>kg_co2e_excl_luc</v>
      </c>
      <c r="AE493" s="30">
        <f>IF(CropLCAs[[#This Row],[Product fraction]]="",CropLCAs[[#This Row],[CO2e (value)]]*CropLCAs[[#This Row],[Conversion factor (value)]],CropLCAs[[#This Row],[CO2e (value)]]*CropLCAs[[#This Row],[Conversion factor (value)]]/CropLCAs[[#This Row],[Product fraction]]*CropLCAs[[#This Row],[Value fraction]])</f>
        <v>9.7000000000000003E-2</v>
      </c>
      <c r="AF493" s="19"/>
      <c r="AG493" s="19" t="str">
        <f t="shared" si="35"/>
        <v>processed_ghg</v>
      </c>
      <c r="AH493" s="19"/>
      <c r="AI493" s="19"/>
      <c r="AJ493" s="18" t="str">
        <f>IF(CropLCAs[[#This Row],[product_fraction]]&gt;0,CropLCAs[[#This Row],[footprint]]/CropLCAs[[#This Row],[product_fraction]]*CropLCAs[[#This Row],[value_fraction]],"")</f>
        <v/>
      </c>
      <c r="AK493" s="29"/>
      <c r="AL493" s="19" t="s">
        <v>809</v>
      </c>
      <c r="AM493" s="17" t="s">
        <v>810</v>
      </c>
      <c r="AN493" s="17"/>
      <c r="AO493" s="17"/>
      <c r="AP493" s="17"/>
      <c r="AQ493" s="5"/>
      <c r="AR493" s="5"/>
      <c r="AS493" s="5"/>
      <c r="AT493" s="5"/>
      <c r="AU493" s="5"/>
    </row>
    <row r="494" spans="1:47" ht="44.1" customHeight="1" x14ac:dyDescent="0.2">
      <c r="A494" s="17" t="s">
        <v>123</v>
      </c>
      <c r="B494" s="17" t="s">
        <v>806</v>
      </c>
      <c r="C494" s="17"/>
      <c r="D494" s="19" t="s">
        <v>807</v>
      </c>
      <c r="E494" s="19" t="s">
        <v>233</v>
      </c>
      <c r="F494" s="17" t="s">
        <v>31</v>
      </c>
      <c r="G494" s="17" t="str">
        <f>IF(CropLCAs[[#This Row],[fbs_item]]="Insects","insect_ghg","plant_ghg")</f>
        <v>plant_ghg</v>
      </c>
      <c r="H494" s="50" t="s">
        <v>308</v>
      </c>
      <c r="I494" s="50"/>
      <c r="J494" s="50"/>
      <c r="K494" s="17" t="s">
        <v>101</v>
      </c>
      <c r="L494" s="17"/>
      <c r="M494" s="17" t="s">
        <v>102</v>
      </c>
      <c r="N494" s="17" t="s">
        <v>109</v>
      </c>
      <c r="O494" s="17" t="s">
        <v>109</v>
      </c>
      <c r="P494" s="17" t="s">
        <v>102</v>
      </c>
      <c r="Q494" s="17" t="s">
        <v>102</v>
      </c>
      <c r="R494" s="17" t="s">
        <v>102</v>
      </c>
      <c r="S494" s="17" t="s">
        <v>808</v>
      </c>
      <c r="T494" s="17" t="s">
        <v>102</v>
      </c>
      <c r="U494" s="17">
        <v>100</v>
      </c>
      <c r="V494" s="17">
        <v>1</v>
      </c>
      <c r="W494" s="17" t="s">
        <v>106</v>
      </c>
      <c r="X494" s="30">
        <v>0.376</v>
      </c>
      <c r="Y494" s="17" t="s">
        <v>106</v>
      </c>
      <c r="Z494" s="17"/>
      <c r="AA494" s="17"/>
      <c r="AB494" s="30">
        <v>1</v>
      </c>
      <c r="AC494" s="17"/>
      <c r="AD494" s="17" t="str">
        <f t="shared" si="34"/>
        <v>kg_co2e_excl_luc</v>
      </c>
      <c r="AE494" s="30">
        <f>IF(CropLCAs[[#This Row],[Product fraction]]="",CropLCAs[[#This Row],[CO2e (value)]]*CropLCAs[[#This Row],[Conversion factor (value)]],CropLCAs[[#This Row],[CO2e (value)]]*CropLCAs[[#This Row],[Conversion factor (value)]]/CropLCAs[[#This Row],[Product fraction]]*CropLCAs[[#This Row],[Value fraction]])</f>
        <v>0.376</v>
      </c>
      <c r="AF494" s="19"/>
      <c r="AG494" s="19" t="str">
        <f t="shared" si="35"/>
        <v>processed_ghg</v>
      </c>
      <c r="AH494" s="19"/>
      <c r="AI494" s="19"/>
      <c r="AJ494" s="18" t="str">
        <f>IF(CropLCAs[[#This Row],[product_fraction]]&gt;0,CropLCAs[[#This Row],[footprint]]/CropLCAs[[#This Row],[product_fraction]]*CropLCAs[[#This Row],[value_fraction]],"")</f>
        <v/>
      </c>
      <c r="AK494" s="29"/>
      <c r="AL494" s="19" t="s">
        <v>809</v>
      </c>
      <c r="AM494" s="17" t="s">
        <v>810</v>
      </c>
      <c r="AN494" s="17"/>
      <c r="AO494" s="17"/>
      <c r="AP494" s="17"/>
      <c r="AQ494" s="5"/>
      <c r="AR494" s="5"/>
      <c r="AS494" s="5"/>
      <c r="AT494" s="5"/>
      <c r="AU494" s="5"/>
    </row>
    <row r="495" spans="1:47" ht="44.1" customHeight="1" x14ac:dyDescent="0.2">
      <c r="A495" s="17" t="s">
        <v>123</v>
      </c>
      <c r="B495" s="17" t="s">
        <v>806</v>
      </c>
      <c r="C495" s="17"/>
      <c r="D495" s="19" t="s">
        <v>807</v>
      </c>
      <c r="E495" s="19" t="s">
        <v>503</v>
      </c>
      <c r="F495" s="17" t="s">
        <v>9</v>
      </c>
      <c r="G495" s="17" t="str">
        <f>IF(CropLCAs[[#This Row],[fbs_item]]="Insects","insect_ghg","plant_ghg")</f>
        <v>plant_ghg</v>
      </c>
      <c r="H495" s="50" t="s">
        <v>308</v>
      </c>
      <c r="I495" s="50"/>
      <c r="J495" s="50"/>
      <c r="K495" s="17" t="s">
        <v>101</v>
      </c>
      <c r="L495" s="17"/>
      <c r="M495" s="17" t="s">
        <v>231</v>
      </c>
      <c r="N495" s="17" t="s">
        <v>109</v>
      </c>
      <c r="O495" s="17" t="s">
        <v>109</v>
      </c>
      <c r="P495" s="17" t="s">
        <v>102</v>
      </c>
      <c r="Q495" s="17" t="s">
        <v>102</v>
      </c>
      <c r="R495" s="17" t="s">
        <v>102</v>
      </c>
      <c r="S495" s="17" t="s">
        <v>808</v>
      </c>
      <c r="T495" s="17" t="s">
        <v>102</v>
      </c>
      <c r="U495" s="17">
        <v>100</v>
      </c>
      <c r="V495" s="17">
        <v>1</v>
      </c>
      <c r="W495" s="17" t="s">
        <v>106</v>
      </c>
      <c r="X495" s="30">
        <v>6.3E-2</v>
      </c>
      <c r="Y495" s="17" t="s">
        <v>106</v>
      </c>
      <c r="Z495" s="17"/>
      <c r="AA495" s="17"/>
      <c r="AB495" s="30">
        <v>1</v>
      </c>
      <c r="AC495" s="17"/>
      <c r="AD495" s="17" t="str">
        <f t="shared" si="34"/>
        <v>kg_co2e_excl_luc</v>
      </c>
      <c r="AE495" s="30">
        <f>IF(CropLCAs[[#This Row],[Product fraction]]="",CropLCAs[[#This Row],[CO2e (value)]]*CropLCAs[[#This Row],[Conversion factor (value)]],CropLCAs[[#This Row],[CO2e (value)]]*CropLCAs[[#This Row],[Conversion factor (value)]]/CropLCAs[[#This Row],[Product fraction]]*CropLCAs[[#This Row],[Value fraction]])</f>
        <v>6.3E-2</v>
      </c>
      <c r="AF495" s="19"/>
      <c r="AG495" s="19" t="str">
        <f t="shared" si="35"/>
        <v>processed_ghg</v>
      </c>
      <c r="AH495" s="19"/>
      <c r="AI495" s="19"/>
      <c r="AJ495" s="18" t="str">
        <f>IF(CropLCAs[[#This Row],[product_fraction]]&gt;0,CropLCAs[[#This Row],[footprint]]/CropLCAs[[#This Row],[product_fraction]]*CropLCAs[[#This Row],[value_fraction]],"")</f>
        <v/>
      </c>
      <c r="AK495" s="29"/>
      <c r="AL495" s="19" t="s">
        <v>809</v>
      </c>
      <c r="AM495" s="17" t="s">
        <v>810</v>
      </c>
      <c r="AN495" s="17"/>
      <c r="AO495" s="17"/>
      <c r="AP495" s="17"/>
      <c r="AQ495" s="5"/>
      <c r="AR495" s="5"/>
      <c r="AS495" s="5"/>
      <c r="AT495" s="5"/>
      <c r="AU495" s="5"/>
    </row>
    <row r="496" spans="1:47" ht="44.1" customHeight="1" x14ac:dyDescent="0.2">
      <c r="A496" s="17" t="s">
        <v>123</v>
      </c>
      <c r="B496" s="17" t="s">
        <v>806</v>
      </c>
      <c r="C496" s="17"/>
      <c r="D496" s="19" t="s">
        <v>807</v>
      </c>
      <c r="E496" s="19" t="s">
        <v>824</v>
      </c>
      <c r="F496" s="17" t="s">
        <v>3</v>
      </c>
      <c r="G496" s="17" t="str">
        <f>IF(CropLCAs[[#This Row],[fbs_item]]="Insects","insect_ghg","plant_ghg")</f>
        <v>plant_ghg</v>
      </c>
      <c r="H496" s="50" t="s">
        <v>308</v>
      </c>
      <c r="I496" s="50"/>
      <c r="J496" s="50"/>
      <c r="K496" s="17" t="s">
        <v>138</v>
      </c>
      <c r="L496" s="17"/>
      <c r="M496" s="17" t="s">
        <v>102</v>
      </c>
      <c r="N496" s="17" t="s">
        <v>109</v>
      </c>
      <c r="O496" s="17" t="s">
        <v>109</v>
      </c>
      <c r="P496" s="17" t="s">
        <v>102</v>
      </c>
      <c r="Q496" s="17" t="s">
        <v>102</v>
      </c>
      <c r="R496" s="17" t="s">
        <v>102</v>
      </c>
      <c r="S496" s="17" t="s">
        <v>808</v>
      </c>
      <c r="T496" s="17" t="s">
        <v>102</v>
      </c>
      <c r="U496" s="17">
        <v>100</v>
      </c>
      <c r="V496" s="17">
        <v>1</v>
      </c>
      <c r="W496" s="17" t="s">
        <v>106</v>
      </c>
      <c r="X496" s="30">
        <v>0.32700000000000001</v>
      </c>
      <c r="Y496" s="17" t="s">
        <v>106</v>
      </c>
      <c r="Z496" s="17"/>
      <c r="AA496" s="17"/>
      <c r="AB496" s="30">
        <v>1</v>
      </c>
      <c r="AC496" s="17"/>
      <c r="AD496" s="17" t="str">
        <f t="shared" si="34"/>
        <v>kg_co2e_excl_luc</v>
      </c>
      <c r="AE496" s="30">
        <f>IF(CropLCAs[[#This Row],[Product fraction]]="",CropLCAs[[#This Row],[CO2e (value)]]*CropLCAs[[#This Row],[Conversion factor (value)]],CropLCAs[[#This Row],[CO2e (value)]]*CropLCAs[[#This Row],[Conversion factor (value)]]/CropLCAs[[#This Row],[Product fraction]]*CropLCAs[[#This Row],[Value fraction]])</f>
        <v>0.32700000000000001</v>
      </c>
      <c r="AF496" s="19"/>
      <c r="AG496" s="19" t="str">
        <f t="shared" si="35"/>
        <v>processed_ghg</v>
      </c>
      <c r="AH496" s="19"/>
      <c r="AI496" s="19"/>
      <c r="AJ496" s="18" t="str">
        <f>IF(CropLCAs[[#This Row],[product_fraction]]&gt;0,CropLCAs[[#This Row],[footprint]]/CropLCAs[[#This Row],[product_fraction]]*CropLCAs[[#This Row],[value_fraction]],"")</f>
        <v/>
      </c>
      <c r="AK496" s="29"/>
      <c r="AL496" s="19" t="s">
        <v>809</v>
      </c>
      <c r="AM496" s="17" t="s">
        <v>810</v>
      </c>
      <c r="AN496" s="17"/>
      <c r="AO496" s="17"/>
      <c r="AP496" s="17"/>
      <c r="AQ496" s="5"/>
      <c r="AR496" s="5"/>
      <c r="AS496" s="5"/>
      <c r="AT496" s="5"/>
      <c r="AU496" s="5"/>
    </row>
    <row r="497" spans="1:47" ht="44.1" customHeight="1" x14ac:dyDescent="0.2">
      <c r="A497" s="17" t="s">
        <v>123</v>
      </c>
      <c r="B497" s="17" t="s">
        <v>806</v>
      </c>
      <c r="C497" s="17"/>
      <c r="D497" s="19" t="s">
        <v>807</v>
      </c>
      <c r="E497" s="19" t="s">
        <v>630</v>
      </c>
      <c r="F497" s="17" t="s">
        <v>5</v>
      </c>
      <c r="G497" s="17" t="str">
        <f>IF(CropLCAs[[#This Row],[fbs_item]]="Insects","insect_ghg","plant_ghg")</f>
        <v>plant_ghg</v>
      </c>
      <c r="H497" s="50" t="s">
        <v>308</v>
      </c>
      <c r="I497" s="50"/>
      <c r="J497" s="50"/>
      <c r="K497" s="17" t="s">
        <v>138</v>
      </c>
      <c r="L497" s="17"/>
      <c r="M497" s="17" t="s">
        <v>102</v>
      </c>
      <c r="N497" s="17" t="s">
        <v>109</v>
      </c>
      <c r="O497" s="17" t="s">
        <v>109</v>
      </c>
      <c r="P497" s="17" t="s">
        <v>102</v>
      </c>
      <c r="Q497" s="17" t="s">
        <v>102</v>
      </c>
      <c r="R497" s="17" t="s">
        <v>102</v>
      </c>
      <c r="S497" s="17" t="s">
        <v>808</v>
      </c>
      <c r="T497" s="17" t="s">
        <v>102</v>
      </c>
      <c r="U497" s="17">
        <v>100</v>
      </c>
      <c r="V497" s="17">
        <v>1</v>
      </c>
      <c r="W497" s="17" t="s">
        <v>106</v>
      </c>
      <c r="X497" s="30">
        <v>0.50900000000000001</v>
      </c>
      <c r="Y497" s="17" t="s">
        <v>106</v>
      </c>
      <c r="Z497" s="17"/>
      <c r="AA497" s="17"/>
      <c r="AB497" s="30">
        <v>1</v>
      </c>
      <c r="AC497" s="17"/>
      <c r="AD497" s="17" t="str">
        <f t="shared" si="34"/>
        <v>kg_co2e_excl_luc</v>
      </c>
      <c r="AE497" s="30">
        <f>IF(CropLCAs[[#This Row],[Product fraction]]="",CropLCAs[[#This Row],[CO2e (value)]]*CropLCAs[[#This Row],[Conversion factor (value)]],CropLCAs[[#This Row],[CO2e (value)]]*CropLCAs[[#This Row],[Conversion factor (value)]]/CropLCAs[[#This Row],[Product fraction]]*CropLCAs[[#This Row],[Value fraction]])</f>
        <v>0.50900000000000001</v>
      </c>
      <c r="AF497" s="19"/>
      <c r="AG497" s="19" t="str">
        <f t="shared" si="35"/>
        <v>processed_ghg</v>
      </c>
      <c r="AH497" s="19"/>
      <c r="AI497" s="19"/>
      <c r="AJ497" s="18" t="str">
        <f>IF(CropLCAs[[#This Row],[product_fraction]]&gt;0,CropLCAs[[#This Row],[footprint]]/CropLCAs[[#This Row],[product_fraction]]*CropLCAs[[#This Row],[value_fraction]],"")</f>
        <v/>
      </c>
      <c r="AK497" s="29"/>
      <c r="AL497" s="19" t="s">
        <v>809</v>
      </c>
      <c r="AM497" s="17" t="s">
        <v>810</v>
      </c>
      <c r="AN497" s="17"/>
      <c r="AO497" s="17"/>
      <c r="AP497" s="17"/>
      <c r="AQ497" s="5"/>
      <c r="AR497" s="5"/>
      <c r="AS497" s="5"/>
      <c r="AT497" s="5"/>
      <c r="AU497" s="5"/>
    </row>
    <row r="498" spans="1:47" ht="44.1" customHeight="1" x14ac:dyDescent="0.2">
      <c r="A498" s="5" t="s">
        <v>215</v>
      </c>
      <c r="B498" s="5" t="s">
        <v>1489</v>
      </c>
      <c r="C498" s="16">
        <v>2008</v>
      </c>
      <c r="D498" s="6" t="s">
        <v>422</v>
      </c>
      <c r="E498" s="6" t="s">
        <v>396</v>
      </c>
      <c r="F498" s="5" t="s">
        <v>23</v>
      </c>
      <c r="G498" s="5" t="str">
        <f>IF(CropLCAs[[#This Row],[fbs_item]]="Insects","insect_ghg","plant_ghg")</f>
        <v>plant_ghg</v>
      </c>
      <c r="H498" s="49" t="s">
        <v>253</v>
      </c>
      <c r="I498" s="49"/>
      <c r="J498" s="49" t="s">
        <v>1293</v>
      </c>
      <c r="K498" s="5" t="s">
        <v>1377</v>
      </c>
      <c r="L498" s="5" t="s">
        <v>428</v>
      </c>
      <c r="M498" s="5" t="s">
        <v>102</v>
      </c>
      <c r="N498" s="5" t="s">
        <v>109</v>
      </c>
      <c r="O498" s="5" t="s">
        <v>109</v>
      </c>
      <c r="P498" s="5" t="s">
        <v>102</v>
      </c>
      <c r="Q498" s="5" t="s">
        <v>102</v>
      </c>
      <c r="R498" s="5" t="s">
        <v>102</v>
      </c>
      <c r="S498" s="5" t="s">
        <v>424</v>
      </c>
      <c r="T498" s="5" t="s">
        <v>102</v>
      </c>
      <c r="U498" s="5">
        <v>100</v>
      </c>
      <c r="V498" s="5">
        <v>1</v>
      </c>
      <c r="W498" s="5" t="s">
        <v>127</v>
      </c>
      <c r="X498" s="24">
        <v>149.21</v>
      </c>
      <c r="Y498" s="5" t="s">
        <v>106</v>
      </c>
      <c r="Z498" s="5"/>
      <c r="AA498" s="5"/>
      <c r="AB498" s="24">
        <v>1E-3</v>
      </c>
      <c r="AC498" s="5" t="s">
        <v>195</v>
      </c>
      <c r="AD498" s="5" t="str">
        <f t="shared" si="34"/>
        <v>kg_co2e_excl_luc</v>
      </c>
      <c r="AE498" s="24">
        <f>IF(CropLCAs[[#This Row],[Product fraction]]="",CropLCAs[[#This Row],[CO2e (value)]]*CropLCAs[[#This Row],[Conversion factor (value)]],CropLCAs[[#This Row],[CO2e (value)]]*CropLCAs[[#This Row],[Conversion factor (value)]]/CropLCAs[[#This Row],[Product fraction]]*CropLCAs[[#This Row],[Value fraction]])</f>
        <v>0.14921000000000001</v>
      </c>
      <c r="AF498" s="5" t="s">
        <v>42</v>
      </c>
      <c r="AG498" s="5" t="str">
        <f t="shared" si="35"/>
        <v>processed_ghg</v>
      </c>
      <c r="AH498" s="5">
        <v>0.38</v>
      </c>
      <c r="AI498" s="5">
        <v>0.71</v>
      </c>
      <c r="AJ498" s="8">
        <f>IF(CropLCAs[[#This Row],[product_fraction]]&gt;0,CropLCAs[[#This Row],[footprint]]/CropLCAs[[#This Row],[product_fraction]]*CropLCAs[[#This Row],[value_fraction]],"")</f>
        <v>0.27878710526315792</v>
      </c>
      <c r="AK498" s="23">
        <f>1/10</f>
        <v>0.1</v>
      </c>
      <c r="AL498" s="5" t="s">
        <v>109</v>
      </c>
      <c r="AM498" s="5" t="s">
        <v>425</v>
      </c>
      <c r="AN498" s="5"/>
      <c r="AO498" s="5"/>
      <c r="AP498" s="5"/>
      <c r="AQ498" s="17"/>
      <c r="AR498" s="17"/>
      <c r="AS498" s="17"/>
      <c r="AT498" s="17"/>
      <c r="AU498" s="17"/>
    </row>
    <row r="499" spans="1:47" ht="44.1" customHeight="1" x14ac:dyDescent="0.2">
      <c r="A499" s="5" t="s">
        <v>215</v>
      </c>
      <c r="B499" s="5" t="s">
        <v>1489</v>
      </c>
      <c r="C499" s="16">
        <v>2008</v>
      </c>
      <c r="D499" s="6" t="s">
        <v>422</v>
      </c>
      <c r="E499" s="6" t="s">
        <v>396</v>
      </c>
      <c r="F499" s="5" t="s">
        <v>23</v>
      </c>
      <c r="G499" s="5" t="str">
        <f>IF(CropLCAs[[#This Row],[fbs_item]]="Insects","insect_ghg","plant_ghg")</f>
        <v>plant_ghg</v>
      </c>
      <c r="H499" s="49" t="s">
        <v>253</v>
      </c>
      <c r="I499" s="49"/>
      <c r="J499" s="49" t="s">
        <v>1293</v>
      </c>
      <c r="K499" s="5" t="s">
        <v>1377</v>
      </c>
      <c r="L499" s="5" t="s">
        <v>429</v>
      </c>
      <c r="M499" s="5" t="s">
        <v>102</v>
      </c>
      <c r="N499" s="5" t="s">
        <v>109</v>
      </c>
      <c r="O499" s="5" t="s">
        <v>109</v>
      </c>
      <c r="P499" s="5" t="s">
        <v>102</v>
      </c>
      <c r="Q499" s="5" t="s">
        <v>102</v>
      </c>
      <c r="R499" s="5" t="s">
        <v>102</v>
      </c>
      <c r="S499" s="5" t="s">
        <v>424</v>
      </c>
      <c r="T499" s="5" t="s">
        <v>102</v>
      </c>
      <c r="U499" s="5">
        <v>100</v>
      </c>
      <c r="V499" s="5">
        <v>1</v>
      </c>
      <c r="W499" s="5" t="s">
        <v>127</v>
      </c>
      <c r="X499" s="24">
        <v>186.76</v>
      </c>
      <c r="Y499" s="5" t="s">
        <v>106</v>
      </c>
      <c r="Z499" s="5"/>
      <c r="AA499" s="5"/>
      <c r="AB499" s="24">
        <v>1E-3</v>
      </c>
      <c r="AC499" s="5" t="s">
        <v>195</v>
      </c>
      <c r="AD499" s="5" t="str">
        <f t="shared" si="34"/>
        <v>kg_co2e_excl_luc</v>
      </c>
      <c r="AE499" s="24">
        <f>IF(CropLCAs[[#This Row],[Product fraction]]="",CropLCAs[[#This Row],[CO2e (value)]]*CropLCAs[[#This Row],[Conversion factor (value)]],CropLCAs[[#This Row],[CO2e (value)]]*CropLCAs[[#This Row],[Conversion factor (value)]]/CropLCAs[[#This Row],[Product fraction]]*CropLCAs[[#This Row],[Value fraction]])</f>
        <v>0.18675999999999998</v>
      </c>
      <c r="AF499" s="5" t="s">
        <v>42</v>
      </c>
      <c r="AG499" s="5" t="str">
        <f t="shared" si="35"/>
        <v>processed_ghg</v>
      </c>
      <c r="AH499" s="5">
        <v>0.38</v>
      </c>
      <c r="AI499" s="5">
        <v>0.71</v>
      </c>
      <c r="AJ499" s="8">
        <f>IF(CropLCAs[[#This Row],[product_fraction]]&gt;0,CropLCAs[[#This Row],[footprint]]/CropLCAs[[#This Row],[product_fraction]]*CropLCAs[[#This Row],[value_fraction]],"")</f>
        <v>0.34894631578947366</v>
      </c>
      <c r="AK499" s="23">
        <f>1/10</f>
        <v>0.1</v>
      </c>
      <c r="AL499" s="5" t="s">
        <v>109</v>
      </c>
      <c r="AM499" s="5" t="s">
        <v>425</v>
      </c>
      <c r="AN499" s="5"/>
      <c r="AO499" s="5"/>
      <c r="AP499" s="5"/>
      <c r="AQ499" s="17"/>
      <c r="AR499" s="17"/>
      <c r="AS499" s="17"/>
      <c r="AT499" s="17"/>
      <c r="AU499" s="17"/>
    </row>
    <row r="500" spans="1:47" ht="44.1" customHeight="1" x14ac:dyDescent="0.2">
      <c r="A500" s="5" t="s">
        <v>123</v>
      </c>
      <c r="B500" s="5" t="s">
        <v>1490</v>
      </c>
      <c r="C500" s="16">
        <v>2015</v>
      </c>
      <c r="D500" s="6" t="s">
        <v>328</v>
      </c>
      <c r="E500" s="6" t="s">
        <v>305</v>
      </c>
      <c r="F500" s="5" t="s">
        <v>25</v>
      </c>
      <c r="G500" s="5" t="str">
        <f>IF(CropLCAs[[#This Row],[fbs_item]]="Insects","insect_ghg","plant_ghg")</f>
        <v>plant_ghg</v>
      </c>
      <c r="H500" s="49" t="s">
        <v>210</v>
      </c>
      <c r="I500" s="49"/>
      <c r="J500" s="49"/>
      <c r="K500" s="5" t="s">
        <v>778</v>
      </c>
      <c r="L500" s="5" t="s">
        <v>329</v>
      </c>
      <c r="M500" s="5" t="s">
        <v>102</v>
      </c>
      <c r="N500" s="5" t="s">
        <v>109</v>
      </c>
      <c r="O500" s="5" t="s">
        <v>109</v>
      </c>
      <c r="P500" s="5" t="s">
        <v>102</v>
      </c>
      <c r="Q500" s="5" t="s">
        <v>102</v>
      </c>
      <c r="R500" s="5" t="s">
        <v>102</v>
      </c>
      <c r="S500" s="5" t="s">
        <v>102</v>
      </c>
      <c r="T500" s="5" t="s">
        <v>102</v>
      </c>
      <c r="U500" s="5" t="s">
        <v>126</v>
      </c>
      <c r="V500" s="5">
        <v>1</v>
      </c>
      <c r="W500" s="5" t="s">
        <v>106</v>
      </c>
      <c r="X500" s="24">
        <v>0.1</v>
      </c>
      <c r="Y500" s="5" t="s">
        <v>106</v>
      </c>
      <c r="Z500" s="5"/>
      <c r="AA500" s="5"/>
      <c r="AB500" s="24">
        <v>1</v>
      </c>
      <c r="AC500" s="5"/>
      <c r="AD500" s="5" t="str">
        <f t="shared" si="34"/>
        <v>kg_co2e_excl_luc</v>
      </c>
      <c r="AE500" s="24">
        <f>IF(CropLCAs[[#This Row],[Product fraction]]="",CropLCAs[[#This Row],[CO2e (value)]]*CropLCAs[[#This Row],[Conversion factor (value)]],CropLCAs[[#This Row],[CO2e (value)]]*CropLCAs[[#This Row],[Conversion factor (value)]]/CropLCAs[[#This Row],[Product fraction]]*CropLCAs[[#This Row],[Value fraction]])</f>
        <v>0.1</v>
      </c>
      <c r="AF500" s="5" t="s">
        <v>45</v>
      </c>
      <c r="AG500" s="5" t="str">
        <f t="shared" si="35"/>
        <v>processed_ghg</v>
      </c>
      <c r="AH500" s="9">
        <v>0.2</v>
      </c>
      <c r="AI500" s="9">
        <v>0.96</v>
      </c>
      <c r="AJ500" s="8">
        <f>IF(CropLCAs[[#This Row],[product_fraction]]&gt;0,CropLCAs[[#This Row],[footprint]]/CropLCAs[[#This Row],[product_fraction]]*CropLCAs[[#This Row],[value_fraction]],"")</f>
        <v>0.48</v>
      </c>
      <c r="AK500" s="23">
        <f>1/3</f>
        <v>0.33333333333333331</v>
      </c>
      <c r="AL500" s="5" t="s">
        <v>109</v>
      </c>
      <c r="AM500" s="5" t="s">
        <v>330</v>
      </c>
      <c r="AN500" s="5"/>
      <c r="AO500" s="5"/>
      <c r="AP500" s="5"/>
      <c r="AQ500" s="17"/>
      <c r="AR500" s="17"/>
      <c r="AS500" s="17"/>
      <c r="AT500" s="17"/>
      <c r="AU500" s="17"/>
    </row>
    <row r="501" spans="1:47" ht="44.1" customHeight="1" x14ac:dyDescent="0.2">
      <c r="A501" s="5" t="s">
        <v>123</v>
      </c>
      <c r="B501" s="5" t="s">
        <v>1490</v>
      </c>
      <c r="C501" s="16">
        <v>2015</v>
      </c>
      <c r="D501" s="6" t="s">
        <v>328</v>
      </c>
      <c r="E501" s="6" t="s">
        <v>305</v>
      </c>
      <c r="F501" s="5" t="s">
        <v>25</v>
      </c>
      <c r="G501" s="5" t="str">
        <f>IF(CropLCAs[[#This Row],[fbs_item]]="Insects","insect_ghg","plant_ghg")</f>
        <v>plant_ghg</v>
      </c>
      <c r="H501" s="49" t="s">
        <v>210</v>
      </c>
      <c r="I501" s="49"/>
      <c r="J501" s="49"/>
      <c r="K501" s="5" t="s">
        <v>778</v>
      </c>
      <c r="L501" s="5" t="s">
        <v>331</v>
      </c>
      <c r="M501" s="5" t="s">
        <v>102</v>
      </c>
      <c r="N501" s="5" t="s">
        <v>109</v>
      </c>
      <c r="O501" s="5" t="s">
        <v>109</v>
      </c>
      <c r="P501" s="5" t="s">
        <v>102</v>
      </c>
      <c r="Q501" s="5" t="s">
        <v>102</v>
      </c>
      <c r="R501" s="5" t="s">
        <v>102</v>
      </c>
      <c r="S501" s="5" t="s">
        <v>102</v>
      </c>
      <c r="T501" s="5" t="s">
        <v>102</v>
      </c>
      <c r="U501" s="5" t="s">
        <v>126</v>
      </c>
      <c r="V501" s="5">
        <v>1</v>
      </c>
      <c r="W501" s="5" t="s">
        <v>106</v>
      </c>
      <c r="X501" s="24">
        <v>0.12</v>
      </c>
      <c r="Y501" s="5" t="s">
        <v>106</v>
      </c>
      <c r="Z501" s="5"/>
      <c r="AA501" s="5"/>
      <c r="AB501" s="24">
        <v>1</v>
      </c>
      <c r="AC501" s="5"/>
      <c r="AD501" s="5" t="str">
        <f t="shared" si="34"/>
        <v>kg_co2e_excl_luc</v>
      </c>
      <c r="AE501" s="24">
        <f>IF(CropLCAs[[#This Row],[Product fraction]]="",CropLCAs[[#This Row],[CO2e (value)]]*CropLCAs[[#This Row],[Conversion factor (value)]],CropLCAs[[#This Row],[CO2e (value)]]*CropLCAs[[#This Row],[Conversion factor (value)]]/CropLCAs[[#This Row],[Product fraction]]*CropLCAs[[#This Row],[Value fraction]])</f>
        <v>0.12</v>
      </c>
      <c r="AF501" s="5" t="s">
        <v>45</v>
      </c>
      <c r="AG501" s="5" t="str">
        <f t="shared" si="35"/>
        <v>processed_ghg</v>
      </c>
      <c r="AH501" s="9">
        <v>0.2</v>
      </c>
      <c r="AI501" s="9">
        <v>0.96</v>
      </c>
      <c r="AJ501" s="8">
        <f>IF(CropLCAs[[#This Row],[product_fraction]]&gt;0,CropLCAs[[#This Row],[footprint]]/CropLCAs[[#This Row],[product_fraction]]*CropLCAs[[#This Row],[value_fraction]],"")</f>
        <v>0.57599999999999996</v>
      </c>
      <c r="AK501" s="23">
        <f>1/3</f>
        <v>0.33333333333333331</v>
      </c>
      <c r="AL501" s="5" t="s">
        <v>109</v>
      </c>
      <c r="AM501" s="5" t="s">
        <v>332</v>
      </c>
      <c r="AN501" s="5"/>
      <c r="AO501" s="5"/>
      <c r="AP501" s="5"/>
      <c r="AQ501" s="17"/>
      <c r="AR501" s="17"/>
      <c r="AS501" s="17"/>
      <c r="AT501" s="17"/>
      <c r="AU501" s="17"/>
    </row>
    <row r="502" spans="1:47" ht="44.1" customHeight="1" x14ac:dyDescent="0.2">
      <c r="A502" s="5" t="s">
        <v>123</v>
      </c>
      <c r="B502" s="5" t="s">
        <v>1490</v>
      </c>
      <c r="C502" s="16">
        <v>2015</v>
      </c>
      <c r="D502" s="6" t="s">
        <v>328</v>
      </c>
      <c r="E502" s="6" t="s">
        <v>305</v>
      </c>
      <c r="F502" s="5" t="s">
        <v>25</v>
      </c>
      <c r="G502" s="5" t="str">
        <f>IF(CropLCAs[[#This Row],[fbs_item]]="Insects","insect_ghg","plant_ghg")</f>
        <v>plant_ghg</v>
      </c>
      <c r="H502" s="49" t="s">
        <v>210</v>
      </c>
      <c r="I502" s="49"/>
      <c r="J502" s="49"/>
      <c r="K502" s="5" t="s">
        <v>778</v>
      </c>
      <c r="L502" s="5" t="s">
        <v>333</v>
      </c>
      <c r="M502" s="5" t="s">
        <v>102</v>
      </c>
      <c r="N502" s="5" t="s">
        <v>334</v>
      </c>
      <c r="O502" s="5" t="s">
        <v>109</v>
      </c>
      <c r="P502" s="5" t="s">
        <v>102</v>
      </c>
      <c r="Q502" s="5" t="s">
        <v>102</v>
      </c>
      <c r="R502" s="5" t="s">
        <v>102</v>
      </c>
      <c r="S502" s="5" t="s">
        <v>102</v>
      </c>
      <c r="T502" s="5" t="s">
        <v>102</v>
      </c>
      <c r="U502" s="5" t="s">
        <v>126</v>
      </c>
      <c r="V502" s="5">
        <v>1</v>
      </c>
      <c r="W502" s="5" t="s">
        <v>106</v>
      </c>
      <c r="X502" s="24">
        <v>0.22</v>
      </c>
      <c r="Y502" s="5" t="s">
        <v>106</v>
      </c>
      <c r="Z502" s="5"/>
      <c r="AA502" s="5"/>
      <c r="AB502" s="24">
        <v>1</v>
      </c>
      <c r="AC502" s="5"/>
      <c r="AD502" s="5" t="str">
        <f t="shared" si="34"/>
        <v>kg_co2e_excl_luc</v>
      </c>
      <c r="AE502" s="24">
        <f>IF(CropLCAs[[#This Row],[Product fraction]]="",CropLCAs[[#This Row],[CO2e (value)]]*CropLCAs[[#This Row],[Conversion factor (value)]],CropLCAs[[#This Row],[CO2e (value)]]*CropLCAs[[#This Row],[Conversion factor (value)]]/CropLCAs[[#This Row],[Product fraction]]*CropLCAs[[#This Row],[Value fraction]])</f>
        <v>0.22</v>
      </c>
      <c r="AF502" s="5" t="s">
        <v>45</v>
      </c>
      <c r="AG502" s="5" t="str">
        <f t="shared" si="35"/>
        <v>processed_ghg</v>
      </c>
      <c r="AH502" s="9">
        <v>0.2</v>
      </c>
      <c r="AI502" s="9">
        <v>0.96</v>
      </c>
      <c r="AJ502" s="8">
        <f>IF(CropLCAs[[#This Row],[product_fraction]]&gt;0,CropLCAs[[#This Row],[footprint]]/CropLCAs[[#This Row],[product_fraction]]*CropLCAs[[#This Row],[value_fraction]],"")</f>
        <v>1.0559999999999998</v>
      </c>
      <c r="AK502" s="23">
        <f>1/3</f>
        <v>0.33333333333333331</v>
      </c>
      <c r="AL502" s="5" t="s">
        <v>109</v>
      </c>
      <c r="AM502" s="5" t="s">
        <v>335</v>
      </c>
      <c r="AN502" s="5"/>
      <c r="AO502" s="5"/>
      <c r="AP502" s="5"/>
      <c r="AQ502" s="17"/>
      <c r="AR502" s="17"/>
      <c r="AS502" s="17"/>
      <c r="AT502" s="17"/>
      <c r="AU502" s="17"/>
    </row>
    <row r="503" spans="1:47" ht="44.1" customHeight="1" x14ac:dyDescent="0.2">
      <c r="A503" s="5" t="s">
        <v>215</v>
      </c>
      <c r="B503" s="5" t="s">
        <v>1491</v>
      </c>
      <c r="C503" s="16">
        <v>2014</v>
      </c>
      <c r="D503" s="5" t="s">
        <v>539</v>
      </c>
      <c r="E503" s="5" t="s">
        <v>525</v>
      </c>
      <c r="F503" s="5" t="s">
        <v>9</v>
      </c>
      <c r="G503" s="5" t="str">
        <f>IF(CropLCAs[[#This Row],[fbs_item]]="Insects","insect_ghg","plant_ghg")</f>
        <v>plant_ghg</v>
      </c>
      <c r="H503" s="49" t="s">
        <v>540</v>
      </c>
      <c r="I503" s="49"/>
      <c r="J503" s="49"/>
      <c r="K503" s="5" t="s">
        <v>230</v>
      </c>
      <c r="L503" s="5" t="s">
        <v>541</v>
      </c>
      <c r="M503" s="5" t="s">
        <v>231</v>
      </c>
      <c r="N503" s="5" t="s">
        <v>542</v>
      </c>
      <c r="O503" s="5" t="s">
        <v>109</v>
      </c>
      <c r="P503" s="5" t="s">
        <v>102</v>
      </c>
      <c r="Q503" s="5" t="s">
        <v>102</v>
      </c>
      <c r="R503" s="5" t="s">
        <v>105</v>
      </c>
      <c r="S503" s="5" t="s">
        <v>105</v>
      </c>
      <c r="T503" s="5" t="s">
        <v>102</v>
      </c>
      <c r="U503" s="5">
        <v>100</v>
      </c>
      <c r="V503" s="5">
        <v>1</v>
      </c>
      <c r="W503" s="5" t="s">
        <v>106</v>
      </c>
      <c r="X503" s="24">
        <v>22</v>
      </c>
      <c r="Y503" s="5" t="s">
        <v>107</v>
      </c>
      <c r="Z503" s="5"/>
      <c r="AA503" s="5"/>
      <c r="AB503" s="26">
        <v>1E-3</v>
      </c>
      <c r="AC503" s="5" t="s">
        <v>108</v>
      </c>
      <c r="AD503" s="5" t="str">
        <f t="shared" si="34"/>
        <v>kg_co2e_excl_luc</v>
      </c>
      <c r="AE503" s="24">
        <f>IF(CropLCAs[[#This Row],[Product fraction]]="",CropLCAs[[#This Row],[CO2e (value)]]*CropLCAs[[#This Row],[Conversion factor (value)]],CropLCAs[[#This Row],[CO2e (value)]]*CropLCAs[[#This Row],[Conversion factor (value)]]/CropLCAs[[#This Row],[Product fraction]]*CropLCAs[[#This Row],[Value fraction]])</f>
        <v>2.1999999999999999E-2</v>
      </c>
      <c r="AF503" s="5"/>
      <c r="AG503" s="5" t="str">
        <f t="shared" si="35"/>
        <v>processed_ghg</v>
      </c>
      <c r="AH503" s="5"/>
      <c r="AI503" s="5"/>
      <c r="AJ503" s="8" t="str">
        <f>IF(CropLCAs[[#This Row],[product_fraction]]&gt;0,CropLCAs[[#This Row],[footprint]]/CropLCAs[[#This Row],[product_fraction]]*CropLCAs[[#This Row],[value_fraction]],"")</f>
        <v/>
      </c>
      <c r="AK503" s="23">
        <f>1/2</f>
        <v>0.5</v>
      </c>
      <c r="AL503" s="5" t="s">
        <v>109</v>
      </c>
      <c r="AM503" s="5" t="s">
        <v>543</v>
      </c>
      <c r="AN503" s="5"/>
      <c r="AO503" s="5"/>
      <c r="AP503" s="5"/>
      <c r="AQ503" s="17"/>
      <c r="AR503" s="17"/>
      <c r="AS503" s="17"/>
      <c r="AT503" s="17"/>
      <c r="AU503" s="17"/>
    </row>
    <row r="504" spans="1:47" ht="44.1" customHeight="1" x14ac:dyDescent="0.2">
      <c r="A504" s="5" t="s">
        <v>215</v>
      </c>
      <c r="B504" s="5" t="s">
        <v>1491</v>
      </c>
      <c r="C504" s="16">
        <v>2014</v>
      </c>
      <c r="D504" s="5" t="s">
        <v>539</v>
      </c>
      <c r="E504" s="5" t="s">
        <v>525</v>
      </c>
      <c r="F504" s="5" t="s">
        <v>9</v>
      </c>
      <c r="G504" s="5" t="str">
        <f>IF(CropLCAs[[#This Row],[fbs_item]]="Insects","insect_ghg","plant_ghg")</f>
        <v>plant_ghg</v>
      </c>
      <c r="H504" s="49" t="s">
        <v>77</v>
      </c>
      <c r="I504" s="49"/>
      <c r="J504" s="49"/>
      <c r="K504" s="5" t="s">
        <v>230</v>
      </c>
      <c r="L504" s="5" t="s">
        <v>544</v>
      </c>
      <c r="M504" s="5" t="s">
        <v>231</v>
      </c>
      <c r="N504" s="5" t="s">
        <v>542</v>
      </c>
      <c r="O504" s="5" t="s">
        <v>109</v>
      </c>
      <c r="P504" s="5" t="s">
        <v>102</v>
      </c>
      <c r="Q504" s="5" t="s">
        <v>102</v>
      </c>
      <c r="R504" s="5" t="s">
        <v>102</v>
      </c>
      <c r="S504" s="5" t="s">
        <v>105</v>
      </c>
      <c r="T504" s="5" t="s">
        <v>102</v>
      </c>
      <c r="U504" s="5">
        <v>100</v>
      </c>
      <c r="V504" s="5">
        <v>1</v>
      </c>
      <c r="W504" s="5" t="s">
        <v>106</v>
      </c>
      <c r="X504" s="26">
        <v>293</v>
      </c>
      <c r="Y504" s="5" t="s">
        <v>107</v>
      </c>
      <c r="Z504" s="5"/>
      <c r="AA504" s="5"/>
      <c r="AB504" s="26">
        <v>1E-3</v>
      </c>
      <c r="AC504" s="5" t="s">
        <v>108</v>
      </c>
      <c r="AD504" s="5" t="str">
        <f t="shared" si="34"/>
        <v>kg_co2e_excl_luc</v>
      </c>
      <c r="AE504" s="24">
        <f>IF(CropLCAs[[#This Row],[Product fraction]]="",CropLCAs[[#This Row],[CO2e (value)]]*CropLCAs[[#This Row],[Conversion factor (value)]],CropLCAs[[#This Row],[CO2e (value)]]*CropLCAs[[#This Row],[Conversion factor (value)]]/CropLCAs[[#This Row],[Product fraction]]*CropLCAs[[#This Row],[Value fraction]])</f>
        <v>0.29299999999999998</v>
      </c>
      <c r="AF504" s="5"/>
      <c r="AG504" s="5" t="str">
        <f t="shared" si="35"/>
        <v>processed_ghg</v>
      </c>
      <c r="AH504" s="5"/>
      <c r="AI504" s="5"/>
      <c r="AJ504" s="8" t="str">
        <f>IF(CropLCAs[[#This Row],[product_fraction]]&gt;0,CropLCAs[[#This Row],[footprint]]/CropLCAs[[#This Row],[product_fraction]]*CropLCAs[[#This Row],[value_fraction]],"")</f>
        <v/>
      </c>
      <c r="AK504" s="23">
        <v>1</v>
      </c>
      <c r="AL504" s="5" t="s">
        <v>109</v>
      </c>
      <c r="AM504" s="5" t="s">
        <v>543</v>
      </c>
      <c r="AN504" s="5"/>
      <c r="AO504" s="5"/>
      <c r="AP504" s="5"/>
      <c r="AQ504" s="17"/>
      <c r="AR504" s="17"/>
      <c r="AS504" s="17"/>
      <c r="AT504" s="17"/>
      <c r="AU504" s="17"/>
    </row>
    <row r="505" spans="1:47" ht="44.1" customHeight="1" x14ac:dyDescent="0.2">
      <c r="A505" s="5" t="s">
        <v>215</v>
      </c>
      <c r="B505" s="5" t="s">
        <v>1491</v>
      </c>
      <c r="C505" s="16">
        <v>2014</v>
      </c>
      <c r="D505" s="5" t="s">
        <v>539</v>
      </c>
      <c r="E505" s="5" t="s">
        <v>525</v>
      </c>
      <c r="F505" s="5" t="s">
        <v>9</v>
      </c>
      <c r="G505" s="5" t="str">
        <f>IF(CropLCAs[[#This Row],[fbs_item]]="Insects","insect_ghg","plant_ghg")</f>
        <v>plant_ghg</v>
      </c>
      <c r="H505" s="49" t="s">
        <v>540</v>
      </c>
      <c r="I505" s="49"/>
      <c r="J505" s="49"/>
      <c r="K505" s="5" t="s">
        <v>230</v>
      </c>
      <c r="L505" s="5" t="s">
        <v>545</v>
      </c>
      <c r="M505" s="5" t="s">
        <v>529</v>
      </c>
      <c r="N505" s="5" t="s">
        <v>542</v>
      </c>
      <c r="O505" s="5" t="s">
        <v>109</v>
      </c>
      <c r="P505" s="5" t="s">
        <v>102</v>
      </c>
      <c r="Q505" s="5" t="s">
        <v>102</v>
      </c>
      <c r="R505" s="5" t="s">
        <v>102</v>
      </c>
      <c r="S505" s="5" t="s">
        <v>105</v>
      </c>
      <c r="T505" s="5" t="s">
        <v>102</v>
      </c>
      <c r="U505" s="5">
        <v>100</v>
      </c>
      <c r="V505" s="5">
        <v>1</v>
      </c>
      <c r="W505" s="5" t="s">
        <v>106</v>
      </c>
      <c r="X505" s="26">
        <v>1285</v>
      </c>
      <c r="Y505" s="5" t="s">
        <v>107</v>
      </c>
      <c r="Z505" s="5"/>
      <c r="AA505" s="5"/>
      <c r="AB505" s="26">
        <v>1E-3</v>
      </c>
      <c r="AC505" s="5" t="s">
        <v>108</v>
      </c>
      <c r="AD505" s="5" t="str">
        <f t="shared" si="34"/>
        <v>kg_co2e_excl_luc</v>
      </c>
      <c r="AE505" s="24">
        <f>IF(CropLCAs[[#This Row],[Product fraction]]="",CropLCAs[[#This Row],[CO2e (value)]]*CropLCAs[[#This Row],[Conversion factor (value)]],CropLCAs[[#This Row],[CO2e (value)]]*CropLCAs[[#This Row],[Conversion factor (value)]]/CropLCAs[[#This Row],[Product fraction]]*CropLCAs[[#This Row],[Value fraction]])</f>
        <v>1.2849999999999999</v>
      </c>
      <c r="AF505" s="5"/>
      <c r="AG505" s="5" t="str">
        <f t="shared" si="35"/>
        <v>processed_ghg</v>
      </c>
      <c r="AH505" s="5"/>
      <c r="AI505" s="5"/>
      <c r="AJ505" s="8" t="str">
        <f>IF(CropLCAs[[#This Row],[product_fraction]]&gt;0,CropLCAs[[#This Row],[footprint]]/CropLCAs[[#This Row],[product_fraction]]*CropLCAs[[#This Row],[value_fraction]],"")</f>
        <v/>
      </c>
      <c r="AK505" s="23">
        <f>1/2</f>
        <v>0.5</v>
      </c>
      <c r="AL505" s="5" t="s">
        <v>109</v>
      </c>
      <c r="AM505" s="5" t="s">
        <v>543</v>
      </c>
      <c r="AN505" s="5"/>
      <c r="AO505" s="5"/>
      <c r="AP505" s="5"/>
      <c r="AQ505" s="17"/>
      <c r="AR505" s="17"/>
      <c r="AS505" s="17"/>
      <c r="AT505" s="17"/>
      <c r="AU505" s="17"/>
    </row>
    <row r="506" spans="1:47" ht="44.1" customHeight="1" x14ac:dyDescent="0.2">
      <c r="A506" s="5" t="s">
        <v>215</v>
      </c>
      <c r="B506" s="5" t="s">
        <v>1491</v>
      </c>
      <c r="C506" s="16">
        <v>2014</v>
      </c>
      <c r="D506" s="5" t="s">
        <v>539</v>
      </c>
      <c r="E506" s="5" t="s">
        <v>525</v>
      </c>
      <c r="F506" s="5" t="s">
        <v>9</v>
      </c>
      <c r="G506" s="5" t="str">
        <f>IF(CropLCAs[[#This Row],[fbs_item]]="Insects","insect_ghg","plant_ghg")</f>
        <v>plant_ghg</v>
      </c>
      <c r="H506" s="49" t="s">
        <v>314</v>
      </c>
      <c r="I506" s="49"/>
      <c r="J506" s="49"/>
      <c r="K506" s="5" t="s">
        <v>590</v>
      </c>
      <c r="L506" s="5" t="s">
        <v>546</v>
      </c>
      <c r="M506" s="5" t="s">
        <v>102</v>
      </c>
      <c r="N506" s="5" t="s">
        <v>288</v>
      </c>
      <c r="O506" s="5" t="s">
        <v>109</v>
      </c>
      <c r="P506" s="5" t="s">
        <v>102</v>
      </c>
      <c r="Q506" s="5" t="s">
        <v>102</v>
      </c>
      <c r="R506" s="5" t="s">
        <v>105</v>
      </c>
      <c r="S506" s="5" t="s">
        <v>105</v>
      </c>
      <c r="T506" s="5" t="s">
        <v>102</v>
      </c>
      <c r="U506" s="5">
        <v>100</v>
      </c>
      <c r="V506" s="5">
        <v>1</v>
      </c>
      <c r="W506" s="5" t="s">
        <v>106</v>
      </c>
      <c r="X506" s="24">
        <v>86</v>
      </c>
      <c r="Y506" s="5" t="s">
        <v>107</v>
      </c>
      <c r="Z506" s="5"/>
      <c r="AA506" s="5"/>
      <c r="AB506" s="24">
        <v>1E-3</v>
      </c>
      <c r="AC506" s="5" t="s">
        <v>108</v>
      </c>
      <c r="AD506" s="5" t="str">
        <f t="shared" si="34"/>
        <v>kg_co2e_excl_luc</v>
      </c>
      <c r="AE506" s="24">
        <f>IF(CropLCAs[[#This Row],[Product fraction]]="",CropLCAs[[#This Row],[CO2e (value)]]*CropLCAs[[#This Row],[Conversion factor (value)]],CropLCAs[[#This Row],[CO2e (value)]]*CropLCAs[[#This Row],[Conversion factor (value)]]/CropLCAs[[#This Row],[Product fraction]]*CropLCAs[[#This Row],[Value fraction]])</f>
        <v>8.6000000000000007E-2</v>
      </c>
      <c r="AF506" s="5"/>
      <c r="AG506" s="5" t="str">
        <f t="shared" si="35"/>
        <v>processed_ghg</v>
      </c>
      <c r="AH506" s="5"/>
      <c r="AI506" s="5"/>
      <c r="AJ506" s="8" t="str">
        <f>IF(CropLCAs[[#This Row],[product_fraction]]&gt;0,CropLCAs[[#This Row],[footprint]]/CropLCAs[[#This Row],[product_fraction]]*CropLCAs[[#This Row],[value_fraction]],"")</f>
        <v/>
      </c>
      <c r="AK506" s="23">
        <v>1</v>
      </c>
      <c r="AL506" s="5" t="s">
        <v>109</v>
      </c>
      <c r="AM506" s="5" t="s">
        <v>543</v>
      </c>
      <c r="AN506" s="5"/>
      <c r="AO506" s="5"/>
      <c r="AP506" s="5"/>
      <c r="AQ506" s="17"/>
      <c r="AR506" s="17"/>
      <c r="AS506" s="17"/>
      <c r="AT506" s="17"/>
      <c r="AU506" s="17"/>
    </row>
    <row r="507" spans="1:47" ht="44.1" customHeight="1" x14ac:dyDescent="0.2">
      <c r="A507" s="5" t="s">
        <v>251</v>
      </c>
      <c r="B507" s="5" t="s">
        <v>1492</v>
      </c>
      <c r="C507" s="16">
        <v>2012</v>
      </c>
      <c r="D507" s="5" t="s">
        <v>547</v>
      </c>
      <c r="E507" s="5" t="s">
        <v>503</v>
      </c>
      <c r="F507" s="5" t="s">
        <v>9</v>
      </c>
      <c r="G507" s="5" t="str">
        <f>IF(CropLCAs[[#This Row],[fbs_item]]="Insects","insect_ghg","plant_ghg")</f>
        <v>plant_ghg</v>
      </c>
      <c r="H507" s="49" t="s">
        <v>77</v>
      </c>
      <c r="I507" s="49"/>
      <c r="J507" s="49"/>
      <c r="K507" s="5" t="s">
        <v>230</v>
      </c>
      <c r="L507" s="5" t="s">
        <v>548</v>
      </c>
      <c r="M507" s="5" t="s">
        <v>231</v>
      </c>
      <c r="N507" s="5" t="s">
        <v>549</v>
      </c>
      <c r="O507" s="5" t="s">
        <v>109</v>
      </c>
      <c r="P507" s="5" t="s">
        <v>102</v>
      </c>
      <c r="Q507" s="5" t="s">
        <v>102</v>
      </c>
      <c r="R507" s="5" t="s">
        <v>102</v>
      </c>
      <c r="S507" s="5" t="s">
        <v>102</v>
      </c>
      <c r="T507" s="5" t="s">
        <v>102</v>
      </c>
      <c r="U507" s="5" t="s">
        <v>126</v>
      </c>
      <c r="V507" s="5">
        <v>1</v>
      </c>
      <c r="W507" s="5" t="s">
        <v>355</v>
      </c>
      <c r="X507" s="24">
        <v>250</v>
      </c>
      <c r="Y507" s="5" t="s">
        <v>106</v>
      </c>
      <c r="Z507" s="5"/>
      <c r="AA507" s="5"/>
      <c r="AB507" s="24">
        <v>1E-3</v>
      </c>
      <c r="AC507" s="5" t="s">
        <v>274</v>
      </c>
      <c r="AD507" s="5" t="str">
        <f t="shared" si="34"/>
        <v>kg_co2e_excl_luc</v>
      </c>
      <c r="AE507" s="24">
        <f>IF(CropLCAs[[#This Row],[Product fraction]]="",CropLCAs[[#This Row],[CO2e (value)]]*CropLCAs[[#This Row],[Conversion factor (value)]],CropLCAs[[#This Row],[CO2e (value)]]*CropLCAs[[#This Row],[Conversion factor (value)]]/CropLCAs[[#This Row],[Product fraction]]*CropLCAs[[#This Row],[Value fraction]])</f>
        <v>0.25</v>
      </c>
      <c r="AF507" s="5"/>
      <c r="AG507" s="5" t="str">
        <f t="shared" si="35"/>
        <v>processed_ghg</v>
      </c>
      <c r="AH507" s="5"/>
      <c r="AI507" s="5"/>
      <c r="AJ507" s="8" t="str">
        <f>IF(CropLCAs[[#This Row],[product_fraction]]&gt;0,CropLCAs[[#This Row],[footprint]]/CropLCAs[[#This Row],[product_fraction]]*CropLCAs[[#This Row],[value_fraction]],"")</f>
        <v/>
      </c>
      <c r="AK507" s="23">
        <v>1</v>
      </c>
      <c r="AL507" s="5" t="s">
        <v>109</v>
      </c>
      <c r="AM507" s="5"/>
      <c r="AN507" s="5"/>
      <c r="AO507" s="5"/>
      <c r="AP507" s="5"/>
      <c r="AQ507" s="17"/>
      <c r="AR507" s="17"/>
      <c r="AS507" s="17"/>
      <c r="AT507" s="17"/>
      <c r="AU507" s="17"/>
    </row>
    <row r="508" spans="1:47" ht="44.1" customHeight="1" x14ac:dyDescent="0.2">
      <c r="A508" s="5" t="s">
        <v>251</v>
      </c>
      <c r="B508" s="5" t="s">
        <v>1492</v>
      </c>
      <c r="C508" s="16">
        <v>2012</v>
      </c>
      <c r="D508" s="5" t="s">
        <v>547</v>
      </c>
      <c r="E508" s="5" t="s">
        <v>503</v>
      </c>
      <c r="F508" s="5" t="s">
        <v>9</v>
      </c>
      <c r="G508" s="5" t="str">
        <f>IF(CropLCAs[[#This Row],[fbs_item]]="Insects","insect_ghg","plant_ghg")</f>
        <v>plant_ghg</v>
      </c>
      <c r="H508" s="49" t="s">
        <v>550</v>
      </c>
      <c r="I508" s="49"/>
      <c r="J508" s="49"/>
      <c r="K508" s="5" t="s">
        <v>230</v>
      </c>
      <c r="L508" s="5" t="s">
        <v>551</v>
      </c>
      <c r="M508" s="5" t="s">
        <v>552</v>
      </c>
      <c r="N508" s="5" t="s">
        <v>549</v>
      </c>
      <c r="O508" s="5" t="s">
        <v>109</v>
      </c>
      <c r="P508" s="5" t="s">
        <v>102</v>
      </c>
      <c r="Q508" s="5" t="s">
        <v>102</v>
      </c>
      <c r="R508" s="5" t="s">
        <v>102</v>
      </c>
      <c r="S508" s="5" t="s">
        <v>102</v>
      </c>
      <c r="T508" s="5" t="s">
        <v>102</v>
      </c>
      <c r="U508" s="5" t="s">
        <v>126</v>
      </c>
      <c r="V508" s="5">
        <v>1</v>
      </c>
      <c r="W508" s="5" t="s">
        <v>355</v>
      </c>
      <c r="X508" s="24">
        <v>440</v>
      </c>
      <c r="Y508" s="5" t="s">
        <v>106</v>
      </c>
      <c r="Z508" s="5"/>
      <c r="AA508" s="5"/>
      <c r="AB508" s="24">
        <v>1E-3</v>
      </c>
      <c r="AC508" s="5" t="s">
        <v>274</v>
      </c>
      <c r="AD508" s="5" t="str">
        <f t="shared" si="34"/>
        <v>kg_co2e_excl_luc</v>
      </c>
      <c r="AE508" s="24">
        <f>IF(CropLCAs[[#This Row],[Product fraction]]="",CropLCAs[[#This Row],[CO2e (value)]]*CropLCAs[[#This Row],[Conversion factor (value)]],CropLCAs[[#This Row],[CO2e (value)]]*CropLCAs[[#This Row],[Conversion factor (value)]]/CropLCAs[[#This Row],[Product fraction]]*CropLCAs[[#This Row],[Value fraction]])</f>
        <v>0.44</v>
      </c>
      <c r="AF508" s="5"/>
      <c r="AG508" s="5" t="str">
        <f t="shared" si="35"/>
        <v>processed_ghg</v>
      </c>
      <c r="AH508" s="5"/>
      <c r="AI508" s="5"/>
      <c r="AJ508" s="8" t="str">
        <f>IF(CropLCAs[[#This Row],[product_fraction]]&gt;0,CropLCAs[[#This Row],[footprint]]/CropLCAs[[#This Row],[product_fraction]]*CropLCAs[[#This Row],[value_fraction]],"")</f>
        <v/>
      </c>
      <c r="AK508" s="23">
        <f>1/2</f>
        <v>0.5</v>
      </c>
      <c r="AL508" s="5" t="s">
        <v>109</v>
      </c>
      <c r="AM508" s="5"/>
      <c r="AN508" s="5"/>
      <c r="AO508" s="5"/>
      <c r="AP508" s="5"/>
      <c r="AQ508" s="17"/>
      <c r="AR508" s="17"/>
      <c r="AS508" s="17"/>
      <c r="AT508" s="17"/>
      <c r="AU508" s="17"/>
    </row>
    <row r="509" spans="1:47" ht="44.1" customHeight="1" x14ac:dyDescent="0.2">
      <c r="A509" s="5" t="s">
        <v>251</v>
      </c>
      <c r="B509" s="5" t="s">
        <v>1492</v>
      </c>
      <c r="C509" s="16">
        <v>2012</v>
      </c>
      <c r="D509" s="5" t="s">
        <v>547</v>
      </c>
      <c r="E509" s="5" t="s">
        <v>503</v>
      </c>
      <c r="F509" s="5" t="s">
        <v>9</v>
      </c>
      <c r="G509" s="5" t="str">
        <f>IF(CropLCAs[[#This Row],[fbs_item]]="Insects","insect_ghg","plant_ghg")</f>
        <v>plant_ghg</v>
      </c>
      <c r="H509" s="49" t="s">
        <v>550</v>
      </c>
      <c r="I509" s="49"/>
      <c r="J509" s="49"/>
      <c r="K509" s="5" t="s">
        <v>230</v>
      </c>
      <c r="L509" s="5" t="s">
        <v>553</v>
      </c>
      <c r="M509" s="5" t="s">
        <v>529</v>
      </c>
      <c r="N509" s="5" t="s">
        <v>549</v>
      </c>
      <c r="O509" s="5" t="s">
        <v>109</v>
      </c>
      <c r="P509" s="5" t="s">
        <v>102</v>
      </c>
      <c r="Q509" s="5" t="s">
        <v>102</v>
      </c>
      <c r="R509" s="5" t="s">
        <v>102</v>
      </c>
      <c r="S509" s="5" t="s">
        <v>102</v>
      </c>
      <c r="T509" s="5" t="s">
        <v>102</v>
      </c>
      <c r="U509" s="5" t="s">
        <v>126</v>
      </c>
      <c r="V509" s="5">
        <v>1</v>
      </c>
      <c r="W509" s="5" t="s">
        <v>355</v>
      </c>
      <c r="X509" s="24">
        <v>5000</v>
      </c>
      <c r="Y509" s="5" t="s">
        <v>106</v>
      </c>
      <c r="Z509" s="5"/>
      <c r="AA509" s="5"/>
      <c r="AB509" s="24">
        <v>1E-3</v>
      </c>
      <c r="AC509" s="5" t="s">
        <v>274</v>
      </c>
      <c r="AD509" s="5" t="str">
        <f t="shared" si="34"/>
        <v>kg_co2e_excl_luc</v>
      </c>
      <c r="AE509" s="24">
        <f>IF(CropLCAs[[#This Row],[Product fraction]]="",CropLCAs[[#This Row],[CO2e (value)]]*CropLCAs[[#This Row],[Conversion factor (value)]],CropLCAs[[#This Row],[CO2e (value)]]*CropLCAs[[#This Row],[Conversion factor (value)]]/CropLCAs[[#This Row],[Product fraction]]*CropLCAs[[#This Row],[Value fraction]])</f>
        <v>5</v>
      </c>
      <c r="AF509" s="5"/>
      <c r="AG509" s="5" t="str">
        <f t="shared" si="35"/>
        <v>processed_ghg</v>
      </c>
      <c r="AH509" s="5"/>
      <c r="AI509" s="5"/>
      <c r="AJ509" s="8" t="str">
        <f>IF(CropLCAs[[#This Row],[product_fraction]]&gt;0,CropLCAs[[#This Row],[footprint]]/CropLCAs[[#This Row],[product_fraction]]*CropLCAs[[#This Row],[value_fraction]],"")</f>
        <v/>
      </c>
      <c r="AK509" s="23">
        <f>1/2</f>
        <v>0.5</v>
      </c>
      <c r="AL509" s="5" t="s">
        <v>109</v>
      </c>
      <c r="AM509" s="5"/>
      <c r="AN509" s="5"/>
      <c r="AO509" s="5"/>
      <c r="AP509" s="5"/>
      <c r="AQ509" s="17"/>
      <c r="AR509" s="17"/>
      <c r="AS509" s="17"/>
      <c r="AT509" s="17"/>
      <c r="AU509" s="17"/>
    </row>
    <row r="510" spans="1:47" ht="44.1" customHeight="1" x14ac:dyDescent="0.2">
      <c r="A510" s="5" t="s">
        <v>251</v>
      </c>
      <c r="B510" s="5" t="s">
        <v>1492</v>
      </c>
      <c r="C510" s="16">
        <v>2012</v>
      </c>
      <c r="D510" s="5" t="s">
        <v>547</v>
      </c>
      <c r="E510" s="5" t="s">
        <v>503</v>
      </c>
      <c r="F510" s="5" t="s">
        <v>9</v>
      </c>
      <c r="G510" s="5" t="str">
        <f>IF(CropLCAs[[#This Row],[fbs_item]]="Insects","insect_ghg","plant_ghg")</f>
        <v>plant_ghg</v>
      </c>
      <c r="H510" s="49" t="s">
        <v>554</v>
      </c>
      <c r="I510" s="49"/>
      <c r="J510" s="49"/>
      <c r="K510" s="5" t="s">
        <v>230</v>
      </c>
      <c r="L510" s="5" t="s">
        <v>555</v>
      </c>
      <c r="M510" s="5" t="s">
        <v>529</v>
      </c>
      <c r="N510" s="5" t="s">
        <v>549</v>
      </c>
      <c r="O510" s="5" t="s">
        <v>109</v>
      </c>
      <c r="P510" s="5" t="s">
        <v>102</v>
      </c>
      <c r="Q510" s="5" t="s">
        <v>102</v>
      </c>
      <c r="R510" s="5" t="s">
        <v>102</v>
      </c>
      <c r="S510" s="5" t="s">
        <v>102</v>
      </c>
      <c r="T510" s="5" t="s">
        <v>102</v>
      </c>
      <c r="U510" s="5" t="s">
        <v>126</v>
      </c>
      <c r="V510" s="5">
        <v>1</v>
      </c>
      <c r="W510" s="5" t="s">
        <v>355</v>
      </c>
      <c r="X510" s="24">
        <v>780</v>
      </c>
      <c r="Y510" s="5" t="s">
        <v>106</v>
      </c>
      <c r="Z510" s="5"/>
      <c r="AA510" s="5"/>
      <c r="AB510" s="24">
        <v>1E-3</v>
      </c>
      <c r="AC510" s="5" t="s">
        <v>274</v>
      </c>
      <c r="AD510" s="5" t="str">
        <f t="shared" si="34"/>
        <v>kg_co2e_excl_luc</v>
      </c>
      <c r="AE510" s="24">
        <f>IF(CropLCAs[[#This Row],[Product fraction]]="",CropLCAs[[#This Row],[CO2e (value)]]*CropLCAs[[#This Row],[Conversion factor (value)]],CropLCAs[[#This Row],[CO2e (value)]]*CropLCAs[[#This Row],[Conversion factor (value)]]/CropLCAs[[#This Row],[Product fraction]]*CropLCAs[[#This Row],[Value fraction]])</f>
        <v>0.78</v>
      </c>
      <c r="AF510" s="5"/>
      <c r="AG510" s="5" t="str">
        <f t="shared" si="35"/>
        <v>processed_ghg</v>
      </c>
      <c r="AH510" s="5"/>
      <c r="AI510" s="5"/>
      <c r="AJ510" s="8" t="str">
        <f>IF(CropLCAs[[#This Row],[product_fraction]]&gt;0,CropLCAs[[#This Row],[footprint]]/CropLCAs[[#This Row],[product_fraction]]*CropLCAs[[#This Row],[value_fraction]],"")</f>
        <v/>
      </c>
      <c r="AK510" s="23">
        <f>1/2</f>
        <v>0.5</v>
      </c>
      <c r="AL510" s="5" t="s">
        <v>109</v>
      </c>
      <c r="AM510" s="5"/>
      <c r="AN510" s="5"/>
      <c r="AO510" s="5"/>
      <c r="AP510" s="5"/>
      <c r="AQ510" s="17"/>
      <c r="AR510" s="17"/>
      <c r="AS510" s="17"/>
      <c r="AT510" s="17"/>
      <c r="AU510" s="17"/>
    </row>
    <row r="511" spans="1:47" ht="44.1" customHeight="1" x14ac:dyDescent="0.2">
      <c r="A511" s="5" t="s">
        <v>251</v>
      </c>
      <c r="B511" s="5" t="s">
        <v>1492</v>
      </c>
      <c r="C511" s="16">
        <v>2012</v>
      </c>
      <c r="D511" s="5" t="s">
        <v>547</v>
      </c>
      <c r="E511" s="5" t="s">
        <v>503</v>
      </c>
      <c r="F511" s="5" t="s">
        <v>9</v>
      </c>
      <c r="G511" s="5" t="str">
        <f>IF(CropLCAs[[#This Row],[fbs_item]]="Insects","insect_ghg","plant_ghg")</f>
        <v>plant_ghg</v>
      </c>
      <c r="H511" s="49" t="s">
        <v>554</v>
      </c>
      <c r="I511" s="49"/>
      <c r="J511" s="49"/>
      <c r="K511" s="5" t="s">
        <v>230</v>
      </c>
      <c r="L511" s="5" t="s">
        <v>556</v>
      </c>
      <c r="M511" s="5" t="s">
        <v>529</v>
      </c>
      <c r="N511" s="5" t="s">
        <v>549</v>
      </c>
      <c r="O511" s="5" t="s">
        <v>109</v>
      </c>
      <c r="P511" s="5" t="s">
        <v>102</v>
      </c>
      <c r="Q511" s="5" t="s">
        <v>102</v>
      </c>
      <c r="R511" s="5" t="s">
        <v>102</v>
      </c>
      <c r="S511" s="5" t="s">
        <v>102</v>
      </c>
      <c r="T511" s="5" t="s">
        <v>102</v>
      </c>
      <c r="U511" s="5" t="s">
        <v>126</v>
      </c>
      <c r="V511" s="5">
        <v>1</v>
      </c>
      <c r="W511" s="5" t="s">
        <v>355</v>
      </c>
      <c r="X511" s="24">
        <v>2000</v>
      </c>
      <c r="Y511" s="5" t="s">
        <v>106</v>
      </c>
      <c r="Z511" s="5"/>
      <c r="AA511" s="5"/>
      <c r="AB511" s="24">
        <v>1E-3</v>
      </c>
      <c r="AC511" s="5" t="s">
        <v>274</v>
      </c>
      <c r="AD511" s="5" t="str">
        <f t="shared" si="34"/>
        <v>kg_co2e_excl_luc</v>
      </c>
      <c r="AE511" s="24">
        <f>IF(CropLCAs[[#This Row],[Product fraction]]="",CropLCAs[[#This Row],[CO2e (value)]]*CropLCAs[[#This Row],[Conversion factor (value)]],CropLCAs[[#This Row],[CO2e (value)]]*CropLCAs[[#This Row],[Conversion factor (value)]]/CropLCAs[[#This Row],[Product fraction]]*CropLCAs[[#This Row],[Value fraction]])</f>
        <v>2</v>
      </c>
      <c r="AF511" s="5"/>
      <c r="AG511" s="5" t="str">
        <f t="shared" si="35"/>
        <v>processed_ghg</v>
      </c>
      <c r="AH511" s="5"/>
      <c r="AI511" s="5"/>
      <c r="AJ511" s="8" t="str">
        <f>IF(CropLCAs[[#This Row],[product_fraction]]&gt;0,CropLCAs[[#This Row],[footprint]]/CropLCAs[[#This Row],[product_fraction]]*CropLCAs[[#This Row],[value_fraction]],"")</f>
        <v/>
      </c>
      <c r="AK511" s="23">
        <f>1/2</f>
        <v>0.5</v>
      </c>
      <c r="AL511" s="5" t="s">
        <v>109</v>
      </c>
      <c r="AM511" s="5"/>
      <c r="AN511" s="5"/>
      <c r="AO511" s="5"/>
      <c r="AP511" s="5"/>
      <c r="AQ511" s="17"/>
      <c r="AR511" s="17"/>
      <c r="AS511" s="17"/>
      <c r="AT511" s="17"/>
      <c r="AU511" s="17"/>
    </row>
    <row r="512" spans="1:47" ht="44.1" customHeight="1" x14ac:dyDescent="0.2">
      <c r="A512" s="5" t="s">
        <v>112</v>
      </c>
      <c r="B512" s="5" t="s">
        <v>1492</v>
      </c>
      <c r="C512" s="16">
        <v>2013</v>
      </c>
      <c r="D512" s="5" t="s">
        <v>557</v>
      </c>
      <c r="E512" s="5" t="s">
        <v>503</v>
      </c>
      <c r="F512" s="5" t="s">
        <v>9</v>
      </c>
      <c r="G512" s="5" t="str">
        <f>IF(CropLCAs[[#This Row],[fbs_item]]="Insects","insect_ghg","plant_ghg")</f>
        <v>plant_ghg</v>
      </c>
      <c r="H512" s="49" t="s">
        <v>1373</v>
      </c>
      <c r="I512" s="49"/>
      <c r="J512" s="49"/>
      <c r="K512" s="5" t="s">
        <v>230</v>
      </c>
      <c r="L512" s="5" t="s">
        <v>558</v>
      </c>
      <c r="M512" s="5" t="s">
        <v>529</v>
      </c>
      <c r="N512" s="5" t="s">
        <v>549</v>
      </c>
      <c r="O512" s="5" t="s">
        <v>109</v>
      </c>
      <c r="P512" s="5" t="s">
        <v>102</v>
      </c>
      <c r="Q512" s="5" t="s">
        <v>102</v>
      </c>
      <c r="R512" s="5" t="s">
        <v>102</v>
      </c>
      <c r="S512" s="5" t="s">
        <v>102</v>
      </c>
      <c r="T512" s="5" t="s">
        <v>102</v>
      </c>
      <c r="U512" s="5" t="s">
        <v>126</v>
      </c>
      <c r="V512" s="5">
        <v>1</v>
      </c>
      <c r="W512" s="5" t="s">
        <v>355</v>
      </c>
      <c r="X512" s="24">
        <v>1928</v>
      </c>
      <c r="Y512" s="5" t="s">
        <v>106</v>
      </c>
      <c r="Z512" s="5"/>
      <c r="AA512" s="5"/>
      <c r="AB512" s="24">
        <v>1E-3</v>
      </c>
      <c r="AC512" s="5" t="s">
        <v>274</v>
      </c>
      <c r="AD512" s="5" t="str">
        <f t="shared" si="34"/>
        <v>kg_co2e_excl_luc</v>
      </c>
      <c r="AE512" s="24">
        <f>IF(CropLCAs[[#This Row],[Product fraction]]="",CropLCAs[[#This Row],[CO2e (value)]]*CropLCAs[[#This Row],[Conversion factor (value)]],CropLCAs[[#This Row],[CO2e (value)]]*CropLCAs[[#This Row],[Conversion factor (value)]]/CropLCAs[[#This Row],[Product fraction]]*CropLCAs[[#This Row],[Value fraction]])</f>
        <v>1.9279999999999999</v>
      </c>
      <c r="AF512" s="5"/>
      <c r="AG512" s="5" t="str">
        <f t="shared" si="35"/>
        <v>processed_ghg</v>
      </c>
      <c r="AH512" s="5"/>
      <c r="AI512" s="5"/>
      <c r="AJ512" s="8" t="str">
        <f>IF(CropLCAs[[#This Row],[product_fraction]]&gt;0,CropLCAs[[#This Row],[footprint]]/CropLCAs[[#This Row],[product_fraction]]*CropLCAs[[#This Row],[value_fraction]],"")</f>
        <v/>
      </c>
      <c r="AK512" s="23">
        <v>1</v>
      </c>
      <c r="AL512" s="5" t="s">
        <v>109</v>
      </c>
      <c r="AM512" s="5" t="s">
        <v>559</v>
      </c>
      <c r="AN512" s="5"/>
      <c r="AO512" s="5"/>
      <c r="AP512" s="5"/>
      <c r="AQ512" s="17"/>
      <c r="AR512" s="17"/>
      <c r="AS512" s="17"/>
      <c r="AT512" s="17"/>
      <c r="AU512" s="17"/>
    </row>
    <row r="513" spans="1:47" ht="44.1" customHeight="1" x14ac:dyDescent="0.2">
      <c r="A513" s="5" t="s">
        <v>112</v>
      </c>
      <c r="B513" s="5" t="s">
        <v>1492</v>
      </c>
      <c r="C513" s="16">
        <v>2013</v>
      </c>
      <c r="D513" s="5" t="s">
        <v>557</v>
      </c>
      <c r="E513" s="5" t="s">
        <v>503</v>
      </c>
      <c r="F513" s="5" t="s">
        <v>9</v>
      </c>
      <c r="G513" s="5" t="str">
        <f>IF(CropLCAs[[#This Row],[fbs_item]]="Insects","insect_ghg","plant_ghg")</f>
        <v>plant_ghg</v>
      </c>
      <c r="H513" s="49" t="s">
        <v>1372</v>
      </c>
      <c r="I513" s="49"/>
      <c r="J513" s="49"/>
      <c r="K513" s="5" t="s">
        <v>230</v>
      </c>
      <c r="L513" s="5" t="s">
        <v>560</v>
      </c>
      <c r="M513" s="5" t="s">
        <v>231</v>
      </c>
      <c r="N513" s="5" t="s">
        <v>549</v>
      </c>
      <c r="O513" s="5" t="s">
        <v>109</v>
      </c>
      <c r="P513" s="5" t="s">
        <v>102</v>
      </c>
      <c r="Q513" s="5" t="s">
        <v>102</v>
      </c>
      <c r="R513" s="5" t="s">
        <v>102</v>
      </c>
      <c r="S513" s="5" t="s">
        <v>102</v>
      </c>
      <c r="T513" s="5" t="s">
        <v>102</v>
      </c>
      <c r="U513" s="5" t="s">
        <v>126</v>
      </c>
      <c r="V513" s="5">
        <v>1</v>
      </c>
      <c r="W513" s="5" t="s">
        <v>355</v>
      </c>
      <c r="X513" s="24">
        <v>202.1</v>
      </c>
      <c r="Y513" s="5" t="s">
        <v>106</v>
      </c>
      <c r="Z513" s="5"/>
      <c r="AA513" s="5"/>
      <c r="AB513" s="24">
        <v>1E-3</v>
      </c>
      <c r="AC513" s="5" t="s">
        <v>274</v>
      </c>
      <c r="AD513" s="5" t="str">
        <f t="shared" si="34"/>
        <v>kg_co2e_excl_luc</v>
      </c>
      <c r="AE513" s="24">
        <f>IF(CropLCAs[[#This Row],[Product fraction]]="",CropLCAs[[#This Row],[CO2e (value)]]*CropLCAs[[#This Row],[Conversion factor (value)]],CropLCAs[[#This Row],[CO2e (value)]]*CropLCAs[[#This Row],[Conversion factor (value)]]/CropLCAs[[#This Row],[Product fraction]]*CropLCAs[[#This Row],[Value fraction]])</f>
        <v>0.2021</v>
      </c>
      <c r="AF513" s="5"/>
      <c r="AG513" s="5" t="str">
        <f t="shared" si="35"/>
        <v>processed_ghg</v>
      </c>
      <c r="AH513" s="5"/>
      <c r="AI513" s="5"/>
      <c r="AJ513" s="8" t="str">
        <f>IF(CropLCAs[[#This Row],[product_fraction]]&gt;0,CropLCAs[[#This Row],[footprint]]/CropLCAs[[#This Row],[product_fraction]]*CropLCAs[[#This Row],[value_fraction]],"")</f>
        <v/>
      </c>
      <c r="AK513" s="23">
        <v>1</v>
      </c>
      <c r="AL513" s="5" t="s">
        <v>109</v>
      </c>
      <c r="AM513" s="5" t="s">
        <v>559</v>
      </c>
      <c r="AN513" s="5"/>
      <c r="AO513" s="5"/>
      <c r="AP513" s="5"/>
      <c r="AQ513" s="17"/>
      <c r="AR513" s="17"/>
      <c r="AS513" s="17"/>
      <c r="AT513" s="17"/>
      <c r="AU513" s="17"/>
    </row>
    <row r="514" spans="1:47" ht="44.1" customHeight="1" x14ac:dyDescent="0.2">
      <c r="A514" s="5" t="s">
        <v>251</v>
      </c>
      <c r="B514" s="5" t="s">
        <v>1493</v>
      </c>
      <c r="C514" s="16">
        <v>2015</v>
      </c>
      <c r="D514" s="5" t="s">
        <v>252</v>
      </c>
      <c r="E514" s="6" t="s">
        <v>1346</v>
      </c>
      <c r="F514" s="5" t="s">
        <v>12</v>
      </c>
      <c r="G514" s="5" t="str">
        <f>IF(CropLCAs[[#This Row],[fbs_item]]="Insects","insect_ghg","plant_ghg")</f>
        <v>plant_ghg</v>
      </c>
      <c r="H514" s="49" t="s">
        <v>253</v>
      </c>
      <c r="I514" s="49"/>
      <c r="J514" s="49"/>
      <c r="K514" s="5" t="s">
        <v>1350</v>
      </c>
      <c r="L514" s="5" t="s">
        <v>254</v>
      </c>
      <c r="M514" s="5" t="s">
        <v>102</v>
      </c>
      <c r="N514" s="5" t="s">
        <v>102</v>
      </c>
      <c r="O514" s="5" t="s">
        <v>109</v>
      </c>
      <c r="P514" s="5" t="s">
        <v>102</v>
      </c>
      <c r="Q514" s="5" t="s">
        <v>102</v>
      </c>
      <c r="R514" s="5" t="s">
        <v>102</v>
      </c>
      <c r="S514" s="5" t="s">
        <v>102</v>
      </c>
      <c r="T514" s="5" t="s">
        <v>102</v>
      </c>
      <c r="U514" s="5">
        <v>100</v>
      </c>
      <c r="V514" s="5">
        <v>1</v>
      </c>
      <c r="W514" s="5" t="s">
        <v>1278</v>
      </c>
      <c r="X514" s="24">
        <v>0.5</v>
      </c>
      <c r="Y514" s="5" t="s">
        <v>106</v>
      </c>
      <c r="Z514" s="5"/>
      <c r="AA514" s="5"/>
      <c r="AB514" s="24">
        <v>1</v>
      </c>
      <c r="AC514" s="5"/>
      <c r="AD514" s="5" t="str">
        <f t="shared" si="34"/>
        <v>kg_co2e_excl_luc</v>
      </c>
      <c r="AE514" s="24">
        <f>IF(CropLCAs[[#This Row],[Product fraction]]="",CropLCAs[[#This Row],[CO2e (value)]]*CropLCAs[[#This Row],[Conversion factor (value)]],CropLCAs[[#This Row],[CO2e (value)]]*CropLCAs[[#This Row],[Conversion factor (value)]]/CropLCAs[[#This Row],[Product fraction]]*CropLCAs[[#This Row],[Value fraction]])</f>
        <v>0.5</v>
      </c>
      <c r="AF514" s="5" t="s">
        <v>40</v>
      </c>
      <c r="AG514" s="5" t="str">
        <f t="shared" si="35"/>
        <v>processed_ghg</v>
      </c>
      <c r="AH514" s="5">
        <v>0.43</v>
      </c>
      <c r="AI514" s="5">
        <v>0.8</v>
      </c>
      <c r="AJ514" s="8">
        <f>IF(CropLCAs[[#This Row],[product_fraction]]&gt;0,CropLCAs[[#This Row],[footprint]]/CropLCAs[[#This Row],[product_fraction]]*CropLCAs[[#This Row],[value_fraction]],"")</f>
        <v>0.93023255813953498</v>
      </c>
      <c r="AK514" s="23">
        <f t="shared" ref="AK514:AK521" si="37">1/4</f>
        <v>0.25</v>
      </c>
      <c r="AL514" s="5" t="s">
        <v>109</v>
      </c>
      <c r="AM514" s="5" t="s">
        <v>255</v>
      </c>
      <c r="AN514" s="5" t="s">
        <v>1275</v>
      </c>
      <c r="AO514" s="5"/>
      <c r="AP514" s="5"/>
      <c r="AQ514" s="17"/>
      <c r="AR514" s="17"/>
      <c r="AS514" s="17"/>
      <c r="AT514" s="17"/>
      <c r="AU514" s="17"/>
    </row>
    <row r="515" spans="1:47" ht="44.1" customHeight="1" x14ac:dyDescent="0.2">
      <c r="A515" s="5" t="s">
        <v>251</v>
      </c>
      <c r="B515" s="5" t="s">
        <v>1493</v>
      </c>
      <c r="C515" s="16">
        <v>2015</v>
      </c>
      <c r="D515" s="5" t="s">
        <v>252</v>
      </c>
      <c r="E515" s="6" t="s">
        <v>1346</v>
      </c>
      <c r="F515" s="5" t="s">
        <v>12</v>
      </c>
      <c r="G515" s="5" t="str">
        <f>IF(CropLCAs[[#This Row],[fbs_item]]="Insects","insect_ghg","plant_ghg")</f>
        <v>plant_ghg</v>
      </c>
      <c r="H515" s="49" t="s">
        <v>253</v>
      </c>
      <c r="I515" s="49"/>
      <c r="J515" s="49"/>
      <c r="K515" s="5" t="s">
        <v>1351</v>
      </c>
      <c r="L515" s="5" t="s">
        <v>256</v>
      </c>
      <c r="M515" s="5" t="s">
        <v>102</v>
      </c>
      <c r="N515" s="5" t="s">
        <v>102</v>
      </c>
      <c r="O515" s="5" t="s">
        <v>109</v>
      </c>
      <c r="P515" s="5" t="s">
        <v>102</v>
      </c>
      <c r="Q515" s="5" t="s">
        <v>102</v>
      </c>
      <c r="R515" s="5" t="s">
        <v>102</v>
      </c>
      <c r="S515" s="5" t="s">
        <v>102</v>
      </c>
      <c r="T515" s="5" t="s">
        <v>102</v>
      </c>
      <c r="U515" s="5">
        <v>100</v>
      </c>
      <c r="V515" s="5">
        <v>1</v>
      </c>
      <c r="W515" s="5" t="s">
        <v>1278</v>
      </c>
      <c r="X515" s="24">
        <v>0.5</v>
      </c>
      <c r="Y515" s="5" t="s">
        <v>106</v>
      </c>
      <c r="Z515" s="5"/>
      <c r="AA515" s="5"/>
      <c r="AB515" s="24">
        <v>1</v>
      </c>
      <c r="AC515" s="5"/>
      <c r="AD515" s="5" t="str">
        <f t="shared" si="34"/>
        <v>kg_co2e_excl_luc</v>
      </c>
      <c r="AE515" s="24">
        <f>IF(CropLCAs[[#This Row],[Product fraction]]="",CropLCAs[[#This Row],[CO2e (value)]]*CropLCAs[[#This Row],[Conversion factor (value)]],CropLCAs[[#This Row],[CO2e (value)]]*CropLCAs[[#This Row],[Conversion factor (value)]]/CropLCAs[[#This Row],[Product fraction]]*CropLCAs[[#This Row],[Value fraction]])</f>
        <v>0.5</v>
      </c>
      <c r="AF515" s="5" t="s">
        <v>40</v>
      </c>
      <c r="AG515" s="5" t="str">
        <f t="shared" si="35"/>
        <v>processed_ghg</v>
      </c>
      <c r="AH515" s="5">
        <v>0.43</v>
      </c>
      <c r="AI515" s="5">
        <v>0.8</v>
      </c>
      <c r="AJ515" s="8">
        <f>IF(CropLCAs[[#This Row],[product_fraction]]&gt;0,CropLCAs[[#This Row],[footprint]]/CropLCAs[[#This Row],[product_fraction]]*CropLCAs[[#This Row],[value_fraction]],"")</f>
        <v>0.93023255813953498</v>
      </c>
      <c r="AK515" s="23">
        <f t="shared" si="37"/>
        <v>0.25</v>
      </c>
      <c r="AL515" s="5" t="s">
        <v>109</v>
      </c>
      <c r="AM515" s="5" t="s">
        <v>255</v>
      </c>
      <c r="AN515" s="5" t="s">
        <v>1275</v>
      </c>
      <c r="AO515" s="5"/>
      <c r="AP515" s="5"/>
      <c r="AQ515" s="17"/>
      <c r="AR515" s="17"/>
      <c r="AS515" s="17"/>
      <c r="AT515" s="17"/>
      <c r="AU515" s="17"/>
    </row>
    <row r="516" spans="1:47" ht="44.1" customHeight="1" x14ac:dyDescent="0.2">
      <c r="A516" s="5" t="s">
        <v>251</v>
      </c>
      <c r="B516" s="5" t="s">
        <v>1493</v>
      </c>
      <c r="C516" s="16">
        <v>2015</v>
      </c>
      <c r="D516" s="5" t="s">
        <v>252</v>
      </c>
      <c r="E516" s="6" t="s">
        <v>1346</v>
      </c>
      <c r="F516" s="5" t="s">
        <v>12</v>
      </c>
      <c r="G516" s="5" t="str">
        <f>IF(CropLCAs[[#This Row],[fbs_item]]="Insects","insect_ghg","plant_ghg")</f>
        <v>plant_ghg</v>
      </c>
      <c r="H516" s="49" t="s">
        <v>253</v>
      </c>
      <c r="I516" s="49"/>
      <c r="J516" s="49"/>
      <c r="K516" s="5" t="s">
        <v>1350</v>
      </c>
      <c r="L516" s="5" t="s">
        <v>257</v>
      </c>
      <c r="M516" s="5" t="s">
        <v>102</v>
      </c>
      <c r="N516" s="5" t="s">
        <v>102</v>
      </c>
      <c r="O516" s="5" t="s">
        <v>109</v>
      </c>
      <c r="P516" s="5" t="s">
        <v>102</v>
      </c>
      <c r="Q516" s="5" t="s">
        <v>102</v>
      </c>
      <c r="R516" s="5" t="s">
        <v>102</v>
      </c>
      <c r="S516" s="5" t="s">
        <v>102</v>
      </c>
      <c r="T516" s="5" t="s">
        <v>102</v>
      </c>
      <c r="U516" s="5">
        <v>100</v>
      </c>
      <c r="V516" s="5">
        <v>1</v>
      </c>
      <c r="W516" s="5" t="s">
        <v>1278</v>
      </c>
      <c r="X516" s="24">
        <v>0.6</v>
      </c>
      <c r="Y516" s="5" t="s">
        <v>106</v>
      </c>
      <c r="Z516" s="5"/>
      <c r="AA516" s="5"/>
      <c r="AB516" s="24">
        <v>1</v>
      </c>
      <c r="AC516" s="5"/>
      <c r="AD516" s="5" t="str">
        <f t="shared" si="34"/>
        <v>kg_co2e_excl_luc</v>
      </c>
      <c r="AE516" s="24">
        <f>IF(CropLCAs[[#This Row],[Product fraction]]="",CropLCAs[[#This Row],[CO2e (value)]]*CropLCAs[[#This Row],[Conversion factor (value)]],CropLCAs[[#This Row],[CO2e (value)]]*CropLCAs[[#This Row],[Conversion factor (value)]]/CropLCAs[[#This Row],[Product fraction]]*CropLCAs[[#This Row],[Value fraction]])</f>
        <v>0.6</v>
      </c>
      <c r="AF516" s="5" t="s">
        <v>40</v>
      </c>
      <c r="AG516" s="5" t="str">
        <f t="shared" si="35"/>
        <v>processed_ghg</v>
      </c>
      <c r="AH516" s="5">
        <v>0.43</v>
      </c>
      <c r="AI516" s="5">
        <v>0.8</v>
      </c>
      <c r="AJ516" s="8">
        <f>IF(CropLCAs[[#This Row],[product_fraction]]&gt;0,CropLCAs[[#This Row],[footprint]]/CropLCAs[[#This Row],[product_fraction]]*CropLCAs[[#This Row],[value_fraction]],"")</f>
        <v>1.1162790697674418</v>
      </c>
      <c r="AK516" s="23">
        <f t="shared" si="37"/>
        <v>0.25</v>
      </c>
      <c r="AL516" s="5" t="s">
        <v>109</v>
      </c>
      <c r="AM516" s="5" t="s">
        <v>255</v>
      </c>
      <c r="AN516" s="5" t="s">
        <v>1275</v>
      </c>
      <c r="AO516" s="5"/>
      <c r="AP516" s="5"/>
      <c r="AQ516" s="17"/>
      <c r="AR516" s="17"/>
      <c r="AS516" s="17"/>
      <c r="AT516" s="17"/>
      <c r="AU516" s="17"/>
    </row>
    <row r="517" spans="1:47" ht="44.1" customHeight="1" x14ac:dyDescent="0.2">
      <c r="A517" s="5" t="s">
        <v>251</v>
      </c>
      <c r="B517" s="5" t="s">
        <v>1493</v>
      </c>
      <c r="C517" s="16">
        <v>2015</v>
      </c>
      <c r="D517" s="5" t="s">
        <v>252</v>
      </c>
      <c r="E517" s="6" t="s">
        <v>1346</v>
      </c>
      <c r="F517" s="5" t="s">
        <v>12</v>
      </c>
      <c r="G517" s="5" t="str">
        <f>IF(CropLCAs[[#This Row],[fbs_item]]="Insects","insect_ghg","plant_ghg")</f>
        <v>plant_ghg</v>
      </c>
      <c r="H517" s="49" t="s">
        <v>253</v>
      </c>
      <c r="I517" s="49"/>
      <c r="J517" s="49"/>
      <c r="K517" s="5" t="s">
        <v>1351</v>
      </c>
      <c r="L517" s="5" t="s">
        <v>258</v>
      </c>
      <c r="M517" s="5" t="s">
        <v>102</v>
      </c>
      <c r="N517" s="5" t="s">
        <v>102</v>
      </c>
      <c r="O517" s="5" t="s">
        <v>109</v>
      </c>
      <c r="P517" s="5" t="s">
        <v>102</v>
      </c>
      <c r="Q517" s="5" t="s">
        <v>102</v>
      </c>
      <c r="R517" s="5" t="s">
        <v>102</v>
      </c>
      <c r="S517" s="5" t="s">
        <v>102</v>
      </c>
      <c r="T517" s="5" t="s">
        <v>102</v>
      </c>
      <c r="U517" s="5">
        <v>100</v>
      </c>
      <c r="V517" s="5">
        <v>1</v>
      </c>
      <c r="W517" s="5" t="s">
        <v>1278</v>
      </c>
      <c r="X517" s="24">
        <v>0.6</v>
      </c>
      <c r="Y517" s="5" t="s">
        <v>106</v>
      </c>
      <c r="Z517" s="5"/>
      <c r="AA517" s="5"/>
      <c r="AB517" s="24">
        <v>1</v>
      </c>
      <c r="AC517" s="5"/>
      <c r="AD517" s="5" t="str">
        <f t="shared" ref="AD517:AD580" si="38">"kg_co2e_excl_luc"</f>
        <v>kg_co2e_excl_luc</v>
      </c>
      <c r="AE517" s="24">
        <f>IF(CropLCAs[[#This Row],[Product fraction]]="",CropLCAs[[#This Row],[CO2e (value)]]*CropLCAs[[#This Row],[Conversion factor (value)]],CropLCAs[[#This Row],[CO2e (value)]]*CropLCAs[[#This Row],[Conversion factor (value)]]/CropLCAs[[#This Row],[Product fraction]]*CropLCAs[[#This Row],[Value fraction]])</f>
        <v>0.6</v>
      </c>
      <c r="AF517" s="5" t="s">
        <v>40</v>
      </c>
      <c r="AG517" s="5" t="str">
        <f t="shared" ref="AG517:AG580" si="39">"processed_ghg"</f>
        <v>processed_ghg</v>
      </c>
      <c r="AH517" s="5">
        <v>0.43</v>
      </c>
      <c r="AI517" s="5">
        <v>0.8</v>
      </c>
      <c r="AJ517" s="8">
        <f>IF(CropLCAs[[#This Row],[product_fraction]]&gt;0,CropLCAs[[#This Row],[footprint]]/CropLCAs[[#This Row],[product_fraction]]*CropLCAs[[#This Row],[value_fraction]],"")</f>
        <v>1.1162790697674418</v>
      </c>
      <c r="AK517" s="23">
        <f t="shared" si="37"/>
        <v>0.25</v>
      </c>
      <c r="AL517" s="5" t="s">
        <v>109</v>
      </c>
      <c r="AM517" s="5" t="s">
        <v>255</v>
      </c>
      <c r="AN517" s="5" t="s">
        <v>1275</v>
      </c>
      <c r="AO517" s="5"/>
      <c r="AP517" s="5"/>
      <c r="AQ517" s="17"/>
      <c r="AR517" s="17"/>
      <c r="AS517" s="17"/>
      <c r="AT517" s="17"/>
      <c r="AU517" s="17"/>
    </row>
    <row r="518" spans="1:47" ht="44.1" customHeight="1" x14ac:dyDescent="0.2">
      <c r="A518" s="5" t="s">
        <v>251</v>
      </c>
      <c r="B518" s="5" t="s">
        <v>1493</v>
      </c>
      <c r="C518" s="16">
        <v>2015</v>
      </c>
      <c r="D518" s="5" t="s">
        <v>252</v>
      </c>
      <c r="E518" s="6" t="s">
        <v>271</v>
      </c>
      <c r="F518" s="5" t="s">
        <v>13</v>
      </c>
      <c r="G518" s="5" t="str">
        <f>IF(CropLCAs[[#This Row],[fbs_item]]="Insects","insect_ghg","plant_ghg")</f>
        <v>plant_ghg</v>
      </c>
      <c r="H518" s="49" t="s">
        <v>253</v>
      </c>
      <c r="I518" s="49"/>
      <c r="J518" s="49"/>
      <c r="K518" s="5" t="s">
        <v>1350</v>
      </c>
      <c r="L518" s="5" t="s">
        <v>254</v>
      </c>
      <c r="M518" s="5" t="s">
        <v>102</v>
      </c>
      <c r="N518" s="5" t="s">
        <v>102</v>
      </c>
      <c r="O518" s="5" t="s">
        <v>109</v>
      </c>
      <c r="P518" s="5" t="s">
        <v>102</v>
      </c>
      <c r="Q518" s="5" t="s">
        <v>102</v>
      </c>
      <c r="R518" s="5" t="s">
        <v>102</v>
      </c>
      <c r="S518" s="5" t="s">
        <v>102</v>
      </c>
      <c r="T518" s="5" t="s">
        <v>102</v>
      </c>
      <c r="U518" s="5">
        <v>100</v>
      </c>
      <c r="V518" s="5">
        <v>1</v>
      </c>
      <c r="W518" s="5" t="s">
        <v>106</v>
      </c>
      <c r="X518" s="24">
        <v>0.5</v>
      </c>
      <c r="Y518" s="5" t="s">
        <v>106</v>
      </c>
      <c r="Z518" s="5"/>
      <c r="AA518" s="5"/>
      <c r="AB518" s="24">
        <v>1</v>
      </c>
      <c r="AC518" s="5"/>
      <c r="AD518" s="5" t="str">
        <f t="shared" si="38"/>
        <v>kg_co2e_excl_luc</v>
      </c>
      <c r="AE518" s="24">
        <f>IF(CropLCAs[[#This Row],[Product fraction]]="",CropLCAs[[#This Row],[CO2e (value)]]*CropLCAs[[#This Row],[Conversion factor (value)]],CropLCAs[[#This Row],[CO2e (value)]]*CropLCAs[[#This Row],[Conversion factor (value)]]/CropLCAs[[#This Row],[Product fraction]]*CropLCAs[[#This Row],[Value fraction]])</f>
        <v>0.5</v>
      </c>
      <c r="AF518" s="5" t="s">
        <v>47</v>
      </c>
      <c r="AG518" s="5" t="str">
        <f t="shared" si="39"/>
        <v>processed_ghg</v>
      </c>
      <c r="AH518" s="5">
        <f>0.06*0.45</f>
        <v>2.7E-2</v>
      </c>
      <c r="AI518" s="5">
        <v>0.06</v>
      </c>
      <c r="AJ518" s="8">
        <f>IF(CropLCAs[[#This Row],[product_fraction]]&gt;0,CropLCAs[[#This Row],[footprint]]/CropLCAs[[#This Row],[product_fraction]]*CropLCAs[[#This Row],[value_fraction]],"")</f>
        <v>1.1111111111111112</v>
      </c>
      <c r="AK518" s="23">
        <f t="shared" si="37"/>
        <v>0.25</v>
      </c>
      <c r="AL518" s="5" t="s">
        <v>109</v>
      </c>
      <c r="AM518" s="5" t="s">
        <v>255</v>
      </c>
      <c r="AN518" s="5"/>
      <c r="AO518" s="5"/>
      <c r="AP518" s="5"/>
      <c r="AQ518" s="17"/>
      <c r="AR518" s="17"/>
      <c r="AS518" s="17"/>
      <c r="AT518" s="17"/>
      <c r="AU518" s="17"/>
    </row>
    <row r="519" spans="1:47" ht="44.1" customHeight="1" x14ac:dyDescent="0.2">
      <c r="A519" s="5" t="s">
        <v>251</v>
      </c>
      <c r="B519" s="5" t="s">
        <v>1493</v>
      </c>
      <c r="C519" s="16">
        <v>2015</v>
      </c>
      <c r="D519" s="5" t="s">
        <v>252</v>
      </c>
      <c r="E519" s="6" t="s">
        <v>271</v>
      </c>
      <c r="F519" s="5" t="s">
        <v>13</v>
      </c>
      <c r="G519" s="5" t="str">
        <f>IF(CropLCAs[[#This Row],[fbs_item]]="Insects","insect_ghg","plant_ghg")</f>
        <v>plant_ghg</v>
      </c>
      <c r="H519" s="49" t="s">
        <v>253</v>
      </c>
      <c r="I519" s="49"/>
      <c r="J519" s="49"/>
      <c r="K519" s="5" t="s">
        <v>1350</v>
      </c>
      <c r="L519" s="5" t="s">
        <v>256</v>
      </c>
      <c r="M519" s="5" t="s">
        <v>102</v>
      </c>
      <c r="N519" s="5" t="s">
        <v>102</v>
      </c>
      <c r="O519" s="5" t="s">
        <v>109</v>
      </c>
      <c r="P519" s="5" t="s">
        <v>102</v>
      </c>
      <c r="Q519" s="5" t="s">
        <v>102</v>
      </c>
      <c r="R519" s="5" t="s">
        <v>102</v>
      </c>
      <c r="S519" s="5" t="s">
        <v>102</v>
      </c>
      <c r="T519" s="5" t="s">
        <v>102</v>
      </c>
      <c r="U519" s="5">
        <v>100</v>
      </c>
      <c r="V519" s="5">
        <v>1</v>
      </c>
      <c r="W519" s="5" t="s">
        <v>106</v>
      </c>
      <c r="X519" s="24">
        <v>0.5</v>
      </c>
      <c r="Y519" s="5" t="s">
        <v>106</v>
      </c>
      <c r="Z519" s="5"/>
      <c r="AA519" s="5"/>
      <c r="AB519" s="24">
        <v>1</v>
      </c>
      <c r="AC519" s="5"/>
      <c r="AD519" s="5" t="str">
        <f t="shared" si="38"/>
        <v>kg_co2e_excl_luc</v>
      </c>
      <c r="AE519" s="24">
        <f>IF(CropLCAs[[#This Row],[Product fraction]]="",CropLCAs[[#This Row],[CO2e (value)]]*CropLCAs[[#This Row],[Conversion factor (value)]],CropLCAs[[#This Row],[CO2e (value)]]*CropLCAs[[#This Row],[Conversion factor (value)]]/CropLCAs[[#This Row],[Product fraction]]*CropLCAs[[#This Row],[Value fraction]])</f>
        <v>0.5</v>
      </c>
      <c r="AF519" s="5" t="s">
        <v>47</v>
      </c>
      <c r="AG519" s="5" t="str">
        <f t="shared" si="39"/>
        <v>processed_ghg</v>
      </c>
      <c r="AH519" s="5">
        <f>0.06*0.45</f>
        <v>2.7E-2</v>
      </c>
      <c r="AI519" s="5">
        <v>0.06</v>
      </c>
      <c r="AJ519" s="8">
        <f>IF(CropLCAs[[#This Row],[product_fraction]]&gt;0,CropLCAs[[#This Row],[footprint]]/CropLCAs[[#This Row],[product_fraction]]*CropLCAs[[#This Row],[value_fraction]],"")</f>
        <v>1.1111111111111112</v>
      </c>
      <c r="AK519" s="23">
        <f t="shared" si="37"/>
        <v>0.25</v>
      </c>
      <c r="AL519" s="5" t="s">
        <v>109</v>
      </c>
      <c r="AM519" s="5" t="s">
        <v>255</v>
      </c>
      <c r="AN519" s="5"/>
      <c r="AO519" s="5"/>
      <c r="AP519" s="5"/>
      <c r="AQ519" s="17"/>
      <c r="AR519" s="17"/>
      <c r="AS519" s="17"/>
      <c r="AT519" s="17"/>
      <c r="AU519" s="17"/>
    </row>
    <row r="520" spans="1:47" ht="44.1" customHeight="1" x14ac:dyDescent="0.2">
      <c r="A520" s="5" t="s">
        <v>251</v>
      </c>
      <c r="B520" s="5" t="s">
        <v>1493</v>
      </c>
      <c r="C520" s="16">
        <v>2015</v>
      </c>
      <c r="D520" s="5" t="s">
        <v>252</v>
      </c>
      <c r="E520" s="6" t="s">
        <v>271</v>
      </c>
      <c r="F520" s="5" t="s">
        <v>13</v>
      </c>
      <c r="G520" s="5" t="str">
        <f>IF(CropLCAs[[#This Row],[fbs_item]]="Insects","insect_ghg","plant_ghg")</f>
        <v>plant_ghg</v>
      </c>
      <c r="H520" s="49" t="s">
        <v>253</v>
      </c>
      <c r="I520" s="49"/>
      <c r="J520" s="49"/>
      <c r="K520" s="5" t="s">
        <v>1350</v>
      </c>
      <c r="L520" s="5" t="s">
        <v>257</v>
      </c>
      <c r="M520" s="5" t="s">
        <v>102</v>
      </c>
      <c r="N520" s="5" t="s">
        <v>102</v>
      </c>
      <c r="O520" s="5" t="s">
        <v>109</v>
      </c>
      <c r="P520" s="5" t="s">
        <v>102</v>
      </c>
      <c r="Q520" s="5" t="s">
        <v>102</v>
      </c>
      <c r="R520" s="5" t="s">
        <v>102</v>
      </c>
      <c r="S520" s="5" t="s">
        <v>102</v>
      </c>
      <c r="T520" s="5" t="s">
        <v>102</v>
      </c>
      <c r="U520" s="5">
        <v>100</v>
      </c>
      <c r="V520" s="5">
        <v>1</v>
      </c>
      <c r="W520" s="5" t="s">
        <v>106</v>
      </c>
      <c r="X520" s="24">
        <v>0.5</v>
      </c>
      <c r="Y520" s="5" t="s">
        <v>106</v>
      </c>
      <c r="Z520" s="5"/>
      <c r="AA520" s="5"/>
      <c r="AB520" s="24">
        <v>1</v>
      </c>
      <c r="AC520" s="5"/>
      <c r="AD520" s="5" t="str">
        <f t="shared" si="38"/>
        <v>kg_co2e_excl_luc</v>
      </c>
      <c r="AE520" s="24">
        <f>IF(CropLCAs[[#This Row],[Product fraction]]="",CropLCAs[[#This Row],[CO2e (value)]]*CropLCAs[[#This Row],[Conversion factor (value)]],CropLCAs[[#This Row],[CO2e (value)]]*CropLCAs[[#This Row],[Conversion factor (value)]]/CropLCAs[[#This Row],[Product fraction]]*CropLCAs[[#This Row],[Value fraction]])</f>
        <v>0.5</v>
      </c>
      <c r="AF520" s="5" t="s">
        <v>47</v>
      </c>
      <c r="AG520" s="5" t="str">
        <f t="shared" si="39"/>
        <v>processed_ghg</v>
      </c>
      <c r="AH520" s="5">
        <f>0.06*0.45</f>
        <v>2.7E-2</v>
      </c>
      <c r="AI520" s="5">
        <v>0.06</v>
      </c>
      <c r="AJ520" s="8">
        <f>IF(CropLCAs[[#This Row],[product_fraction]]&gt;0,CropLCAs[[#This Row],[footprint]]/CropLCAs[[#This Row],[product_fraction]]*CropLCAs[[#This Row],[value_fraction]],"")</f>
        <v>1.1111111111111112</v>
      </c>
      <c r="AK520" s="23">
        <f t="shared" si="37"/>
        <v>0.25</v>
      </c>
      <c r="AL520" s="5" t="s">
        <v>109</v>
      </c>
      <c r="AM520" s="5" t="s">
        <v>255</v>
      </c>
      <c r="AN520" s="5"/>
      <c r="AO520" s="5"/>
      <c r="AP520" s="5"/>
      <c r="AQ520" s="17"/>
      <c r="AR520" s="17"/>
      <c r="AS520" s="17"/>
      <c r="AT520" s="17"/>
      <c r="AU520" s="17"/>
    </row>
    <row r="521" spans="1:47" ht="44.1" customHeight="1" x14ac:dyDescent="0.2">
      <c r="A521" s="5" t="s">
        <v>251</v>
      </c>
      <c r="B521" s="5" t="s">
        <v>1493</v>
      </c>
      <c r="C521" s="16">
        <v>2015</v>
      </c>
      <c r="D521" s="5" t="s">
        <v>252</v>
      </c>
      <c r="E521" s="6" t="s">
        <v>271</v>
      </c>
      <c r="F521" s="5" t="s">
        <v>13</v>
      </c>
      <c r="G521" s="5" t="str">
        <f>IF(CropLCAs[[#This Row],[fbs_item]]="Insects","insect_ghg","plant_ghg")</f>
        <v>plant_ghg</v>
      </c>
      <c r="H521" s="49" t="s">
        <v>253</v>
      </c>
      <c r="I521" s="49"/>
      <c r="J521" s="49"/>
      <c r="K521" s="5" t="s">
        <v>1351</v>
      </c>
      <c r="L521" s="5" t="s">
        <v>258</v>
      </c>
      <c r="M521" s="5" t="s">
        <v>102</v>
      </c>
      <c r="N521" s="5" t="s">
        <v>102</v>
      </c>
      <c r="O521" s="5" t="s">
        <v>109</v>
      </c>
      <c r="P521" s="5" t="s">
        <v>102</v>
      </c>
      <c r="Q521" s="5" t="s">
        <v>102</v>
      </c>
      <c r="R521" s="5" t="s">
        <v>102</v>
      </c>
      <c r="S521" s="5" t="s">
        <v>102</v>
      </c>
      <c r="T521" s="5" t="s">
        <v>102</v>
      </c>
      <c r="U521" s="5">
        <v>100</v>
      </c>
      <c r="V521" s="5">
        <v>1</v>
      </c>
      <c r="W521" s="5" t="s">
        <v>106</v>
      </c>
      <c r="X521" s="24">
        <v>0.5</v>
      </c>
      <c r="Y521" s="5" t="s">
        <v>106</v>
      </c>
      <c r="Z521" s="5"/>
      <c r="AA521" s="5"/>
      <c r="AB521" s="24">
        <v>1</v>
      </c>
      <c r="AC521" s="5"/>
      <c r="AD521" s="5" t="str">
        <f t="shared" si="38"/>
        <v>kg_co2e_excl_luc</v>
      </c>
      <c r="AE521" s="24">
        <f>IF(CropLCAs[[#This Row],[Product fraction]]="",CropLCAs[[#This Row],[CO2e (value)]]*CropLCAs[[#This Row],[Conversion factor (value)]],CropLCAs[[#This Row],[CO2e (value)]]*CropLCAs[[#This Row],[Conversion factor (value)]]/CropLCAs[[#This Row],[Product fraction]]*CropLCAs[[#This Row],[Value fraction]])</f>
        <v>0.5</v>
      </c>
      <c r="AF521" s="5" t="s">
        <v>47</v>
      </c>
      <c r="AG521" s="5" t="str">
        <f t="shared" si="39"/>
        <v>processed_ghg</v>
      </c>
      <c r="AH521" s="5">
        <f>0.06*0.45</f>
        <v>2.7E-2</v>
      </c>
      <c r="AI521" s="5">
        <v>0.06</v>
      </c>
      <c r="AJ521" s="8">
        <f>IF(CropLCAs[[#This Row],[product_fraction]]&gt;0,CropLCAs[[#This Row],[footprint]]/CropLCAs[[#This Row],[product_fraction]]*CropLCAs[[#This Row],[value_fraction]],"")</f>
        <v>1.1111111111111112</v>
      </c>
      <c r="AK521" s="23">
        <f t="shared" si="37"/>
        <v>0.25</v>
      </c>
      <c r="AL521" s="5" t="s">
        <v>109</v>
      </c>
      <c r="AM521" s="5" t="s">
        <v>255</v>
      </c>
      <c r="AN521" s="5"/>
      <c r="AO521" s="5"/>
      <c r="AP521" s="5"/>
      <c r="AQ521" s="17"/>
      <c r="AR521" s="17"/>
      <c r="AS521" s="17"/>
      <c r="AT521" s="17"/>
      <c r="AU521" s="17"/>
    </row>
    <row r="522" spans="1:47" ht="44.1" customHeight="1" x14ac:dyDescent="0.2">
      <c r="A522" s="5" t="s">
        <v>251</v>
      </c>
      <c r="B522" s="5" t="s">
        <v>1493</v>
      </c>
      <c r="C522" s="16">
        <v>2015</v>
      </c>
      <c r="D522" s="5" t="s">
        <v>252</v>
      </c>
      <c r="E522" s="6" t="s">
        <v>630</v>
      </c>
      <c r="F522" s="5" t="s">
        <v>5</v>
      </c>
      <c r="G522" s="5" t="str">
        <f>IF(CropLCAs[[#This Row],[fbs_item]]="Insects","insect_ghg","plant_ghg")</f>
        <v>plant_ghg</v>
      </c>
      <c r="H522" s="49" t="s">
        <v>253</v>
      </c>
      <c r="I522" s="49"/>
      <c r="J522" s="49"/>
      <c r="K522" s="5" t="s">
        <v>219</v>
      </c>
      <c r="L522" s="5"/>
      <c r="M522" s="5" t="s">
        <v>102</v>
      </c>
      <c r="N522" s="5" t="s">
        <v>102</v>
      </c>
      <c r="O522" s="5" t="s">
        <v>109</v>
      </c>
      <c r="P522" s="5" t="s">
        <v>102</v>
      </c>
      <c r="Q522" s="5" t="s">
        <v>102</v>
      </c>
      <c r="R522" s="5" t="s">
        <v>102</v>
      </c>
      <c r="S522" s="5" t="s">
        <v>102</v>
      </c>
      <c r="T522" s="5" t="s">
        <v>102</v>
      </c>
      <c r="U522" s="5">
        <v>100</v>
      </c>
      <c r="V522" s="5">
        <v>1</v>
      </c>
      <c r="W522" s="5" t="s">
        <v>106</v>
      </c>
      <c r="X522" s="24">
        <v>0.52</v>
      </c>
      <c r="Y522" s="5" t="s">
        <v>106</v>
      </c>
      <c r="Z522" s="5"/>
      <c r="AA522" s="5"/>
      <c r="AB522" s="24">
        <v>1</v>
      </c>
      <c r="AC522" s="5"/>
      <c r="AD522" s="5" t="str">
        <f t="shared" si="38"/>
        <v>kg_co2e_excl_luc</v>
      </c>
      <c r="AE522" s="24">
        <f>IF(CropLCAs[[#This Row],[Product fraction]]="",CropLCAs[[#This Row],[CO2e (value)]]*CropLCAs[[#This Row],[Conversion factor (value)]],CropLCAs[[#This Row],[CO2e (value)]]*CropLCAs[[#This Row],[Conversion factor (value)]]/CropLCAs[[#This Row],[Product fraction]]*CropLCAs[[#This Row],[Value fraction]])</f>
        <v>0.52</v>
      </c>
      <c r="AF522" s="5"/>
      <c r="AG522" s="5" t="str">
        <f t="shared" si="39"/>
        <v>processed_ghg</v>
      </c>
      <c r="AH522" s="5"/>
      <c r="AI522" s="5"/>
      <c r="AJ522" s="8" t="str">
        <f>IF(CropLCAs[[#This Row],[product_fraction]]&gt;0,CropLCAs[[#This Row],[footprint]]/CropLCAs[[#This Row],[product_fraction]]*CropLCAs[[#This Row],[value_fraction]],"")</f>
        <v/>
      </c>
      <c r="AK522" s="23">
        <f>1/2</f>
        <v>0.5</v>
      </c>
      <c r="AL522" s="5" t="s">
        <v>109</v>
      </c>
      <c r="AM522" s="5" t="s">
        <v>255</v>
      </c>
      <c r="AN522" s="5"/>
      <c r="AO522" s="5"/>
      <c r="AP522" s="5"/>
      <c r="AQ522" s="17"/>
      <c r="AR522" s="17"/>
      <c r="AS522" s="17"/>
      <c r="AT522" s="17"/>
      <c r="AU522" s="17"/>
    </row>
    <row r="523" spans="1:47" ht="44.1" customHeight="1" x14ac:dyDescent="0.2">
      <c r="A523" s="5" t="s">
        <v>251</v>
      </c>
      <c r="B523" s="5" t="s">
        <v>1493</v>
      </c>
      <c r="C523" s="16">
        <v>2015</v>
      </c>
      <c r="D523" s="5" t="s">
        <v>252</v>
      </c>
      <c r="E523" s="6" t="s">
        <v>630</v>
      </c>
      <c r="F523" s="5" t="s">
        <v>5</v>
      </c>
      <c r="G523" s="5" t="str">
        <f>IF(CropLCAs[[#This Row],[fbs_item]]="Insects","insect_ghg","plant_ghg")</f>
        <v>plant_ghg</v>
      </c>
      <c r="H523" s="49" t="s">
        <v>253</v>
      </c>
      <c r="I523" s="49"/>
      <c r="J523" s="49"/>
      <c r="K523" s="5" t="s">
        <v>111</v>
      </c>
      <c r="L523" s="5"/>
      <c r="M523" s="5" t="s">
        <v>102</v>
      </c>
      <c r="N523" s="5" t="s">
        <v>102</v>
      </c>
      <c r="O523" s="5" t="s">
        <v>109</v>
      </c>
      <c r="P523" s="5" t="s">
        <v>102</v>
      </c>
      <c r="Q523" s="5" t="s">
        <v>102</v>
      </c>
      <c r="R523" s="5" t="s">
        <v>102</v>
      </c>
      <c r="S523" s="5" t="s">
        <v>102</v>
      </c>
      <c r="T523" s="5" t="s">
        <v>102</v>
      </c>
      <c r="U523" s="5">
        <v>100</v>
      </c>
      <c r="V523" s="5">
        <v>1</v>
      </c>
      <c r="W523" s="5" t="s">
        <v>106</v>
      </c>
      <c r="X523" s="24">
        <v>0.52</v>
      </c>
      <c r="Y523" s="5" t="s">
        <v>106</v>
      </c>
      <c r="Z523" s="5"/>
      <c r="AA523" s="5"/>
      <c r="AB523" s="24">
        <v>1</v>
      </c>
      <c r="AC523" s="5"/>
      <c r="AD523" s="5" t="str">
        <f t="shared" si="38"/>
        <v>kg_co2e_excl_luc</v>
      </c>
      <c r="AE523" s="24">
        <f>IF(CropLCAs[[#This Row],[Product fraction]]="",CropLCAs[[#This Row],[CO2e (value)]]*CropLCAs[[#This Row],[Conversion factor (value)]],CropLCAs[[#This Row],[CO2e (value)]]*CropLCAs[[#This Row],[Conversion factor (value)]]/CropLCAs[[#This Row],[Product fraction]]*CropLCAs[[#This Row],[Value fraction]])</f>
        <v>0.52</v>
      </c>
      <c r="AF523" s="5"/>
      <c r="AG523" s="5" t="str">
        <f t="shared" si="39"/>
        <v>processed_ghg</v>
      </c>
      <c r="AH523" s="5"/>
      <c r="AI523" s="5"/>
      <c r="AJ523" s="8" t="str">
        <f>IF(CropLCAs[[#This Row],[product_fraction]]&gt;0,CropLCAs[[#This Row],[footprint]]/CropLCAs[[#This Row],[product_fraction]]*CropLCAs[[#This Row],[value_fraction]],"")</f>
        <v/>
      </c>
      <c r="AK523" s="23">
        <f>1/2</f>
        <v>0.5</v>
      </c>
      <c r="AL523" s="5" t="s">
        <v>109</v>
      </c>
      <c r="AM523" s="5" t="s">
        <v>255</v>
      </c>
      <c r="AN523" s="5"/>
      <c r="AO523" s="5"/>
      <c r="AP523" s="5"/>
      <c r="AQ523" s="17"/>
      <c r="AR523" s="17"/>
      <c r="AS523" s="17"/>
      <c r="AT523" s="17"/>
      <c r="AU523" s="17"/>
    </row>
    <row r="524" spans="1:47" ht="44.1" customHeight="1" x14ac:dyDescent="0.2">
      <c r="A524" s="5" t="s">
        <v>123</v>
      </c>
      <c r="B524" s="5" t="s">
        <v>1494</v>
      </c>
      <c r="C524" s="16">
        <v>2015</v>
      </c>
      <c r="D524" s="6" t="s">
        <v>336</v>
      </c>
      <c r="E524" s="6" t="s">
        <v>1345</v>
      </c>
      <c r="F524" s="5" t="s">
        <v>25</v>
      </c>
      <c r="G524" s="5" t="str">
        <f>IF(CropLCAs[[#This Row],[fbs_item]]="Insects","insect_ghg","plant_ghg")</f>
        <v>plant_ghg</v>
      </c>
      <c r="H524" s="49" t="s">
        <v>210</v>
      </c>
      <c r="I524" s="49"/>
      <c r="J524" s="49"/>
      <c r="K524" s="5" t="s">
        <v>111</v>
      </c>
      <c r="L524" s="5" t="s">
        <v>337</v>
      </c>
      <c r="M524" s="5" t="s">
        <v>102</v>
      </c>
      <c r="N524" s="5" t="s">
        <v>338</v>
      </c>
      <c r="O524" s="5" t="s">
        <v>109</v>
      </c>
      <c r="P524" s="5" t="s">
        <v>102</v>
      </c>
      <c r="Q524" s="5" t="s">
        <v>102</v>
      </c>
      <c r="R524" s="5" t="s">
        <v>102</v>
      </c>
      <c r="S524" s="5" t="s">
        <v>102</v>
      </c>
      <c r="T524" s="5" t="s">
        <v>102</v>
      </c>
      <c r="U524" s="5">
        <v>100</v>
      </c>
      <c r="V524" s="5">
        <v>1</v>
      </c>
      <c r="W524" s="5" t="s">
        <v>1427</v>
      </c>
      <c r="X524" s="24">
        <v>548.61</v>
      </c>
      <c r="Y524" s="5" t="s">
        <v>107</v>
      </c>
      <c r="Z524" s="5"/>
      <c r="AA524" s="5"/>
      <c r="AB524" s="24">
        <f>(1/1000)*(1/4)</f>
        <v>2.5000000000000001E-4</v>
      </c>
      <c r="AC524" s="5" t="s">
        <v>339</v>
      </c>
      <c r="AD524" s="5" t="str">
        <f t="shared" si="38"/>
        <v>kg_co2e_excl_luc</v>
      </c>
      <c r="AE524" s="24">
        <f>IF(CropLCAs[[#This Row],[Product fraction]]="",CropLCAs[[#This Row],[CO2e (value)]]*CropLCAs[[#This Row],[Conversion factor (value)]],CropLCAs[[#This Row],[CO2e (value)]]*CropLCAs[[#This Row],[Conversion factor (value)]]/CropLCAs[[#This Row],[Product fraction]]*CropLCAs[[#This Row],[Value fraction]])</f>
        <v>0.13715250000000001</v>
      </c>
      <c r="AF524" s="5" t="s">
        <v>45</v>
      </c>
      <c r="AG524" s="5" t="str">
        <f t="shared" si="39"/>
        <v>processed_ghg</v>
      </c>
      <c r="AH524" s="9">
        <v>0.2</v>
      </c>
      <c r="AI524" s="9">
        <v>0.96</v>
      </c>
      <c r="AJ524" s="8">
        <f>IF(CropLCAs[[#This Row],[product_fraction]]&gt;0,CropLCAs[[#This Row],[footprint]]/CropLCAs[[#This Row],[product_fraction]]*CropLCAs[[#This Row],[value_fraction]],"")</f>
        <v>0.65833200000000003</v>
      </c>
      <c r="AK524" s="23">
        <v>1</v>
      </c>
      <c r="AL524" s="5" t="s">
        <v>109</v>
      </c>
      <c r="AM524" s="60" t="s">
        <v>1429</v>
      </c>
      <c r="AN524" s="5" t="s">
        <v>340</v>
      </c>
      <c r="AO524" s="5"/>
      <c r="AP524" s="5"/>
      <c r="AQ524" s="17"/>
      <c r="AR524" s="17"/>
      <c r="AS524" s="17"/>
      <c r="AT524" s="17"/>
      <c r="AU524" s="17"/>
    </row>
    <row r="525" spans="1:47" ht="44.1" customHeight="1" x14ac:dyDescent="0.2">
      <c r="A525" s="5" t="s">
        <v>251</v>
      </c>
      <c r="B525" s="5" t="s">
        <v>1495</v>
      </c>
      <c r="C525" s="16">
        <v>2012</v>
      </c>
      <c r="D525" s="6" t="s">
        <v>685</v>
      </c>
      <c r="E525" s="6" t="s">
        <v>1321</v>
      </c>
      <c r="F525" s="5" t="s">
        <v>5</v>
      </c>
      <c r="G525" s="5" t="str">
        <f>IF(CropLCAs[[#This Row],[fbs_item]]="Insects","insect_ghg","plant_ghg")</f>
        <v>plant_ghg</v>
      </c>
      <c r="H525" s="49" t="s">
        <v>477</v>
      </c>
      <c r="I525" s="49"/>
      <c r="J525" s="52" t="s">
        <v>1294</v>
      </c>
      <c r="K525" s="7" t="s">
        <v>101</v>
      </c>
      <c r="L525" s="7"/>
      <c r="M525" s="5" t="s">
        <v>102</v>
      </c>
      <c r="N525" s="5" t="s">
        <v>109</v>
      </c>
      <c r="O525" s="5" t="s">
        <v>109</v>
      </c>
      <c r="P525" s="5" t="s">
        <v>102</v>
      </c>
      <c r="Q525" s="5" t="s">
        <v>102</v>
      </c>
      <c r="R525" s="5" t="s">
        <v>102</v>
      </c>
      <c r="S525" s="5" t="s">
        <v>102</v>
      </c>
      <c r="T525" s="5" t="s">
        <v>686</v>
      </c>
      <c r="U525" s="5">
        <v>100</v>
      </c>
      <c r="V525" s="5">
        <v>1</v>
      </c>
      <c r="W525" s="5" t="s">
        <v>127</v>
      </c>
      <c r="X525" s="24">
        <v>365.59</v>
      </c>
      <c r="Y525" s="5" t="s">
        <v>106</v>
      </c>
      <c r="Z525" s="5"/>
      <c r="AA525" s="5"/>
      <c r="AB525" s="24">
        <v>1E-3</v>
      </c>
      <c r="AC525" s="5" t="s">
        <v>635</v>
      </c>
      <c r="AD525" s="5" t="str">
        <f t="shared" si="38"/>
        <v>kg_co2e_excl_luc</v>
      </c>
      <c r="AE525" s="24">
        <f>IF(CropLCAs[[#This Row],[Product fraction]]="",CropLCAs[[#This Row],[CO2e (value)]]*CropLCAs[[#This Row],[Conversion factor (value)]],CropLCAs[[#This Row],[CO2e (value)]]*CropLCAs[[#This Row],[Conversion factor (value)]]/CropLCAs[[#This Row],[Product fraction]]*CropLCAs[[#This Row],[Value fraction]])</f>
        <v>0.36558999999999997</v>
      </c>
      <c r="AF525" s="6"/>
      <c r="AG525" s="6" t="str">
        <f t="shared" si="39"/>
        <v>processed_ghg</v>
      </c>
      <c r="AH525" s="6"/>
      <c r="AI525" s="6"/>
      <c r="AJ525" s="8" t="str">
        <f>IF(CropLCAs[[#This Row],[product_fraction]]&gt;0,CropLCAs[[#This Row],[footprint]]/CropLCAs[[#This Row],[product_fraction]]*CropLCAs[[#This Row],[value_fraction]],"")</f>
        <v/>
      </c>
      <c r="AK525" s="23">
        <f>1/5</f>
        <v>0.2</v>
      </c>
      <c r="AL525" s="6" t="s">
        <v>109</v>
      </c>
      <c r="AM525" s="5" t="s">
        <v>687</v>
      </c>
      <c r="AN525" s="11" t="s">
        <v>688</v>
      </c>
      <c r="AO525" s="5"/>
      <c r="AP525" s="5"/>
      <c r="AQ525" s="17"/>
      <c r="AR525" s="17"/>
      <c r="AS525" s="17"/>
      <c r="AT525" s="17"/>
      <c r="AU525" s="17"/>
    </row>
    <row r="526" spans="1:47" ht="44.1" customHeight="1" x14ac:dyDescent="0.2">
      <c r="A526" s="5" t="s">
        <v>251</v>
      </c>
      <c r="B526" s="5" t="s">
        <v>1495</v>
      </c>
      <c r="C526" s="16">
        <v>2012</v>
      </c>
      <c r="D526" s="6" t="s">
        <v>685</v>
      </c>
      <c r="E526" s="6" t="s">
        <v>1321</v>
      </c>
      <c r="F526" s="5" t="s">
        <v>5</v>
      </c>
      <c r="G526" s="5" t="str">
        <f>IF(CropLCAs[[#This Row],[fbs_item]]="Insects","insect_ghg","plant_ghg")</f>
        <v>plant_ghg</v>
      </c>
      <c r="H526" s="49" t="s">
        <v>477</v>
      </c>
      <c r="I526" s="49"/>
      <c r="J526" s="52" t="s">
        <v>1294</v>
      </c>
      <c r="K526" s="7" t="s">
        <v>101</v>
      </c>
      <c r="L526" s="7" t="s">
        <v>689</v>
      </c>
      <c r="M526" s="5" t="s">
        <v>102</v>
      </c>
      <c r="N526" s="5" t="s">
        <v>109</v>
      </c>
      <c r="O526" s="5" t="s">
        <v>109</v>
      </c>
      <c r="P526" s="5" t="s">
        <v>102</v>
      </c>
      <c r="Q526" s="5" t="s">
        <v>102</v>
      </c>
      <c r="R526" s="5" t="s">
        <v>102</v>
      </c>
      <c r="S526" s="5" t="s">
        <v>102</v>
      </c>
      <c r="T526" s="5" t="s">
        <v>686</v>
      </c>
      <c r="U526" s="5">
        <v>100</v>
      </c>
      <c r="V526" s="5">
        <v>1</v>
      </c>
      <c r="W526" s="5" t="s">
        <v>127</v>
      </c>
      <c r="X526" s="24">
        <v>367.38</v>
      </c>
      <c r="Y526" s="5" t="s">
        <v>106</v>
      </c>
      <c r="Z526" s="5"/>
      <c r="AA526" s="5"/>
      <c r="AB526" s="24">
        <v>1E-3</v>
      </c>
      <c r="AC526" s="5" t="s">
        <v>635</v>
      </c>
      <c r="AD526" s="5" t="str">
        <f t="shared" si="38"/>
        <v>kg_co2e_excl_luc</v>
      </c>
      <c r="AE526" s="24">
        <f>IF(CropLCAs[[#This Row],[Product fraction]]="",CropLCAs[[#This Row],[CO2e (value)]]*CropLCAs[[#This Row],[Conversion factor (value)]],CropLCAs[[#This Row],[CO2e (value)]]*CropLCAs[[#This Row],[Conversion factor (value)]]/CropLCAs[[#This Row],[Product fraction]]*CropLCAs[[#This Row],[Value fraction]])</f>
        <v>0.36737999999999998</v>
      </c>
      <c r="AF526" s="6"/>
      <c r="AG526" s="6" t="str">
        <f t="shared" si="39"/>
        <v>processed_ghg</v>
      </c>
      <c r="AH526" s="6"/>
      <c r="AI526" s="6"/>
      <c r="AJ526" s="8" t="str">
        <f>IF(CropLCAs[[#This Row],[product_fraction]]&gt;0,CropLCAs[[#This Row],[footprint]]/CropLCAs[[#This Row],[product_fraction]]*CropLCAs[[#This Row],[value_fraction]],"")</f>
        <v/>
      </c>
      <c r="AK526" s="23">
        <f>1/5</f>
        <v>0.2</v>
      </c>
      <c r="AL526" s="6" t="s">
        <v>109</v>
      </c>
      <c r="AM526" s="5" t="s">
        <v>687</v>
      </c>
      <c r="AN526" s="11" t="s">
        <v>688</v>
      </c>
      <c r="AO526" s="5"/>
      <c r="AP526" s="5"/>
      <c r="AQ526" s="17"/>
      <c r="AR526" s="17"/>
      <c r="AS526" s="17"/>
      <c r="AT526" s="17"/>
      <c r="AU526" s="17"/>
    </row>
    <row r="527" spans="1:47" ht="44.1" customHeight="1" x14ac:dyDescent="0.2">
      <c r="A527" s="5" t="s">
        <v>251</v>
      </c>
      <c r="B527" s="5" t="s">
        <v>1495</v>
      </c>
      <c r="C527" s="16">
        <v>2012</v>
      </c>
      <c r="D527" s="6" t="s">
        <v>685</v>
      </c>
      <c r="E527" s="6" t="s">
        <v>1321</v>
      </c>
      <c r="F527" s="5" t="s">
        <v>5</v>
      </c>
      <c r="G527" s="5" t="str">
        <f>IF(CropLCAs[[#This Row],[fbs_item]]="Insects","insect_ghg","plant_ghg")</f>
        <v>plant_ghg</v>
      </c>
      <c r="H527" s="49" t="s">
        <v>477</v>
      </c>
      <c r="I527" s="49"/>
      <c r="J527" s="52" t="s">
        <v>1294</v>
      </c>
      <c r="K527" s="7" t="s">
        <v>111</v>
      </c>
      <c r="L527" s="7"/>
      <c r="M527" s="5" t="s">
        <v>102</v>
      </c>
      <c r="N527" s="5" t="s">
        <v>109</v>
      </c>
      <c r="O527" s="5" t="s">
        <v>109</v>
      </c>
      <c r="P527" s="5" t="s">
        <v>102</v>
      </c>
      <c r="Q527" s="5" t="s">
        <v>102</v>
      </c>
      <c r="R527" s="5" t="s">
        <v>102</v>
      </c>
      <c r="S527" s="5" t="s">
        <v>102</v>
      </c>
      <c r="T527" s="5" t="s">
        <v>686</v>
      </c>
      <c r="U527" s="5">
        <v>100</v>
      </c>
      <c r="V527" s="5">
        <v>1</v>
      </c>
      <c r="W527" s="5" t="s">
        <v>127</v>
      </c>
      <c r="X527" s="24">
        <v>387.1</v>
      </c>
      <c r="Y527" s="5" t="s">
        <v>106</v>
      </c>
      <c r="Z527" s="5"/>
      <c r="AA527" s="5"/>
      <c r="AB527" s="24">
        <v>1E-3</v>
      </c>
      <c r="AC527" s="5" t="s">
        <v>635</v>
      </c>
      <c r="AD527" s="5" t="str">
        <f t="shared" si="38"/>
        <v>kg_co2e_excl_luc</v>
      </c>
      <c r="AE527" s="24">
        <f>IF(CropLCAs[[#This Row],[Product fraction]]="",CropLCAs[[#This Row],[CO2e (value)]]*CropLCAs[[#This Row],[Conversion factor (value)]],CropLCAs[[#This Row],[CO2e (value)]]*CropLCAs[[#This Row],[Conversion factor (value)]]/CropLCAs[[#This Row],[Product fraction]]*CropLCAs[[#This Row],[Value fraction]])</f>
        <v>0.38710000000000006</v>
      </c>
      <c r="AF527" s="6"/>
      <c r="AG527" s="6" t="str">
        <f t="shared" si="39"/>
        <v>processed_ghg</v>
      </c>
      <c r="AH527" s="6"/>
      <c r="AI527" s="6"/>
      <c r="AJ527" s="8" t="str">
        <f>IF(CropLCAs[[#This Row],[product_fraction]]&gt;0,CropLCAs[[#This Row],[footprint]]/CropLCAs[[#This Row],[product_fraction]]*CropLCAs[[#This Row],[value_fraction]],"")</f>
        <v/>
      </c>
      <c r="AK527" s="23">
        <f>1/5</f>
        <v>0.2</v>
      </c>
      <c r="AL527" s="6" t="s">
        <v>109</v>
      </c>
      <c r="AM527" s="5" t="s">
        <v>687</v>
      </c>
      <c r="AN527" s="11" t="s">
        <v>688</v>
      </c>
      <c r="AO527" s="5"/>
      <c r="AP527" s="5"/>
      <c r="AQ527" s="17"/>
      <c r="AR527" s="17"/>
      <c r="AS527" s="17"/>
      <c r="AT527" s="17"/>
      <c r="AU527" s="17"/>
    </row>
    <row r="528" spans="1:47" ht="44.1" customHeight="1" x14ac:dyDescent="0.2">
      <c r="A528" s="5" t="s">
        <v>251</v>
      </c>
      <c r="B528" s="5" t="s">
        <v>1495</v>
      </c>
      <c r="C528" s="16">
        <v>2012</v>
      </c>
      <c r="D528" s="6" t="s">
        <v>685</v>
      </c>
      <c r="E528" s="6" t="s">
        <v>1321</v>
      </c>
      <c r="F528" s="5" t="s">
        <v>5</v>
      </c>
      <c r="G528" s="5" t="str">
        <f>IF(CropLCAs[[#This Row],[fbs_item]]="Insects","insect_ghg","plant_ghg")</f>
        <v>plant_ghg</v>
      </c>
      <c r="H528" s="49" t="s">
        <v>477</v>
      </c>
      <c r="I528" s="49"/>
      <c r="J528" s="52" t="s">
        <v>1294</v>
      </c>
      <c r="K528" s="7" t="s">
        <v>690</v>
      </c>
      <c r="L528" s="7"/>
      <c r="M528" s="5" t="s">
        <v>102</v>
      </c>
      <c r="N528" s="5" t="s">
        <v>109</v>
      </c>
      <c r="O528" s="5" t="s">
        <v>109</v>
      </c>
      <c r="P528" s="5" t="s">
        <v>102</v>
      </c>
      <c r="Q528" s="5" t="s">
        <v>102</v>
      </c>
      <c r="R528" s="5" t="s">
        <v>102</v>
      </c>
      <c r="S528" s="5" t="s">
        <v>102</v>
      </c>
      <c r="T528" s="5" t="s">
        <v>686</v>
      </c>
      <c r="U528" s="5">
        <v>100</v>
      </c>
      <c r="V528" s="5">
        <v>1</v>
      </c>
      <c r="W528" s="5" t="s">
        <v>127</v>
      </c>
      <c r="X528" s="24">
        <v>311.83</v>
      </c>
      <c r="Y528" s="5" t="s">
        <v>106</v>
      </c>
      <c r="Z528" s="5"/>
      <c r="AA528" s="5"/>
      <c r="AB528" s="24">
        <v>1E-3</v>
      </c>
      <c r="AC528" s="5" t="s">
        <v>635</v>
      </c>
      <c r="AD528" s="5" t="str">
        <f t="shared" si="38"/>
        <v>kg_co2e_excl_luc</v>
      </c>
      <c r="AE528" s="24">
        <f>IF(CropLCAs[[#This Row],[Product fraction]]="",CropLCAs[[#This Row],[CO2e (value)]]*CropLCAs[[#This Row],[Conversion factor (value)]],CropLCAs[[#This Row],[CO2e (value)]]*CropLCAs[[#This Row],[Conversion factor (value)]]/CropLCAs[[#This Row],[Product fraction]]*CropLCAs[[#This Row],[Value fraction]])</f>
        <v>0.31183</v>
      </c>
      <c r="AF528" s="6"/>
      <c r="AG528" s="6" t="str">
        <f t="shared" si="39"/>
        <v>processed_ghg</v>
      </c>
      <c r="AH528" s="6"/>
      <c r="AI528" s="6"/>
      <c r="AJ528" s="8" t="str">
        <f>IF(CropLCAs[[#This Row],[product_fraction]]&gt;0,CropLCAs[[#This Row],[footprint]]/CropLCAs[[#This Row],[product_fraction]]*CropLCAs[[#This Row],[value_fraction]],"")</f>
        <v/>
      </c>
      <c r="AK528" s="23">
        <f>1/5</f>
        <v>0.2</v>
      </c>
      <c r="AL528" s="6" t="s">
        <v>109</v>
      </c>
      <c r="AM528" s="5" t="s">
        <v>687</v>
      </c>
      <c r="AN528" s="11" t="s">
        <v>688</v>
      </c>
      <c r="AO528" s="5"/>
      <c r="AP528" s="5"/>
      <c r="AQ528" s="17"/>
      <c r="AR528" s="17"/>
      <c r="AS528" s="17"/>
      <c r="AT528" s="17"/>
      <c r="AU528" s="17"/>
    </row>
    <row r="529" spans="1:47" ht="44.1" customHeight="1" x14ac:dyDescent="0.2">
      <c r="A529" s="5" t="s">
        <v>251</v>
      </c>
      <c r="B529" s="5" t="s">
        <v>1495</v>
      </c>
      <c r="C529" s="16">
        <v>2012</v>
      </c>
      <c r="D529" s="6" t="s">
        <v>685</v>
      </c>
      <c r="E529" s="6" t="s">
        <v>1321</v>
      </c>
      <c r="F529" s="5" t="s">
        <v>5</v>
      </c>
      <c r="G529" s="5" t="str">
        <f>IF(CropLCAs[[#This Row],[fbs_item]]="Insects","insect_ghg","plant_ghg")</f>
        <v>plant_ghg</v>
      </c>
      <c r="H529" s="49" t="s">
        <v>477</v>
      </c>
      <c r="I529" s="49"/>
      <c r="J529" s="52" t="s">
        <v>1294</v>
      </c>
      <c r="K529" s="7" t="s">
        <v>690</v>
      </c>
      <c r="L529" s="7" t="s">
        <v>691</v>
      </c>
      <c r="M529" s="5" t="s">
        <v>102</v>
      </c>
      <c r="N529" s="5" t="s">
        <v>109</v>
      </c>
      <c r="O529" s="5" t="s">
        <v>109</v>
      </c>
      <c r="P529" s="5" t="s">
        <v>102</v>
      </c>
      <c r="Q529" s="5" t="s">
        <v>102</v>
      </c>
      <c r="R529" s="5" t="s">
        <v>102</v>
      </c>
      <c r="S529" s="5" t="s">
        <v>102</v>
      </c>
      <c r="T529" s="5" t="s">
        <v>686</v>
      </c>
      <c r="U529" s="5">
        <v>100</v>
      </c>
      <c r="V529" s="5">
        <v>1</v>
      </c>
      <c r="W529" s="5" t="s">
        <v>127</v>
      </c>
      <c r="X529" s="24">
        <v>189.96</v>
      </c>
      <c r="Y529" s="5" t="s">
        <v>106</v>
      </c>
      <c r="Z529" s="5"/>
      <c r="AA529" s="5"/>
      <c r="AB529" s="24">
        <v>1E-3</v>
      </c>
      <c r="AC529" s="5" t="s">
        <v>635</v>
      </c>
      <c r="AD529" s="5" t="str">
        <f t="shared" si="38"/>
        <v>kg_co2e_excl_luc</v>
      </c>
      <c r="AE529" s="24">
        <f>IF(CropLCAs[[#This Row],[Product fraction]]="",CropLCAs[[#This Row],[CO2e (value)]]*CropLCAs[[#This Row],[Conversion factor (value)]],CropLCAs[[#This Row],[CO2e (value)]]*CropLCAs[[#This Row],[Conversion factor (value)]]/CropLCAs[[#This Row],[Product fraction]]*CropLCAs[[#This Row],[Value fraction]])</f>
        <v>0.18996000000000002</v>
      </c>
      <c r="AF529" s="6"/>
      <c r="AG529" s="6" t="str">
        <f t="shared" si="39"/>
        <v>processed_ghg</v>
      </c>
      <c r="AH529" s="6"/>
      <c r="AI529" s="6"/>
      <c r="AJ529" s="8" t="str">
        <f>IF(CropLCAs[[#This Row],[product_fraction]]&gt;0,CropLCAs[[#This Row],[footprint]]/CropLCAs[[#This Row],[product_fraction]]*CropLCAs[[#This Row],[value_fraction]],"")</f>
        <v/>
      </c>
      <c r="AK529" s="23">
        <f>1/5</f>
        <v>0.2</v>
      </c>
      <c r="AL529" s="6" t="s">
        <v>109</v>
      </c>
      <c r="AM529" s="5" t="s">
        <v>687</v>
      </c>
      <c r="AN529" s="11" t="s">
        <v>688</v>
      </c>
      <c r="AO529" s="5"/>
      <c r="AP529" s="5"/>
      <c r="AQ529" s="17"/>
      <c r="AR529" s="17"/>
      <c r="AS529" s="17"/>
      <c r="AT529" s="17"/>
      <c r="AU529" s="17"/>
    </row>
    <row r="530" spans="1:47" ht="44.1" customHeight="1" x14ac:dyDescent="0.2">
      <c r="A530" s="5" t="s">
        <v>123</v>
      </c>
      <c r="B530" s="5" t="s">
        <v>1496</v>
      </c>
      <c r="C530" s="16">
        <v>2005</v>
      </c>
      <c r="D530" s="7" t="s">
        <v>475</v>
      </c>
      <c r="E530" s="6" t="s">
        <v>476</v>
      </c>
      <c r="F530" s="5" t="s">
        <v>36</v>
      </c>
      <c r="G530" s="5" t="str">
        <f>IF(CropLCAs[[#This Row],[fbs_item]]="Insects","insect_ghg","plant_ghg")</f>
        <v>plant_ghg</v>
      </c>
      <c r="H530" s="49" t="s">
        <v>477</v>
      </c>
      <c r="I530" s="49"/>
      <c r="J530" s="49"/>
      <c r="K530" s="5" t="s">
        <v>111</v>
      </c>
      <c r="L530" s="5" t="s">
        <v>478</v>
      </c>
      <c r="M530" s="5" t="s">
        <v>102</v>
      </c>
      <c r="N530" s="5" t="s">
        <v>150</v>
      </c>
      <c r="O530" s="5" t="s">
        <v>479</v>
      </c>
      <c r="P530" s="5" t="s">
        <v>102</v>
      </c>
      <c r="Q530" s="5" t="s">
        <v>102</v>
      </c>
      <c r="R530" s="5" t="s">
        <v>102</v>
      </c>
      <c r="S530" s="5" t="s">
        <v>102</v>
      </c>
      <c r="T530" s="5" t="s">
        <v>102</v>
      </c>
      <c r="U530" s="5" t="s">
        <v>126</v>
      </c>
      <c r="V530" s="5">
        <v>1</v>
      </c>
      <c r="W530" s="5" t="s">
        <v>127</v>
      </c>
      <c r="X530" s="24">
        <v>0.03</v>
      </c>
      <c r="Y530" s="5" t="s">
        <v>127</v>
      </c>
      <c r="Z530" s="5"/>
      <c r="AA530" s="5"/>
      <c r="AB530" s="24">
        <v>1</v>
      </c>
      <c r="AC530" s="5"/>
      <c r="AD530" s="5" t="str">
        <f t="shared" si="38"/>
        <v>kg_co2e_excl_luc</v>
      </c>
      <c r="AE530" s="24">
        <f>IF(CropLCAs[[#This Row],[Product fraction]]="",CropLCAs[[#This Row],[CO2e (value)]]*CropLCAs[[#This Row],[Conversion factor (value)]],CropLCAs[[#This Row],[CO2e (value)]]*CropLCAs[[#This Row],[Conversion factor (value)]]/CropLCAs[[#This Row],[Product fraction]]*CropLCAs[[#This Row],[Value fraction]])</f>
        <v>0.03</v>
      </c>
      <c r="AF530" s="5" t="s">
        <v>37</v>
      </c>
      <c r="AG530" s="5" t="str">
        <f t="shared" si="39"/>
        <v>processed_ghg</v>
      </c>
      <c r="AH530" s="5">
        <v>0.14000000000000001</v>
      </c>
      <c r="AI530" s="5">
        <v>0.92</v>
      </c>
      <c r="AJ530" s="8">
        <f>IF(CropLCAs[[#This Row],[product_fraction]]&gt;0,CropLCAs[[#This Row],[footprint]]/CropLCAs[[#This Row],[product_fraction]]*CropLCAs[[#This Row],[value_fraction]],"")</f>
        <v>0.19714285714285712</v>
      </c>
      <c r="AK530" s="23">
        <f t="shared" ref="AK530:AK542" si="40">1/13</f>
        <v>7.6923076923076927E-2</v>
      </c>
      <c r="AL530" s="5" t="s">
        <v>109</v>
      </c>
      <c r="AM530" s="5"/>
      <c r="AN530" s="5"/>
      <c r="AO530" s="5"/>
      <c r="AP530" s="5"/>
      <c r="AQ530" s="17"/>
      <c r="AR530" s="17"/>
      <c r="AS530" s="17"/>
      <c r="AT530" s="17"/>
      <c r="AU530" s="17"/>
    </row>
    <row r="531" spans="1:47" ht="44.1" customHeight="1" x14ac:dyDescent="0.2">
      <c r="A531" s="5" t="s">
        <v>123</v>
      </c>
      <c r="B531" s="5" t="s">
        <v>1496</v>
      </c>
      <c r="C531" s="16">
        <v>2005</v>
      </c>
      <c r="D531" s="7" t="s">
        <v>475</v>
      </c>
      <c r="E531" s="6" t="s">
        <v>476</v>
      </c>
      <c r="F531" s="5" t="s">
        <v>36</v>
      </c>
      <c r="G531" s="5" t="str">
        <f>IF(CropLCAs[[#This Row],[fbs_item]]="Insects","insect_ghg","plant_ghg")</f>
        <v>plant_ghg</v>
      </c>
      <c r="H531" s="49" t="s">
        <v>477</v>
      </c>
      <c r="I531" s="49"/>
      <c r="J531" s="49"/>
      <c r="K531" s="5" t="s">
        <v>111</v>
      </c>
      <c r="L531" s="5" t="s">
        <v>478</v>
      </c>
      <c r="M531" s="5" t="s">
        <v>102</v>
      </c>
      <c r="N531" s="5" t="s">
        <v>150</v>
      </c>
      <c r="O531" s="5" t="s">
        <v>479</v>
      </c>
      <c r="P531" s="5" t="s">
        <v>102</v>
      </c>
      <c r="Q531" s="5" t="s">
        <v>102</v>
      </c>
      <c r="R531" s="5" t="s">
        <v>102</v>
      </c>
      <c r="S531" s="5" t="s">
        <v>102</v>
      </c>
      <c r="T531" s="5" t="s">
        <v>102</v>
      </c>
      <c r="U531" s="5" t="s">
        <v>126</v>
      </c>
      <c r="V531" s="5">
        <v>1</v>
      </c>
      <c r="W531" s="5" t="s">
        <v>127</v>
      </c>
      <c r="X531" s="24">
        <v>2.9000000000000001E-2</v>
      </c>
      <c r="Y531" s="5" t="s">
        <v>127</v>
      </c>
      <c r="Z531" s="5"/>
      <c r="AA531" s="5"/>
      <c r="AB531" s="24">
        <v>1</v>
      </c>
      <c r="AC531" s="5"/>
      <c r="AD531" s="5" t="str">
        <f t="shared" si="38"/>
        <v>kg_co2e_excl_luc</v>
      </c>
      <c r="AE531" s="24">
        <f>IF(CropLCAs[[#This Row],[Product fraction]]="",CropLCAs[[#This Row],[CO2e (value)]]*CropLCAs[[#This Row],[Conversion factor (value)]],CropLCAs[[#This Row],[CO2e (value)]]*CropLCAs[[#This Row],[Conversion factor (value)]]/CropLCAs[[#This Row],[Product fraction]]*CropLCAs[[#This Row],[Value fraction]])</f>
        <v>2.9000000000000001E-2</v>
      </c>
      <c r="AF531" s="5" t="s">
        <v>37</v>
      </c>
      <c r="AG531" s="5" t="str">
        <f t="shared" si="39"/>
        <v>processed_ghg</v>
      </c>
      <c r="AH531" s="5">
        <v>0.14000000000000001</v>
      </c>
      <c r="AI531" s="5">
        <v>0.92</v>
      </c>
      <c r="AJ531" s="8">
        <f>IF(CropLCAs[[#This Row],[product_fraction]]&gt;0,CropLCAs[[#This Row],[footprint]]/CropLCAs[[#This Row],[product_fraction]]*CropLCAs[[#This Row],[value_fraction]],"")</f>
        <v>0.19057142857142856</v>
      </c>
      <c r="AK531" s="23">
        <f t="shared" si="40"/>
        <v>7.6923076923076927E-2</v>
      </c>
      <c r="AL531" s="5" t="s">
        <v>109</v>
      </c>
      <c r="AM531" s="5"/>
      <c r="AN531" s="5"/>
      <c r="AO531" s="5"/>
      <c r="AP531" s="5"/>
      <c r="AQ531" s="17"/>
      <c r="AR531" s="17"/>
      <c r="AS531" s="17"/>
      <c r="AT531" s="17"/>
      <c r="AU531" s="17"/>
    </row>
    <row r="532" spans="1:47" ht="44.1" customHeight="1" x14ac:dyDescent="0.2">
      <c r="A532" s="5" t="s">
        <v>123</v>
      </c>
      <c r="B532" s="5" t="s">
        <v>1496</v>
      </c>
      <c r="C532" s="16">
        <v>2005</v>
      </c>
      <c r="D532" s="7" t="s">
        <v>475</v>
      </c>
      <c r="E532" s="6" t="s">
        <v>476</v>
      </c>
      <c r="F532" s="5" t="s">
        <v>36</v>
      </c>
      <c r="G532" s="5" t="str">
        <f>IF(CropLCAs[[#This Row],[fbs_item]]="Insects","insect_ghg","plant_ghg")</f>
        <v>plant_ghg</v>
      </c>
      <c r="H532" s="49" t="s">
        <v>477</v>
      </c>
      <c r="I532" s="49"/>
      <c r="J532" s="49"/>
      <c r="K532" s="5" t="s">
        <v>111</v>
      </c>
      <c r="L532" s="5" t="s">
        <v>480</v>
      </c>
      <c r="M532" s="5" t="s">
        <v>102</v>
      </c>
      <c r="N532" s="5" t="s">
        <v>150</v>
      </c>
      <c r="O532" s="5" t="s">
        <v>479</v>
      </c>
      <c r="P532" s="5" t="s">
        <v>102</v>
      </c>
      <c r="Q532" s="5" t="s">
        <v>102</v>
      </c>
      <c r="R532" s="5" t="s">
        <v>102</v>
      </c>
      <c r="S532" s="5" t="s">
        <v>102</v>
      </c>
      <c r="T532" s="5" t="s">
        <v>102</v>
      </c>
      <c r="U532" s="5" t="s">
        <v>126</v>
      </c>
      <c r="V532" s="5">
        <v>1</v>
      </c>
      <c r="W532" s="5" t="s">
        <v>127</v>
      </c>
      <c r="X532" s="24">
        <v>3.1E-2</v>
      </c>
      <c r="Y532" s="5" t="s">
        <v>127</v>
      </c>
      <c r="Z532" s="5"/>
      <c r="AA532" s="5"/>
      <c r="AB532" s="24">
        <v>1</v>
      </c>
      <c r="AC532" s="5"/>
      <c r="AD532" s="5" t="str">
        <f t="shared" si="38"/>
        <v>kg_co2e_excl_luc</v>
      </c>
      <c r="AE532" s="24">
        <f>IF(CropLCAs[[#This Row],[Product fraction]]="",CropLCAs[[#This Row],[CO2e (value)]]*CropLCAs[[#This Row],[Conversion factor (value)]],CropLCAs[[#This Row],[CO2e (value)]]*CropLCAs[[#This Row],[Conversion factor (value)]]/CropLCAs[[#This Row],[Product fraction]]*CropLCAs[[#This Row],[Value fraction]])</f>
        <v>3.1E-2</v>
      </c>
      <c r="AF532" s="5" t="s">
        <v>37</v>
      </c>
      <c r="AG532" s="5" t="str">
        <f t="shared" si="39"/>
        <v>processed_ghg</v>
      </c>
      <c r="AH532" s="5">
        <v>0.14000000000000001</v>
      </c>
      <c r="AI532" s="5">
        <v>0.92</v>
      </c>
      <c r="AJ532" s="8">
        <f>IF(CropLCAs[[#This Row],[product_fraction]]&gt;0,CropLCAs[[#This Row],[footprint]]/CropLCAs[[#This Row],[product_fraction]]*CropLCAs[[#This Row],[value_fraction]],"")</f>
        <v>0.20371428571428571</v>
      </c>
      <c r="AK532" s="23">
        <f t="shared" si="40"/>
        <v>7.6923076923076927E-2</v>
      </c>
      <c r="AL532" s="5" t="s">
        <v>109</v>
      </c>
      <c r="AM532" s="5"/>
      <c r="AN532" s="5"/>
      <c r="AO532" s="5"/>
      <c r="AP532" s="5"/>
      <c r="AQ532" s="17"/>
      <c r="AR532" s="17"/>
      <c r="AS532" s="17"/>
      <c r="AT532" s="17"/>
      <c r="AU532" s="17"/>
    </row>
    <row r="533" spans="1:47" ht="44.1" customHeight="1" x14ac:dyDescent="0.2">
      <c r="A533" s="5" t="s">
        <v>123</v>
      </c>
      <c r="B533" s="5" t="s">
        <v>1496</v>
      </c>
      <c r="C533" s="16">
        <v>2005</v>
      </c>
      <c r="D533" s="7" t="s">
        <v>475</v>
      </c>
      <c r="E533" s="6" t="s">
        <v>476</v>
      </c>
      <c r="F533" s="5" t="s">
        <v>36</v>
      </c>
      <c r="G533" s="5" t="str">
        <f>IF(CropLCAs[[#This Row],[fbs_item]]="Insects","insect_ghg","plant_ghg")</f>
        <v>plant_ghg</v>
      </c>
      <c r="H533" s="49" t="s">
        <v>477</v>
      </c>
      <c r="I533" s="49"/>
      <c r="J533" s="49"/>
      <c r="K533" s="5" t="s">
        <v>111</v>
      </c>
      <c r="L533" s="5" t="s">
        <v>478</v>
      </c>
      <c r="M533" s="5" t="s">
        <v>102</v>
      </c>
      <c r="N533" s="5" t="s">
        <v>150</v>
      </c>
      <c r="O533" s="5" t="s">
        <v>479</v>
      </c>
      <c r="P533" s="5" t="s">
        <v>102</v>
      </c>
      <c r="Q533" s="5" t="s">
        <v>102</v>
      </c>
      <c r="R533" s="5" t="s">
        <v>102</v>
      </c>
      <c r="S533" s="5" t="s">
        <v>102</v>
      </c>
      <c r="T533" s="5" t="s">
        <v>102</v>
      </c>
      <c r="U533" s="5" t="s">
        <v>126</v>
      </c>
      <c r="V533" s="5">
        <v>1</v>
      </c>
      <c r="W533" s="5" t="s">
        <v>127</v>
      </c>
      <c r="X533" s="24">
        <v>2.3E-2</v>
      </c>
      <c r="Y533" s="5" t="s">
        <v>127</v>
      </c>
      <c r="Z533" s="5"/>
      <c r="AA533" s="5"/>
      <c r="AB533" s="24">
        <v>1</v>
      </c>
      <c r="AC533" s="5"/>
      <c r="AD533" s="5" t="str">
        <f t="shared" si="38"/>
        <v>kg_co2e_excl_luc</v>
      </c>
      <c r="AE533" s="24">
        <f>IF(CropLCAs[[#This Row],[Product fraction]]="",CropLCAs[[#This Row],[CO2e (value)]]*CropLCAs[[#This Row],[Conversion factor (value)]],CropLCAs[[#This Row],[CO2e (value)]]*CropLCAs[[#This Row],[Conversion factor (value)]]/CropLCAs[[#This Row],[Product fraction]]*CropLCAs[[#This Row],[Value fraction]])</f>
        <v>2.3E-2</v>
      </c>
      <c r="AF533" s="5" t="s">
        <v>37</v>
      </c>
      <c r="AG533" s="5" t="str">
        <f t="shared" si="39"/>
        <v>processed_ghg</v>
      </c>
      <c r="AH533" s="5">
        <v>0.14000000000000001</v>
      </c>
      <c r="AI533" s="5">
        <v>0.92</v>
      </c>
      <c r="AJ533" s="8">
        <f>IF(CropLCAs[[#This Row],[product_fraction]]&gt;0,CropLCAs[[#This Row],[footprint]]/CropLCAs[[#This Row],[product_fraction]]*CropLCAs[[#This Row],[value_fraction]],"")</f>
        <v>0.15114285714285713</v>
      </c>
      <c r="AK533" s="23">
        <f t="shared" si="40"/>
        <v>7.6923076923076927E-2</v>
      </c>
      <c r="AL533" s="5" t="s">
        <v>109</v>
      </c>
      <c r="AM533" s="5"/>
      <c r="AN533" s="5"/>
      <c r="AO533" s="5"/>
      <c r="AP533" s="5"/>
      <c r="AQ533" s="17"/>
      <c r="AR533" s="17"/>
      <c r="AS533" s="17"/>
      <c r="AT533" s="17"/>
      <c r="AU533" s="17"/>
    </row>
    <row r="534" spans="1:47" ht="44.1" customHeight="1" x14ac:dyDescent="0.2">
      <c r="A534" s="5" t="s">
        <v>123</v>
      </c>
      <c r="B534" s="5" t="s">
        <v>1496</v>
      </c>
      <c r="C534" s="16">
        <v>2005</v>
      </c>
      <c r="D534" s="7" t="s">
        <v>475</v>
      </c>
      <c r="E534" s="6" t="s">
        <v>476</v>
      </c>
      <c r="F534" s="5" t="s">
        <v>36</v>
      </c>
      <c r="G534" s="5" t="str">
        <f>IF(CropLCAs[[#This Row],[fbs_item]]="Insects","insect_ghg","plant_ghg")</f>
        <v>plant_ghg</v>
      </c>
      <c r="H534" s="49" t="s">
        <v>477</v>
      </c>
      <c r="I534" s="49"/>
      <c r="J534" s="49"/>
      <c r="K534" s="5" t="s">
        <v>111</v>
      </c>
      <c r="L534" s="5" t="s">
        <v>481</v>
      </c>
      <c r="M534" s="5" t="s">
        <v>102</v>
      </c>
      <c r="N534" s="5" t="s">
        <v>150</v>
      </c>
      <c r="O534" s="5" t="s">
        <v>479</v>
      </c>
      <c r="P534" s="5" t="s">
        <v>102</v>
      </c>
      <c r="Q534" s="5" t="s">
        <v>102</v>
      </c>
      <c r="R534" s="5" t="s">
        <v>102</v>
      </c>
      <c r="S534" s="5" t="s">
        <v>102</v>
      </c>
      <c r="T534" s="5" t="s">
        <v>102</v>
      </c>
      <c r="U534" s="5" t="s">
        <v>126</v>
      </c>
      <c r="V534" s="5">
        <v>1</v>
      </c>
      <c r="W534" s="5" t="s">
        <v>127</v>
      </c>
      <c r="X534" s="24">
        <v>2.8000000000000001E-2</v>
      </c>
      <c r="Y534" s="5" t="s">
        <v>127</v>
      </c>
      <c r="Z534" s="5"/>
      <c r="AA534" s="5"/>
      <c r="AB534" s="24">
        <v>1</v>
      </c>
      <c r="AC534" s="5"/>
      <c r="AD534" s="5" t="str">
        <f t="shared" si="38"/>
        <v>kg_co2e_excl_luc</v>
      </c>
      <c r="AE534" s="24">
        <f>IF(CropLCAs[[#This Row],[Product fraction]]="",CropLCAs[[#This Row],[CO2e (value)]]*CropLCAs[[#This Row],[Conversion factor (value)]],CropLCAs[[#This Row],[CO2e (value)]]*CropLCAs[[#This Row],[Conversion factor (value)]]/CropLCAs[[#This Row],[Product fraction]]*CropLCAs[[#This Row],[Value fraction]])</f>
        <v>2.8000000000000001E-2</v>
      </c>
      <c r="AF534" s="5" t="s">
        <v>37</v>
      </c>
      <c r="AG534" s="5" t="str">
        <f t="shared" si="39"/>
        <v>processed_ghg</v>
      </c>
      <c r="AH534" s="5">
        <v>0.14000000000000001</v>
      </c>
      <c r="AI534" s="5">
        <v>0.92</v>
      </c>
      <c r="AJ534" s="8">
        <f>IF(CropLCAs[[#This Row],[product_fraction]]&gt;0,CropLCAs[[#This Row],[footprint]]/CropLCAs[[#This Row],[product_fraction]]*CropLCAs[[#This Row],[value_fraction]],"")</f>
        <v>0.184</v>
      </c>
      <c r="AK534" s="23">
        <f t="shared" si="40"/>
        <v>7.6923076923076927E-2</v>
      </c>
      <c r="AL534" s="5" t="s">
        <v>109</v>
      </c>
      <c r="AM534" s="5"/>
      <c r="AN534" s="5"/>
      <c r="AO534" s="5"/>
      <c r="AP534" s="5"/>
      <c r="AQ534" s="17"/>
      <c r="AR534" s="17"/>
      <c r="AS534" s="17"/>
      <c r="AT534" s="17"/>
      <c r="AU534" s="17"/>
    </row>
    <row r="535" spans="1:47" ht="44.1" customHeight="1" x14ac:dyDescent="0.2">
      <c r="A535" s="5" t="s">
        <v>123</v>
      </c>
      <c r="B535" s="5" t="s">
        <v>1496</v>
      </c>
      <c r="C535" s="16">
        <v>2005</v>
      </c>
      <c r="D535" s="7" t="s">
        <v>475</v>
      </c>
      <c r="E535" s="6" t="s">
        <v>476</v>
      </c>
      <c r="F535" s="5" t="s">
        <v>36</v>
      </c>
      <c r="G535" s="5" t="str">
        <f>IF(CropLCAs[[#This Row],[fbs_item]]="Insects","insect_ghg","plant_ghg")</f>
        <v>plant_ghg</v>
      </c>
      <c r="H535" s="49" t="s">
        <v>477</v>
      </c>
      <c r="I535" s="49"/>
      <c r="J535" s="49"/>
      <c r="K535" s="5" t="s">
        <v>111</v>
      </c>
      <c r="L535" s="5" t="s">
        <v>482</v>
      </c>
      <c r="M535" s="5" t="s">
        <v>102</v>
      </c>
      <c r="N535" s="5" t="s">
        <v>150</v>
      </c>
      <c r="O535" s="5" t="s">
        <v>479</v>
      </c>
      <c r="P535" s="5" t="s">
        <v>102</v>
      </c>
      <c r="Q535" s="5" t="s">
        <v>102</v>
      </c>
      <c r="R535" s="5" t="s">
        <v>102</v>
      </c>
      <c r="S535" s="5" t="s">
        <v>102</v>
      </c>
      <c r="T535" s="5" t="s">
        <v>102</v>
      </c>
      <c r="U535" s="5" t="s">
        <v>126</v>
      </c>
      <c r="V535" s="5">
        <v>1</v>
      </c>
      <c r="W535" s="5" t="s">
        <v>127</v>
      </c>
      <c r="X535" s="24">
        <v>2.7E-2</v>
      </c>
      <c r="Y535" s="5" t="s">
        <v>127</v>
      </c>
      <c r="Z535" s="5"/>
      <c r="AA535" s="5"/>
      <c r="AB535" s="24">
        <v>1</v>
      </c>
      <c r="AC535" s="5"/>
      <c r="AD535" s="5" t="str">
        <f t="shared" si="38"/>
        <v>kg_co2e_excl_luc</v>
      </c>
      <c r="AE535" s="24">
        <f>IF(CropLCAs[[#This Row],[Product fraction]]="",CropLCAs[[#This Row],[CO2e (value)]]*CropLCAs[[#This Row],[Conversion factor (value)]],CropLCAs[[#This Row],[CO2e (value)]]*CropLCAs[[#This Row],[Conversion factor (value)]]/CropLCAs[[#This Row],[Product fraction]]*CropLCAs[[#This Row],[Value fraction]])</f>
        <v>2.7E-2</v>
      </c>
      <c r="AF535" s="5" t="s">
        <v>37</v>
      </c>
      <c r="AG535" s="5" t="str">
        <f t="shared" si="39"/>
        <v>processed_ghg</v>
      </c>
      <c r="AH535" s="5">
        <v>0.14000000000000001</v>
      </c>
      <c r="AI535" s="5">
        <v>0.92</v>
      </c>
      <c r="AJ535" s="8">
        <f>IF(CropLCAs[[#This Row],[product_fraction]]&gt;0,CropLCAs[[#This Row],[footprint]]/CropLCAs[[#This Row],[product_fraction]]*CropLCAs[[#This Row],[value_fraction]],"")</f>
        <v>0.17742857142857141</v>
      </c>
      <c r="AK535" s="23">
        <f t="shared" si="40"/>
        <v>7.6923076923076927E-2</v>
      </c>
      <c r="AL535" s="5" t="s">
        <v>109</v>
      </c>
      <c r="AM535" s="5"/>
      <c r="AN535" s="5"/>
      <c r="AO535" s="5"/>
      <c r="AP535" s="5"/>
      <c r="AQ535" s="17"/>
      <c r="AR535" s="17"/>
      <c r="AS535" s="17"/>
      <c r="AT535" s="17"/>
      <c r="AU535" s="17"/>
    </row>
    <row r="536" spans="1:47" ht="44.1" customHeight="1" x14ac:dyDescent="0.2">
      <c r="A536" s="5" t="s">
        <v>123</v>
      </c>
      <c r="B536" s="5" t="s">
        <v>1496</v>
      </c>
      <c r="C536" s="16">
        <v>2005</v>
      </c>
      <c r="D536" s="7" t="s">
        <v>475</v>
      </c>
      <c r="E536" s="6" t="s">
        <v>476</v>
      </c>
      <c r="F536" s="5" t="s">
        <v>36</v>
      </c>
      <c r="G536" s="5" t="str">
        <f>IF(CropLCAs[[#This Row],[fbs_item]]="Insects","insect_ghg","plant_ghg")</f>
        <v>plant_ghg</v>
      </c>
      <c r="H536" s="49" t="s">
        <v>477</v>
      </c>
      <c r="I536" s="49"/>
      <c r="J536" s="49"/>
      <c r="K536" s="5" t="s">
        <v>111</v>
      </c>
      <c r="L536" s="5" t="s">
        <v>483</v>
      </c>
      <c r="M536" s="5" t="s">
        <v>102</v>
      </c>
      <c r="N536" s="5" t="s">
        <v>150</v>
      </c>
      <c r="O536" s="5" t="s">
        <v>479</v>
      </c>
      <c r="P536" s="5" t="s">
        <v>102</v>
      </c>
      <c r="Q536" s="5" t="s">
        <v>102</v>
      </c>
      <c r="R536" s="5" t="s">
        <v>102</v>
      </c>
      <c r="S536" s="5" t="s">
        <v>102</v>
      </c>
      <c r="T536" s="5" t="s">
        <v>102</v>
      </c>
      <c r="U536" s="5" t="s">
        <v>126</v>
      </c>
      <c r="V536" s="5">
        <v>1</v>
      </c>
      <c r="W536" s="5" t="s">
        <v>127</v>
      </c>
      <c r="X536" s="24">
        <v>2.8000000000000001E-2</v>
      </c>
      <c r="Y536" s="5" t="s">
        <v>127</v>
      </c>
      <c r="Z536" s="5"/>
      <c r="AA536" s="5"/>
      <c r="AB536" s="24">
        <v>1</v>
      </c>
      <c r="AC536" s="5"/>
      <c r="AD536" s="5" t="str">
        <f t="shared" si="38"/>
        <v>kg_co2e_excl_luc</v>
      </c>
      <c r="AE536" s="24">
        <f>IF(CropLCAs[[#This Row],[Product fraction]]="",CropLCAs[[#This Row],[CO2e (value)]]*CropLCAs[[#This Row],[Conversion factor (value)]],CropLCAs[[#This Row],[CO2e (value)]]*CropLCAs[[#This Row],[Conversion factor (value)]]/CropLCAs[[#This Row],[Product fraction]]*CropLCAs[[#This Row],[Value fraction]])</f>
        <v>2.8000000000000001E-2</v>
      </c>
      <c r="AF536" s="5" t="s">
        <v>37</v>
      </c>
      <c r="AG536" s="5" t="str">
        <f t="shared" si="39"/>
        <v>processed_ghg</v>
      </c>
      <c r="AH536" s="5">
        <v>0.14000000000000001</v>
      </c>
      <c r="AI536" s="5">
        <v>0.92</v>
      </c>
      <c r="AJ536" s="8">
        <f>IF(CropLCAs[[#This Row],[product_fraction]]&gt;0,CropLCAs[[#This Row],[footprint]]/CropLCAs[[#This Row],[product_fraction]]*CropLCAs[[#This Row],[value_fraction]],"")</f>
        <v>0.184</v>
      </c>
      <c r="AK536" s="23">
        <f t="shared" si="40"/>
        <v>7.6923076923076927E-2</v>
      </c>
      <c r="AL536" s="5" t="s">
        <v>109</v>
      </c>
      <c r="AM536" s="5"/>
      <c r="AN536" s="5"/>
      <c r="AO536" s="5"/>
      <c r="AP536" s="5"/>
      <c r="AQ536" s="17"/>
      <c r="AR536" s="17"/>
      <c r="AS536" s="17"/>
      <c r="AT536" s="17"/>
      <c r="AU536" s="17"/>
    </row>
    <row r="537" spans="1:47" ht="44.1" customHeight="1" x14ac:dyDescent="0.2">
      <c r="A537" s="5" t="s">
        <v>123</v>
      </c>
      <c r="B537" s="5" t="s">
        <v>1496</v>
      </c>
      <c r="C537" s="16">
        <v>2005</v>
      </c>
      <c r="D537" s="7" t="s">
        <v>475</v>
      </c>
      <c r="E537" s="6" t="s">
        <v>476</v>
      </c>
      <c r="F537" s="5" t="s">
        <v>36</v>
      </c>
      <c r="G537" s="5" t="str">
        <f>IF(CropLCAs[[#This Row],[fbs_item]]="Insects","insect_ghg","plant_ghg")</f>
        <v>plant_ghg</v>
      </c>
      <c r="H537" s="49" t="s">
        <v>477</v>
      </c>
      <c r="I537" s="49"/>
      <c r="J537" s="49"/>
      <c r="K537" s="5" t="s">
        <v>111</v>
      </c>
      <c r="L537" s="5" t="s">
        <v>483</v>
      </c>
      <c r="M537" s="5" t="s">
        <v>102</v>
      </c>
      <c r="N537" s="5" t="s">
        <v>150</v>
      </c>
      <c r="O537" s="5" t="s">
        <v>479</v>
      </c>
      <c r="P537" s="5" t="s">
        <v>102</v>
      </c>
      <c r="Q537" s="5" t="s">
        <v>102</v>
      </c>
      <c r="R537" s="5" t="s">
        <v>102</v>
      </c>
      <c r="S537" s="5" t="s">
        <v>102</v>
      </c>
      <c r="T537" s="5" t="s">
        <v>102</v>
      </c>
      <c r="U537" s="5" t="s">
        <v>126</v>
      </c>
      <c r="V537" s="5">
        <v>1</v>
      </c>
      <c r="W537" s="5" t="s">
        <v>127</v>
      </c>
      <c r="X537" s="24">
        <v>2.8000000000000001E-2</v>
      </c>
      <c r="Y537" s="5" t="s">
        <v>127</v>
      </c>
      <c r="Z537" s="5"/>
      <c r="AA537" s="5"/>
      <c r="AB537" s="24">
        <v>1</v>
      </c>
      <c r="AC537" s="5"/>
      <c r="AD537" s="5" t="str">
        <f t="shared" si="38"/>
        <v>kg_co2e_excl_luc</v>
      </c>
      <c r="AE537" s="24">
        <f>IF(CropLCAs[[#This Row],[Product fraction]]="",CropLCAs[[#This Row],[CO2e (value)]]*CropLCAs[[#This Row],[Conversion factor (value)]],CropLCAs[[#This Row],[CO2e (value)]]*CropLCAs[[#This Row],[Conversion factor (value)]]/CropLCAs[[#This Row],[Product fraction]]*CropLCAs[[#This Row],[Value fraction]])</f>
        <v>2.8000000000000001E-2</v>
      </c>
      <c r="AF537" s="5" t="s">
        <v>37</v>
      </c>
      <c r="AG537" s="5" t="str">
        <f t="shared" si="39"/>
        <v>processed_ghg</v>
      </c>
      <c r="AH537" s="5">
        <v>0.14000000000000001</v>
      </c>
      <c r="AI537" s="5">
        <v>0.92</v>
      </c>
      <c r="AJ537" s="8">
        <f>IF(CropLCAs[[#This Row],[product_fraction]]&gt;0,CropLCAs[[#This Row],[footprint]]/CropLCAs[[#This Row],[product_fraction]]*CropLCAs[[#This Row],[value_fraction]],"")</f>
        <v>0.184</v>
      </c>
      <c r="AK537" s="23">
        <f t="shared" si="40"/>
        <v>7.6923076923076927E-2</v>
      </c>
      <c r="AL537" s="5" t="s">
        <v>109</v>
      </c>
      <c r="AM537" s="5"/>
      <c r="AN537" s="5"/>
      <c r="AO537" s="5"/>
      <c r="AP537" s="5"/>
      <c r="AQ537" s="17"/>
      <c r="AR537" s="17"/>
      <c r="AS537" s="17"/>
      <c r="AT537" s="17"/>
      <c r="AU537" s="17"/>
    </row>
    <row r="538" spans="1:47" ht="44.1" customHeight="1" x14ac:dyDescent="0.2">
      <c r="A538" s="5" t="s">
        <v>123</v>
      </c>
      <c r="B538" s="5" t="s">
        <v>1496</v>
      </c>
      <c r="C538" s="16">
        <v>2005</v>
      </c>
      <c r="D538" s="7" t="s">
        <v>475</v>
      </c>
      <c r="E538" s="6" t="s">
        <v>476</v>
      </c>
      <c r="F538" s="5" t="s">
        <v>36</v>
      </c>
      <c r="G538" s="5" t="str">
        <f>IF(CropLCAs[[#This Row],[fbs_item]]="Insects","insect_ghg","plant_ghg")</f>
        <v>plant_ghg</v>
      </c>
      <c r="H538" s="49" t="s">
        <v>477</v>
      </c>
      <c r="I538" s="49"/>
      <c r="J538" s="49"/>
      <c r="K538" s="5" t="s">
        <v>111</v>
      </c>
      <c r="L538" s="5" t="s">
        <v>484</v>
      </c>
      <c r="M538" s="5" t="s">
        <v>102</v>
      </c>
      <c r="N538" s="5" t="s">
        <v>150</v>
      </c>
      <c r="O538" s="5" t="s">
        <v>479</v>
      </c>
      <c r="P538" s="5" t="s">
        <v>102</v>
      </c>
      <c r="Q538" s="5" t="s">
        <v>102</v>
      </c>
      <c r="R538" s="5" t="s">
        <v>102</v>
      </c>
      <c r="S538" s="5" t="s">
        <v>102</v>
      </c>
      <c r="T538" s="5" t="s">
        <v>102</v>
      </c>
      <c r="U538" s="5" t="s">
        <v>126</v>
      </c>
      <c r="V538" s="5">
        <v>1</v>
      </c>
      <c r="W538" s="5" t="s">
        <v>127</v>
      </c>
      <c r="X538" s="24">
        <v>2.1999999999999999E-2</v>
      </c>
      <c r="Y538" s="5" t="s">
        <v>127</v>
      </c>
      <c r="Z538" s="5"/>
      <c r="AA538" s="5"/>
      <c r="AB538" s="24">
        <v>1</v>
      </c>
      <c r="AC538" s="5"/>
      <c r="AD538" s="5" t="str">
        <f t="shared" si="38"/>
        <v>kg_co2e_excl_luc</v>
      </c>
      <c r="AE538" s="24">
        <f>IF(CropLCAs[[#This Row],[Product fraction]]="",CropLCAs[[#This Row],[CO2e (value)]]*CropLCAs[[#This Row],[Conversion factor (value)]],CropLCAs[[#This Row],[CO2e (value)]]*CropLCAs[[#This Row],[Conversion factor (value)]]/CropLCAs[[#This Row],[Product fraction]]*CropLCAs[[#This Row],[Value fraction]])</f>
        <v>2.1999999999999999E-2</v>
      </c>
      <c r="AF538" s="5" t="s">
        <v>37</v>
      </c>
      <c r="AG538" s="5" t="str">
        <f t="shared" si="39"/>
        <v>processed_ghg</v>
      </c>
      <c r="AH538" s="5">
        <v>0.14000000000000001</v>
      </c>
      <c r="AI538" s="5">
        <v>0.92</v>
      </c>
      <c r="AJ538" s="8">
        <f>IF(CropLCAs[[#This Row],[product_fraction]]&gt;0,CropLCAs[[#This Row],[footprint]]/CropLCAs[[#This Row],[product_fraction]]*CropLCAs[[#This Row],[value_fraction]],"")</f>
        <v>0.14457142857142855</v>
      </c>
      <c r="AK538" s="23">
        <f t="shared" si="40"/>
        <v>7.6923076923076927E-2</v>
      </c>
      <c r="AL538" s="5" t="s">
        <v>109</v>
      </c>
      <c r="AM538" s="5"/>
      <c r="AN538" s="5"/>
      <c r="AO538" s="5"/>
      <c r="AP538" s="5"/>
      <c r="AQ538" s="17"/>
      <c r="AR538" s="17"/>
      <c r="AS538" s="17"/>
      <c r="AT538" s="17"/>
      <c r="AU538" s="17"/>
    </row>
    <row r="539" spans="1:47" ht="44.1" customHeight="1" x14ac:dyDescent="0.2">
      <c r="A539" s="5" t="s">
        <v>123</v>
      </c>
      <c r="B539" s="5" t="s">
        <v>1496</v>
      </c>
      <c r="C539" s="16">
        <v>2005</v>
      </c>
      <c r="D539" s="7" t="s">
        <v>475</v>
      </c>
      <c r="E539" s="6" t="s">
        <v>476</v>
      </c>
      <c r="F539" s="5" t="s">
        <v>36</v>
      </c>
      <c r="G539" s="5" t="str">
        <f>IF(CropLCAs[[#This Row],[fbs_item]]="Insects","insect_ghg","plant_ghg")</f>
        <v>plant_ghg</v>
      </c>
      <c r="H539" s="49" t="s">
        <v>477</v>
      </c>
      <c r="I539" s="49"/>
      <c r="J539" s="49"/>
      <c r="K539" s="5" t="s">
        <v>111</v>
      </c>
      <c r="L539" s="5" t="s">
        <v>485</v>
      </c>
      <c r="M539" s="5" t="s">
        <v>102</v>
      </c>
      <c r="N539" s="5" t="s">
        <v>150</v>
      </c>
      <c r="O539" s="5" t="s">
        <v>479</v>
      </c>
      <c r="P539" s="5" t="s">
        <v>102</v>
      </c>
      <c r="Q539" s="5" t="s">
        <v>102</v>
      </c>
      <c r="R539" s="5" t="s">
        <v>102</v>
      </c>
      <c r="S539" s="5" t="s">
        <v>102</v>
      </c>
      <c r="T539" s="5" t="s">
        <v>102</v>
      </c>
      <c r="U539" s="5" t="s">
        <v>126</v>
      </c>
      <c r="V539" s="5">
        <v>1</v>
      </c>
      <c r="W539" s="5" t="s">
        <v>127</v>
      </c>
      <c r="X539" s="24">
        <v>1.7999999999999999E-2</v>
      </c>
      <c r="Y539" s="5" t="s">
        <v>127</v>
      </c>
      <c r="Z539" s="5"/>
      <c r="AA539" s="5"/>
      <c r="AB539" s="24">
        <v>1</v>
      </c>
      <c r="AC539" s="5"/>
      <c r="AD539" s="5" t="str">
        <f t="shared" si="38"/>
        <v>kg_co2e_excl_luc</v>
      </c>
      <c r="AE539" s="24">
        <f>IF(CropLCAs[[#This Row],[Product fraction]]="",CropLCAs[[#This Row],[CO2e (value)]]*CropLCAs[[#This Row],[Conversion factor (value)]],CropLCAs[[#This Row],[CO2e (value)]]*CropLCAs[[#This Row],[Conversion factor (value)]]/CropLCAs[[#This Row],[Product fraction]]*CropLCAs[[#This Row],[Value fraction]])</f>
        <v>1.7999999999999999E-2</v>
      </c>
      <c r="AF539" s="5" t="s">
        <v>37</v>
      </c>
      <c r="AG539" s="5" t="str">
        <f t="shared" si="39"/>
        <v>processed_ghg</v>
      </c>
      <c r="AH539" s="5">
        <v>0.14000000000000001</v>
      </c>
      <c r="AI539" s="5">
        <v>0.92</v>
      </c>
      <c r="AJ539" s="8">
        <f>IF(CropLCAs[[#This Row],[product_fraction]]&gt;0,CropLCAs[[#This Row],[footprint]]/CropLCAs[[#This Row],[product_fraction]]*CropLCAs[[#This Row],[value_fraction]],"")</f>
        <v>0.11828571428571429</v>
      </c>
      <c r="AK539" s="23">
        <f t="shared" si="40"/>
        <v>7.6923076923076927E-2</v>
      </c>
      <c r="AL539" s="5" t="s">
        <v>109</v>
      </c>
      <c r="AM539" s="5"/>
      <c r="AN539" s="5"/>
      <c r="AO539" s="5"/>
      <c r="AP539" s="5"/>
      <c r="AQ539" s="17"/>
      <c r="AR539" s="17"/>
      <c r="AS539" s="17"/>
      <c r="AT539" s="17"/>
      <c r="AU539" s="17"/>
    </row>
    <row r="540" spans="1:47" ht="44.1" customHeight="1" x14ac:dyDescent="0.2">
      <c r="A540" s="5" t="s">
        <v>123</v>
      </c>
      <c r="B540" s="5" t="s">
        <v>1496</v>
      </c>
      <c r="C540" s="16">
        <v>2005</v>
      </c>
      <c r="D540" s="7" t="s">
        <v>475</v>
      </c>
      <c r="E540" s="6" t="s">
        <v>476</v>
      </c>
      <c r="F540" s="5" t="s">
        <v>36</v>
      </c>
      <c r="G540" s="5" t="str">
        <f>IF(CropLCAs[[#This Row],[fbs_item]]="Insects","insect_ghg","plant_ghg")</f>
        <v>plant_ghg</v>
      </c>
      <c r="H540" s="49" t="s">
        <v>477</v>
      </c>
      <c r="I540" s="49"/>
      <c r="J540" s="49"/>
      <c r="K540" s="5" t="s">
        <v>111</v>
      </c>
      <c r="L540" s="5" t="s">
        <v>486</v>
      </c>
      <c r="M540" s="5" t="s">
        <v>102</v>
      </c>
      <c r="N540" s="5" t="s">
        <v>150</v>
      </c>
      <c r="O540" s="5" t="s">
        <v>479</v>
      </c>
      <c r="P540" s="5" t="s">
        <v>102</v>
      </c>
      <c r="Q540" s="5" t="s">
        <v>102</v>
      </c>
      <c r="R540" s="5" t="s">
        <v>102</v>
      </c>
      <c r="S540" s="5" t="s">
        <v>102</v>
      </c>
      <c r="T540" s="5" t="s">
        <v>102</v>
      </c>
      <c r="U540" s="5" t="s">
        <v>126</v>
      </c>
      <c r="V540" s="5">
        <v>1</v>
      </c>
      <c r="W540" s="5" t="s">
        <v>127</v>
      </c>
      <c r="X540" s="24">
        <v>1.6E-2</v>
      </c>
      <c r="Y540" s="5" t="s">
        <v>127</v>
      </c>
      <c r="Z540" s="5"/>
      <c r="AA540" s="5"/>
      <c r="AB540" s="24">
        <v>1</v>
      </c>
      <c r="AC540" s="5"/>
      <c r="AD540" s="5" t="str">
        <f t="shared" si="38"/>
        <v>kg_co2e_excl_luc</v>
      </c>
      <c r="AE540" s="24">
        <f>IF(CropLCAs[[#This Row],[Product fraction]]="",CropLCAs[[#This Row],[CO2e (value)]]*CropLCAs[[#This Row],[Conversion factor (value)]],CropLCAs[[#This Row],[CO2e (value)]]*CropLCAs[[#This Row],[Conversion factor (value)]]/CropLCAs[[#This Row],[Product fraction]]*CropLCAs[[#This Row],[Value fraction]])</f>
        <v>1.6E-2</v>
      </c>
      <c r="AF540" s="5" t="s">
        <v>37</v>
      </c>
      <c r="AG540" s="5" t="str">
        <f t="shared" si="39"/>
        <v>processed_ghg</v>
      </c>
      <c r="AH540" s="5">
        <v>0.14000000000000001</v>
      </c>
      <c r="AI540" s="5">
        <v>0.92</v>
      </c>
      <c r="AJ540" s="8">
        <f>IF(CropLCAs[[#This Row],[product_fraction]]&gt;0,CropLCAs[[#This Row],[footprint]]/CropLCAs[[#This Row],[product_fraction]]*CropLCAs[[#This Row],[value_fraction]],"")</f>
        <v>0.10514285714285715</v>
      </c>
      <c r="AK540" s="23">
        <f t="shared" si="40"/>
        <v>7.6923076923076927E-2</v>
      </c>
      <c r="AL540" s="5" t="s">
        <v>109</v>
      </c>
      <c r="AM540" s="5"/>
      <c r="AN540" s="5"/>
      <c r="AO540" s="5"/>
      <c r="AP540" s="5"/>
      <c r="AQ540" s="17"/>
      <c r="AR540" s="17"/>
      <c r="AS540" s="17"/>
      <c r="AT540" s="17"/>
      <c r="AU540" s="17"/>
    </row>
    <row r="541" spans="1:47" ht="44.1" customHeight="1" x14ac:dyDescent="0.2">
      <c r="A541" s="5" t="s">
        <v>123</v>
      </c>
      <c r="B541" s="5" t="s">
        <v>1496</v>
      </c>
      <c r="C541" s="16">
        <v>2005</v>
      </c>
      <c r="D541" s="7" t="s">
        <v>475</v>
      </c>
      <c r="E541" s="6" t="s">
        <v>476</v>
      </c>
      <c r="F541" s="5" t="s">
        <v>36</v>
      </c>
      <c r="G541" s="5" t="str">
        <f>IF(CropLCAs[[#This Row],[fbs_item]]="Insects","insect_ghg","plant_ghg")</f>
        <v>plant_ghg</v>
      </c>
      <c r="H541" s="49" t="s">
        <v>477</v>
      </c>
      <c r="I541" s="49"/>
      <c r="J541" s="49"/>
      <c r="K541" s="5" t="s">
        <v>111</v>
      </c>
      <c r="L541" s="5" t="s">
        <v>487</v>
      </c>
      <c r="M541" s="5" t="s">
        <v>102</v>
      </c>
      <c r="N541" s="5" t="s">
        <v>150</v>
      </c>
      <c r="O541" s="5" t="s">
        <v>479</v>
      </c>
      <c r="P541" s="5" t="s">
        <v>102</v>
      </c>
      <c r="Q541" s="5" t="s">
        <v>102</v>
      </c>
      <c r="R541" s="5" t="s">
        <v>102</v>
      </c>
      <c r="S541" s="5" t="s">
        <v>102</v>
      </c>
      <c r="T541" s="5" t="s">
        <v>102</v>
      </c>
      <c r="U541" s="5" t="s">
        <v>126</v>
      </c>
      <c r="V541" s="5">
        <v>1</v>
      </c>
      <c r="W541" s="5" t="s">
        <v>127</v>
      </c>
      <c r="X541" s="24">
        <v>1.4999999999999999E-2</v>
      </c>
      <c r="Y541" s="5" t="s">
        <v>127</v>
      </c>
      <c r="Z541" s="5"/>
      <c r="AA541" s="5"/>
      <c r="AB541" s="24">
        <v>1</v>
      </c>
      <c r="AC541" s="5"/>
      <c r="AD541" s="5" t="str">
        <f t="shared" si="38"/>
        <v>kg_co2e_excl_luc</v>
      </c>
      <c r="AE541" s="24">
        <f>IF(CropLCAs[[#This Row],[Product fraction]]="",CropLCAs[[#This Row],[CO2e (value)]]*CropLCAs[[#This Row],[Conversion factor (value)]],CropLCAs[[#This Row],[CO2e (value)]]*CropLCAs[[#This Row],[Conversion factor (value)]]/CropLCAs[[#This Row],[Product fraction]]*CropLCAs[[#This Row],[Value fraction]])</f>
        <v>1.4999999999999999E-2</v>
      </c>
      <c r="AF541" s="5" t="s">
        <v>37</v>
      </c>
      <c r="AG541" s="5" t="str">
        <f t="shared" si="39"/>
        <v>processed_ghg</v>
      </c>
      <c r="AH541" s="5">
        <v>0.14000000000000001</v>
      </c>
      <c r="AI541" s="5">
        <v>0.92</v>
      </c>
      <c r="AJ541" s="8">
        <f>IF(CropLCAs[[#This Row],[product_fraction]]&gt;0,CropLCAs[[#This Row],[footprint]]/CropLCAs[[#This Row],[product_fraction]]*CropLCAs[[#This Row],[value_fraction]],"")</f>
        <v>9.857142857142856E-2</v>
      </c>
      <c r="AK541" s="23">
        <f t="shared" si="40"/>
        <v>7.6923076923076927E-2</v>
      </c>
      <c r="AL541" s="5" t="s">
        <v>109</v>
      </c>
      <c r="AM541" s="5"/>
      <c r="AN541" s="5"/>
      <c r="AO541" s="5"/>
      <c r="AP541" s="5"/>
      <c r="AQ541" s="17"/>
      <c r="AR541" s="17"/>
      <c r="AS541" s="17"/>
      <c r="AT541" s="17"/>
      <c r="AU541" s="17"/>
    </row>
    <row r="542" spans="1:47" ht="44.1" customHeight="1" x14ac:dyDescent="0.2">
      <c r="A542" s="5" t="s">
        <v>123</v>
      </c>
      <c r="B542" s="5" t="s">
        <v>1496</v>
      </c>
      <c r="C542" s="16">
        <v>2005</v>
      </c>
      <c r="D542" s="7" t="s">
        <v>475</v>
      </c>
      <c r="E542" s="6" t="s">
        <v>476</v>
      </c>
      <c r="F542" s="5" t="s">
        <v>36</v>
      </c>
      <c r="G542" s="5" t="str">
        <f>IF(CropLCAs[[#This Row],[fbs_item]]="Insects","insect_ghg","plant_ghg")</f>
        <v>plant_ghg</v>
      </c>
      <c r="H542" s="49" t="s">
        <v>477</v>
      </c>
      <c r="I542" s="49"/>
      <c r="J542" s="49"/>
      <c r="K542" s="5" t="s">
        <v>101</v>
      </c>
      <c r="L542" s="5" t="s">
        <v>488</v>
      </c>
      <c r="M542" s="5" t="s">
        <v>102</v>
      </c>
      <c r="N542" s="5" t="s">
        <v>150</v>
      </c>
      <c r="O542" s="5" t="s">
        <v>479</v>
      </c>
      <c r="P542" s="5" t="s">
        <v>102</v>
      </c>
      <c r="Q542" s="5" t="s">
        <v>102</v>
      </c>
      <c r="R542" s="5" t="s">
        <v>102</v>
      </c>
      <c r="S542" s="5" t="s">
        <v>102</v>
      </c>
      <c r="T542" s="5" t="s">
        <v>102</v>
      </c>
      <c r="U542" s="5" t="s">
        <v>126</v>
      </c>
      <c r="V542" s="5">
        <v>1</v>
      </c>
      <c r="W542" s="5" t="s">
        <v>127</v>
      </c>
      <c r="X542" s="24">
        <v>3.4000000000000002E-2</v>
      </c>
      <c r="Y542" s="5" t="s">
        <v>127</v>
      </c>
      <c r="Z542" s="5"/>
      <c r="AA542" s="5"/>
      <c r="AB542" s="24">
        <v>1</v>
      </c>
      <c r="AC542" s="5"/>
      <c r="AD542" s="5" t="str">
        <f t="shared" si="38"/>
        <v>kg_co2e_excl_luc</v>
      </c>
      <c r="AE542" s="24">
        <f>IF(CropLCAs[[#This Row],[Product fraction]]="",CropLCAs[[#This Row],[CO2e (value)]]*CropLCAs[[#This Row],[Conversion factor (value)]],CropLCAs[[#This Row],[CO2e (value)]]*CropLCAs[[#This Row],[Conversion factor (value)]]/CropLCAs[[#This Row],[Product fraction]]*CropLCAs[[#This Row],[Value fraction]])</f>
        <v>3.4000000000000002E-2</v>
      </c>
      <c r="AF542" s="5" t="s">
        <v>37</v>
      </c>
      <c r="AG542" s="5" t="str">
        <f t="shared" si="39"/>
        <v>processed_ghg</v>
      </c>
      <c r="AH542" s="5">
        <v>0.14000000000000001</v>
      </c>
      <c r="AI542" s="5">
        <v>0.92</v>
      </c>
      <c r="AJ542" s="8">
        <f>IF(CropLCAs[[#This Row],[product_fraction]]&gt;0,CropLCAs[[#This Row],[footprint]]/CropLCAs[[#This Row],[product_fraction]]*CropLCAs[[#This Row],[value_fraction]],"")</f>
        <v>0.22342857142857145</v>
      </c>
      <c r="AK542" s="23">
        <f t="shared" si="40"/>
        <v>7.6923076923076927E-2</v>
      </c>
      <c r="AL542" s="5" t="s">
        <v>109</v>
      </c>
      <c r="AM542" s="5"/>
      <c r="AN542" s="5"/>
      <c r="AO542" s="5"/>
      <c r="AP542" s="5"/>
      <c r="AQ542" s="17"/>
      <c r="AR542" s="17"/>
      <c r="AS542" s="17"/>
      <c r="AT542" s="17"/>
      <c r="AU542" s="17"/>
    </row>
    <row r="543" spans="1:47" ht="44.1" customHeight="1" x14ac:dyDescent="0.2">
      <c r="A543" s="5" t="s">
        <v>123</v>
      </c>
      <c r="B543" s="5" t="s">
        <v>1497</v>
      </c>
      <c r="C543" s="16">
        <v>2015</v>
      </c>
      <c r="D543" s="6" t="s">
        <v>495</v>
      </c>
      <c r="E543" s="6" t="s">
        <v>490</v>
      </c>
      <c r="F543" s="5" t="s">
        <v>35</v>
      </c>
      <c r="G543" s="5" t="str">
        <f>IF(CropLCAs[[#This Row],[fbs_item]]="Insects","insect_ghg","plant_ghg")</f>
        <v>plant_ghg</v>
      </c>
      <c r="H543" s="49" t="s">
        <v>496</v>
      </c>
      <c r="I543" s="49"/>
      <c r="J543" s="49"/>
      <c r="K543" s="5" t="s">
        <v>138</v>
      </c>
      <c r="L543" s="5"/>
      <c r="M543" s="5" t="s">
        <v>102</v>
      </c>
      <c r="N543" s="5" t="s">
        <v>102</v>
      </c>
      <c r="O543" s="5" t="s">
        <v>109</v>
      </c>
      <c r="P543" s="5" t="s">
        <v>102</v>
      </c>
      <c r="Q543" s="5" t="s">
        <v>102</v>
      </c>
      <c r="R543" s="5" t="s">
        <v>102</v>
      </c>
      <c r="S543" s="5" t="s">
        <v>102</v>
      </c>
      <c r="T543" s="5" t="s">
        <v>102</v>
      </c>
      <c r="U543" s="5">
        <v>100</v>
      </c>
      <c r="V543" s="5">
        <v>1</v>
      </c>
      <c r="W543" s="5" t="s">
        <v>127</v>
      </c>
      <c r="X543" s="24">
        <v>468</v>
      </c>
      <c r="Y543" s="5" t="s">
        <v>106</v>
      </c>
      <c r="Z543" s="5"/>
      <c r="AA543" s="5"/>
      <c r="AB543" s="24">
        <v>1E-3</v>
      </c>
      <c r="AC543" s="5" t="s">
        <v>195</v>
      </c>
      <c r="AD543" s="5" t="str">
        <f t="shared" si="38"/>
        <v>kg_co2e_excl_luc</v>
      </c>
      <c r="AE543" s="24">
        <f>IF(CropLCAs[[#This Row],[Product fraction]]="",CropLCAs[[#This Row],[CO2e (value)]]*CropLCAs[[#This Row],[Conversion factor (value)]],CropLCAs[[#This Row],[CO2e (value)]]*CropLCAs[[#This Row],[Conversion factor (value)]]/CropLCAs[[#This Row],[Product fraction]]*CropLCAs[[#This Row],[Value fraction]])</f>
        <v>0.46800000000000003</v>
      </c>
      <c r="AF543" s="5" t="s">
        <v>37</v>
      </c>
      <c r="AG543" s="5" t="str">
        <f t="shared" si="39"/>
        <v>processed_ghg</v>
      </c>
      <c r="AH543" s="5">
        <v>0.11</v>
      </c>
      <c r="AI543" s="5">
        <v>0.87</v>
      </c>
      <c r="AJ543" s="8">
        <f>IF(CropLCAs[[#This Row],[product_fraction]]&gt;0,CropLCAs[[#This Row],[footprint]]/CropLCAs[[#This Row],[product_fraction]]*CropLCAs[[#This Row],[value_fraction]],"")</f>
        <v>3.7014545454545456</v>
      </c>
      <c r="AK543" s="23">
        <f>1/3</f>
        <v>0.33333333333333331</v>
      </c>
      <c r="AL543" s="5" t="s">
        <v>109</v>
      </c>
      <c r="AM543" s="5"/>
      <c r="AN543" s="13" t="s">
        <v>494</v>
      </c>
      <c r="AO543" s="8">
        <f>AE543/0.09</f>
        <v>5.2</v>
      </c>
      <c r="AP543" s="5"/>
      <c r="AQ543" s="17"/>
      <c r="AR543" s="17"/>
      <c r="AS543" s="17"/>
      <c r="AT543" s="17"/>
      <c r="AU543" s="17"/>
    </row>
    <row r="544" spans="1:47" ht="44.1" customHeight="1" x14ac:dyDescent="0.2">
      <c r="A544" s="5" t="s">
        <v>123</v>
      </c>
      <c r="B544" s="5" t="s">
        <v>1497</v>
      </c>
      <c r="C544" s="16">
        <v>2015</v>
      </c>
      <c r="D544" s="6" t="s">
        <v>495</v>
      </c>
      <c r="E544" s="6" t="s">
        <v>490</v>
      </c>
      <c r="F544" s="5" t="s">
        <v>35</v>
      </c>
      <c r="G544" s="5" t="str">
        <f>IF(CropLCAs[[#This Row],[fbs_item]]="Insects","insect_ghg","plant_ghg")</f>
        <v>plant_ghg</v>
      </c>
      <c r="H544" s="49" t="s">
        <v>496</v>
      </c>
      <c r="I544" s="49"/>
      <c r="J544" s="49"/>
      <c r="K544" s="5" t="s">
        <v>138</v>
      </c>
      <c r="L544" s="5" t="s">
        <v>497</v>
      </c>
      <c r="M544" s="5" t="s">
        <v>102</v>
      </c>
      <c r="N544" s="5" t="s">
        <v>102</v>
      </c>
      <c r="O544" s="5" t="s">
        <v>109</v>
      </c>
      <c r="P544" s="5" t="s">
        <v>102</v>
      </c>
      <c r="Q544" s="5" t="s">
        <v>102</v>
      </c>
      <c r="R544" s="5" t="s">
        <v>102</v>
      </c>
      <c r="S544" s="5" t="s">
        <v>102</v>
      </c>
      <c r="T544" s="5" t="s">
        <v>102</v>
      </c>
      <c r="U544" s="5">
        <v>100</v>
      </c>
      <c r="V544" s="5">
        <v>1</v>
      </c>
      <c r="W544" s="5" t="s">
        <v>127</v>
      </c>
      <c r="X544" s="24">
        <v>421</v>
      </c>
      <c r="Y544" s="5" t="s">
        <v>106</v>
      </c>
      <c r="Z544" s="5"/>
      <c r="AA544" s="5"/>
      <c r="AB544" s="24">
        <v>1E-3</v>
      </c>
      <c r="AC544" s="5" t="s">
        <v>195</v>
      </c>
      <c r="AD544" s="5" t="str">
        <f t="shared" si="38"/>
        <v>kg_co2e_excl_luc</v>
      </c>
      <c r="AE544" s="24">
        <f>IF(CropLCAs[[#This Row],[Product fraction]]="",CropLCAs[[#This Row],[CO2e (value)]]*CropLCAs[[#This Row],[Conversion factor (value)]],CropLCAs[[#This Row],[CO2e (value)]]*CropLCAs[[#This Row],[Conversion factor (value)]]/CropLCAs[[#This Row],[Product fraction]]*CropLCAs[[#This Row],[Value fraction]])</f>
        <v>0.42099999999999999</v>
      </c>
      <c r="AF544" s="5" t="s">
        <v>37</v>
      </c>
      <c r="AG544" s="5" t="str">
        <f t="shared" si="39"/>
        <v>processed_ghg</v>
      </c>
      <c r="AH544" s="5">
        <v>0.11</v>
      </c>
      <c r="AI544" s="5">
        <v>0.87</v>
      </c>
      <c r="AJ544" s="8">
        <f>IF(CropLCAs[[#This Row],[product_fraction]]&gt;0,CropLCAs[[#This Row],[footprint]]/CropLCAs[[#This Row],[product_fraction]]*CropLCAs[[#This Row],[value_fraction]],"")</f>
        <v>3.3297272727272724</v>
      </c>
      <c r="AK544" s="23">
        <f>1/3</f>
        <v>0.33333333333333331</v>
      </c>
      <c r="AL544" s="5" t="s">
        <v>109</v>
      </c>
      <c r="AM544" s="5" t="s">
        <v>498</v>
      </c>
      <c r="AN544" s="13" t="s">
        <v>494</v>
      </c>
      <c r="AO544" s="8">
        <f>AE544/0.09</f>
        <v>4.677777777777778</v>
      </c>
      <c r="AP544" s="5"/>
      <c r="AQ544" s="17"/>
      <c r="AR544" s="17"/>
      <c r="AS544" s="17"/>
      <c r="AT544" s="17"/>
      <c r="AU544" s="17"/>
    </row>
    <row r="545" spans="1:47" ht="44.1" customHeight="1" x14ac:dyDescent="0.2">
      <c r="A545" s="5" t="s">
        <v>123</v>
      </c>
      <c r="B545" s="5" t="s">
        <v>1497</v>
      </c>
      <c r="C545" s="16">
        <v>2015</v>
      </c>
      <c r="D545" s="6" t="s">
        <v>495</v>
      </c>
      <c r="E545" s="6" t="s">
        <v>490</v>
      </c>
      <c r="F545" s="5" t="s">
        <v>35</v>
      </c>
      <c r="G545" s="5" t="str">
        <f>IF(CropLCAs[[#This Row],[fbs_item]]="Insects","insect_ghg","plant_ghg")</f>
        <v>plant_ghg</v>
      </c>
      <c r="H545" s="49" t="s">
        <v>496</v>
      </c>
      <c r="I545" s="49"/>
      <c r="J545" s="49"/>
      <c r="K545" s="5" t="s">
        <v>138</v>
      </c>
      <c r="L545" s="5" t="s">
        <v>499</v>
      </c>
      <c r="M545" s="5" t="s">
        <v>102</v>
      </c>
      <c r="N545" s="5" t="s">
        <v>102</v>
      </c>
      <c r="O545" s="5" t="s">
        <v>109</v>
      </c>
      <c r="P545" s="5" t="s">
        <v>102</v>
      </c>
      <c r="Q545" s="5" t="s">
        <v>102</v>
      </c>
      <c r="R545" s="5" t="s">
        <v>102</v>
      </c>
      <c r="S545" s="5" t="s">
        <v>102</v>
      </c>
      <c r="T545" s="5" t="s">
        <v>102</v>
      </c>
      <c r="U545" s="5">
        <v>100</v>
      </c>
      <c r="V545" s="5">
        <v>1</v>
      </c>
      <c r="W545" s="5" t="s">
        <v>127</v>
      </c>
      <c r="X545" s="24">
        <v>353</v>
      </c>
      <c r="Y545" s="5" t="s">
        <v>106</v>
      </c>
      <c r="Z545" s="5"/>
      <c r="AA545" s="5"/>
      <c r="AB545" s="24">
        <v>1E-3</v>
      </c>
      <c r="AC545" s="5" t="s">
        <v>195</v>
      </c>
      <c r="AD545" s="5" t="str">
        <f t="shared" si="38"/>
        <v>kg_co2e_excl_luc</v>
      </c>
      <c r="AE545" s="24">
        <f>IF(CropLCAs[[#This Row],[Product fraction]]="",CropLCAs[[#This Row],[CO2e (value)]]*CropLCAs[[#This Row],[Conversion factor (value)]],CropLCAs[[#This Row],[CO2e (value)]]*CropLCAs[[#This Row],[Conversion factor (value)]]/CropLCAs[[#This Row],[Product fraction]]*CropLCAs[[#This Row],[Value fraction]])</f>
        <v>0.35299999999999998</v>
      </c>
      <c r="AF545" s="5" t="s">
        <v>37</v>
      </c>
      <c r="AG545" s="5" t="str">
        <f t="shared" si="39"/>
        <v>processed_ghg</v>
      </c>
      <c r="AH545" s="5">
        <v>0.11</v>
      </c>
      <c r="AI545" s="5">
        <v>0.87</v>
      </c>
      <c r="AJ545" s="8">
        <f>IF(CropLCAs[[#This Row],[product_fraction]]&gt;0,CropLCAs[[#This Row],[footprint]]/CropLCAs[[#This Row],[product_fraction]]*CropLCAs[[#This Row],[value_fraction]],"")</f>
        <v>2.7919090909090909</v>
      </c>
      <c r="AK545" s="23">
        <f>1/3</f>
        <v>0.33333333333333331</v>
      </c>
      <c r="AL545" s="5" t="s">
        <v>109</v>
      </c>
      <c r="AM545" s="5" t="s">
        <v>500</v>
      </c>
      <c r="AN545" s="13" t="s">
        <v>494</v>
      </c>
      <c r="AO545" s="8">
        <f>AE545/0.09</f>
        <v>3.9222222222222221</v>
      </c>
      <c r="AP545" s="5"/>
      <c r="AQ545" s="17"/>
      <c r="AR545" s="17"/>
      <c r="AS545" s="17"/>
      <c r="AT545" s="17"/>
      <c r="AU545" s="17"/>
    </row>
    <row r="546" spans="1:47" ht="44.1" customHeight="1" x14ac:dyDescent="0.2">
      <c r="A546" s="5" t="s">
        <v>123</v>
      </c>
      <c r="B546" s="5" t="s">
        <v>1498</v>
      </c>
      <c r="C546" s="16">
        <v>2004</v>
      </c>
      <c r="D546" s="10" t="s">
        <v>286</v>
      </c>
      <c r="E546" s="6" t="s">
        <v>271</v>
      </c>
      <c r="F546" s="5" t="s">
        <v>13</v>
      </c>
      <c r="G546" s="5" t="str">
        <f>IF(CropLCAs[[#This Row],[fbs_item]]="Insects","insect_ghg","plant_ghg")</f>
        <v>plant_ghg</v>
      </c>
      <c r="H546" s="49" t="s">
        <v>114</v>
      </c>
      <c r="I546" s="49"/>
      <c r="J546" s="49"/>
      <c r="K546" s="5" t="s">
        <v>1349</v>
      </c>
      <c r="L546" s="5" t="s">
        <v>287</v>
      </c>
      <c r="M546" s="5" t="s">
        <v>102</v>
      </c>
      <c r="N546" s="5" t="s">
        <v>288</v>
      </c>
      <c r="O546" s="5" t="s">
        <v>109</v>
      </c>
      <c r="P546" s="5" t="s">
        <v>102</v>
      </c>
      <c r="Q546" s="5" t="s">
        <v>102</v>
      </c>
      <c r="R546" s="5" t="s">
        <v>102</v>
      </c>
      <c r="S546" s="5" t="s">
        <v>102</v>
      </c>
      <c r="T546" s="5" t="s">
        <v>102</v>
      </c>
      <c r="U546" s="5">
        <v>100</v>
      </c>
      <c r="V546" s="5">
        <v>1</v>
      </c>
      <c r="W546" s="5" t="s">
        <v>131</v>
      </c>
      <c r="X546" s="24">
        <v>3280</v>
      </c>
      <c r="Y546" s="5" t="s">
        <v>106</v>
      </c>
      <c r="Z546" s="5"/>
      <c r="AA546" s="5"/>
      <c r="AB546" s="24">
        <f>1/6440</f>
        <v>1.5527950310559007E-4</v>
      </c>
      <c r="AC546" s="5" t="s">
        <v>289</v>
      </c>
      <c r="AD546" s="5" t="str">
        <f t="shared" si="38"/>
        <v>kg_co2e_excl_luc</v>
      </c>
      <c r="AE546" s="24">
        <f>IF(CropLCAs[[#This Row],[Product fraction]]="",CropLCAs[[#This Row],[CO2e (value)]]*CropLCAs[[#This Row],[Conversion factor (value)]],CropLCAs[[#This Row],[CO2e (value)]]*CropLCAs[[#This Row],[Conversion factor (value)]]/CropLCAs[[#This Row],[Product fraction]]*CropLCAs[[#This Row],[Value fraction]])</f>
        <v>0.50931677018633548</v>
      </c>
      <c r="AF546" s="5" t="s">
        <v>47</v>
      </c>
      <c r="AG546" s="5" t="str">
        <f t="shared" si="39"/>
        <v>processed_ghg</v>
      </c>
      <c r="AH546" s="5">
        <f>0.06*0.45</f>
        <v>2.7E-2</v>
      </c>
      <c r="AI546" s="5">
        <v>0.06</v>
      </c>
      <c r="AJ546" s="8">
        <f>IF(CropLCAs[[#This Row],[product_fraction]]&gt;0,CropLCAs[[#This Row],[footprint]]/CropLCAs[[#This Row],[product_fraction]]*CropLCAs[[#This Row],[value_fraction]],"")</f>
        <v>1.1318150448585234</v>
      </c>
      <c r="AK546" s="23">
        <v>1</v>
      </c>
      <c r="AL546" s="5" t="s">
        <v>109</v>
      </c>
      <c r="AM546" s="5" t="s">
        <v>290</v>
      </c>
      <c r="AN546" s="5"/>
      <c r="AO546" s="5"/>
      <c r="AP546" s="5"/>
      <c r="AQ546" s="17"/>
      <c r="AR546" s="17"/>
      <c r="AS546" s="17"/>
      <c r="AT546" s="17"/>
      <c r="AU546" s="17"/>
    </row>
    <row r="547" spans="1:47" ht="44.1" customHeight="1" x14ac:dyDescent="0.2">
      <c r="A547" s="5" t="s">
        <v>123</v>
      </c>
      <c r="B547" s="5" t="s">
        <v>1498</v>
      </c>
      <c r="C547" s="16">
        <v>2004</v>
      </c>
      <c r="D547" s="10" t="s">
        <v>286</v>
      </c>
      <c r="E547" s="6" t="s">
        <v>411</v>
      </c>
      <c r="F547" s="5" t="s">
        <v>23</v>
      </c>
      <c r="G547" s="5" t="str">
        <f>IF(CropLCAs[[#This Row],[fbs_item]]="Insects","insect_ghg","plant_ghg")</f>
        <v>plant_ghg</v>
      </c>
      <c r="H547" s="49" t="s">
        <v>114</v>
      </c>
      <c r="I547" s="49"/>
      <c r="J547" s="49"/>
      <c r="K547" s="5" t="s">
        <v>1349</v>
      </c>
      <c r="L547" s="5" t="s">
        <v>287</v>
      </c>
      <c r="M547" s="5" t="s">
        <v>102</v>
      </c>
      <c r="N547" s="5" t="s">
        <v>288</v>
      </c>
      <c r="O547" s="5" t="s">
        <v>109</v>
      </c>
      <c r="P547" s="5" t="s">
        <v>102</v>
      </c>
      <c r="Q547" s="5" t="s">
        <v>102</v>
      </c>
      <c r="R547" s="5" t="s">
        <v>102</v>
      </c>
      <c r="S547" s="5" t="s">
        <v>102</v>
      </c>
      <c r="T547" s="5" t="s">
        <v>102</v>
      </c>
      <c r="U547" s="5">
        <v>100</v>
      </c>
      <c r="V547" s="5">
        <v>1</v>
      </c>
      <c r="W547" s="5" t="s">
        <v>131</v>
      </c>
      <c r="X547" s="24">
        <v>2700</v>
      </c>
      <c r="Y547" s="5" t="s">
        <v>106</v>
      </c>
      <c r="Z547" s="5"/>
      <c r="AA547" s="5"/>
      <c r="AB547" s="24">
        <f>1/2970</f>
        <v>3.3670033670033672E-4</v>
      </c>
      <c r="AC547" s="5" t="s">
        <v>289</v>
      </c>
      <c r="AD547" s="5" t="str">
        <f t="shared" si="38"/>
        <v>kg_co2e_excl_luc</v>
      </c>
      <c r="AE547" s="24">
        <f>IF(CropLCAs[[#This Row],[Product fraction]]="",CropLCAs[[#This Row],[CO2e (value)]]*CropLCAs[[#This Row],[Conversion factor (value)]],CropLCAs[[#This Row],[CO2e (value)]]*CropLCAs[[#This Row],[Conversion factor (value)]]/CropLCAs[[#This Row],[Product fraction]]*CropLCAs[[#This Row],[Value fraction]])</f>
        <v>0.90909090909090917</v>
      </c>
      <c r="AF547" s="5" t="s">
        <v>42</v>
      </c>
      <c r="AG547" s="5" t="str">
        <f t="shared" si="39"/>
        <v>processed_ghg</v>
      </c>
      <c r="AH547" s="5">
        <v>0.38</v>
      </c>
      <c r="AI547" s="5">
        <v>0.71</v>
      </c>
      <c r="AJ547" s="8">
        <f>IF(CropLCAs[[#This Row],[product_fraction]]&gt;0,CropLCAs[[#This Row],[footprint]]/CropLCAs[[#This Row],[product_fraction]]*CropLCAs[[#This Row],[value_fraction]],"")</f>
        <v>1.6985645933014353</v>
      </c>
      <c r="AK547" s="23">
        <v>1</v>
      </c>
      <c r="AL547" s="5" t="s">
        <v>109</v>
      </c>
      <c r="AM547" s="5" t="s">
        <v>290</v>
      </c>
      <c r="AN547" s="5"/>
      <c r="AO547" s="5"/>
      <c r="AP547" s="5"/>
      <c r="AQ547" s="17"/>
      <c r="AR547" s="17"/>
      <c r="AS547" s="17"/>
      <c r="AT547" s="17"/>
      <c r="AU547" s="17"/>
    </row>
    <row r="548" spans="1:47" ht="44.1" customHeight="1" x14ac:dyDescent="0.2">
      <c r="A548" s="5" t="s">
        <v>123</v>
      </c>
      <c r="B548" s="5" t="s">
        <v>1498</v>
      </c>
      <c r="C548" s="16">
        <v>2004</v>
      </c>
      <c r="D548" s="10" t="s">
        <v>286</v>
      </c>
      <c r="E548" s="6" t="s">
        <v>374</v>
      </c>
      <c r="F548" s="5" t="s">
        <v>0</v>
      </c>
      <c r="G548" s="5" t="str">
        <f>IF(CropLCAs[[#This Row],[fbs_item]]="Insects","insect_ghg","plant_ghg")</f>
        <v>plant_ghg</v>
      </c>
      <c r="H548" s="49" t="s">
        <v>114</v>
      </c>
      <c r="I548" s="49"/>
      <c r="J548" s="49"/>
      <c r="K548" s="5" t="s">
        <v>1349</v>
      </c>
      <c r="L548" s="5" t="s">
        <v>287</v>
      </c>
      <c r="M548" s="5" t="s">
        <v>102</v>
      </c>
      <c r="N548" s="5" t="s">
        <v>288</v>
      </c>
      <c r="O548" s="5" t="s">
        <v>109</v>
      </c>
      <c r="P548" s="5" t="s">
        <v>102</v>
      </c>
      <c r="Q548" s="5" t="s">
        <v>102</v>
      </c>
      <c r="R548" s="5" t="s">
        <v>102</v>
      </c>
      <c r="S548" s="5" t="s">
        <v>102</v>
      </c>
      <c r="T548" s="5" t="s">
        <v>102</v>
      </c>
      <c r="U548" s="5">
        <v>100</v>
      </c>
      <c r="V548" s="5">
        <v>1</v>
      </c>
      <c r="W548" s="5" t="s">
        <v>131</v>
      </c>
      <c r="X548" s="24">
        <v>2890</v>
      </c>
      <c r="Y548" s="5" t="s">
        <v>106</v>
      </c>
      <c r="Z548" s="5"/>
      <c r="AA548" s="5"/>
      <c r="AB548" s="24">
        <f>1/(4110+1410)</f>
        <v>1.8115942028985507E-4</v>
      </c>
      <c r="AC548" s="5" t="s">
        <v>289</v>
      </c>
      <c r="AD548" s="5" t="str">
        <f t="shared" si="38"/>
        <v>kg_co2e_excl_luc</v>
      </c>
      <c r="AE548" s="24">
        <f>IF(CropLCAs[[#This Row],[Product fraction]]="",CropLCAs[[#This Row],[CO2e (value)]]*CropLCAs[[#This Row],[Conversion factor (value)]],CropLCAs[[#This Row],[CO2e (value)]]*CropLCAs[[#This Row],[Conversion factor (value)]]/CropLCAs[[#This Row],[Product fraction]]*CropLCAs[[#This Row],[Value fraction]])</f>
        <v>0.52355072463768115</v>
      </c>
      <c r="AF548" s="5"/>
      <c r="AG548" s="5" t="str">
        <f t="shared" si="39"/>
        <v>processed_ghg</v>
      </c>
      <c r="AH548" s="5"/>
      <c r="AI548" s="5"/>
      <c r="AJ548" s="8" t="str">
        <f>IF(CropLCAs[[#This Row],[product_fraction]]&gt;0,CropLCAs[[#This Row],[footprint]]/CropLCAs[[#This Row],[product_fraction]]*CropLCAs[[#This Row],[value_fraction]],"")</f>
        <v/>
      </c>
      <c r="AK548" s="23">
        <v>1</v>
      </c>
      <c r="AL548" s="5" t="s">
        <v>109</v>
      </c>
      <c r="AM548" s="5" t="s">
        <v>290</v>
      </c>
      <c r="AN548" s="5"/>
      <c r="AO548" s="5"/>
      <c r="AP548" s="5"/>
      <c r="AQ548" s="17"/>
      <c r="AR548" s="17"/>
      <c r="AS548" s="17"/>
      <c r="AT548" s="17"/>
      <c r="AU548" s="17"/>
    </row>
    <row r="549" spans="1:47" ht="44.1" customHeight="1" x14ac:dyDescent="0.2">
      <c r="A549" s="5" t="s">
        <v>123</v>
      </c>
      <c r="B549" s="5" t="s">
        <v>1498</v>
      </c>
      <c r="C549" s="16">
        <v>2004</v>
      </c>
      <c r="D549" s="10" t="s">
        <v>286</v>
      </c>
      <c r="E549" s="6" t="s">
        <v>384</v>
      </c>
      <c r="F549" s="5" t="s">
        <v>16</v>
      </c>
      <c r="G549" s="5" t="str">
        <f>IF(CropLCAs[[#This Row],[fbs_item]]="Insects","insect_ghg","plant_ghg")</f>
        <v>plant_ghg</v>
      </c>
      <c r="H549" s="49" t="s">
        <v>114</v>
      </c>
      <c r="I549" s="49"/>
      <c r="J549" s="49"/>
      <c r="K549" s="5" t="s">
        <v>1349</v>
      </c>
      <c r="L549" s="5" t="s">
        <v>287</v>
      </c>
      <c r="M549" s="5" t="s">
        <v>102</v>
      </c>
      <c r="N549" s="5" t="s">
        <v>288</v>
      </c>
      <c r="O549" s="5" t="s">
        <v>109</v>
      </c>
      <c r="P549" s="5" t="s">
        <v>102</v>
      </c>
      <c r="Q549" s="5" t="s">
        <v>102</v>
      </c>
      <c r="R549" s="5" t="s">
        <v>102</v>
      </c>
      <c r="S549" s="5" t="s">
        <v>102</v>
      </c>
      <c r="T549" s="5" t="s">
        <v>102</v>
      </c>
      <c r="U549" s="5">
        <v>100</v>
      </c>
      <c r="V549" s="5">
        <v>1</v>
      </c>
      <c r="W549" s="5" t="s">
        <v>131</v>
      </c>
      <c r="X549" s="24">
        <v>4120</v>
      </c>
      <c r="Y549" s="5" t="s">
        <v>106</v>
      </c>
      <c r="Z549" s="5"/>
      <c r="AA549" s="5"/>
      <c r="AB549" s="24">
        <f>1/10000</f>
        <v>1E-4</v>
      </c>
      <c r="AC549" s="5" t="s">
        <v>289</v>
      </c>
      <c r="AD549" s="5" t="str">
        <f t="shared" si="38"/>
        <v>kg_co2e_excl_luc</v>
      </c>
      <c r="AE549" s="24">
        <f>IF(CropLCAs[[#This Row],[Product fraction]]="",CropLCAs[[#This Row],[CO2e (value)]]*CropLCAs[[#This Row],[Conversion factor (value)]],CropLCAs[[#This Row],[CO2e (value)]]*CropLCAs[[#This Row],[Conversion factor (value)]]/CropLCAs[[#This Row],[Product fraction]]*CropLCAs[[#This Row],[Value fraction]])</f>
        <v>0.41200000000000003</v>
      </c>
      <c r="AF549" s="5"/>
      <c r="AG549" s="5" t="str">
        <f t="shared" si="39"/>
        <v>processed_ghg</v>
      </c>
      <c r="AH549" s="5"/>
      <c r="AI549" s="5"/>
      <c r="AJ549" s="8" t="str">
        <f>IF(CropLCAs[[#This Row],[product_fraction]]&gt;0,CropLCAs[[#This Row],[footprint]]/CropLCAs[[#This Row],[product_fraction]]*CropLCAs[[#This Row],[value_fraction]],"")</f>
        <v/>
      </c>
      <c r="AK549" s="23">
        <v>1</v>
      </c>
      <c r="AL549" s="5" t="s">
        <v>109</v>
      </c>
      <c r="AM549" s="5" t="s">
        <v>290</v>
      </c>
      <c r="AN549" s="5"/>
      <c r="AO549" s="5"/>
      <c r="AP549" s="5"/>
      <c r="AQ549" s="17"/>
      <c r="AR549" s="17"/>
      <c r="AS549" s="17"/>
      <c r="AT549" s="17"/>
      <c r="AU549" s="17"/>
    </row>
    <row r="550" spans="1:47" ht="44.1" customHeight="1" x14ac:dyDescent="0.2">
      <c r="A550" s="5" t="s">
        <v>123</v>
      </c>
      <c r="B550" s="5" t="s">
        <v>1498</v>
      </c>
      <c r="C550" s="16">
        <v>2004</v>
      </c>
      <c r="D550" s="10" t="s">
        <v>286</v>
      </c>
      <c r="E550" s="6" t="s">
        <v>630</v>
      </c>
      <c r="F550" s="5" t="s">
        <v>5</v>
      </c>
      <c r="G550" s="5" t="str">
        <f>IF(CropLCAs[[#This Row],[fbs_item]]="Insects","insect_ghg","plant_ghg")</f>
        <v>plant_ghg</v>
      </c>
      <c r="H550" s="49" t="s">
        <v>114</v>
      </c>
      <c r="I550" s="49"/>
      <c r="J550" s="49"/>
      <c r="K550" s="5" t="s">
        <v>1349</v>
      </c>
      <c r="L550" s="5" t="s">
        <v>287</v>
      </c>
      <c r="M550" s="5" t="s">
        <v>102</v>
      </c>
      <c r="N550" s="5" t="s">
        <v>288</v>
      </c>
      <c r="O550" s="5" t="s">
        <v>109</v>
      </c>
      <c r="P550" s="5" t="s">
        <v>102</v>
      </c>
      <c r="Q550" s="5" t="s">
        <v>102</v>
      </c>
      <c r="R550" s="5" t="s">
        <v>102</v>
      </c>
      <c r="S550" s="5" t="s">
        <v>102</v>
      </c>
      <c r="T550" s="5" t="s">
        <v>102</v>
      </c>
      <c r="U550" s="5">
        <v>100</v>
      </c>
      <c r="V550" s="5">
        <v>1</v>
      </c>
      <c r="W550" s="5" t="s">
        <v>131</v>
      </c>
      <c r="X550" s="24">
        <v>3370</v>
      </c>
      <c r="Y550" s="5" t="s">
        <v>106</v>
      </c>
      <c r="Z550" s="5"/>
      <c r="AA550" s="5"/>
      <c r="AB550" s="24">
        <f>1/(5910+3870)</f>
        <v>1.0224948875255624E-4</v>
      </c>
      <c r="AC550" s="5" t="s">
        <v>289</v>
      </c>
      <c r="AD550" s="5" t="str">
        <f t="shared" si="38"/>
        <v>kg_co2e_excl_luc</v>
      </c>
      <c r="AE550" s="24">
        <f>IF(CropLCAs[[#This Row],[Product fraction]]="",CropLCAs[[#This Row],[CO2e (value)]]*CropLCAs[[#This Row],[Conversion factor (value)]],CropLCAs[[#This Row],[CO2e (value)]]*CropLCAs[[#This Row],[Conversion factor (value)]]/CropLCAs[[#This Row],[Product fraction]]*CropLCAs[[#This Row],[Value fraction]])</f>
        <v>0.34458077709611451</v>
      </c>
      <c r="AF550" s="5"/>
      <c r="AG550" s="5" t="str">
        <f t="shared" si="39"/>
        <v>processed_ghg</v>
      </c>
      <c r="AH550" s="5"/>
      <c r="AI550" s="5"/>
      <c r="AJ550" s="8" t="str">
        <f>IF(CropLCAs[[#This Row],[product_fraction]]&gt;0,CropLCAs[[#This Row],[footprint]]/CropLCAs[[#This Row],[product_fraction]]*CropLCAs[[#This Row],[value_fraction]],"")</f>
        <v/>
      </c>
      <c r="AK550" s="23">
        <v>1</v>
      </c>
      <c r="AL550" s="5" t="s">
        <v>109</v>
      </c>
      <c r="AM550" s="5" t="s">
        <v>290</v>
      </c>
      <c r="AN550" s="5"/>
      <c r="AO550" s="5"/>
      <c r="AP550" s="5"/>
      <c r="AQ550" s="17"/>
      <c r="AR550" s="17"/>
      <c r="AS550" s="17"/>
      <c r="AT550" s="17"/>
      <c r="AU550" s="17"/>
    </row>
    <row r="551" spans="1:47" ht="44.1" customHeight="1" x14ac:dyDescent="0.2">
      <c r="A551" s="17" t="s">
        <v>123</v>
      </c>
      <c r="B551" s="17" t="s">
        <v>285</v>
      </c>
      <c r="C551" s="17"/>
      <c r="D551" s="19" t="s">
        <v>286</v>
      </c>
      <c r="E551" s="19" t="s">
        <v>740</v>
      </c>
      <c r="F551" s="17" t="s">
        <v>26</v>
      </c>
      <c r="G551" s="17" t="str">
        <f>IF(CropLCAs[[#This Row],[fbs_item]]="Insects","insect_ghg","plant_ghg")</f>
        <v>plant_ghg</v>
      </c>
      <c r="H551" s="50" t="s">
        <v>114</v>
      </c>
      <c r="I551" s="50"/>
      <c r="J551" s="50"/>
      <c r="K551" s="17" t="s">
        <v>741</v>
      </c>
      <c r="L551" s="17"/>
      <c r="M551" s="17" t="s">
        <v>102</v>
      </c>
      <c r="N551" s="17" t="s">
        <v>288</v>
      </c>
      <c r="O551" s="17" t="s">
        <v>109</v>
      </c>
      <c r="P551" s="17" t="s">
        <v>102</v>
      </c>
      <c r="Q551" s="17" t="s">
        <v>102</v>
      </c>
      <c r="R551" s="17" t="s">
        <v>102</v>
      </c>
      <c r="S551" s="17" t="s">
        <v>102</v>
      </c>
      <c r="T551" s="17" t="s">
        <v>102</v>
      </c>
      <c r="U551" s="17">
        <v>100</v>
      </c>
      <c r="V551" s="17">
        <v>1</v>
      </c>
      <c r="W551" s="17" t="s">
        <v>131</v>
      </c>
      <c r="X551" s="30">
        <v>2330</v>
      </c>
      <c r="Y551" s="17" t="s">
        <v>106</v>
      </c>
      <c r="Z551" s="17"/>
      <c r="AA551" s="17"/>
      <c r="AB551" s="30">
        <f>1/6720</f>
        <v>1.4880952380952382E-4</v>
      </c>
      <c r="AC551" s="17" t="s">
        <v>289</v>
      </c>
      <c r="AD551" s="17" t="str">
        <f t="shared" si="38"/>
        <v>kg_co2e_excl_luc</v>
      </c>
      <c r="AE551" s="30">
        <f>IF(CropLCAs[[#This Row],[Product fraction]]="",CropLCAs[[#This Row],[CO2e (value)]]*CropLCAs[[#This Row],[Conversion factor (value)]],CropLCAs[[#This Row],[CO2e (value)]]*CropLCAs[[#This Row],[Conversion factor (value)]]/CropLCAs[[#This Row],[Product fraction]]*CropLCAs[[#This Row],[Value fraction]])</f>
        <v>0.34672619047619052</v>
      </c>
      <c r="AF551" s="17"/>
      <c r="AG551" s="17" t="str">
        <f t="shared" si="39"/>
        <v>processed_ghg</v>
      </c>
      <c r="AH551" s="17"/>
      <c r="AI551" s="17"/>
      <c r="AJ551" s="18" t="str">
        <f>IF(CropLCAs[[#This Row],[product_fraction]]&gt;0,CropLCAs[[#This Row],[footprint]]/CropLCAs[[#This Row],[product_fraction]]*CropLCAs[[#This Row],[value_fraction]],"")</f>
        <v/>
      </c>
      <c r="AK551" s="29">
        <f>1/4</f>
        <v>0.25</v>
      </c>
      <c r="AL551" s="17" t="s">
        <v>742</v>
      </c>
      <c r="AM551" s="17" t="s">
        <v>290</v>
      </c>
      <c r="AN551" s="17"/>
      <c r="AO551" s="17"/>
      <c r="AP551" s="17"/>
      <c r="AQ551" s="17"/>
      <c r="AR551" s="17"/>
      <c r="AS551" s="17"/>
      <c r="AT551" s="17"/>
      <c r="AU551" s="17"/>
    </row>
    <row r="552" spans="1:47" ht="44.1" customHeight="1" x14ac:dyDescent="0.2">
      <c r="A552" s="17" t="s">
        <v>123</v>
      </c>
      <c r="B552" s="17" t="s">
        <v>285</v>
      </c>
      <c r="C552" s="17"/>
      <c r="D552" s="19" t="s">
        <v>286</v>
      </c>
      <c r="E552" s="19" t="s">
        <v>740</v>
      </c>
      <c r="F552" s="17" t="s">
        <v>26</v>
      </c>
      <c r="G552" s="17" t="str">
        <f>IF(CropLCAs[[#This Row],[fbs_item]]="Insects","insect_ghg","plant_ghg")</f>
        <v>plant_ghg</v>
      </c>
      <c r="H552" s="50" t="s">
        <v>114</v>
      </c>
      <c r="I552" s="50"/>
      <c r="J552" s="50"/>
      <c r="K552" s="17" t="s">
        <v>743</v>
      </c>
      <c r="L552" s="17"/>
      <c r="M552" s="17" t="s">
        <v>102</v>
      </c>
      <c r="N552" s="17" t="s">
        <v>288</v>
      </c>
      <c r="O552" s="17" t="s">
        <v>109</v>
      </c>
      <c r="P552" s="17" t="s">
        <v>102</v>
      </c>
      <c r="Q552" s="17" t="s">
        <v>102</v>
      </c>
      <c r="R552" s="17" t="s">
        <v>102</v>
      </c>
      <c r="S552" s="17" t="s">
        <v>102</v>
      </c>
      <c r="T552" s="17" t="s">
        <v>102</v>
      </c>
      <c r="U552" s="17">
        <v>100</v>
      </c>
      <c r="V552" s="17">
        <v>1</v>
      </c>
      <c r="W552" s="17" t="s">
        <v>131</v>
      </c>
      <c r="X552" s="30">
        <v>1770</v>
      </c>
      <c r="Y552" s="17" t="s">
        <v>106</v>
      </c>
      <c r="Z552" s="17"/>
      <c r="AA552" s="17"/>
      <c r="AB552" s="30">
        <f>1/6720</f>
        <v>1.4880952380952382E-4</v>
      </c>
      <c r="AC552" s="17" t="s">
        <v>289</v>
      </c>
      <c r="AD552" s="17" t="str">
        <f t="shared" si="38"/>
        <v>kg_co2e_excl_luc</v>
      </c>
      <c r="AE552" s="30">
        <f>IF(CropLCAs[[#This Row],[Product fraction]]="",CropLCAs[[#This Row],[CO2e (value)]]*CropLCAs[[#This Row],[Conversion factor (value)]],CropLCAs[[#This Row],[CO2e (value)]]*CropLCAs[[#This Row],[Conversion factor (value)]]/CropLCAs[[#This Row],[Product fraction]]*CropLCAs[[#This Row],[Value fraction]])</f>
        <v>0.26339285714285715</v>
      </c>
      <c r="AF552" s="17"/>
      <c r="AG552" s="17" t="str">
        <f t="shared" si="39"/>
        <v>processed_ghg</v>
      </c>
      <c r="AH552" s="17"/>
      <c r="AI552" s="17"/>
      <c r="AJ552" s="18" t="str">
        <f>IF(CropLCAs[[#This Row],[product_fraction]]&gt;0,CropLCAs[[#This Row],[footprint]]/CropLCAs[[#This Row],[product_fraction]]*CropLCAs[[#This Row],[value_fraction]],"")</f>
        <v/>
      </c>
      <c r="AK552" s="29">
        <f>1/4</f>
        <v>0.25</v>
      </c>
      <c r="AL552" s="17" t="s">
        <v>742</v>
      </c>
      <c r="AM552" s="17" t="s">
        <v>290</v>
      </c>
      <c r="AN552" s="17"/>
      <c r="AO552" s="17"/>
      <c r="AP552" s="17"/>
      <c r="AQ552" s="17"/>
      <c r="AR552" s="17"/>
      <c r="AS552" s="17"/>
      <c r="AT552" s="17"/>
      <c r="AU552" s="17"/>
    </row>
    <row r="553" spans="1:47" ht="44.1" customHeight="1" x14ac:dyDescent="0.2">
      <c r="A553" s="17" t="s">
        <v>123</v>
      </c>
      <c r="B553" s="17" t="s">
        <v>285</v>
      </c>
      <c r="C553" s="17"/>
      <c r="D553" s="19" t="s">
        <v>286</v>
      </c>
      <c r="E553" s="19" t="s">
        <v>740</v>
      </c>
      <c r="F553" s="17" t="s">
        <v>26</v>
      </c>
      <c r="G553" s="17" t="str">
        <f>IF(CropLCAs[[#This Row],[fbs_item]]="Insects","insect_ghg","plant_ghg")</f>
        <v>plant_ghg</v>
      </c>
      <c r="H553" s="50" t="s">
        <v>114</v>
      </c>
      <c r="I553" s="50"/>
      <c r="J553" s="50"/>
      <c r="K553" s="17" t="s">
        <v>744</v>
      </c>
      <c r="L553" s="17"/>
      <c r="M553" s="17" t="s">
        <v>102</v>
      </c>
      <c r="N553" s="17" t="s">
        <v>288</v>
      </c>
      <c r="O553" s="17" t="s">
        <v>109</v>
      </c>
      <c r="P553" s="17" t="s">
        <v>102</v>
      </c>
      <c r="Q553" s="17" t="s">
        <v>102</v>
      </c>
      <c r="R553" s="17" t="s">
        <v>102</v>
      </c>
      <c r="S553" s="17" t="s">
        <v>102</v>
      </c>
      <c r="T553" s="17" t="s">
        <v>102</v>
      </c>
      <c r="U553" s="17">
        <v>100</v>
      </c>
      <c r="V553" s="17">
        <v>1</v>
      </c>
      <c r="W553" s="17" t="s">
        <v>131</v>
      </c>
      <c r="X553" s="30">
        <v>2200</v>
      </c>
      <c r="Y553" s="17" t="s">
        <v>106</v>
      </c>
      <c r="Z553" s="17"/>
      <c r="AA553" s="17"/>
      <c r="AB553" s="30">
        <f>1/6720</f>
        <v>1.4880952380952382E-4</v>
      </c>
      <c r="AC553" s="17" t="s">
        <v>289</v>
      </c>
      <c r="AD553" s="17" t="str">
        <f t="shared" si="38"/>
        <v>kg_co2e_excl_luc</v>
      </c>
      <c r="AE553" s="30">
        <f>IF(CropLCAs[[#This Row],[Product fraction]]="",CropLCAs[[#This Row],[CO2e (value)]]*CropLCAs[[#This Row],[Conversion factor (value)]],CropLCAs[[#This Row],[CO2e (value)]]*CropLCAs[[#This Row],[Conversion factor (value)]]/CropLCAs[[#This Row],[Product fraction]]*CropLCAs[[#This Row],[Value fraction]])</f>
        <v>0.32738095238095238</v>
      </c>
      <c r="AF553" s="17"/>
      <c r="AG553" s="17" t="str">
        <f t="shared" si="39"/>
        <v>processed_ghg</v>
      </c>
      <c r="AH553" s="17"/>
      <c r="AI553" s="17"/>
      <c r="AJ553" s="18" t="str">
        <f>IF(CropLCAs[[#This Row],[product_fraction]]&gt;0,CropLCAs[[#This Row],[footprint]]/CropLCAs[[#This Row],[product_fraction]]*CropLCAs[[#This Row],[value_fraction]],"")</f>
        <v/>
      </c>
      <c r="AK553" s="29">
        <f>1/4</f>
        <v>0.25</v>
      </c>
      <c r="AL553" s="17" t="s">
        <v>742</v>
      </c>
      <c r="AM553" s="17" t="s">
        <v>290</v>
      </c>
      <c r="AN553" s="17"/>
      <c r="AO553" s="17"/>
      <c r="AP553" s="17"/>
      <c r="AQ553" s="17"/>
      <c r="AR553" s="17"/>
      <c r="AS553" s="17"/>
      <c r="AT553" s="17"/>
      <c r="AU553" s="17"/>
    </row>
    <row r="554" spans="1:47" ht="44.1" customHeight="1" x14ac:dyDescent="0.2">
      <c r="A554" s="17" t="s">
        <v>123</v>
      </c>
      <c r="B554" s="17" t="s">
        <v>285</v>
      </c>
      <c r="C554" s="17"/>
      <c r="D554" s="19" t="s">
        <v>286</v>
      </c>
      <c r="E554" s="19" t="s">
        <v>740</v>
      </c>
      <c r="F554" s="17" t="s">
        <v>26</v>
      </c>
      <c r="G554" s="17" t="str">
        <f>IF(CropLCAs[[#This Row],[fbs_item]]="Insects","insect_ghg","plant_ghg")</f>
        <v>plant_ghg</v>
      </c>
      <c r="H554" s="50" t="s">
        <v>114</v>
      </c>
      <c r="I554" s="50"/>
      <c r="J554" s="50"/>
      <c r="K554" s="17" t="s">
        <v>745</v>
      </c>
      <c r="L554" s="31"/>
      <c r="M554" s="17" t="s">
        <v>102</v>
      </c>
      <c r="N554" s="17" t="s">
        <v>288</v>
      </c>
      <c r="O554" s="17" t="s">
        <v>109</v>
      </c>
      <c r="P554" s="17" t="s">
        <v>102</v>
      </c>
      <c r="Q554" s="17" t="s">
        <v>102</v>
      </c>
      <c r="R554" s="17" t="s">
        <v>102</v>
      </c>
      <c r="S554" s="17" t="s">
        <v>102</v>
      </c>
      <c r="T554" s="17" t="s">
        <v>102</v>
      </c>
      <c r="U554" s="17">
        <v>100</v>
      </c>
      <c r="V554" s="17">
        <v>1</v>
      </c>
      <c r="W554" s="17" t="s">
        <v>131</v>
      </c>
      <c r="X554" s="30">
        <v>2090</v>
      </c>
      <c r="Y554" s="17" t="s">
        <v>106</v>
      </c>
      <c r="Z554" s="17"/>
      <c r="AA554" s="17"/>
      <c r="AB554" s="30">
        <f>1/6720</f>
        <v>1.4880952380952382E-4</v>
      </c>
      <c r="AC554" s="17" t="s">
        <v>289</v>
      </c>
      <c r="AD554" s="17" t="str">
        <f t="shared" si="38"/>
        <v>kg_co2e_excl_luc</v>
      </c>
      <c r="AE554" s="30">
        <f>IF(CropLCAs[[#This Row],[Product fraction]]="",CropLCAs[[#This Row],[CO2e (value)]]*CropLCAs[[#This Row],[Conversion factor (value)]],CropLCAs[[#This Row],[CO2e (value)]]*CropLCAs[[#This Row],[Conversion factor (value)]]/CropLCAs[[#This Row],[Product fraction]]*CropLCAs[[#This Row],[Value fraction]])</f>
        <v>0.31101190476190477</v>
      </c>
      <c r="AF554" s="17"/>
      <c r="AG554" s="17" t="str">
        <f t="shared" si="39"/>
        <v>processed_ghg</v>
      </c>
      <c r="AH554" s="17"/>
      <c r="AI554" s="17"/>
      <c r="AJ554" s="18" t="str">
        <f>IF(CropLCAs[[#This Row],[product_fraction]]&gt;0,CropLCAs[[#This Row],[footprint]]/CropLCAs[[#This Row],[product_fraction]]*CropLCAs[[#This Row],[value_fraction]],"")</f>
        <v/>
      </c>
      <c r="AK554" s="29">
        <f>1/4</f>
        <v>0.25</v>
      </c>
      <c r="AL554" s="17" t="s">
        <v>742</v>
      </c>
      <c r="AM554" s="17" t="s">
        <v>290</v>
      </c>
      <c r="AN554" s="17"/>
      <c r="AO554" s="17"/>
      <c r="AP554" s="17"/>
      <c r="AQ554" s="17"/>
      <c r="AR554" s="17"/>
      <c r="AS554" s="17"/>
      <c r="AT554" s="17"/>
      <c r="AU554" s="17"/>
    </row>
    <row r="555" spans="1:47" ht="44.1" customHeight="1" x14ac:dyDescent="0.2">
      <c r="A555" s="5" t="s">
        <v>123</v>
      </c>
      <c r="B555" s="5" t="s">
        <v>1498</v>
      </c>
      <c r="C555" s="16">
        <v>2004</v>
      </c>
      <c r="D555" s="10" t="s">
        <v>286</v>
      </c>
      <c r="E555" s="6" t="s">
        <v>476</v>
      </c>
      <c r="F555" s="5" t="s">
        <v>36</v>
      </c>
      <c r="G555" s="5" t="str">
        <f>IF(CropLCAs[[#This Row],[fbs_item]]="Insects","insect_ghg","plant_ghg")</f>
        <v>plant_ghg</v>
      </c>
      <c r="H555" s="49" t="s">
        <v>114</v>
      </c>
      <c r="I555" s="49"/>
      <c r="J555" s="49"/>
      <c r="K555" s="5" t="s">
        <v>1349</v>
      </c>
      <c r="L555" s="5" t="s">
        <v>287</v>
      </c>
      <c r="M555" s="5" t="s">
        <v>102</v>
      </c>
      <c r="N555" s="5" t="s">
        <v>288</v>
      </c>
      <c r="O555" s="5" t="s">
        <v>109</v>
      </c>
      <c r="P555" s="5" t="s">
        <v>102</v>
      </c>
      <c r="Q555" s="5" t="s">
        <v>102</v>
      </c>
      <c r="R555" s="5" t="s">
        <v>102</v>
      </c>
      <c r="S555" s="5" t="s">
        <v>102</v>
      </c>
      <c r="T555" s="5" t="s">
        <v>102</v>
      </c>
      <c r="U555" s="5">
        <v>100</v>
      </c>
      <c r="V555" s="5">
        <v>1</v>
      </c>
      <c r="W555" s="5" t="s">
        <v>131</v>
      </c>
      <c r="X555" s="24">
        <v>4900</v>
      </c>
      <c r="Y555" s="5" t="s">
        <v>106</v>
      </c>
      <c r="Z555" s="5"/>
      <c r="AA555" s="5"/>
      <c r="AB555" s="24">
        <f>1/11540</f>
        <v>8.6655112651646451E-5</v>
      </c>
      <c r="AC555" s="5" t="s">
        <v>289</v>
      </c>
      <c r="AD555" s="5" t="str">
        <f t="shared" si="38"/>
        <v>kg_co2e_excl_luc</v>
      </c>
      <c r="AE555" s="24">
        <f>IF(CropLCAs[[#This Row],[Product fraction]]="",CropLCAs[[#This Row],[CO2e (value)]]*CropLCAs[[#This Row],[Conversion factor (value)]],CropLCAs[[#This Row],[CO2e (value)]]*CropLCAs[[#This Row],[Conversion factor (value)]]/CropLCAs[[#This Row],[Product fraction]]*CropLCAs[[#This Row],[Value fraction]])</f>
        <v>0.42461005199306762</v>
      </c>
      <c r="AF555" s="5" t="s">
        <v>37</v>
      </c>
      <c r="AG555" s="5" t="str">
        <f t="shared" si="39"/>
        <v>processed_ghg</v>
      </c>
      <c r="AH555" s="5">
        <v>0.14000000000000001</v>
      </c>
      <c r="AI555" s="5">
        <v>0.92</v>
      </c>
      <c r="AJ555" s="8">
        <f>IF(CropLCAs[[#This Row],[product_fraction]]&gt;0,CropLCAs[[#This Row],[footprint]]/CropLCAs[[#This Row],[product_fraction]]*CropLCAs[[#This Row],[value_fraction]],"")</f>
        <v>2.7902946273830156</v>
      </c>
      <c r="AK555" s="23">
        <v>1</v>
      </c>
      <c r="AL555" s="5" t="s">
        <v>109</v>
      </c>
      <c r="AM555" s="5" t="s">
        <v>290</v>
      </c>
      <c r="AN555" s="5"/>
      <c r="AO555" s="5"/>
      <c r="AP555" s="5"/>
      <c r="AQ555" s="17"/>
      <c r="AR555" s="17"/>
      <c r="AS555" s="17"/>
      <c r="AT555" s="17"/>
      <c r="AU555" s="17"/>
    </row>
    <row r="556" spans="1:47" ht="44.1" customHeight="1" x14ac:dyDescent="0.2">
      <c r="A556" s="5" t="s">
        <v>123</v>
      </c>
      <c r="B556" s="5" t="s">
        <v>1498</v>
      </c>
      <c r="C556" s="16">
        <v>2004</v>
      </c>
      <c r="D556" s="10" t="s">
        <v>286</v>
      </c>
      <c r="E556" s="6" t="s">
        <v>501</v>
      </c>
      <c r="F556" s="5" t="s">
        <v>22</v>
      </c>
      <c r="G556" s="5" t="str">
        <f>IF(CropLCAs[[#This Row],[fbs_item]]="Insects","insect_ghg","plant_ghg")</f>
        <v>plant_ghg</v>
      </c>
      <c r="H556" s="49" t="s">
        <v>114</v>
      </c>
      <c r="I556" s="49"/>
      <c r="J556" s="49"/>
      <c r="K556" s="5" t="s">
        <v>1349</v>
      </c>
      <c r="L556" s="5" t="s">
        <v>287</v>
      </c>
      <c r="M556" s="5" t="s">
        <v>102</v>
      </c>
      <c r="N556" s="5" t="s">
        <v>288</v>
      </c>
      <c r="O556" s="5" t="s">
        <v>109</v>
      </c>
      <c r="P556" s="5" t="s">
        <v>102</v>
      </c>
      <c r="Q556" s="5" t="s">
        <v>102</v>
      </c>
      <c r="R556" s="5" t="s">
        <v>102</v>
      </c>
      <c r="S556" s="5" t="s">
        <v>102</v>
      </c>
      <c r="T556" s="5" t="s">
        <v>102</v>
      </c>
      <c r="U556" s="5">
        <v>100</v>
      </c>
      <c r="V556" s="5">
        <v>1</v>
      </c>
      <c r="W556" s="5" t="s">
        <v>1279</v>
      </c>
      <c r="X556" s="24">
        <v>2300</v>
      </c>
      <c r="Y556" s="5" t="s">
        <v>106</v>
      </c>
      <c r="Z556" s="5"/>
      <c r="AA556" s="5"/>
      <c r="AB556" s="24">
        <f>1/2100/0.5</f>
        <v>9.5238095238095238E-4</v>
      </c>
      <c r="AC556" s="5" t="s">
        <v>289</v>
      </c>
      <c r="AD556" s="5" t="str">
        <f t="shared" si="38"/>
        <v>kg_co2e_excl_luc</v>
      </c>
      <c r="AE556" s="24">
        <f>IF(CropLCAs[[#This Row],[Product fraction]]="",CropLCAs[[#This Row],[CO2e (value)]]*CropLCAs[[#This Row],[Conversion factor (value)]],CropLCAs[[#This Row],[CO2e (value)]]*CropLCAs[[#This Row],[Conversion factor (value)]]/CropLCAs[[#This Row],[Product fraction]]*CropLCAs[[#This Row],[Value fraction]])</f>
        <v>2.1904761904761907</v>
      </c>
      <c r="AF556" s="5" t="s">
        <v>41</v>
      </c>
      <c r="AG556" s="5" t="str">
        <f t="shared" si="39"/>
        <v>processed_ghg</v>
      </c>
      <c r="AH556" s="5">
        <f>0.41</f>
        <v>0.41</v>
      </c>
      <c r="AI556" s="5">
        <v>0.81</v>
      </c>
      <c r="AJ556" s="8">
        <f>IF(CropLCAs[[#This Row],[product_fraction]]&gt;0,CropLCAs[[#This Row],[footprint]]/CropLCAs[[#This Row],[product_fraction]]*CropLCAs[[#This Row],[value_fraction]],"")</f>
        <v>4.3275261324041816</v>
      </c>
      <c r="AK556" s="23">
        <v>1</v>
      </c>
      <c r="AL556" s="5" t="s">
        <v>109</v>
      </c>
      <c r="AM556" s="5" t="s">
        <v>290</v>
      </c>
      <c r="AN556" s="5"/>
      <c r="AO556" s="5" t="s">
        <v>1281</v>
      </c>
      <c r="AP556" s="5"/>
      <c r="AQ556" s="17"/>
      <c r="AR556" s="17"/>
      <c r="AS556" s="17"/>
      <c r="AT556" s="17"/>
      <c r="AU556" s="17"/>
    </row>
    <row r="557" spans="1:47" ht="44.1" customHeight="1" x14ac:dyDescent="0.2">
      <c r="A557" s="5" t="s">
        <v>99</v>
      </c>
      <c r="B557" s="5" t="s">
        <v>1499</v>
      </c>
      <c r="C557" s="16">
        <v>2012</v>
      </c>
      <c r="D557" s="7" t="s">
        <v>135</v>
      </c>
      <c r="E557" s="6" t="s">
        <v>301</v>
      </c>
      <c r="F557" s="5" t="s">
        <v>8</v>
      </c>
      <c r="G557" s="5" t="str">
        <f>IF(CropLCAs[[#This Row],[fbs_item]]="Insects","insect_ghg","plant_ghg")</f>
        <v>plant_ghg</v>
      </c>
      <c r="H557" s="49" t="s">
        <v>253</v>
      </c>
      <c r="I557" s="49"/>
      <c r="J557" s="49" t="s">
        <v>1295</v>
      </c>
      <c r="K557" s="5" t="s">
        <v>138</v>
      </c>
      <c r="L557" s="5"/>
      <c r="M557" s="5" t="s">
        <v>102</v>
      </c>
      <c r="N557" s="5" t="s">
        <v>102</v>
      </c>
      <c r="O557" s="5" t="s">
        <v>109</v>
      </c>
      <c r="P557" s="5" t="s">
        <v>102</v>
      </c>
      <c r="Q557" s="5" t="s">
        <v>109</v>
      </c>
      <c r="R557" s="5" t="s">
        <v>139</v>
      </c>
      <c r="S557" s="5" t="s">
        <v>102</v>
      </c>
      <c r="T557" s="5" t="s">
        <v>102</v>
      </c>
      <c r="U557" s="5">
        <v>100</v>
      </c>
      <c r="V557" s="5">
        <v>1</v>
      </c>
      <c r="W557" s="5" t="s">
        <v>1276</v>
      </c>
      <c r="X557" s="24">
        <v>2.4790000000000001</v>
      </c>
      <c r="Y557" s="5" t="s">
        <v>106</v>
      </c>
      <c r="Z557" s="5"/>
      <c r="AA557" s="5"/>
      <c r="AB557" s="24">
        <v>0.5</v>
      </c>
      <c r="AC557" s="5"/>
      <c r="AD557" s="5" t="str">
        <f t="shared" si="38"/>
        <v>kg_co2e_excl_luc</v>
      </c>
      <c r="AE557" s="24">
        <f>IF(CropLCAs[[#This Row],[Product fraction]]="",CropLCAs[[#This Row],[CO2e (value)]]*CropLCAs[[#This Row],[Conversion factor (value)]],CropLCAs[[#This Row],[CO2e (value)]]*CropLCAs[[#This Row],[Conversion factor (value)]]/CropLCAs[[#This Row],[Product fraction]]*CropLCAs[[#This Row],[Value fraction]])</f>
        <v>1.2395</v>
      </c>
      <c r="AF557" s="5"/>
      <c r="AG557" s="5" t="str">
        <f t="shared" si="39"/>
        <v>processed_ghg</v>
      </c>
      <c r="AH557" s="5"/>
      <c r="AI557" s="5"/>
      <c r="AJ557" s="8" t="str">
        <f>IF(CropLCAs[[#This Row],[product_fraction]]&gt;0,CropLCAs[[#This Row],[footprint]]/CropLCAs[[#This Row],[product_fraction]]*CropLCAs[[#This Row],[value_fraction]],"")</f>
        <v/>
      </c>
      <c r="AK557" s="23">
        <v>0.5</v>
      </c>
      <c r="AL557" s="5" t="s">
        <v>109</v>
      </c>
      <c r="AM557" s="5" t="s">
        <v>246</v>
      </c>
      <c r="AN557" s="5" t="s">
        <v>141</v>
      </c>
      <c r="AO557" s="5" t="s">
        <v>1280</v>
      </c>
      <c r="AP557" s="5"/>
      <c r="AQ557" s="17"/>
      <c r="AR557" s="17"/>
      <c r="AS557" s="17"/>
      <c r="AT557" s="17"/>
      <c r="AU557" s="17"/>
    </row>
    <row r="558" spans="1:47" ht="44.1" customHeight="1" x14ac:dyDescent="0.2">
      <c r="A558" s="5" t="s">
        <v>99</v>
      </c>
      <c r="B558" s="5" t="s">
        <v>1499</v>
      </c>
      <c r="C558" s="16">
        <v>2012</v>
      </c>
      <c r="D558" s="7" t="s">
        <v>135</v>
      </c>
      <c r="E558" s="6" t="s">
        <v>301</v>
      </c>
      <c r="F558" s="5" t="s">
        <v>8</v>
      </c>
      <c r="G558" s="5" t="str">
        <f>IF(CropLCAs[[#This Row],[fbs_item]]="Insects","insect_ghg","plant_ghg")</f>
        <v>plant_ghg</v>
      </c>
      <c r="H558" s="49" t="s">
        <v>253</v>
      </c>
      <c r="I558" s="49"/>
      <c r="J558" s="49" t="s">
        <v>1295</v>
      </c>
      <c r="K558" s="5" t="s">
        <v>115</v>
      </c>
      <c r="L558" s="5"/>
      <c r="M558" s="5" t="s">
        <v>102</v>
      </c>
      <c r="N558" s="5" t="s">
        <v>102</v>
      </c>
      <c r="O558" s="5" t="s">
        <v>109</v>
      </c>
      <c r="P558" s="5" t="s">
        <v>102</v>
      </c>
      <c r="Q558" s="5" t="s">
        <v>109</v>
      </c>
      <c r="R558" s="5" t="s">
        <v>139</v>
      </c>
      <c r="S558" s="5" t="s">
        <v>102</v>
      </c>
      <c r="T558" s="5" t="s">
        <v>102</v>
      </c>
      <c r="U558" s="5">
        <v>100</v>
      </c>
      <c r="V558" s="5">
        <v>1</v>
      </c>
      <c r="W558" s="5" t="s">
        <v>1276</v>
      </c>
      <c r="X558" s="24">
        <v>3.7709999999999999</v>
      </c>
      <c r="Y558" s="5" t="s">
        <v>106</v>
      </c>
      <c r="Z558" s="5"/>
      <c r="AA558" s="5"/>
      <c r="AB558" s="24">
        <v>0.5</v>
      </c>
      <c r="AC558" s="5"/>
      <c r="AD558" s="5" t="str">
        <f t="shared" si="38"/>
        <v>kg_co2e_excl_luc</v>
      </c>
      <c r="AE558" s="24">
        <f>IF(CropLCAs[[#This Row],[Product fraction]]="",CropLCAs[[#This Row],[CO2e (value)]]*CropLCAs[[#This Row],[Conversion factor (value)]],CropLCAs[[#This Row],[CO2e (value)]]*CropLCAs[[#This Row],[Conversion factor (value)]]/CropLCAs[[#This Row],[Product fraction]]*CropLCAs[[#This Row],[Value fraction]])</f>
        <v>1.8855</v>
      </c>
      <c r="AF558" s="5"/>
      <c r="AG558" s="5" t="str">
        <f t="shared" si="39"/>
        <v>processed_ghg</v>
      </c>
      <c r="AH558" s="5"/>
      <c r="AI558" s="5"/>
      <c r="AJ558" s="8" t="str">
        <f>IF(CropLCAs[[#This Row],[product_fraction]]&gt;0,CropLCAs[[#This Row],[footprint]]/CropLCAs[[#This Row],[product_fraction]]*CropLCAs[[#This Row],[value_fraction]],"")</f>
        <v/>
      </c>
      <c r="AK558" s="23">
        <v>0.5</v>
      </c>
      <c r="AL558" s="5" t="s">
        <v>109</v>
      </c>
      <c r="AM558" s="5" t="s">
        <v>246</v>
      </c>
      <c r="AN558" s="5" t="s">
        <v>141</v>
      </c>
      <c r="AO558" s="5" t="s">
        <v>1280</v>
      </c>
      <c r="AP558" s="5"/>
      <c r="AQ558" s="17"/>
      <c r="AR558" s="17"/>
      <c r="AS558" s="17"/>
      <c r="AT558" s="17"/>
      <c r="AU558" s="17"/>
    </row>
    <row r="559" spans="1:47" ht="44.1" customHeight="1" x14ac:dyDescent="0.2">
      <c r="A559" s="5" t="s">
        <v>99</v>
      </c>
      <c r="B559" s="5" t="s">
        <v>1499</v>
      </c>
      <c r="C559" s="16">
        <v>2012</v>
      </c>
      <c r="D559" s="7" t="s">
        <v>135</v>
      </c>
      <c r="E559" s="6" t="s">
        <v>136</v>
      </c>
      <c r="F559" s="5" t="s">
        <v>30</v>
      </c>
      <c r="G559" s="5" t="str">
        <f>IF(CropLCAs[[#This Row],[fbs_item]]="Insects","insect_ghg","plant_ghg")</f>
        <v>plant_ghg</v>
      </c>
      <c r="H559" s="49" t="s">
        <v>253</v>
      </c>
      <c r="I559" s="49"/>
      <c r="J559" s="49" t="s">
        <v>1295</v>
      </c>
      <c r="K559" s="5" t="s">
        <v>138</v>
      </c>
      <c r="L559" s="5"/>
      <c r="M559" s="5" t="s">
        <v>102</v>
      </c>
      <c r="N559" s="5" t="s">
        <v>102</v>
      </c>
      <c r="O559" s="5" t="s">
        <v>109</v>
      </c>
      <c r="P559" s="5" t="s">
        <v>102</v>
      </c>
      <c r="Q559" s="5" t="s">
        <v>109</v>
      </c>
      <c r="R559" s="5" t="s">
        <v>139</v>
      </c>
      <c r="S559" s="5" t="s">
        <v>102</v>
      </c>
      <c r="T559" s="5" t="s">
        <v>102</v>
      </c>
      <c r="U559" s="5">
        <v>100</v>
      </c>
      <c r="V559" s="5">
        <v>1</v>
      </c>
      <c r="W559" s="5" t="s">
        <v>106</v>
      </c>
      <c r="X559" s="24">
        <v>0.14799999999999999</v>
      </c>
      <c r="Y559" s="5" t="s">
        <v>106</v>
      </c>
      <c r="Z559" s="5"/>
      <c r="AA559" s="5"/>
      <c r="AB559" s="24">
        <v>1</v>
      </c>
      <c r="AC559" s="5"/>
      <c r="AD559" s="5" t="str">
        <f t="shared" si="38"/>
        <v>kg_co2e_excl_luc</v>
      </c>
      <c r="AE559" s="24">
        <f>IF(CropLCAs[[#This Row],[Product fraction]]="",CropLCAs[[#This Row],[CO2e (value)]]*CropLCAs[[#This Row],[Conversion factor (value)]],CropLCAs[[#This Row],[CO2e (value)]]*CropLCAs[[#This Row],[Conversion factor (value)]]/CropLCAs[[#This Row],[Product fraction]]*CropLCAs[[#This Row],[Value fraction]])</f>
        <v>0.14799999999999999</v>
      </c>
      <c r="AF559" s="5"/>
      <c r="AG559" s="5" t="str">
        <f t="shared" si="39"/>
        <v>processed_ghg</v>
      </c>
      <c r="AH559" s="5"/>
      <c r="AI559" s="5"/>
      <c r="AJ559" s="8" t="str">
        <f>IF(CropLCAs[[#This Row],[product_fraction]]&gt;0,CropLCAs[[#This Row],[footprint]]/CropLCAs[[#This Row],[product_fraction]]*CropLCAs[[#This Row],[value_fraction]],"")</f>
        <v/>
      </c>
      <c r="AK559" s="23">
        <v>0.5</v>
      </c>
      <c r="AL559" s="5" t="s">
        <v>109</v>
      </c>
      <c r="AM559" s="5" t="s">
        <v>140</v>
      </c>
      <c r="AN559" s="5" t="s">
        <v>141</v>
      </c>
      <c r="AO559" s="5"/>
      <c r="AP559" s="5"/>
      <c r="AQ559" s="17"/>
      <c r="AR559" s="17"/>
      <c r="AS559" s="17"/>
      <c r="AT559" s="17"/>
      <c r="AU559" s="17"/>
    </row>
    <row r="560" spans="1:47" ht="44.1" customHeight="1" x14ac:dyDescent="0.2">
      <c r="A560" s="5" t="s">
        <v>99</v>
      </c>
      <c r="B560" s="5" t="s">
        <v>1499</v>
      </c>
      <c r="C560" s="16">
        <v>2012</v>
      </c>
      <c r="D560" s="7" t="s">
        <v>135</v>
      </c>
      <c r="E560" s="6" t="s">
        <v>136</v>
      </c>
      <c r="F560" s="5" t="s">
        <v>30</v>
      </c>
      <c r="G560" s="5" t="str">
        <f>IF(CropLCAs[[#This Row],[fbs_item]]="Insects","insect_ghg","plant_ghg")</f>
        <v>plant_ghg</v>
      </c>
      <c r="H560" s="49" t="s">
        <v>253</v>
      </c>
      <c r="I560" s="49"/>
      <c r="J560" s="49" t="s">
        <v>1295</v>
      </c>
      <c r="K560" s="5" t="s">
        <v>115</v>
      </c>
      <c r="L560" s="5"/>
      <c r="M560" s="5" t="s">
        <v>102</v>
      </c>
      <c r="N560" s="5" t="s">
        <v>102</v>
      </c>
      <c r="O560" s="5" t="s">
        <v>109</v>
      </c>
      <c r="P560" s="5" t="s">
        <v>102</v>
      </c>
      <c r="Q560" s="5" t="s">
        <v>109</v>
      </c>
      <c r="R560" s="5" t="s">
        <v>139</v>
      </c>
      <c r="S560" s="5" t="s">
        <v>102</v>
      </c>
      <c r="T560" s="5" t="s">
        <v>102</v>
      </c>
      <c r="U560" s="5">
        <v>100</v>
      </c>
      <c r="V560" s="5">
        <v>1</v>
      </c>
      <c r="W560" s="5" t="s">
        <v>106</v>
      </c>
      <c r="X560" s="24">
        <v>0.222</v>
      </c>
      <c r="Y560" s="5" t="s">
        <v>106</v>
      </c>
      <c r="Z560" s="5"/>
      <c r="AA560" s="5"/>
      <c r="AB560" s="24">
        <v>1</v>
      </c>
      <c r="AC560" s="5"/>
      <c r="AD560" s="5" t="str">
        <f t="shared" si="38"/>
        <v>kg_co2e_excl_luc</v>
      </c>
      <c r="AE560" s="24">
        <f>IF(CropLCAs[[#This Row],[Product fraction]]="",CropLCAs[[#This Row],[CO2e (value)]]*CropLCAs[[#This Row],[Conversion factor (value)]],CropLCAs[[#This Row],[CO2e (value)]]*CropLCAs[[#This Row],[Conversion factor (value)]]/CropLCAs[[#This Row],[Product fraction]]*CropLCAs[[#This Row],[Value fraction]])</f>
        <v>0.222</v>
      </c>
      <c r="AF560" s="5"/>
      <c r="AG560" s="5" t="str">
        <f t="shared" si="39"/>
        <v>processed_ghg</v>
      </c>
      <c r="AH560" s="5"/>
      <c r="AI560" s="5"/>
      <c r="AJ560" s="8" t="str">
        <f>IF(CropLCAs[[#This Row],[product_fraction]]&gt;0,CropLCAs[[#This Row],[footprint]]/CropLCAs[[#This Row],[product_fraction]]*CropLCAs[[#This Row],[value_fraction]],"")</f>
        <v/>
      </c>
      <c r="AK560" s="23">
        <v>0.5</v>
      </c>
      <c r="AL560" s="5" t="s">
        <v>109</v>
      </c>
      <c r="AM560" s="5" t="s">
        <v>140</v>
      </c>
      <c r="AN560" s="5" t="s">
        <v>141</v>
      </c>
      <c r="AO560" s="5"/>
      <c r="AP560" s="5"/>
      <c r="AQ560" s="17"/>
      <c r="AR560" s="17"/>
      <c r="AS560" s="17"/>
      <c r="AT560" s="17"/>
      <c r="AU560" s="17"/>
    </row>
    <row r="561" spans="1:47" ht="44.1" customHeight="1" x14ac:dyDescent="0.2">
      <c r="A561" s="5" t="s">
        <v>99</v>
      </c>
      <c r="B561" s="5" t="s">
        <v>1499</v>
      </c>
      <c r="C561" s="16">
        <v>2012</v>
      </c>
      <c r="D561" s="7" t="s">
        <v>135</v>
      </c>
      <c r="E561" s="6" t="s">
        <v>244</v>
      </c>
      <c r="F561" s="5" t="s">
        <v>31</v>
      </c>
      <c r="G561" s="5" t="str">
        <f>IF(CropLCAs[[#This Row],[fbs_item]]="Insects","insect_ghg","plant_ghg")</f>
        <v>plant_ghg</v>
      </c>
      <c r="H561" s="49" t="s">
        <v>253</v>
      </c>
      <c r="I561" s="49"/>
      <c r="J561" s="49" t="s">
        <v>1295</v>
      </c>
      <c r="K561" s="5" t="s">
        <v>138</v>
      </c>
      <c r="L561" s="5"/>
      <c r="M561" s="5" t="s">
        <v>102</v>
      </c>
      <c r="N561" s="5" t="s">
        <v>102</v>
      </c>
      <c r="O561" s="5" t="s">
        <v>109</v>
      </c>
      <c r="P561" s="5" t="s">
        <v>102</v>
      </c>
      <c r="Q561" s="5" t="s">
        <v>245</v>
      </c>
      <c r="R561" s="5" t="s">
        <v>139</v>
      </c>
      <c r="S561" s="5" t="s">
        <v>102</v>
      </c>
      <c r="T561" s="5" t="s">
        <v>102</v>
      </c>
      <c r="U561" s="5">
        <v>100</v>
      </c>
      <c r="V561" s="5">
        <v>1</v>
      </c>
      <c r="W561" s="5" t="s">
        <v>106</v>
      </c>
      <c r="X561" s="24">
        <v>0.82899999999999996</v>
      </c>
      <c r="Y561" s="5" t="s">
        <v>106</v>
      </c>
      <c r="Z561" s="5"/>
      <c r="AA561" s="5"/>
      <c r="AB561" s="24">
        <v>1</v>
      </c>
      <c r="AC561" s="5"/>
      <c r="AD561" s="5" t="str">
        <f t="shared" si="38"/>
        <v>kg_co2e_excl_luc</v>
      </c>
      <c r="AE561" s="24">
        <f>IF(CropLCAs[[#This Row],[Product fraction]]="",CropLCAs[[#This Row],[CO2e (value)]]*CropLCAs[[#This Row],[Conversion factor (value)]],CropLCAs[[#This Row],[CO2e (value)]]*CropLCAs[[#This Row],[Conversion factor (value)]]/CropLCAs[[#This Row],[Product fraction]]*CropLCAs[[#This Row],[Value fraction]])</f>
        <v>0.82899999999999996</v>
      </c>
      <c r="AF561" s="5"/>
      <c r="AG561" s="5" t="str">
        <f t="shared" si="39"/>
        <v>processed_ghg</v>
      </c>
      <c r="AH561" s="5"/>
      <c r="AI561" s="5"/>
      <c r="AJ561" s="8" t="str">
        <f>IF(CropLCAs[[#This Row],[product_fraction]]&gt;0,CropLCAs[[#This Row],[footprint]]/CropLCAs[[#This Row],[product_fraction]]*CropLCAs[[#This Row],[value_fraction]],"")</f>
        <v/>
      </c>
      <c r="AK561" s="23">
        <v>0.5</v>
      </c>
      <c r="AL561" s="5" t="s">
        <v>109</v>
      </c>
      <c r="AM561" s="5" t="s">
        <v>246</v>
      </c>
      <c r="AN561" s="5" t="s">
        <v>141</v>
      </c>
      <c r="AO561" s="5"/>
      <c r="AP561" s="5"/>
      <c r="AQ561" s="17"/>
      <c r="AR561" s="17"/>
      <c r="AS561" s="17"/>
      <c r="AT561" s="17"/>
      <c r="AU561" s="17"/>
    </row>
    <row r="562" spans="1:47" ht="44.1" customHeight="1" x14ac:dyDescent="0.2">
      <c r="A562" s="5" t="s">
        <v>99</v>
      </c>
      <c r="B562" s="5" t="s">
        <v>1499</v>
      </c>
      <c r="C562" s="16">
        <v>2012</v>
      </c>
      <c r="D562" s="7" t="s">
        <v>135</v>
      </c>
      <c r="E562" s="6" t="s">
        <v>244</v>
      </c>
      <c r="F562" s="5" t="s">
        <v>31</v>
      </c>
      <c r="G562" s="5" t="str">
        <f>IF(CropLCAs[[#This Row],[fbs_item]]="Insects","insect_ghg","plant_ghg")</f>
        <v>plant_ghg</v>
      </c>
      <c r="H562" s="49" t="s">
        <v>253</v>
      </c>
      <c r="I562" s="49"/>
      <c r="J562" s="49" t="s">
        <v>1295</v>
      </c>
      <c r="K562" s="5" t="s">
        <v>115</v>
      </c>
      <c r="L562" s="5"/>
      <c r="M562" s="5" t="s">
        <v>102</v>
      </c>
      <c r="N562" s="5" t="s">
        <v>102</v>
      </c>
      <c r="O562" s="5" t="s">
        <v>109</v>
      </c>
      <c r="P562" s="5" t="s">
        <v>102</v>
      </c>
      <c r="Q562" s="5" t="s">
        <v>245</v>
      </c>
      <c r="R562" s="5" t="s">
        <v>139</v>
      </c>
      <c r="S562" s="5" t="s">
        <v>102</v>
      </c>
      <c r="T562" s="5" t="s">
        <v>102</v>
      </c>
      <c r="U562" s="5">
        <v>100</v>
      </c>
      <c r="V562" s="5">
        <v>1</v>
      </c>
      <c r="W562" s="5" t="s">
        <v>106</v>
      </c>
      <c r="X562" s="24">
        <v>0.72299999999999998</v>
      </c>
      <c r="Y562" s="5" t="s">
        <v>106</v>
      </c>
      <c r="Z562" s="5"/>
      <c r="AA562" s="5"/>
      <c r="AB562" s="24">
        <v>1</v>
      </c>
      <c r="AC562" s="5"/>
      <c r="AD562" s="5" t="str">
        <f t="shared" si="38"/>
        <v>kg_co2e_excl_luc</v>
      </c>
      <c r="AE562" s="24">
        <f>IF(CropLCAs[[#This Row],[Product fraction]]="",CropLCAs[[#This Row],[CO2e (value)]]*CropLCAs[[#This Row],[Conversion factor (value)]],CropLCAs[[#This Row],[CO2e (value)]]*CropLCAs[[#This Row],[Conversion factor (value)]]/CropLCAs[[#This Row],[Product fraction]]*CropLCAs[[#This Row],[Value fraction]])</f>
        <v>0.72299999999999998</v>
      </c>
      <c r="AF562" s="5"/>
      <c r="AG562" s="5" t="str">
        <f t="shared" si="39"/>
        <v>processed_ghg</v>
      </c>
      <c r="AH562" s="5"/>
      <c r="AI562" s="5"/>
      <c r="AJ562" s="8" t="str">
        <f>IF(CropLCAs[[#This Row],[product_fraction]]&gt;0,CropLCAs[[#This Row],[footprint]]/CropLCAs[[#This Row],[product_fraction]]*CropLCAs[[#This Row],[value_fraction]],"")</f>
        <v/>
      </c>
      <c r="AK562" s="23">
        <v>0.5</v>
      </c>
      <c r="AL562" s="5" t="s">
        <v>109</v>
      </c>
      <c r="AM562" s="5" t="s">
        <v>246</v>
      </c>
      <c r="AN562" s="5" t="s">
        <v>141</v>
      </c>
      <c r="AO562" s="5"/>
      <c r="AP562" s="5"/>
      <c r="AQ562" s="17"/>
      <c r="AR562" s="17"/>
      <c r="AS562" s="17"/>
      <c r="AT562" s="17"/>
      <c r="AU562" s="17"/>
    </row>
    <row r="563" spans="1:47" ht="44.1" customHeight="1" x14ac:dyDescent="0.2">
      <c r="A563" s="5" t="s">
        <v>99</v>
      </c>
      <c r="B563" s="5" t="s">
        <v>1499</v>
      </c>
      <c r="C563" s="16">
        <v>2012</v>
      </c>
      <c r="D563" s="7" t="s">
        <v>135</v>
      </c>
      <c r="E563" s="6" t="s">
        <v>582</v>
      </c>
      <c r="F563" s="5" t="s">
        <v>3</v>
      </c>
      <c r="G563" s="5" t="str">
        <f>IF(CropLCAs[[#This Row],[fbs_item]]="Insects","insect_ghg","plant_ghg")</f>
        <v>plant_ghg</v>
      </c>
      <c r="H563" s="49" t="s">
        <v>253</v>
      </c>
      <c r="I563" s="49"/>
      <c r="J563" s="49" t="s">
        <v>1295</v>
      </c>
      <c r="K563" s="5" t="s">
        <v>138</v>
      </c>
      <c r="L563" s="5"/>
      <c r="M563" s="5" t="s">
        <v>102</v>
      </c>
      <c r="N563" s="5" t="s">
        <v>102</v>
      </c>
      <c r="O563" s="5" t="s">
        <v>109</v>
      </c>
      <c r="P563" s="5" t="s">
        <v>102</v>
      </c>
      <c r="Q563" s="5" t="s">
        <v>247</v>
      </c>
      <c r="R563" s="5" t="s">
        <v>139</v>
      </c>
      <c r="S563" s="5" t="s">
        <v>102</v>
      </c>
      <c r="T563" s="5" t="s">
        <v>102</v>
      </c>
      <c r="U563" s="5">
        <v>100</v>
      </c>
      <c r="V563" s="5">
        <v>1</v>
      </c>
      <c r="W563" s="5" t="s">
        <v>106</v>
      </c>
      <c r="X563" s="24">
        <v>0.35299999999999998</v>
      </c>
      <c r="Y563" s="5" t="s">
        <v>106</v>
      </c>
      <c r="Z563" s="5"/>
      <c r="AA563" s="5"/>
      <c r="AB563" s="24">
        <v>1</v>
      </c>
      <c r="AC563" s="5"/>
      <c r="AD563" s="5" t="str">
        <f t="shared" si="38"/>
        <v>kg_co2e_excl_luc</v>
      </c>
      <c r="AE563" s="24">
        <f>IF(CropLCAs[[#This Row],[Product fraction]]="",CropLCAs[[#This Row],[CO2e (value)]]*CropLCAs[[#This Row],[Conversion factor (value)]],CropLCAs[[#This Row],[CO2e (value)]]*CropLCAs[[#This Row],[Conversion factor (value)]]/CropLCAs[[#This Row],[Product fraction]]*CropLCAs[[#This Row],[Value fraction]])</f>
        <v>0.35299999999999998</v>
      </c>
      <c r="AF563" s="5"/>
      <c r="AG563" s="5" t="str">
        <f t="shared" si="39"/>
        <v>processed_ghg</v>
      </c>
      <c r="AH563" s="5"/>
      <c r="AI563" s="5"/>
      <c r="AJ563" s="8" t="str">
        <f>IF(CropLCAs[[#This Row],[product_fraction]]&gt;0,CropLCAs[[#This Row],[footprint]]/CropLCAs[[#This Row],[product_fraction]]*CropLCAs[[#This Row],[value_fraction]],"")</f>
        <v/>
      </c>
      <c r="AK563" s="23">
        <v>0.5</v>
      </c>
      <c r="AL563" s="5" t="s">
        <v>109</v>
      </c>
      <c r="AM563" s="5" t="s">
        <v>246</v>
      </c>
      <c r="AN563" s="5" t="s">
        <v>141</v>
      </c>
      <c r="AO563" s="5"/>
      <c r="AP563" s="5"/>
      <c r="AQ563" s="17"/>
      <c r="AR563" s="17"/>
      <c r="AS563" s="17"/>
      <c r="AT563" s="17"/>
      <c r="AU563" s="17"/>
    </row>
    <row r="564" spans="1:47" ht="44.1" customHeight="1" x14ac:dyDescent="0.2">
      <c r="A564" s="5" t="s">
        <v>99</v>
      </c>
      <c r="B564" s="5" t="s">
        <v>1499</v>
      </c>
      <c r="C564" s="16">
        <v>2012</v>
      </c>
      <c r="D564" s="7" t="s">
        <v>135</v>
      </c>
      <c r="E564" s="6" t="s">
        <v>582</v>
      </c>
      <c r="F564" s="5" t="s">
        <v>3</v>
      </c>
      <c r="G564" s="5" t="str">
        <f>IF(CropLCAs[[#This Row],[fbs_item]]="Insects","insect_ghg","plant_ghg")</f>
        <v>plant_ghg</v>
      </c>
      <c r="H564" s="49" t="s">
        <v>253</v>
      </c>
      <c r="I564" s="49"/>
      <c r="J564" s="49" t="s">
        <v>1295</v>
      </c>
      <c r="K564" s="5" t="s">
        <v>115</v>
      </c>
      <c r="L564" s="5"/>
      <c r="M564" s="5" t="s">
        <v>102</v>
      </c>
      <c r="N564" s="5" t="s">
        <v>102</v>
      </c>
      <c r="O564" s="5" t="s">
        <v>109</v>
      </c>
      <c r="P564" s="5" t="s">
        <v>102</v>
      </c>
      <c r="Q564" s="5" t="s">
        <v>247</v>
      </c>
      <c r="R564" s="5" t="s">
        <v>139</v>
      </c>
      <c r="S564" s="5" t="s">
        <v>102</v>
      </c>
      <c r="T564" s="5" t="s">
        <v>102</v>
      </c>
      <c r="U564" s="5">
        <v>100</v>
      </c>
      <c r="V564" s="5">
        <v>1</v>
      </c>
      <c r="W564" s="5" t="s">
        <v>106</v>
      </c>
      <c r="X564" s="24">
        <v>0.40899999999999997</v>
      </c>
      <c r="Y564" s="5" t="s">
        <v>106</v>
      </c>
      <c r="Z564" s="5"/>
      <c r="AA564" s="5"/>
      <c r="AB564" s="24">
        <v>1</v>
      </c>
      <c r="AC564" s="5"/>
      <c r="AD564" s="5" t="str">
        <f t="shared" si="38"/>
        <v>kg_co2e_excl_luc</v>
      </c>
      <c r="AE564" s="24">
        <f>IF(CropLCAs[[#This Row],[Product fraction]]="",CropLCAs[[#This Row],[CO2e (value)]]*CropLCAs[[#This Row],[Conversion factor (value)]],CropLCAs[[#This Row],[CO2e (value)]]*CropLCAs[[#This Row],[Conversion factor (value)]]/CropLCAs[[#This Row],[Product fraction]]*CropLCAs[[#This Row],[Value fraction]])</f>
        <v>0.40899999999999997</v>
      </c>
      <c r="AF564" s="5"/>
      <c r="AG564" s="5" t="str">
        <f t="shared" si="39"/>
        <v>processed_ghg</v>
      </c>
      <c r="AH564" s="5"/>
      <c r="AI564" s="5"/>
      <c r="AJ564" s="8" t="str">
        <f>IF(CropLCAs[[#This Row],[product_fraction]]&gt;0,CropLCAs[[#This Row],[footprint]]/CropLCAs[[#This Row],[product_fraction]]*CropLCAs[[#This Row],[value_fraction]],"")</f>
        <v/>
      </c>
      <c r="AK564" s="23">
        <v>0.5</v>
      </c>
      <c r="AL564" s="5" t="s">
        <v>109</v>
      </c>
      <c r="AM564" s="5" t="s">
        <v>246</v>
      </c>
      <c r="AN564" s="5" t="s">
        <v>141</v>
      </c>
      <c r="AO564" s="5"/>
      <c r="AP564" s="5"/>
      <c r="AQ564" s="17"/>
      <c r="AR564" s="17"/>
      <c r="AS564" s="17"/>
      <c r="AT564" s="17"/>
      <c r="AU564" s="17"/>
    </row>
    <row r="565" spans="1:47" ht="44.1" customHeight="1" x14ac:dyDescent="0.2">
      <c r="A565" s="5" t="s">
        <v>99</v>
      </c>
      <c r="B565" s="5" t="s">
        <v>1499</v>
      </c>
      <c r="C565" s="16">
        <v>2012</v>
      </c>
      <c r="D565" s="7" t="s">
        <v>135</v>
      </c>
      <c r="E565" s="6" t="s">
        <v>568</v>
      </c>
      <c r="F565" s="5" t="s">
        <v>3</v>
      </c>
      <c r="G565" s="5" t="str">
        <f>IF(CropLCAs[[#This Row],[fbs_item]]="Insects","insect_ghg","plant_ghg")</f>
        <v>plant_ghg</v>
      </c>
      <c r="H565" s="49" t="s">
        <v>253</v>
      </c>
      <c r="I565" s="49"/>
      <c r="J565" s="49" t="s">
        <v>1295</v>
      </c>
      <c r="K565" s="5" t="s">
        <v>138</v>
      </c>
      <c r="L565" s="5"/>
      <c r="M565" s="5" t="s">
        <v>102</v>
      </c>
      <c r="N565" s="5" t="s">
        <v>102</v>
      </c>
      <c r="O565" s="5" t="s">
        <v>109</v>
      </c>
      <c r="P565" s="5" t="s">
        <v>102</v>
      </c>
      <c r="Q565" s="5" t="s">
        <v>247</v>
      </c>
      <c r="R565" s="5" t="s">
        <v>139</v>
      </c>
      <c r="S565" s="5" t="s">
        <v>102</v>
      </c>
      <c r="T565" s="5" t="s">
        <v>102</v>
      </c>
      <c r="U565" s="5">
        <v>100</v>
      </c>
      <c r="V565" s="5">
        <v>1</v>
      </c>
      <c r="W565" s="5" t="s">
        <v>106</v>
      </c>
      <c r="X565" s="24">
        <v>0.192</v>
      </c>
      <c r="Y565" s="5" t="s">
        <v>106</v>
      </c>
      <c r="Z565" s="5"/>
      <c r="AA565" s="5"/>
      <c r="AB565" s="24">
        <v>1</v>
      </c>
      <c r="AC565" s="5"/>
      <c r="AD565" s="5" t="str">
        <f t="shared" si="38"/>
        <v>kg_co2e_excl_luc</v>
      </c>
      <c r="AE565" s="24">
        <f>IF(CropLCAs[[#This Row],[Product fraction]]="",CropLCAs[[#This Row],[CO2e (value)]]*CropLCAs[[#This Row],[Conversion factor (value)]],CropLCAs[[#This Row],[CO2e (value)]]*CropLCAs[[#This Row],[Conversion factor (value)]]/CropLCAs[[#This Row],[Product fraction]]*CropLCAs[[#This Row],[Value fraction]])</f>
        <v>0.192</v>
      </c>
      <c r="AF565" s="5"/>
      <c r="AG565" s="5" t="str">
        <f t="shared" si="39"/>
        <v>processed_ghg</v>
      </c>
      <c r="AH565" s="5"/>
      <c r="AI565" s="5"/>
      <c r="AJ565" s="8" t="str">
        <f>IF(CropLCAs[[#This Row],[product_fraction]]&gt;0,CropLCAs[[#This Row],[footprint]]/CropLCAs[[#This Row],[product_fraction]]*CropLCAs[[#This Row],[value_fraction]],"")</f>
        <v/>
      </c>
      <c r="AK565" s="23">
        <v>0.5</v>
      </c>
      <c r="AL565" s="5" t="s">
        <v>109</v>
      </c>
      <c r="AM565" s="5" t="s">
        <v>246</v>
      </c>
      <c r="AN565" s="5" t="s">
        <v>141</v>
      </c>
      <c r="AO565" s="5"/>
      <c r="AP565" s="5"/>
      <c r="AQ565" s="17"/>
      <c r="AR565" s="17"/>
      <c r="AS565" s="17"/>
      <c r="AT565" s="17"/>
      <c r="AU565" s="17"/>
    </row>
    <row r="566" spans="1:47" ht="44.1" customHeight="1" x14ac:dyDescent="0.2">
      <c r="A566" s="5" t="s">
        <v>99</v>
      </c>
      <c r="B566" s="5" t="s">
        <v>1499</v>
      </c>
      <c r="C566" s="16">
        <v>2012</v>
      </c>
      <c r="D566" s="7" t="s">
        <v>135</v>
      </c>
      <c r="E566" s="6" t="s">
        <v>568</v>
      </c>
      <c r="F566" s="5" t="s">
        <v>3</v>
      </c>
      <c r="G566" s="5" t="str">
        <f>IF(CropLCAs[[#This Row],[fbs_item]]="Insects","insect_ghg","plant_ghg")</f>
        <v>plant_ghg</v>
      </c>
      <c r="H566" s="49" t="s">
        <v>253</v>
      </c>
      <c r="I566" s="49"/>
      <c r="J566" s="49" t="s">
        <v>1295</v>
      </c>
      <c r="K566" s="5" t="s">
        <v>115</v>
      </c>
      <c r="L566" s="5"/>
      <c r="M566" s="5" t="s">
        <v>102</v>
      </c>
      <c r="N566" s="5" t="s">
        <v>102</v>
      </c>
      <c r="O566" s="5" t="s">
        <v>109</v>
      </c>
      <c r="P566" s="5" t="s">
        <v>102</v>
      </c>
      <c r="Q566" s="5" t="s">
        <v>247</v>
      </c>
      <c r="R566" s="5" t="s">
        <v>139</v>
      </c>
      <c r="S566" s="5" t="s">
        <v>102</v>
      </c>
      <c r="T566" s="5" t="s">
        <v>102</v>
      </c>
      <c r="U566" s="5">
        <v>100</v>
      </c>
      <c r="V566" s="5">
        <v>1</v>
      </c>
      <c r="W566" s="5" t="s">
        <v>106</v>
      </c>
      <c r="X566" s="24">
        <v>0.26800000000000002</v>
      </c>
      <c r="Y566" s="5" t="s">
        <v>106</v>
      </c>
      <c r="Z566" s="5"/>
      <c r="AA566" s="5"/>
      <c r="AB566" s="24">
        <v>1</v>
      </c>
      <c r="AC566" s="5"/>
      <c r="AD566" s="5" t="str">
        <f t="shared" si="38"/>
        <v>kg_co2e_excl_luc</v>
      </c>
      <c r="AE566" s="24">
        <f>IF(CropLCAs[[#This Row],[Product fraction]]="",CropLCAs[[#This Row],[CO2e (value)]]*CropLCAs[[#This Row],[Conversion factor (value)]],CropLCAs[[#This Row],[CO2e (value)]]*CropLCAs[[#This Row],[Conversion factor (value)]]/CropLCAs[[#This Row],[Product fraction]]*CropLCAs[[#This Row],[Value fraction]])</f>
        <v>0.26800000000000002</v>
      </c>
      <c r="AF566" s="5"/>
      <c r="AG566" s="5" t="str">
        <f t="shared" si="39"/>
        <v>processed_ghg</v>
      </c>
      <c r="AH566" s="5"/>
      <c r="AI566" s="5"/>
      <c r="AJ566" s="8" t="str">
        <f>IF(CropLCAs[[#This Row],[product_fraction]]&gt;0,CropLCAs[[#This Row],[footprint]]/CropLCAs[[#This Row],[product_fraction]]*CropLCAs[[#This Row],[value_fraction]],"")</f>
        <v/>
      </c>
      <c r="AK566" s="23">
        <v>0.5</v>
      </c>
      <c r="AL566" s="5" t="s">
        <v>109</v>
      </c>
      <c r="AM566" s="5" t="s">
        <v>246</v>
      </c>
      <c r="AN566" s="5" t="s">
        <v>141</v>
      </c>
      <c r="AO566" s="5"/>
      <c r="AP566" s="5"/>
      <c r="AQ566" s="17"/>
      <c r="AR566" s="17"/>
      <c r="AS566" s="17"/>
      <c r="AT566" s="17"/>
      <c r="AU566" s="17"/>
    </row>
    <row r="567" spans="1:47" ht="44.1" customHeight="1" x14ac:dyDescent="0.2">
      <c r="A567" s="5" t="s">
        <v>99</v>
      </c>
      <c r="B567" s="5" t="s">
        <v>1499</v>
      </c>
      <c r="C567" s="16">
        <v>2012</v>
      </c>
      <c r="D567" s="7" t="s">
        <v>135</v>
      </c>
      <c r="E567" s="6" t="s">
        <v>250</v>
      </c>
      <c r="F567" s="5" t="s">
        <v>34</v>
      </c>
      <c r="G567" s="5" t="str">
        <f>IF(CropLCAs[[#This Row],[fbs_item]]="Insects","insect_ghg","plant_ghg")</f>
        <v>plant_ghg</v>
      </c>
      <c r="H567" s="49" t="s">
        <v>253</v>
      </c>
      <c r="I567" s="49"/>
      <c r="J567" s="49" t="s">
        <v>1295</v>
      </c>
      <c r="K567" s="5" t="s">
        <v>138</v>
      </c>
      <c r="L567" s="5"/>
      <c r="M567" s="5" t="s">
        <v>102</v>
      </c>
      <c r="N567" s="5" t="s">
        <v>102</v>
      </c>
      <c r="O567" s="5" t="s">
        <v>109</v>
      </c>
      <c r="P567" s="5" t="s">
        <v>102</v>
      </c>
      <c r="Q567" s="5" t="s">
        <v>245</v>
      </c>
      <c r="R567" s="5" t="s">
        <v>139</v>
      </c>
      <c r="S567" s="5" t="s">
        <v>102</v>
      </c>
      <c r="T567" s="5" t="s">
        <v>102</v>
      </c>
      <c r="U567" s="5">
        <v>100</v>
      </c>
      <c r="V567" s="5">
        <v>1</v>
      </c>
      <c r="W567" s="5" t="s">
        <v>106</v>
      </c>
      <c r="X567" s="24">
        <v>0.66700000000000004</v>
      </c>
      <c r="Y567" s="5" t="s">
        <v>106</v>
      </c>
      <c r="Z567" s="5"/>
      <c r="AA567" s="5"/>
      <c r="AB567" s="24">
        <v>1</v>
      </c>
      <c r="AC567" s="5"/>
      <c r="AD567" s="5" t="str">
        <f t="shared" si="38"/>
        <v>kg_co2e_excl_luc</v>
      </c>
      <c r="AE567" s="24">
        <f>IF(CropLCAs[[#This Row],[Product fraction]]="",CropLCAs[[#This Row],[CO2e (value)]]*CropLCAs[[#This Row],[Conversion factor (value)]],CropLCAs[[#This Row],[CO2e (value)]]*CropLCAs[[#This Row],[Conversion factor (value)]]/CropLCAs[[#This Row],[Product fraction]]*CropLCAs[[#This Row],[Value fraction]])</f>
        <v>0.66700000000000004</v>
      </c>
      <c r="AF567" s="5"/>
      <c r="AG567" s="5" t="str">
        <f t="shared" si="39"/>
        <v>processed_ghg</v>
      </c>
      <c r="AH567" s="5"/>
      <c r="AI567" s="5"/>
      <c r="AJ567" s="8" t="str">
        <f>IF(CropLCAs[[#This Row],[product_fraction]]&gt;0,CropLCAs[[#This Row],[footprint]]/CropLCAs[[#This Row],[product_fraction]]*CropLCAs[[#This Row],[value_fraction]],"")</f>
        <v/>
      </c>
      <c r="AK567" s="23">
        <v>0.5</v>
      </c>
      <c r="AL567" s="5" t="s">
        <v>109</v>
      </c>
      <c r="AM567" s="5" t="s">
        <v>246</v>
      </c>
      <c r="AN567" s="5" t="s">
        <v>141</v>
      </c>
      <c r="AO567" s="5"/>
      <c r="AP567" s="5"/>
      <c r="AQ567" s="17"/>
      <c r="AR567" s="17"/>
      <c r="AS567" s="17"/>
      <c r="AT567" s="17"/>
      <c r="AU567" s="17"/>
    </row>
    <row r="568" spans="1:47" ht="44.1" customHeight="1" x14ac:dyDescent="0.2">
      <c r="A568" s="5" t="s">
        <v>99</v>
      </c>
      <c r="B568" s="5" t="s">
        <v>1499</v>
      </c>
      <c r="C568" s="16">
        <v>2012</v>
      </c>
      <c r="D568" s="7" t="s">
        <v>135</v>
      </c>
      <c r="E568" s="6" t="s">
        <v>250</v>
      </c>
      <c r="F568" s="5" t="s">
        <v>34</v>
      </c>
      <c r="G568" s="5" t="str">
        <f>IF(CropLCAs[[#This Row],[fbs_item]]="Insects","insect_ghg","plant_ghg")</f>
        <v>plant_ghg</v>
      </c>
      <c r="H568" s="49" t="s">
        <v>253</v>
      </c>
      <c r="I568" s="49"/>
      <c r="J568" s="49" t="s">
        <v>1295</v>
      </c>
      <c r="K568" s="5" t="s">
        <v>115</v>
      </c>
      <c r="L568" s="5"/>
      <c r="M568" s="5" t="s">
        <v>102</v>
      </c>
      <c r="N568" s="5" t="s">
        <v>102</v>
      </c>
      <c r="O568" s="5" t="s">
        <v>109</v>
      </c>
      <c r="P568" s="5" t="s">
        <v>102</v>
      </c>
      <c r="Q568" s="5" t="s">
        <v>245</v>
      </c>
      <c r="R568" s="5" t="s">
        <v>139</v>
      </c>
      <c r="S568" s="5" t="s">
        <v>102</v>
      </c>
      <c r="T568" s="5" t="s">
        <v>102</v>
      </c>
      <c r="U568" s="5">
        <v>100</v>
      </c>
      <c r="V568" s="5">
        <v>1</v>
      </c>
      <c r="W568" s="5" t="s">
        <v>106</v>
      </c>
      <c r="X568" s="24">
        <v>0.7</v>
      </c>
      <c r="Y568" s="5" t="s">
        <v>106</v>
      </c>
      <c r="Z568" s="5"/>
      <c r="AA568" s="5"/>
      <c r="AB568" s="24">
        <v>1</v>
      </c>
      <c r="AC568" s="5"/>
      <c r="AD568" s="5" t="str">
        <f t="shared" si="38"/>
        <v>kg_co2e_excl_luc</v>
      </c>
      <c r="AE568" s="24">
        <f>IF(CropLCAs[[#This Row],[Product fraction]]="",CropLCAs[[#This Row],[CO2e (value)]]*CropLCAs[[#This Row],[Conversion factor (value)]],CropLCAs[[#This Row],[CO2e (value)]]*CropLCAs[[#This Row],[Conversion factor (value)]]/CropLCAs[[#This Row],[Product fraction]]*CropLCAs[[#This Row],[Value fraction]])</f>
        <v>0.7</v>
      </c>
      <c r="AF568" s="5"/>
      <c r="AG568" s="5" t="str">
        <f t="shared" si="39"/>
        <v>processed_ghg</v>
      </c>
      <c r="AH568" s="5"/>
      <c r="AI568" s="5"/>
      <c r="AJ568" s="8" t="str">
        <f>IF(CropLCAs[[#This Row],[product_fraction]]&gt;0,CropLCAs[[#This Row],[footprint]]/CropLCAs[[#This Row],[product_fraction]]*CropLCAs[[#This Row],[value_fraction]],"")</f>
        <v/>
      </c>
      <c r="AK568" s="23">
        <v>0.5</v>
      </c>
      <c r="AL568" s="5" t="s">
        <v>109</v>
      </c>
      <c r="AM568" s="5" t="s">
        <v>246</v>
      </c>
      <c r="AN568" s="5" t="s">
        <v>141</v>
      </c>
      <c r="AO568" s="5"/>
      <c r="AP568" s="5"/>
      <c r="AQ568" s="17"/>
      <c r="AR568" s="17"/>
      <c r="AS568" s="17"/>
      <c r="AT568" s="17"/>
      <c r="AU568" s="17"/>
    </row>
    <row r="569" spans="1:47" ht="44.1" customHeight="1" x14ac:dyDescent="0.2">
      <c r="A569" s="5" t="s">
        <v>99</v>
      </c>
      <c r="B569" s="5" t="s">
        <v>1499</v>
      </c>
      <c r="C569" s="16">
        <v>2012</v>
      </c>
      <c r="D569" s="7" t="s">
        <v>135</v>
      </c>
      <c r="E569" s="6" t="s">
        <v>214</v>
      </c>
      <c r="F569" s="5" t="s">
        <v>31</v>
      </c>
      <c r="G569" s="5" t="str">
        <f>IF(CropLCAs[[#This Row],[fbs_item]]="Insects","insect_ghg","plant_ghg")</f>
        <v>plant_ghg</v>
      </c>
      <c r="H569" s="49" t="s">
        <v>253</v>
      </c>
      <c r="I569" s="49"/>
      <c r="J569" s="49" t="s">
        <v>1295</v>
      </c>
      <c r="K569" s="5" t="s">
        <v>138</v>
      </c>
      <c r="L569" s="5"/>
      <c r="M569" s="5" t="s">
        <v>102</v>
      </c>
      <c r="N569" s="5" t="s">
        <v>102</v>
      </c>
      <c r="O569" s="5" t="s">
        <v>109</v>
      </c>
      <c r="P569" s="5" t="s">
        <v>102</v>
      </c>
      <c r="Q569" s="5" t="s">
        <v>247</v>
      </c>
      <c r="R569" s="5" t="s">
        <v>139</v>
      </c>
      <c r="S569" s="5" t="s">
        <v>102</v>
      </c>
      <c r="T569" s="5" t="s">
        <v>102</v>
      </c>
      <c r="U569" s="5">
        <v>100</v>
      </c>
      <c r="V569" s="5">
        <v>1</v>
      </c>
      <c r="W569" s="5" t="s">
        <v>106</v>
      </c>
      <c r="X569" s="24">
        <v>0.33700000000000002</v>
      </c>
      <c r="Y569" s="5" t="s">
        <v>106</v>
      </c>
      <c r="Z569" s="5"/>
      <c r="AA569" s="5"/>
      <c r="AB569" s="24">
        <v>1</v>
      </c>
      <c r="AC569" s="5"/>
      <c r="AD569" s="5" t="str">
        <f t="shared" si="38"/>
        <v>kg_co2e_excl_luc</v>
      </c>
      <c r="AE569" s="24">
        <f>IF(CropLCAs[[#This Row],[Product fraction]]="",CropLCAs[[#This Row],[CO2e (value)]]*CropLCAs[[#This Row],[Conversion factor (value)]],CropLCAs[[#This Row],[CO2e (value)]]*CropLCAs[[#This Row],[Conversion factor (value)]]/CropLCAs[[#This Row],[Product fraction]]*CropLCAs[[#This Row],[Value fraction]])</f>
        <v>0.33700000000000002</v>
      </c>
      <c r="AF569" s="5"/>
      <c r="AG569" s="5" t="str">
        <f t="shared" si="39"/>
        <v>processed_ghg</v>
      </c>
      <c r="AH569" s="5"/>
      <c r="AI569" s="5"/>
      <c r="AJ569" s="8" t="str">
        <f>IF(CropLCAs[[#This Row],[product_fraction]]&gt;0,CropLCAs[[#This Row],[footprint]]/CropLCAs[[#This Row],[product_fraction]]*CropLCAs[[#This Row],[value_fraction]],"")</f>
        <v/>
      </c>
      <c r="AK569" s="23">
        <v>0.5</v>
      </c>
      <c r="AL569" s="5" t="s">
        <v>109</v>
      </c>
      <c r="AM569" s="5" t="s">
        <v>246</v>
      </c>
      <c r="AN569" s="5" t="s">
        <v>141</v>
      </c>
      <c r="AO569" s="5"/>
      <c r="AP569" s="5"/>
      <c r="AQ569" s="17"/>
      <c r="AR569" s="17"/>
      <c r="AS569" s="17"/>
      <c r="AT569" s="17"/>
      <c r="AU569" s="17"/>
    </row>
    <row r="570" spans="1:47" ht="44.1" customHeight="1" x14ac:dyDescent="0.2">
      <c r="A570" s="5" t="s">
        <v>99</v>
      </c>
      <c r="B570" s="5" t="s">
        <v>1499</v>
      </c>
      <c r="C570" s="16">
        <v>2012</v>
      </c>
      <c r="D570" s="7" t="s">
        <v>135</v>
      </c>
      <c r="E570" s="6" t="s">
        <v>214</v>
      </c>
      <c r="F570" s="5" t="s">
        <v>31</v>
      </c>
      <c r="G570" s="5" t="str">
        <f>IF(CropLCAs[[#This Row],[fbs_item]]="Insects","insect_ghg","plant_ghg")</f>
        <v>plant_ghg</v>
      </c>
      <c r="H570" s="49" t="s">
        <v>253</v>
      </c>
      <c r="I570" s="49"/>
      <c r="J570" s="49" t="s">
        <v>1295</v>
      </c>
      <c r="K570" s="5" t="s">
        <v>115</v>
      </c>
      <c r="L570" s="5"/>
      <c r="M570" s="5" t="s">
        <v>102</v>
      </c>
      <c r="N570" s="5" t="s">
        <v>102</v>
      </c>
      <c r="O570" s="5" t="s">
        <v>109</v>
      </c>
      <c r="P570" s="5" t="s">
        <v>102</v>
      </c>
      <c r="Q570" s="5" t="s">
        <v>247</v>
      </c>
      <c r="R570" s="5" t="s">
        <v>139</v>
      </c>
      <c r="S570" s="5" t="s">
        <v>102</v>
      </c>
      <c r="T570" s="5" t="s">
        <v>102</v>
      </c>
      <c r="U570" s="5">
        <v>100</v>
      </c>
      <c r="V570" s="5">
        <v>1</v>
      </c>
      <c r="W570" s="5" t="s">
        <v>106</v>
      </c>
      <c r="X570" s="24">
        <v>0.23400000000000001</v>
      </c>
      <c r="Y570" s="5" t="s">
        <v>106</v>
      </c>
      <c r="Z570" s="5"/>
      <c r="AA570" s="5"/>
      <c r="AB570" s="24">
        <v>1</v>
      </c>
      <c r="AC570" s="5"/>
      <c r="AD570" s="5" t="str">
        <f t="shared" si="38"/>
        <v>kg_co2e_excl_luc</v>
      </c>
      <c r="AE570" s="24">
        <f>IF(CropLCAs[[#This Row],[Product fraction]]="",CropLCAs[[#This Row],[CO2e (value)]]*CropLCAs[[#This Row],[Conversion factor (value)]],CropLCAs[[#This Row],[CO2e (value)]]*CropLCAs[[#This Row],[Conversion factor (value)]]/CropLCAs[[#This Row],[Product fraction]]*CropLCAs[[#This Row],[Value fraction]])</f>
        <v>0.23400000000000001</v>
      </c>
      <c r="AF570" s="5"/>
      <c r="AG570" s="5" t="str">
        <f t="shared" si="39"/>
        <v>processed_ghg</v>
      </c>
      <c r="AH570" s="5"/>
      <c r="AI570" s="5"/>
      <c r="AJ570" s="8" t="str">
        <f>IF(CropLCAs[[#This Row],[product_fraction]]&gt;0,CropLCAs[[#This Row],[footprint]]/CropLCAs[[#This Row],[product_fraction]]*CropLCAs[[#This Row],[value_fraction]],"")</f>
        <v/>
      </c>
      <c r="AK570" s="23">
        <v>0.5</v>
      </c>
      <c r="AL570" s="5" t="s">
        <v>109</v>
      </c>
      <c r="AM570" s="5" t="s">
        <v>246</v>
      </c>
      <c r="AN570" s="5" t="s">
        <v>141</v>
      </c>
      <c r="AO570" s="5"/>
      <c r="AP570" s="5"/>
      <c r="AQ570" s="17"/>
      <c r="AR570" s="17"/>
      <c r="AS570" s="17"/>
      <c r="AT570" s="17"/>
      <c r="AU570" s="17"/>
    </row>
    <row r="571" spans="1:47" ht="44.1" customHeight="1" x14ac:dyDescent="0.2">
      <c r="A571" s="17" t="s">
        <v>99</v>
      </c>
      <c r="B571" s="17" t="s">
        <v>134</v>
      </c>
      <c r="C571" s="17"/>
      <c r="D571" s="17" t="s">
        <v>135</v>
      </c>
      <c r="E571" s="19" t="s">
        <v>136</v>
      </c>
      <c r="F571" s="17" t="s">
        <v>30</v>
      </c>
      <c r="G571" s="17" t="str">
        <f>IF(CropLCAs[[#This Row],[fbs_item]]="Insects","insect_ghg","plant_ghg")</f>
        <v>plant_ghg</v>
      </c>
      <c r="H571" s="50" t="s">
        <v>137</v>
      </c>
      <c r="I571" s="50"/>
      <c r="J571" s="50"/>
      <c r="K571" s="17" t="s">
        <v>710</v>
      </c>
      <c r="L571" s="17"/>
      <c r="M571" s="17" t="s">
        <v>102</v>
      </c>
      <c r="N571" s="17" t="s">
        <v>102</v>
      </c>
      <c r="O571" s="17" t="s">
        <v>109</v>
      </c>
      <c r="P571" s="17" t="s">
        <v>102</v>
      </c>
      <c r="Q571" s="17" t="s">
        <v>109</v>
      </c>
      <c r="R571" s="17" t="s">
        <v>109</v>
      </c>
      <c r="S571" s="17" t="s">
        <v>102</v>
      </c>
      <c r="T571" s="17" t="s">
        <v>102</v>
      </c>
      <c r="U571" s="17">
        <v>100</v>
      </c>
      <c r="V571" s="17">
        <v>1</v>
      </c>
      <c r="W571" s="17" t="s">
        <v>106</v>
      </c>
      <c r="X571" s="30">
        <v>0.217</v>
      </c>
      <c r="Y571" s="17" t="s">
        <v>106</v>
      </c>
      <c r="Z571" s="17"/>
      <c r="AA571" s="17"/>
      <c r="AB571" s="30">
        <v>1</v>
      </c>
      <c r="AC571" s="17"/>
      <c r="AD571" s="17" t="str">
        <f t="shared" si="38"/>
        <v>kg_co2e_excl_luc</v>
      </c>
      <c r="AE571" s="30">
        <f>IF(CropLCAs[[#This Row],[Product fraction]]="",CropLCAs[[#This Row],[CO2e (value)]]*CropLCAs[[#This Row],[Conversion factor (value)]],CropLCAs[[#This Row],[CO2e (value)]]*CropLCAs[[#This Row],[Conversion factor (value)]]/CropLCAs[[#This Row],[Product fraction]]*CropLCAs[[#This Row],[Value fraction]])</f>
        <v>0.217</v>
      </c>
      <c r="AF571" s="19"/>
      <c r="AG571" s="19" t="str">
        <f t="shared" si="39"/>
        <v>processed_ghg</v>
      </c>
      <c r="AH571" s="19"/>
      <c r="AI571" s="19"/>
      <c r="AJ571" s="18" t="str">
        <f>IF(CropLCAs[[#This Row],[product_fraction]]&gt;0,CropLCAs[[#This Row],[footprint]]/CropLCAs[[#This Row],[product_fraction]]*CropLCAs[[#This Row],[value_fraction]],"")</f>
        <v/>
      </c>
      <c r="AK571" s="29"/>
      <c r="AL571" s="19" t="s">
        <v>711</v>
      </c>
      <c r="AM571" s="17" t="s">
        <v>140</v>
      </c>
      <c r="AN571" s="17"/>
      <c r="AO571" s="17"/>
      <c r="AP571" s="17"/>
      <c r="AQ571" s="17"/>
      <c r="AR571" s="17"/>
      <c r="AS571" s="17"/>
      <c r="AT571" s="17"/>
      <c r="AU571" s="17"/>
    </row>
    <row r="572" spans="1:47" ht="44.1" customHeight="1" x14ac:dyDescent="0.2">
      <c r="A572" s="17" t="s">
        <v>99</v>
      </c>
      <c r="B572" s="17" t="s">
        <v>134</v>
      </c>
      <c r="C572" s="17"/>
      <c r="D572" s="17" t="s">
        <v>135</v>
      </c>
      <c r="E572" s="19" t="s">
        <v>244</v>
      </c>
      <c r="F572" s="17" t="s">
        <v>31</v>
      </c>
      <c r="G572" s="17" t="str">
        <f>IF(CropLCAs[[#This Row],[fbs_item]]="Insects","insect_ghg","plant_ghg")</f>
        <v>plant_ghg</v>
      </c>
      <c r="H572" s="50" t="s">
        <v>137</v>
      </c>
      <c r="I572" s="50"/>
      <c r="J572" s="50"/>
      <c r="K572" s="17" t="s">
        <v>710</v>
      </c>
      <c r="L572" s="17"/>
      <c r="M572" s="17" t="s">
        <v>102</v>
      </c>
      <c r="N572" s="17" t="s">
        <v>102</v>
      </c>
      <c r="O572" s="17" t="s">
        <v>109</v>
      </c>
      <c r="P572" s="17" t="s">
        <v>102</v>
      </c>
      <c r="Q572" s="17" t="s">
        <v>245</v>
      </c>
      <c r="R572" s="17" t="s">
        <v>109</v>
      </c>
      <c r="S572" s="17" t="s">
        <v>102</v>
      </c>
      <c r="T572" s="17" t="s">
        <v>102</v>
      </c>
      <c r="U572" s="17">
        <v>100</v>
      </c>
      <c r="V572" s="17">
        <v>1</v>
      </c>
      <c r="W572" s="17" t="s">
        <v>106</v>
      </c>
      <c r="X572" s="30">
        <v>0.72299999999999998</v>
      </c>
      <c r="Y572" s="17" t="s">
        <v>106</v>
      </c>
      <c r="Z572" s="17"/>
      <c r="AA572" s="17"/>
      <c r="AB572" s="30">
        <v>1</v>
      </c>
      <c r="AC572" s="17"/>
      <c r="AD572" s="17" t="str">
        <f t="shared" si="38"/>
        <v>kg_co2e_excl_luc</v>
      </c>
      <c r="AE572" s="30">
        <f>IF(CropLCAs[[#This Row],[Product fraction]]="",CropLCAs[[#This Row],[CO2e (value)]]*CropLCAs[[#This Row],[Conversion factor (value)]],CropLCAs[[#This Row],[CO2e (value)]]*CropLCAs[[#This Row],[Conversion factor (value)]]/CropLCAs[[#This Row],[Product fraction]]*CropLCAs[[#This Row],[Value fraction]])</f>
        <v>0.72299999999999998</v>
      </c>
      <c r="AF572" s="19"/>
      <c r="AG572" s="19" t="str">
        <f t="shared" si="39"/>
        <v>processed_ghg</v>
      </c>
      <c r="AH572" s="19"/>
      <c r="AI572" s="19"/>
      <c r="AJ572" s="18" t="str">
        <f>IF(CropLCAs[[#This Row],[product_fraction]]&gt;0,CropLCAs[[#This Row],[footprint]]/CropLCAs[[#This Row],[product_fraction]]*CropLCAs[[#This Row],[value_fraction]],"")</f>
        <v/>
      </c>
      <c r="AK572" s="29"/>
      <c r="AL572" s="19" t="s">
        <v>711</v>
      </c>
      <c r="AM572" s="17" t="s">
        <v>246</v>
      </c>
      <c r="AN572" s="17"/>
      <c r="AO572" s="17"/>
      <c r="AP572" s="17"/>
      <c r="AQ572" s="17"/>
      <c r="AR572" s="17"/>
      <c r="AS572" s="17"/>
      <c r="AT572" s="17"/>
      <c r="AU572" s="17"/>
    </row>
    <row r="573" spans="1:47" ht="44.1" customHeight="1" x14ac:dyDescent="0.2">
      <c r="A573" s="17" t="s">
        <v>99</v>
      </c>
      <c r="B573" s="17" t="s">
        <v>134</v>
      </c>
      <c r="C573" s="17"/>
      <c r="D573" s="17" t="s">
        <v>135</v>
      </c>
      <c r="E573" s="19" t="s">
        <v>214</v>
      </c>
      <c r="F573" s="17" t="s">
        <v>31</v>
      </c>
      <c r="G573" s="17" t="str">
        <f>IF(CropLCAs[[#This Row],[fbs_item]]="Insects","insect_ghg","plant_ghg")</f>
        <v>plant_ghg</v>
      </c>
      <c r="H573" s="50" t="s">
        <v>137</v>
      </c>
      <c r="I573" s="50"/>
      <c r="J573" s="50"/>
      <c r="K573" s="17" t="s">
        <v>710</v>
      </c>
      <c r="L573" s="17"/>
      <c r="M573" s="17" t="s">
        <v>102</v>
      </c>
      <c r="N573" s="17" t="s">
        <v>102</v>
      </c>
      <c r="O573" s="17" t="s">
        <v>109</v>
      </c>
      <c r="P573" s="17" t="s">
        <v>102</v>
      </c>
      <c r="Q573" s="17" t="s">
        <v>247</v>
      </c>
      <c r="R573" s="17" t="s">
        <v>109</v>
      </c>
      <c r="S573" s="17" t="s">
        <v>102</v>
      </c>
      <c r="T573" s="17" t="s">
        <v>102</v>
      </c>
      <c r="U573" s="17">
        <v>100</v>
      </c>
      <c r="V573" s="17">
        <v>1</v>
      </c>
      <c r="W573" s="17" t="s">
        <v>106</v>
      </c>
      <c r="X573" s="30">
        <v>0.218</v>
      </c>
      <c r="Y573" s="17" t="s">
        <v>106</v>
      </c>
      <c r="Z573" s="17"/>
      <c r="AA573" s="17"/>
      <c r="AB573" s="30">
        <v>1</v>
      </c>
      <c r="AC573" s="17"/>
      <c r="AD573" s="17" t="str">
        <f t="shared" si="38"/>
        <v>kg_co2e_excl_luc</v>
      </c>
      <c r="AE573" s="30">
        <f>IF(CropLCAs[[#This Row],[Product fraction]]="",CropLCAs[[#This Row],[CO2e (value)]]*CropLCAs[[#This Row],[Conversion factor (value)]],CropLCAs[[#This Row],[CO2e (value)]]*CropLCAs[[#This Row],[Conversion factor (value)]]/CropLCAs[[#This Row],[Product fraction]]*CropLCAs[[#This Row],[Value fraction]])</f>
        <v>0.218</v>
      </c>
      <c r="AF573" s="19"/>
      <c r="AG573" s="19" t="str">
        <f t="shared" si="39"/>
        <v>processed_ghg</v>
      </c>
      <c r="AH573" s="19"/>
      <c r="AI573" s="19"/>
      <c r="AJ573" s="18" t="str">
        <f>IF(CropLCAs[[#This Row],[product_fraction]]&gt;0,CropLCAs[[#This Row],[footprint]]/CropLCAs[[#This Row],[product_fraction]]*CropLCAs[[#This Row],[value_fraction]],"")</f>
        <v/>
      </c>
      <c r="AK573" s="29"/>
      <c r="AL573" s="19" t="s">
        <v>711</v>
      </c>
      <c r="AM573" s="17" t="s">
        <v>246</v>
      </c>
      <c r="AN573" s="17"/>
      <c r="AO573" s="17"/>
      <c r="AP573" s="17"/>
      <c r="AQ573" s="17"/>
      <c r="AR573" s="17"/>
      <c r="AS573" s="17"/>
      <c r="AT573" s="17"/>
      <c r="AU573" s="17"/>
    </row>
    <row r="574" spans="1:47" ht="44.1" customHeight="1" x14ac:dyDescent="0.2">
      <c r="A574" s="17" t="s">
        <v>99</v>
      </c>
      <c r="B574" s="17" t="s">
        <v>134</v>
      </c>
      <c r="C574" s="17"/>
      <c r="D574" s="17" t="s">
        <v>135</v>
      </c>
      <c r="E574" s="19" t="s">
        <v>250</v>
      </c>
      <c r="F574" s="17" t="s">
        <v>34</v>
      </c>
      <c r="G574" s="17" t="str">
        <f>IF(CropLCAs[[#This Row],[fbs_item]]="Insects","insect_ghg","plant_ghg")</f>
        <v>plant_ghg</v>
      </c>
      <c r="H574" s="50" t="s">
        <v>137</v>
      </c>
      <c r="I574" s="50"/>
      <c r="J574" s="50"/>
      <c r="K574" s="17" t="s">
        <v>710</v>
      </c>
      <c r="L574" s="17"/>
      <c r="M574" s="17" t="s">
        <v>102</v>
      </c>
      <c r="N574" s="17" t="s">
        <v>102</v>
      </c>
      <c r="O574" s="17" t="s">
        <v>109</v>
      </c>
      <c r="P574" s="17" t="s">
        <v>102</v>
      </c>
      <c r="Q574" s="17" t="s">
        <v>245</v>
      </c>
      <c r="R574" s="17" t="s">
        <v>109</v>
      </c>
      <c r="S574" s="17" t="s">
        <v>102</v>
      </c>
      <c r="T574" s="17" t="s">
        <v>102</v>
      </c>
      <c r="U574" s="17">
        <v>100</v>
      </c>
      <c r="V574" s="17">
        <v>1</v>
      </c>
      <c r="W574" s="17" t="s">
        <v>106</v>
      </c>
      <c r="X574" s="30">
        <v>0.67400000000000004</v>
      </c>
      <c r="Y574" s="17" t="s">
        <v>106</v>
      </c>
      <c r="Z574" s="17"/>
      <c r="AA574" s="17"/>
      <c r="AB574" s="30">
        <v>1</v>
      </c>
      <c r="AC574" s="17"/>
      <c r="AD574" s="17" t="str">
        <f t="shared" si="38"/>
        <v>kg_co2e_excl_luc</v>
      </c>
      <c r="AE574" s="30">
        <f>IF(CropLCAs[[#This Row],[Product fraction]]="",CropLCAs[[#This Row],[CO2e (value)]]*CropLCAs[[#This Row],[Conversion factor (value)]],CropLCAs[[#This Row],[CO2e (value)]]*CropLCAs[[#This Row],[Conversion factor (value)]]/CropLCAs[[#This Row],[Product fraction]]*CropLCAs[[#This Row],[Value fraction]])</f>
        <v>0.67400000000000004</v>
      </c>
      <c r="AF574" s="19"/>
      <c r="AG574" s="19" t="str">
        <f t="shared" si="39"/>
        <v>processed_ghg</v>
      </c>
      <c r="AH574" s="19"/>
      <c r="AI574" s="19"/>
      <c r="AJ574" s="18" t="str">
        <f>IF(CropLCAs[[#This Row],[product_fraction]]&gt;0,CropLCAs[[#This Row],[footprint]]/CropLCAs[[#This Row],[product_fraction]]*CropLCAs[[#This Row],[value_fraction]],"")</f>
        <v/>
      </c>
      <c r="AK574" s="29"/>
      <c r="AL574" s="19" t="s">
        <v>711</v>
      </c>
      <c r="AM574" s="17" t="s">
        <v>246</v>
      </c>
      <c r="AN574" s="17"/>
      <c r="AO574" s="17"/>
      <c r="AP574" s="17"/>
      <c r="AQ574" s="17"/>
      <c r="AR574" s="17"/>
      <c r="AS574" s="17"/>
      <c r="AT574" s="17"/>
      <c r="AU574" s="17"/>
    </row>
    <row r="575" spans="1:47" ht="44.1" customHeight="1" x14ac:dyDescent="0.2">
      <c r="A575" s="17" t="s">
        <v>99</v>
      </c>
      <c r="B575" s="17" t="s">
        <v>134</v>
      </c>
      <c r="C575" s="17"/>
      <c r="D575" s="17" t="s">
        <v>135</v>
      </c>
      <c r="E575" s="19" t="s">
        <v>301</v>
      </c>
      <c r="F575" s="17" t="s">
        <v>8</v>
      </c>
      <c r="G575" s="17" t="str">
        <f>IF(CropLCAs[[#This Row],[fbs_item]]="Insects","insect_ghg","plant_ghg")</f>
        <v>plant_ghg</v>
      </c>
      <c r="H575" s="50" t="s">
        <v>137</v>
      </c>
      <c r="I575" s="50"/>
      <c r="J575" s="50"/>
      <c r="K575" s="17" t="s">
        <v>710</v>
      </c>
      <c r="L575" s="17"/>
      <c r="M575" s="17" t="s">
        <v>102</v>
      </c>
      <c r="N575" s="17" t="s">
        <v>102</v>
      </c>
      <c r="O575" s="17" t="s">
        <v>109</v>
      </c>
      <c r="P575" s="17" t="s">
        <v>102</v>
      </c>
      <c r="Q575" s="17" t="s">
        <v>109</v>
      </c>
      <c r="R575" s="17" t="s">
        <v>109</v>
      </c>
      <c r="S575" s="17" t="s">
        <v>102</v>
      </c>
      <c r="T575" s="17" t="s">
        <v>102</v>
      </c>
      <c r="U575" s="17">
        <v>100</v>
      </c>
      <c r="V575" s="17">
        <v>1</v>
      </c>
      <c r="W575" s="17" t="s">
        <v>106</v>
      </c>
      <c r="X575" s="30">
        <v>3.206</v>
      </c>
      <c r="Y575" s="17" t="s">
        <v>106</v>
      </c>
      <c r="Z575" s="17"/>
      <c r="AA575" s="17"/>
      <c r="AB575" s="30">
        <v>1</v>
      </c>
      <c r="AC575" s="17"/>
      <c r="AD575" s="17" t="str">
        <f t="shared" si="38"/>
        <v>kg_co2e_excl_luc</v>
      </c>
      <c r="AE575" s="30">
        <f>IF(CropLCAs[[#This Row],[Product fraction]]="",CropLCAs[[#This Row],[CO2e (value)]]*CropLCAs[[#This Row],[Conversion factor (value)]],CropLCAs[[#This Row],[CO2e (value)]]*CropLCAs[[#This Row],[Conversion factor (value)]]/CropLCAs[[#This Row],[Product fraction]]*CropLCAs[[#This Row],[Value fraction]])</f>
        <v>3.206</v>
      </c>
      <c r="AF575" s="19"/>
      <c r="AG575" s="19" t="str">
        <f t="shared" si="39"/>
        <v>processed_ghg</v>
      </c>
      <c r="AH575" s="19"/>
      <c r="AI575" s="19"/>
      <c r="AJ575" s="18" t="str">
        <f>IF(CropLCAs[[#This Row],[product_fraction]]&gt;0,CropLCAs[[#This Row],[footprint]]/CropLCAs[[#This Row],[product_fraction]]*CropLCAs[[#This Row],[value_fraction]],"")</f>
        <v/>
      </c>
      <c r="AK575" s="29"/>
      <c r="AL575" s="19" t="s">
        <v>711</v>
      </c>
      <c r="AM575" s="17" t="s">
        <v>246</v>
      </c>
      <c r="AN575" s="17"/>
      <c r="AO575" s="17"/>
      <c r="AP575" s="17"/>
      <c r="AQ575" s="17"/>
      <c r="AR575" s="17"/>
      <c r="AS575" s="17"/>
      <c r="AT575" s="17"/>
      <c r="AU575" s="17"/>
    </row>
    <row r="576" spans="1:47" ht="44.1" customHeight="1" x14ac:dyDescent="0.2">
      <c r="A576" s="17" t="s">
        <v>99</v>
      </c>
      <c r="B576" s="17" t="s">
        <v>134</v>
      </c>
      <c r="C576" s="17"/>
      <c r="D576" s="17" t="s">
        <v>135</v>
      </c>
      <c r="E576" s="19" t="s">
        <v>302</v>
      </c>
      <c r="F576" s="17" t="s">
        <v>8</v>
      </c>
      <c r="G576" s="17" t="str">
        <f>IF(CropLCAs[[#This Row],[fbs_item]]="Insects","insect_ghg","plant_ghg")</f>
        <v>plant_ghg</v>
      </c>
      <c r="H576" s="50" t="s">
        <v>137</v>
      </c>
      <c r="I576" s="50"/>
      <c r="J576" s="50"/>
      <c r="K576" s="17" t="s">
        <v>710</v>
      </c>
      <c r="L576" s="17"/>
      <c r="M576" s="17" t="s">
        <v>102</v>
      </c>
      <c r="N576" s="17" t="s">
        <v>102</v>
      </c>
      <c r="O576" s="17" t="s">
        <v>109</v>
      </c>
      <c r="P576" s="17" t="s">
        <v>102</v>
      </c>
      <c r="Q576" s="17" t="s">
        <v>109</v>
      </c>
      <c r="R576" s="17" t="s">
        <v>109</v>
      </c>
      <c r="S576" s="17" t="s">
        <v>102</v>
      </c>
      <c r="T576" s="17" t="s">
        <v>102</v>
      </c>
      <c r="U576" s="17">
        <v>100</v>
      </c>
      <c r="V576" s="17">
        <v>1</v>
      </c>
      <c r="W576" s="17" t="s">
        <v>106</v>
      </c>
      <c r="X576" s="30">
        <v>1.97</v>
      </c>
      <c r="Y576" s="17" t="s">
        <v>106</v>
      </c>
      <c r="Z576" s="17"/>
      <c r="AA576" s="17"/>
      <c r="AB576" s="30">
        <v>1</v>
      </c>
      <c r="AC576" s="17"/>
      <c r="AD576" s="17" t="str">
        <f t="shared" si="38"/>
        <v>kg_co2e_excl_luc</v>
      </c>
      <c r="AE576" s="30">
        <f>IF(CropLCAs[[#This Row],[Product fraction]]="",CropLCAs[[#This Row],[CO2e (value)]]*CropLCAs[[#This Row],[Conversion factor (value)]],CropLCAs[[#This Row],[CO2e (value)]]*CropLCAs[[#This Row],[Conversion factor (value)]]/CropLCAs[[#This Row],[Product fraction]]*CropLCAs[[#This Row],[Value fraction]])</f>
        <v>1.97</v>
      </c>
      <c r="AF576" s="19"/>
      <c r="AG576" s="19" t="str">
        <f t="shared" si="39"/>
        <v>processed_ghg</v>
      </c>
      <c r="AH576" s="19"/>
      <c r="AI576" s="19"/>
      <c r="AJ576" s="18" t="str">
        <f>IF(CropLCAs[[#This Row],[product_fraction]]&gt;0,CropLCAs[[#This Row],[footprint]]/CropLCAs[[#This Row],[product_fraction]]*CropLCAs[[#This Row],[value_fraction]],"")</f>
        <v/>
      </c>
      <c r="AK576" s="29"/>
      <c r="AL576" s="19" t="s">
        <v>711</v>
      </c>
      <c r="AM576" s="17" t="s">
        <v>246</v>
      </c>
      <c r="AN576" s="17"/>
      <c r="AO576" s="17"/>
      <c r="AP576" s="17"/>
      <c r="AQ576" s="17"/>
      <c r="AR576" s="17"/>
      <c r="AS576" s="17"/>
      <c r="AT576" s="17"/>
      <c r="AU576" s="17"/>
    </row>
    <row r="577" spans="1:47" ht="44.1" customHeight="1" x14ac:dyDescent="0.2">
      <c r="A577" s="17" t="s">
        <v>99</v>
      </c>
      <c r="B577" s="17" t="s">
        <v>134</v>
      </c>
      <c r="C577" s="17"/>
      <c r="D577" s="17" t="s">
        <v>135</v>
      </c>
      <c r="E577" s="19" t="s">
        <v>582</v>
      </c>
      <c r="F577" s="17" t="s">
        <v>3</v>
      </c>
      <c r="G577" s="17" t="str">
        <f>IF(CropLCAs[[#This Row],[fbs_item]]="Insects","insect_ghg","plant_ghg")</f>
        <v>plant_ghg</v>
      </c>
      <c r="H577" s="50" t="s">
        <v>137</v>
      </c>
      <c r="I577" s="50"/>
      <c r="J577" s="50"/>
      <c r="K577" s="17" t="s">
        <v>710</v>
      </c>
      <c r="L577" s="17"/>
      <c r="M577" s="17" t="s">
        <v>102</v>
      </c>
      <c r="N577" s="17" t="s">
        <v>102</v>
      </c>
      <c r="O577" s="17" t="s">
        <v>109</v>
      </c>
      <c r="P577" s="17" t="s">
        <v>102</v>
      </c>
      <c r="Q577" s="17" t="s">
        <v>247</v>
      </c>
      <c r="R577" s="17" t="s">
        <v>109</v>
      </c>
      <c r="S577" s="17" t="s">
        <v>102</v>
      </c>
      <c r="T577" s="17" t="s">
        <v>102</v>
      </c>
      <c r="U577" s="17">
        <v>100</v>
      </c>
      <c r="V577" s="17">
        <v>1</v>
      </c>
      <c r="W577" s="17" t="s">
        <v>106</v>
      </c>
      <c r="X577" s="30">
        <v>0.31</v>
      </c>
      <c r="Y577" s="17" t="s">
        <v>106</v>
      </c>
      <c r="Z577" s="17"/>
      <c r="AA577" s="17"/>
      <c r="AB577" s="30">
        <v>1</v>
      </c>
      <c r="AC577" s="17"/>
      <c r="AD577" s="17" t="str">
        <f t="shared" si="38"/>
        <v>kg_co2e_excl_luc</v>
      </c>
      <c r="AE577" s="30">
        <f>IF(CropLCAs[[#This Row],[Product fraction]]="",CropLCAs[[#This Row],[CO2e (value)]]*CropLCAs[[#This Row],[Conversion factor (value)]],CropLCAs[[#This Row],[CO2e (value)]]*CropLCAs[[#This Row],[Conversion factor (value)]]/CropLCAs[[#This Row],[Product fraction]]*CropLCAs[[#This Row],[Value fraction]])</f>
        <v>0.31</v>
      </c>
      <c r="AF577" s="19"/>
      <c r="AG577" s="19" t="str">
        <f t="shared" si="39"/>
        <v>processed_ghg</v>
      </c>
      <c r="AH577" s="19"/>
      <c r="AI577" s="19"/>
      <c r="AJ577" s="18" t="str">
        <f>IF(CropLCAs[[#This Row],[product_fraction]]&gt;0,CropLCAs[[#This Row],[footprint]]/CropLCAs[[#This Row],[product_fraction]]*CropLCAs[[#This Row],[value_fraction]],"")</f>
        <v/>
      </c>
      <c r="AK577" s="29"/>
      <c r="AL577" s="19" t="s">
        <v>711</v>
      </c>
      <c r="AM577" s="17" t="s">
        <v>246</v>
      </c>
      <c r="AN577" s="17"/>
      <c r="AO577" s="17"/>
      <c r="AP577" s="17"/>
      <c r="AQ577" s="17"/>
      <c r="AR577" s="17"/>
      <c r="AS577" s="17"/>
      <c r="AT577" s="17"/>
      <c r="AU577" s="17"/>
    </row>
    <row r="578" spans="1:47" ht="44.1" customHeight="1" x14ac:dyDescent="0.2">
      <c r="A578" s="17" t="s">
        <v>99</v>
      </c>
      <c r="B578" s="17" t="s">
        <v>134</v>
      </c>
      <c r="C578" s="17"/>
      <c r="D578" s="17" t="s">
        <v>135</v>
      </c>
      <c r="E578" s="19" t="s">
        <v>568</v>
      </c>
      <c r="F578" s="17" t="s">
        <v>3</v>
      </c>
      <c r="G578" s="17" t="str">
        <f>IF(CropLCAs[[#This Row],[fbs_item]]="Insects","insect_ghg","plant_ghg")</f>
        <v>plant_ghg</v>
      </c>
      <c r="H578" s="50" t="s">
        <v>137</v>
      </c>
      <c r="I578" s="50"/>
      <c r="J578" s="50"/>
      <c r="K578" s="17" t="s">
        <v>710</v>
      </c>
      <c r="L578" s="17"/>
      <c r="M578" s="17" t="s">
        <v>102</v>
      </c>
      <c r="N578" s="17" t="s">
        <v>102</v>
      </c>
      <c r="O578" s="17" t="s">
        <v>109</v>
      </c>
      <c r="P578" s="17" t="s">
        <v>102</v>
      </c>
      <c r="Q578" s="17" t="s">
        <v>247</v>
      </c>
      <c r="R578" s="17" t="s">
        <v>109</v>
      </c>
      <c r="S578" s="17" t="s">
        <v>102</v>
      </c>
      <c r="T578" s="17" t="s">
        <v>102</v>
      </c>
      <c r="U578" s="17">
        <v>100</v>
      </c>
      <c r="V578" s="17">
        <v>1</v>
      </c>
      <c r="W578" s="17" t="s">
        <v>106</v>
      </c>
      <c r="X578" s="30">
        <v>0.25</v>
      </c>
      <c r="Y578" s="17" t="s">
        <v>106</v>
      </c>
      <c r="Z578" s="17"/>
      <c r="AA578" s="17"/>
      <c r="AB578" s="30">
        <v>1</v>
      </c>
      <c r="AC578" s="17"/>
      <c r="AD578" s="17" t="str">
        <f t="shared" si="38"/>
        <v>kg_co2e_excl_luc</v>
      </c>
      <c r="AE578" s="30">
        <f>IF(CropLCAs[[#This Row],[Product fraction]]="",CropLCAs[[#This Row],[CO2e (value)]]*CropLCAs[[#This Row],[Conversion factor (value)]],CropLCAs[[#This Row],[CO2e (value)]]*CropLCAs[[#This Row],[Conversion factor (value)]]/CropLCAs[[#This Row],[Product fraction]]*CropLCAs[[#This Row],[Value fraction]])</f>
        <v>0.25</v>
      </c>
      <c r="AF578" s="19"/>
      <c r="AG578" s="19" t="str">
        <f t="shared" si="39"/>
        <v>processed_ghg</v>
      </c>
      <c r="AH578" s="19"/>
      <c r="AI578" s="19"/>
      <c r="AJ578" s="18" t="str">
        <f>IF(CropLCAs[[#This Row],[product_fraction]]&gt;0,CropLCAs[[#This Row],[footprint]]/CropLCAs[[#This Row],[product_fraction]]*CropLCAs[[#This Row],[value_fraction]],"")</f>
        <v/>
      </c>
      <c r="AK578" s="29"/>
      <c r="AL578" s="19" t="s">
        <v>711</v>
      </c>
      <c r="AM578" s="17" t="s">
        <v>246</v>
      </c>
      <c r="AN578" s="17"/>
      <c r="AO578" s="17"/>
      <c r="AP578" s="17"/>
      <c r="AQ578" s="17"/>
      <c r="AR578" s="17"/>
      <c r="AS578" s="17"/>
      <c r="AT578" s="17"/>
      <c r="AU578" s="17"/>
    </row>
    <row r="579" spans="1:47" ht="44.1" customHeight="1" x14ac:dyDescent="0.2">
      <c r="A579" s="5" t="s">
        <v>99</v>
      </c>
      <c r="B579" s="5" t="s">
        <v>1499</v>
      </c>
      <c r="C579" s="16">
        <v>2012</v>
      </c>
      <c r="D579" s="7" t="s">
        <v>135</v>
      </c>
      <c r="E579" s="6" t="s">
        <v>302</v>
      </c>
      <c r="F579" s="5" t="s">
        <v>8</v>
      </c>
      <c r="G579" s="5" t="str">
        <f>IF(CropLCAs[[#This Row],[fbs_item]]="Insects","insect_ghg","plant_ghg")</f>
        <v>plant_ghg</v>
      </c>
      <c r="H579" s="49" t="s">
        <v>253</v>
      </c>
      <c r="I579" s="49"/>
      <c r="J579" s="49" t="s">
        <v>1295</v>
      </c>
      <c r="K579" s="5" t="s">
        <v>138</v>
      </c>
      <c r="L579" s="5"/>
      <c r="M579" s="5" t="s">
        <v>102</v>
      </c>
      <c r="N579" s="5" t="s">
        <v>102</v>
      </c>
      <c r="O579" s="5" t="s">
        <v>109</v>
      </c>
      <c r="P579" s="5" t="s">
        <v>102</v>
      </c>
      <c r="Q579" s="5" t="s">
        <v>109</v>
      </c>
      <c r="R579" s="5" t="s">
        <v>139</v>
      </c>
      <c r="S579" s="5" t="s">
        <v>102</v>
      </c>
      <c r="T579" s="5" t="s">
        <v>102</v>
      </c>
      <c r="U579" s="5">
        <v>100</v>
      </c>
      <c r="V579" s="5">
        <v>1</v>
      </c>
      <c r="W579" s="5" t="s">
        <v>1276</v>
      </c>
      <c r="X579" s="24">
        <v>0.499</v>
      </c>
      <c r="Y579" s="5" t="s">
        <v>106</v>
      </c>
      <c r="Z579" s="5"/>
      <c r="AA579" s="5"/>
      <c r="AB579" s="24">
        <v>0.5</v>
      </c>
      <c r="AC579" s="5"/>
      <c r="AD579" s="5" t="str">
        <f t="shared" si="38"/>
        <v>kg_co2e_excl_luc</v>
      </c>
      <c r="AE579" s="24">
        <f>IF(CropLCAs[[#This Row],[Product fraction]]="",CropLCAs[[#This Row],[CO2e (value)]]*CropLCAs[[#This Row],[Conversion factor (value)]],CropLCAs[[#This Row],[CO2e (value)]]*CropLCAs[[#This Row],[Conversion factor (value)]]/CropLCAs[[#This Row],[Product fraction]]*CropLCAs[[#This Row],[Value fraction]])</f>
        <v>0.2495</v>
      </c>
      <c r="AF579" s="5"/>
      <c r="AG579" s="5" t="str">
        <f t="shared" si="39"/>
        <v>processed_ghg</v>
      </c>
      <c r="AH579" s="5"/>
      <c r="AI579" s="5"/>
      <c r="AJ579" s="8" t="str">
        <f>IF(CropLCAs[[#This Row],[product_fraction]]&gt;0,CropLCAs[[#This Row],[footprint]]/CropLCAs[[#This Row],[product_fraction]]*CropLCAs[[#This Row],[value_fraction]],"")</f>
        <v/>
      </c>
      <c r="AK579" s="23">
        <v>0.5</v>
      </c>
      <c r="AL579" s="5" t="s">
        <v>109</v>
      </c>
      <c r="AM579" s="5" t="s">
        <v>246</v>
      </c>
      <c r="AN579" s="5" t="s">
        <v>141</v>
      </c>
      <c r="AO579" s="5" t="s">
        <v>1280</v>
      </c>
      <c r="AP579" s="5"/>
      <c r="AQ579" s="17"/>
      <c r="AR579" s="17"/>
      <c r="AS579" s="17"/>
      <c r="AT579" s="17"/>
      <c r="AU579" s="17"/>
    </row>
    <row r="580" spans="1:47" ht="44.1" customHeight="1" x14ac:dyDescent="0.2">
      <c r="A580" s="5" t="s">
        <v>99</v>
      </c>
      <c r="B580" s="5" t="s">
        <v>1499</v>
      </c>
      <c r="C580" s="16">
        <v>2012</v>
      </c>
      <c r="D580" s="7" t="s">
        <v>135</v>
      </c>
      <c r="E580" s="6" t="s">
        <v>302</v>
      </c>
      <c r="F580" s="5" t="s">
        <v>8</v>
      </c>
      <c r="G580" s="5" t="str">
        <f>IF(CropLCAs[[#This Row],[fbs_item]]="Insects","insect_ghg","plant_ghg")</f>
        <v>plant_ghg</v>
      </c>
      <c r="H580" s="49" t="s">
        <v>253</v>
      </c>
      <c r="I580" s="49"/>
      <c r="J580" s="49" t="s">
        <v>1295</v>
      </c>
      <c r="K580" s="5" t="s">
        <v>115</v>
      </c>
      <c r="L580" s="5"/>
      <c r="M580" s="5" t="s">
        <v>102</v>
      </c>
      <c r="N580" s="5" t="s">
        <v>102</v>
      </c>
      <c r="O580" s="5" t="s">
        <v>109</v>
      </c>
      <c r="P580" s="5" t="s">
        <v>102</v>
      </c>
      <c r="Q580" s="5" t="s">
        <v>109</v>
      </c>
      <c r="R580" s="5" t="s">
        <v>139</v>
      </c>
      <c r="S580" s="5" t="s">
        <v>102</v>
      </c>
      <c r="T580" s="5" t="s">
        <v>102</v>
      </c>
      <c r="U580" s="5">
        <v>100</v>
      </c>
      <c r="V580" s="5">
        <v>1</v>
      </c>
      <c r="W580" s="5" t="s">
        <v>1276</v>
      </c>
      <c r="X580" s="24">
        <v>2.9420000000000002</v>
      </c>
      <c r="Y580" s="5" t="s">
        <v>106</v>
      </c>
      <c r="Z580" s="5"/>
      <c r="AA580" s="5"/>
      <c r="AB580" s="24">
        <v>0.5</v>
      </c>
      <c r="AC580" s="5"/>
      <c r="AD580" s="5" t="str">
        <f t="shared" si="38"/>
        <v>kg_co2e_excl_luc</v>
      </c>
      <c r="AE580" s="24">
        <f>IF(CropLCAs[[#This Row],[Product fraction]]="",CropLCAs[[#This Row],[CO2e (value)]]*CropLCAs[[#This Row],[Conversion factor (value)]],CropLCAs[[#This Row],[CO2e (value)]]*CropLCAs[[#This Row],[Conversion factor (value)]]/CropLCAs[[#This Row],[Product fraction]]*CropLCAs[[#This Row],[Value fraction]])</f>
        <v>1.4710000000000001</v>
      </c>
      <c r="AF580" s="5"/>
      <c r="AG580" s="5" t="str">
        <f t="shared" si="39"/>
        <v>processed_ghg</v>
      </c>
      <c r="AH580" s="5"/>
      <c r="AI580" s="5"/>
      <c r="AJ580" s="8" t="str">
        <f>IF(CropLCAs[[#This Row],[product_fraction]]&gt;0,CropLCAs[[#This Row],[footprint]]/CropLCAs[[#This Row],[product_fraction]]*CropLCAs[[#This Row],[value_fraction]],"")</f>
        <v/>
      </c>
      <c r="AK580" s="23">
        <v>0.5</v>
      </c>
      <c r="AL580" s="5" t="s">
        <v>109</v>
      </c>
      <c r="AM580" s="5" t="s">
        <v>246</v>
      </c>
      <c r="AN580" s="5" t="s">
        <v>141</v>
      </c>
      <c r="AO580" s="5" t="s">
        <v>1280</v>
      </c>
      <c r="AP580" s="5"/>
      <c r="AQ580" s="17"/>
      <c r="AR580" s="17"/>
      <c r="AS580" s="17"/>
      <c r="AT580" s="17"/>
      <c r="AU580" s="17"/>
    </row>
    <row r="581" spans="1:47" ht="44.1" customHeight="1" x14ac:dyDescent="0.2">
      <c r="A581" s="5" t="s">
        <v>123</v>
      </c>
      <c r="B581" s="5" t="s">
        <v>1500</v>
      </c>
      <c r="C581" s="16">
        <v>2007</v>
      </c>
      <c r="D581" s="10" t="s">
        <v>291</v>
      </c>
      <c r="E581" s="6" t="s">
        <v>1347</v>
      </c>
      <c r="F581" s="5" t="s">
        <v>13</v>
      </c>
      <c r="G581" s="5" t="str">
        <f>IF(CropLCAs[[#This Row],[fbs_item]]="Insects","insect_ghg","plant_ghg")</f>
        <v>plant_ghg</v>
      </c>
      <c r="H581" s="49" t="s">
        <v>143</v>
      </c>
      <c r="I581" s="49"/>
      <c r="J581" s="49"/>
      <c r="K581" s="5" t="s">
        <v>111</v>
      </c>
      <c r="L581" s="5"/>
      <c r="M581" s="5" t="s">
        <v>102</v>
      </c>
      <c r="N581" s="5" t="s">
        <v>102</v>
      </c>
      <c r="O581" s="5" t="s">
        <v>109</v>
      </c>
      <c r="P581" s="5" t="s">
        <v>102</v>
      </c>
      <c r="Q581" s="5" t="s">
        <v>102</v>
      </c>
      <c r="R581" s="5" t="s">
        <v>102</v>
      </c>
      <c r="S581" s="5" t="s">
        <v>102</v>
      </c>
      <c r="T581" s="5" t="s">
        <v>102</v>
      </c>
      <c r="U581" s="5" t="s">
        <v>126</v>
      </c>
      <c r="V581" s="5">
        <v>1</v>
      </c>
      <c r="W581" s="5" t="s">
        <v>127</v>
      </c>
      <c r="X581" s="24">
        <v>393.86</v>
      </c>
      <c r="Y581" s="5" t="s">
        <v>106</v>
      </c>
      <c r="Z581" s="5"/>
      <c r="AA581" s="5"/>
      <c r="AB581" s="24">
        <v>1E-3</v>
      </c>
      <c r="AC581" s="5" t="s">
        <v>195</v>
      </c>
      <c r="AD581" s="5" t="str">
        <f t="shared" ref="AD581:AD614" si="41">"kg_co2e_excl_luc"</f>
        <v>kg_co2e_excl_luc</v>
      </c>
      <c r="AE581" s="24">
        <f>IF(CropLCAs[[#This Row],[Product fraction]]="",CropLCAs[[#This Row],[CO2e (value)]]*CropLCAs[[#This Row],[Conversion factor (value)]],CropLCAs[[#This Row],[CO2e (value)]]*CropLCAs[[#This Row],[Conversion factor (value)]]/CropLCAs[[#This Row],[Product fraction]]*CropLCAs[[#This Row],[Value fraction]])</f>
        <v>0.39386000000000004</v>
      </c>
      <c r="AF581" s="5" t="s">
        <v>47</v>
      </c>
      <c r="AG581" s="5" t="str">
        <f t="shared" ref="AG581:AG614" si="42">"processed_ghg"</f>
        <v>processed_ghg</v>
      </c>
      <c r="AH581" s="5">
        <f>0.06*0.45</f>
        <v>2.7E-2</v>
      </c>
      <c r="AI581" s="5">
        <v>0.06</v>
      </c>
      <c r="AJ581" s="8">
        <f>IF(CropLCAs[[#This Row],[product_fraction]]&gt;0,CropLCAs[[#This Row],[footprint]]/CropLCAs[[#This Row],[product_fraction]]*CropLCAs[[#This Row],[value_fraction]],"")</f>
        <v>0.8752444444444446</v>
      </c>
      <c r="AK581" s="23">
        <v>1</v>
      </c>
      <c r="AL581" s="5" t="s">
        <v>109</v>
      </c>
      <c r="AM581" s="5"/>
      <c r="AN581" s="5"/>
      <c r="AO581" s="5"/>
      <c r="AP581" s="5"/>
      <c r="AQ581" s="17"/>
      <c r="AR581" s="17"/>
      <c r="AS581" s="17"/>
      <c r="AT581" s="17"/>
      <c r="AU581" s="17"/>
    </row>
    <row r="582" spans="1:47" ht="44.1" customHeight="1" x14ac:dyDescent="0.2">
      <c r="A582" s="5" t="s">
        <v>123</v>
      </c>
      <c r="B582" s="5" t="s">
        <v>1500</v>
      </c>
      <c r="C582" s="16">
        <v>2007</v>
      </c>
      <c r="D582" s="10" t="s">
        <v>291</v>
      </c>
      <c r="E582" s="6" t="s">
        <v>1321</v>
      </c>
      <c r="F582" s="5" t="s">
        <v>5</v>
      </c>
      <c r="G582" s="5" t="str">
        <f>IF(CropLCAs[[#This Row],[fbs_item]]="Insects","insect_ghg","plant_ghg")</f>
        <v>plant_ghg</v>
      </c>
      <c r="H582" s="49" t="s">
        <v>143</v>
      </c>
      <c r="I582" s="49"/>
      <c r="J582" s="49"/>
      <c r="K582" s="5" t="s">
        <v>111</v>
      </c>
      <c r="L582" s="5"/>
      <c r="M582" s="5" t="s">
        <v>102</v>
      </c>
      <c r="N582" s="5" t="s">
        <v>102</v>
      </c>
      <c r="O582" s="5" t="s">
        <v>109</v>
      </c>
      <c r="P582" s="5" t="s">
        <v>102</v>
      </c>
      <c r="Q582" s="5" t="s">
        <v>102</v>
      </c>
      <c r="R582" s="5" t="s">
        <v>102</v>
      </c>
      <c r="S582" s="5" t="s">
        <v>102</v>
      </c>
      <c r="T582" s="5" t="s">
        <v>102</v>
      </c>
      <c r="U582" s="5" t="s">
        <v>126</v>
      </c>
      <c r="V582" s="5">
        <v>1</v>
      </c>
      <c r="W582" s="5" t="s">
        <v>127</v>
      </c>
      <c r="X582" s="24">
        <v>667.02</v>
      </c>
      <c r="Y582" s="5" t="s">
        <v>106</v>
      </c>
      <c r="Z582" s="5"/>
      <c r="AA582" s="5"/>
      <c r="AB582" s="24">
        <v>1E-3</v>
      </c>
      <c r="AC582" s="5" t="s">
        <v>195</v>
      </c>
      <c r="AD582" s="5" t="str">
        <f t="shared" si="41"/>
        <v>kg_co2e_excl_luc</v>
      </c>
      <c r="AE582" s="24">
        <f>IF(CropLCAs[[#This Row],[Product fraction]]="",CropLCAs[[#This Row],[CO2e (value)]]*CropLCAs[[#This Row],[Conversion factor (value)]],CropLCAs[[#This Row],[CO2e (value)]]*CropLCAs[[#This Row],[Conversion factor (value)]]/CropLCAs[[#This Row],[Product fraction]]*CropLCAs[[#This Row],[Value fraction]])</f>
        <v>0.66701999999999995</v>
      </c>
      <c r="AF582" s="5"/>
      <c r="AG582" s="5" t="str">
        <f t="shared" si="42"/>
        <v>processed_ghg</v>
      </c>
      <c r="AH582" s="5"/>
      <c r="AI582" s="5"/>
      <c r="AJ582" s="8" t="str">
        <f>IF(CropLCAs[[#This Row],[product_fraction]]&gt;0,CropLCAs[[#This Row],[footprint]]/CropLCAs[[#This Row],[product_fraction]]*CropLCAs[[#This Row],[value_fraction]],"")</f>
        <v/>
      </c>
      <c r="AK582" s="23">
        <v>1</v>
      </c>
      <c r="AL582" s="5" t="s">
        <v>109</v>
      </c>
      <c r="AM582" s="5"/>
      <c r="AN582" s="5"/>
      <c r="AO582" s="5"/>
      <c r="AP582" s="5"/>
      <c r="AQ582" s="17"/>
      <c r="AR582" s="17"/>
      <c r="AS582" s="17"/>
      <c r="AT582" s="17"/>
      <c r="AU582" s="17"/>
    </row>
    <row r="583" spans="1:47" ht="44.1" customHeight="1" x14ac:dyDescent="0.2">
      <c r="A583" s="5" t="s">
        <v>123</v>
      </c>
      <c r="B583" s="5" t="s">
        <v>1500</v>
      </c>
      <c r="C583" s="16">
        <v>2010</v>
      </c>
      <c r="D583" s="10" t="s">
        <v>448</v>
      </c>
      <c r="E583" s="6" t="s">
        <v>431</v>
      </c>
      <c r="F583" s="5" t="s">
        <v>18</v>
      </c>
      <c r="G583" s="5" t="str">
        <f>IF(CropLCAs[[#This Row],[fbs_item]]="Insects","insect_ghg","plant_ghg")</f>
        <v>plant_ghg</v>
      </c>
      <c r="H583" s="49" t="s">
        <v>143</v>
      </c>
      <c r="I583" s="49"/>
      <c r="J583" s="49"/>
      <c r="K583" s="5" t="s">
        <v>111</v>
      </c>
      <c r="L583" s="5"/>
      <c r="M583" s="5" t="s">
        <v>102</v>
      </c>
      <c r="N583" s="5" t="s">
        <v>102</v>
      </c>
      <c r="O583" s="5" t="s">
        <v>109</v>
      </c>
      <c r="P583" s="5" t="s">
        <v>102</v>
      </c>
      <c r="Q583" s="5" t="s">
        <v>102</v>
      </c>
      <c r="R583" s="5" t="s">
        <v>102</v>
      </c>
      <c r="S583" s="5" t="s">
        <v>102</v>
      </c>
      <c r="T583" s="5" t="s">
        <v>102</v>
      </c>
      <c r="U583" s="5" t="s">
        <v>126</v>
      </c>
      <c r="V583" s="5">
        <v>1</v>
      </c>
      <c r="W583" s="5" t="s">
        <v>1430</v>
      </c>
      <c r="X583" s="24">
        <f>1511.1162</f>
        <v>1511.1161999999999</v>
      </c>
      <c r="Y583" s="5" t="s">
        <v>106</v>
      </c>
      <c r="Z583" s="5">
        <f>0.77*0.9</f>
        <v>0.69300000000000006</v>
      </c>
      <c r="AA583" s="5">
        <v>0.81</v>
      </c>
      <c r="AB583" s="28">
        <f>0.001</f>
        <v>1E-3</v>
      </c>
      <c r="AC583" s="5" t="s">
        <v>195</v>
      </c>
      <c r="AD583" s="5" t="str">
        <f t="shared" si="41"/>
        <v>kg_co2e_excl_luc</v>
      </c>
      <c r="AE583" s="24">
        <f>IF(CropLCAs[[#This Row],[Product fraction]]="",CropLCAs[[#This Row],[CO2e (value)]]*CropLCAs[[#This Row],[Conversion factor (value)]],CropLCAs[[#This Row],[CO2e (value)]]*CropLCAs[[#This Row],[Conversion factor (value)]]/CropLCAs[[#This Row],[Product fraction]]*CropLCAs[[#This Row],[Value fraction]])</f>
        <v>1.7662397142857145</v>
      </c>
      <c r="AF583" s="5" t="s">
        <v>46</v>
      </c>
      <c r="AG583" s="5" t="str">
        <f t="shared" si="42"/>
        <v>processed_ghg</v>
      </c>
      <c r="AH583" s="5">
        <f>0.08*0.14</f>
        <v>1.1200000000000002E-2</v>
      </c>
      <c r="AI583" s="5">
        <f>0.19*0.33</f>
        <v>6.2700000000000006E-2</v>
      </c>
      <c r="AJ583" s="8">
        <f>IF(CropLCAs[[#This Row],[product_fraction]]&gt;0,CropLCAs[[#This Row],[footprint]]/CropLCAs[[#This Row],[product_fraction]]*CropLCAs[[#This Row],[value_fraction]],"")</f>
        <v>9.887788400510205</v>
      </c>
      <c r="AK583" s="23">
        <v>1</v>
      </c>
      <c r="AL583" s="5" t="s">
        <v>109</v>
      </c>
      <c r="AM583" s="5" t="s">
        <v>449</v>
      </c>
      <c r="AN583" s="5"/>
      <c r="AO583" s="5"/>
      <c r="AP583" s="5"/>
      <c r="AQ583" s="17"/>
      <c r="AR583" s="17"/>
      <c r="AS583" s="17"/>
      <c r="AT583" s="17"/>
      <c r="AU583" s="17"/>
    </row>
    <row r="584" spans="1:47" ht="44.1" customHeight="1" x14ac:dyDescent="0.2">
      <c r="A584" s="5" t="s">
        <v>123</v>
      </c>
      <c r="B584" s="5" t="s">
        <v>1500</v>
      </c>
      <c r="C584" s="16">
        <v>2014</v>
      </c>
      <c r="D584" s="10" t="s">
        <v>292</v>
      </c>
      <c r="E584" s="6" t="s">
        <v>1347</v>
      </c>
      <c r="F584" s="5" t="s">
        <v>13</v>
      </c>
      <c r="G584" s="5" t="str">
        <f>IF(CropLCAs[[#This Row],[fbs_item]]="Insects","insect_ghg","plant_ghg")</f>
        <v>plant_ghg</v>
      </c>
      <c r="H584" s="49" t="s">
        <v>143</v>
      </c>
      <c r="I584" s="49"/>
      <c r="J584" s="49"/>
      <c r="K584" s="5" t="s">
        <v>1348</v>
      </c>
      <c r="L584" s="5" t="s">
        <v>293</v>
      </c>
      <c r="M584" s="5" t="s">
        <v>102</v>
      </c>
      <c r="N584" s="5" t="s">
        <v>109</v>
      </c>
      <c r="O584" s="5" t="s">
        <v>109</v>
      </c>
      <c r="P584" s="5" t="s">
        <v>102</v>
      </c>
      <c r="Q584" s="5" t="s">
        <v>102</v>
      </c>
      <c r="R584" s="5" t="s">
        <v>102</v>
      </c>
      <c r="S584" s="5" t="s">
        <v>102</v>
      </c>
      <c r="T584" s="5" t="s">
        <v>102</v>
      </c>
      <c r="U584" s="5">
        <v>100</v>
      </c>
      <c r="V584" s="5">
        <v>1</v>
      </c>
      <c r="W584" s="5" t="s">
        <v>127</v>
      </c>
      <c r="X584" s="24">
        <v>487.30599999999998</v>
      </c>
      <c r="Y584" s="5" t="s">
        <v>106</v>
      </c>
      <c r="Z584" s="5"/>
      <c r="AA584" s="5"/>
      <c r="AB584" s="24">
        <v>1E-3</v>
      </c>
      <c r="AC584" s="5" t="s">
        <v>195</v>
      </c>
      <c r="AD584" s="5" t="str">
        <f t="shared" si="41"/>
        <v>kg_co2e_excl_luc</v>
      </c>
      <c r="AE584" s="24">
        <f>IF(CropLCAs[[#This Row],[Product fraction]]="",CropLCAs[[#This Row],[CO2e (value)]]*CropLCAs[[#This Row],[Conversion factor (value)]],CropLCAs[[#This Row],[CO2e (value)]]*CropLCAs[[#This Row],[Conversion factor (value)]]/CropLCAs[[#This Row],[Product fraction]]*CropLCAs[[#This Row],[Value fraction]])</f>
        <v>0.48730600000000002</v>
      </c>
      <c r="AF584" s="5" t="s">
        <v>47</v>
      </c>
      <c r="AG584" s="5" t="str">
        <f t="shared" si="42"/>
        <v>processed_ghg</v>
      </c>
      <c r="AH584" s="5">
        <f>0.06*0.45</f>
        <v>2.7E-2</v>
      </c>
      <c r="AI584" s="5">
        <v>0.06</v>
      </c>
      <c r="AJ584" s="8">
        <f>IF(CropLCAs[[#This Row],[product_fraction]]&gt;0,CropLCAs[[#This Row],[footprint]]/CropLCAs[[#This Row],[product_fraction]]*CropLCAs[[#This Row],[value_fraction]],"")</f>
        <v>1.0829022222222222</v>
      </c>
      <c r="AK584" s="23">
        <v>0.5</v>
      </c>
      <c r="AL584" s="5" t="s">
        <v>109</v>
      </c>
      <c r="AM584" s="5" t="s">
        <v>294</v>
      </c>
      <c r="AN584" s="5" t="s">
        <v>295</v>
      </c>
      <c r="AO584" s="5"/>
      <c r="AP584" s="5"/>
      <c r="AQ584" s="17"/>
      <c r="AR584" s="17"/>
      <c r="AS584" s="17"/>
      <c r="AT584" s="17"/>
      <c r="AU584" s="17"/>
    </row>
    <row r="585" spans="1:47" ht="44.1" customHeight="1" x14ac:dyDescent="0.2">
      <c r="A585" s="5" t="s">
        <v>123</v>
      </c>
      <c r="B585" s="5" t="s">
        <v>1500</v>
      </c>
      <c r="C585" s="16">
        <v>2014</v>
      </c>
      <c r="D585" s="10" t="s">
        <v>292</v>
      </c>
      <c r="E585" s="6" t="s">
        <v>1347</v>
      </c>
      <c r="F585" s="5" t="s">
        <v>13</v>
      </c>
      <c r="G585" s="5" t="str">
        <f>IF(CropLCAs[[#This Row],[fbs_item]]="Insects","insect_ghg","plant_ghg")</f>
        <v>plant_ghg</v>
      </c>
      <c r="H585" s="49" t="s">
        <v>143</v>
      </c>
      <c r="I585" s="49"/>
      <c r="J585" s="49"/>
      <c r="K585" s="5" t="s">
        <v>111</v>
      </c>
      <c r="L585" s="5"/>
      <c r="M585" s="5" t="s">
        <v>102</v>
      </c>
      <c r="N585" s="5" t="s">
        <v>109</v>
      </c>
      <c r="O585" s="5" t="s">
        <v>109</v>
      </c>
      <c r="P585" s="5" t="s">
        <v>102</v>
      </c>
      <c r="Q585" s="5" t="s">
        <v>102</v>
      </c>
      <c r="R585" s="5" t="s">
        <v>102</v>
      </c>
      <c r="S585" s="5" t="s">
        <v>102</v>
      </c>
      <c r="T585" s="5" t="s">
        <v>102</v>
      </c>
      <c r="U585" s="5">
        <v>100</v>
      </c>
      <c r="V585" s="5">
        <v>1</v>
      </c>
      <c r="W585" s="5" t="s">
        <v>127</v>
      </c>
      <c r="X585" s="24">
        <v>561.52449999999999</v>
      </c>
      <c r="Y585" s="5" t="s">
        <v>106</v>
      </c>
      <c r="Z585" s="5"/>
      <c r="AA585" s="5"/>
      <c r="AB585" s="24">
        <v>1E-3</v>
      </c>
      <c r="AC585" s="5" t="s">
        <v>195</v>
      </c>
      <c r="AD585" s="5" t="str">
        <f t="shared" si="41"/>
        <v>kg_co2e_excl_luc</v>
      </c>
      <c r="AE585" s="24">
        <f>IF(CropLCAs[[#This Row],[Product fraction]]="",CropLCAs[[#This Row],[CO2e (value)]]*CropLCAs[[#This Row],[Conversion factor (value)]],CropLCAs[[#This Row],[CO2e (value)]]*CropLCAs[[#This Row],[Conversion factor (value)]]/CropLCAs[[#This Row],[Product fraction]]*CropLCAs[[#This Row],[Value fraction]])</f>
        <v>0.56152449999999998</v>
      </c>
      <c r="AF585" s="5" t="s">
        <v>47</v>
      </c>
      <c r="AG585" s="5" t="str">
        <f t="shared" si="42"/>
        <v>processed_ghg</v>
      </c>
      <c r="AH585" s="5">
        <f>0.06*0.45</f>
        <v>2.7E-2</v>
      </c>
      <c r="AI585" s="5">
        <v>0.06</v>
      </c>
      <c r="AJ585" s="8">
        <f>IF(CropLCAs[[#This Row],[product_fraction]]&gt;0,CropLCAs[[#This Row],[footprint]]/CropLCAs[[#This Row],[product_fraction]]*CropLCAs[[#This Row],[value_fraction]],"")</f>
        <v>1.2478322222222222</v>
      </c>
      <c r="AK585" s="23">
        <v>0.5</v>
      </c>
      <c r="AL585" s="5" t="s">
        <v>109</v>
      </c>
      <c r="AM585" s="5"/>
      <c r="AN585" s="5"/>
      <c r="AO585" s="5"/>
      <c r="AP585" s="5"/>
      <c r="AQ585" s="17"/>
      <c r="AR585" s="17"/>
      <c r="AS585" s="17"/>
      <c r="AT585" s="17"/>
      <c r="AU585" s="17"/>
    </row>
    <row r="586" spans="1:47" ht="44.1" customHeight="1" x14ac:dyDescent="0.2">
      <c r="A586" s="5" t="s">
        <v>123</v>
      </c>
      <c r="B586" s="5" t="s">
        <v>1500</v>
      </c>
      <c r="C586" s="16">
        <v>2014</v>
      </c>
      <c r="D586" s="10" t="s">
        <v>292</v>
      </c>
      <c r="E586" s="6" t="s">
        <v>1321</v>
      </c>
      <c r="F586" s="5" t="s">
        <v>5</v>
      </c>
      <c r="G586" s="5" t="str">
        <f>IF(CropLCAs[[#This Row],[fbs_item]]="Insects","insect_ghg","plant_ghg")</f>
        <v>plant_ghg</v>
      </c>
      <c r="H586" s="49" t="s">
        <v>143</v>
      </c>
      <c r="I586" s="49"/>
      <c r="J586" s="49"/>
      <c r="K586" s="5" t="s">
        <v>1348</v>
      </c>
      <c r="L586" s="5" t="s">
        <v>293</v>
      </c>
      <c r="M586" s="5" t="s">
        <v>102</v>
      </c>
      <c r="N586" s="5" t="s">
        <v>109</v>
      </c>
      <c r="O586" s="5" t="s">
        <v>109</v>
      </c>
      <c r="P586" s="5" t="s">
        <v>102</v>
      </c>
      <c r="Q586" s="5" t="s">
        <v>102</v>
      </c>
      <c r="R586" s="5" t="s">
        <v>102</v>
      </c>
      <c r="S586" s="5" t="s">
        <v>102</v>
      </c>
      <c r="T586" s="5" t="s">
        <v>102</v>
      </c>
      <c r="U586" s="5">
        <v>100</v>
      </c>
      <c r="V586" s="5">
        <v>1</v>
      </c>
      <c r="W586" s="5" t="s">
        <v>127</v>
      </c>
      <c r="X586" s="24">
        <v>1286.3541</v>
      </c>
      <c r="Y586" s="5" t="s">
        <v>106</v>
      </c>
      <c r="Z586" s="5"/>
      <c r="AA586" s="5"/>
      <c r="AB586" s="24">
        <v>1E-3</v>
      </c>
      <c r="AC586" s="5" t="s">
        <v>195</v>
      </c>
      <c r="AD586" s="5" t="str">
        <f t="shared" si="41"/>
        <v>kg_co2e_excl_luc</v>
      </c>
      <c r="AE586" s="24">
        <f>IF(CropLCAs[[#This Row],[Product fraction]]="",CropLCAs[[#This Row],[CO2e (value)]]*CropLCAs[[#This Row],[Conversion factor (value)]],CropLCAs[[#This Row],[CO2e (value)]]*CropLCAs[[#This Row],[Conversion factor (value)]]/CropLCAs[[#This Row],[Product fraction]]*CropLCAs[[#This Row],[Value fraction]])</f>
        <v>1.2863541000000001</v>
      </c>
      <c r="AF586" s="5"/>
      <c r="AG586" s="5" t="str">
        <f t="shared" si="42"/>
        <v>processed_ghg</v>
      </c>
      <c r="AH586" s="5"/>
      <c r="AI586" s="5"/>
      <c r="AJ586" s="8" t="str">
        <f>IF(CropLCAs[[#This Row],[product_fraction]]&gt;0,CropLCAs[[#This Row],[footprint]]/CropLCAs[[#This Row],[product_fraction]]*CropLCAs[[#This Row],[value_fraction]],"")</f>
        <v/>
      </c>
      <c r="AK586" s="23">
        <v>0.5</v>
      </c>
      <c r="AL586" s="5" t="s">
        <v>109</v>
      </c>
      <c r="AM586" s="5" t="s">
        <v>692</v>
      </c>
      <c r="AN586" s="5"/>
      <c r="AO586" s="5"/>
      <c r="AP586" s="5"/>
      <c r="AQ586" s="17"/>
      <c r="AR586" s="17"/>
      <c r="AS586" s="17"/>
      <c r="AT586" s="17"/>
      <c r="AU586" s="17"/>
    </row>
    <row r="587" spans="1:47" ht="44.1" customHeight="1" x14ac:dyDescent="0.2">
      <c r="A587" s="5" t="s">
        <v>123</v>
      </c>
      <c r="B587" s="5" t="s">
        <v>1500</v>
      </c>
      <c r="C587" s="16">
        <v>2014</v>
      </c>
      <c r="D587" s="10" t="s">
        <v>292</v>
      </c>
      <c r="E587" s="6" t="s">
        <v>1321</v>
      </c>
      <c r="F587" s="5" t="s">
        <v>5</v>
      </c>
      <c r="G587" s="5" t="str">
        <f>IF(CropLCAs[[#This Row],[fbs_item]]="Insects","insect_ghg","plant_ghg")</f>
        <v>plant_ghg</v>
      </c>
      <c r="H587" s="49" t="s">
        <v>143</v>
      </c>
      <c r="I587" s="49"/>
      <c r="J587" s="49"/>
      <c r="K587" s="5" t="s">
        <v>111</v>
      </c>
      <c r="L587" s="5"/>
      <c r="M587" s="5" t="s">
        <v>102</v>
      </c>
      <c r="N587" s="5" t="s">
        <v>109</v>
      </c>
      <c r="O587" s="5" t="s">
        <v>109</v>
      </c>
      <c r="P587" s="5" t="s">
        <v>102</v>
      </c>
      <c r="Q587" s="5" t="s">
        <v>102</v>
      </c>
      <c r="R587" s="5" t="s">
        <v>102</v>
      </c>
      <c r="S587" s="5" t="s">
        <v>102</v>
      </c>
      <c r="T587" s="5" t="s">
        <v>102</v>
      </c>
      <c r="U587" s="5">
        <v>100</v>
      </c>
      <c r="V587" s="5">
        <v>1</v>
      </c>
      <c r="W587" s="5" t="s">
        <v>127</v>
      </c>
      <c r="X587" s="24">
        <v>1488.2127</v>
      </c>
      <c r="Y587" s="5" t="s">
        <v>106</v>
      </c>
      <c r="Z587" s="5"/>
      <c r="AA587" s="5"/>
      <c r="AB587" s="24">
        <v>1E-3</v>
      </c>
      <c r="AC587" s="5" t="s">
        <v>195</v>
      </c>
      <c r="AD587" s="5" t="str">
        <f t="shared" si="41"/>
        <v>kg_co2e_excl_luc</v>
      </c>
      <c r="AE587" s="24">
        <f>IF(CropLCAs[[#This Row],[Product fraction]]="",CropLCAs[[#This Row],[CO2e (value)]]*CropLCAs[[#This Row],[Conversion factor (value)]],CropLCAs[[#This Row],[CO2e (value)]]*CropLCAs[[#This Row],[Conversion factor (value)]]/CropLCAs[[#This Row],[Product fraction]]*CropLCAs[[#This Row],[Value fraction]])</f>
        <v>1.4882127000000001</v>
      </c>
      <c r="AF587" s="5"/>
      <c r="AG587" s="5" t="str">
        <f t="shared" si="42"/>
        <v>processed_ghg</v>
      </c>
      <c r="AH587" s="5"/>
      <c r="AI587" s="5"/>
      <c r="AJ587" s="8" t="str">
        <f>IF(CropLCAs[[#This Row],[product_fraction]]&gt;0,CropLCAs[[#This Row],[footprint]]/CropLCAs[[#This Row],[product_fraction]]*CropLCAs[[#This Row],[value_fraction]],"")</f>
        <v/>
      </c>
      <c r="AK587" s="23">
        <v>0.5</v>
      </c>
      <c r="AL587" s="5" t="s">
        <v>109</v>
      </c>
      <c r="AM587" s="5"/>
      <c r="AN587" s="5"/>
      <c r="AO587" s="5"/>
      <c r="AP587" s="5"/>
      <c r="AQ587" s="17"/>
      <c r="AR587" s="17"/>
      <c r="AS587" s="17"/>
      <c r="AT587" s="17"/>
      <c r="AU587" s="17"/>
    </row>
    <row r="588" spans="1:47" ht="44.1" customHeight="1" x14ac:dyDescent="0.2">
      <c r="A588" s="5" t="s">
        <v>385</v>
      </c>
      <c r="B588" s="5" t="s">
        <v>1501</v>
      </c>
      <c r="C588" s="16">
        <v>2010</v>
      </c>
      <c r="D588" s="6" t="s">
        <v>386</v>
      </c>
      <c r="E588" s="6" t="s">
        <v>430</v>
      </c>
      <c r="F588" s="5" t="s">
        <v>23</v>
      </c>
      <c r="G588" s="5" t="str">
        <f>IF(CropLCAs[[#This Row],[fbs_item]]="Insects","insect_ghg","plant_ghg")</f>
        <v>plant_ghg</v>
      </c>
      <c r="H588" s="49" t="s">
        <v>1297</v>
      </c>
      <c r="I588" s="49"/>
      <c r="J588" s="49"/>
      <c r="K588" s="5" t="s">
        <v>111</v>
      </c>
      <c r="L588" s="5"/>
      <c r="M588" s="5" t="s">
        <v>102</v>
      </c>
      <c r="N588" s="5" t="s">
        <v>109</v>
      </c>
      <c r="O588" s="5" t="s">
        <v>109</v>
      </c>
      <c r="P588" s="5" t="s">
        <v>102</v>
      </c>
      <c r="Q588" s="5" t="s">
        <v>102</v>
      </c>
      <c r="R588" s="5" t="s">
        <v>102</v>
      </c>
      <c r="S588" s="5" t="s">
        <v>102</v>
      </c>
      <c r="T588" s="5" t="s">
        <v>388</v>
      </c>
      <c r="U588" s="5">
        <v>100</v>
      </c>
      <c r="V588" s="5">
        <v>1</v>
      </c>
      <c r="W588" s="5" t="s">
        <v>127</v>
      </c>
      <c r="X588" s="24">
        <v>1.4</v>
      </c>
      <c r="Y588" s="5" t="s">
        <v>127</v>
      </c>
      <c r="Z588" s="5"/>
      <c r="AA588" s="5"/>
      <c r="AB588" s="24">
        <v>1</v>
      </c>
      <c r="AC588" s="5"/>
      <c r="AD588" s="5" t="str">
        <f t="shared" si="41"/>
        <v>kg_co2e_excl_luc</v>
      </c>
      <c r="AE588" s="24">
        <f>IF(CropLCAs[[#This Row],[Product fraction]]="",CropLCAs[[#This Row],[CO2e (value)]]*CropLCAs[[#This Row],[Conversion factor (value)]],CropLCAs[[#This Row],[CO2e (value)]]*CropLCAs[[#This Row],[Conversion factor (value)]]/CropLCAs[[#This Row],[Product fraction]]*CropLCAs[[#This Row],[Value fraction]])</f>
        <v>1.4</v>
      </c>
      <c r="AF588" s="5" t="s">
        <v>42</v>
      </c>
      <c r="AG588" s="5" t="str">
        <f t="shared" si="42"/>
        <v>processed_ghg</v>
      </c>
      <c r="AH588" s="5">
        <v>0.38</v>
      </c>
      <c r="AI588" s="5">
        <v>0.71</v>
      </c>
      <c r="AJ588" s="8">
        <f>IF(CropLCAs[[#This Row],[product_fraction]]&gt;0,CropLCAs[[#This Row],[footprint]]/CropLCAs[[#This Row],[product_fraction]]*CropLCAs[[#This Row],[value_fraction]],"")</f>
        <v>2.6157894736842104</v>
      </c>
      <c r="AK588" s="23">
        <v>1</v>
      </c>
      <c r="AL588" s="5" t="s">
        <v>109</v>
      </c>
      <c r="AM588" s="5" t="s">
        <v>389</v>
      </c>
      <c r="AN588" s="5"/>
      <c r="AO588" s="5" t="s">
        <v>1239</v>
      </c>
      <c r="AP588" s="5"/>
      <c r="AQ588" s="17"/>
      <c r="AR588" s="17"/>
      <c r="AS588" s="17"/>
      <c r="AT588" s="17"/>
      <c r="AU588" s="17"/>
    </row>
    <row r="589" spans="1:47" ht="44.1" customHeight="1" x14ac:dyDescent="0.2">
      <c r="A589" s="5" t="s">
        <v>385</v>
      </c>
      <c r="B589" s="5" t="s">
        <v>1501</v>
      </c>
      <c r="C589" s="16">
        <v>2010</v>
      </c>
      <c r="D589" s="6" t="s">
        <v>386</v>
      </c>
      <c r="E589" s="6" t="s">
        <v>376</v>
      </c>
      <c r="F589" s="5" t="s">
        <v>16</v>
      </c>
      <c r="G589" s="5" t="str">
        <f>IF(CropLCAs[[#This Row],[fbs_item]]="Insects","insect_ghg","plant_ghg")</f>
        <v>plant_ghg</v>
      </c>
      <c r="H589" s="49" t="s">
        <v>1297</v>
      </c>
      <c r="I589" s="49"/>
      <c r="J589" s="49"/>
      <c r="K589" s="5" t="s">
        <v>111</v>
      </c>
      <c r="L589" s="5" t="s">
        <v>387</v>
      </c>
      <c r="M589" s="5" t="s">
        <v>102</v>
      </c>
      <c r="N589" s="5" t="s">
        <v>109</v>
      </c>
      <c r="O589" s="5" t="s">
        <v>109</v>
      </c>
      <c r="P589" s="5" t="s">
        <v>102</v>
      </c>
      <c r="Q589" s="5" t="s">
        <v>102</v>
      </c>
      <c r="R589" s="5" t="s">
        <v>102</v>
      </c>
      <c r="S589" s="5" t="s">
        <v>102</v>
      </c>
      <c r="T589" s="5" t="s">
        <v>388</v>
      </c>
      <c r="U589" s="5">
        <v>100</v>
      </c>
      <c r="V589" s="5">
        <v>1</v>
      </c>
      <c r="W589" s="5" t="s">
        <v>127</v>
      </c>
      <c r="X589" s="24">
        <v>0.17</v>
      </c>
      <c r="Y589" s="5" t="s">
        <v>127</v>
      </c>
      <c r="Z589" s="5"/>
      <c r="AA589" s="5"/>
      <c r="AB589" s="24">
        <v>1</v>
      </c>
      <c r="AC589" s="5"/>
      <c r="AD589" s="5" t="str">
        <f t="shared" si="41"/>
        <v>kg_co2e_excl_luc</v>
      </c>
      <c r="AE589" s="24">
        <f>IF(CropLCAs[[#This Row],[Product fraction]]="",CropLCAs[[#This Row],[CO2e (value)]]*CropLCAs[[#This Row],[Conversion factor (value)]],CropLCAs[[#This Row],[CO2e (value)]]*CropLCAs[[#This Row],[Conversion factor (value)]]/CropLCAs[[#This Row],[Product fraction]]*CropLCAs[[#This Row],[Value fraction]])</f>
        <v>0.17</v>
      </c>
      <c r="AF589" s="5"/>
      <c r="AG589" s="5" t="str">
        <f t="shared" si="42"/>
        <v>processed_ghg</v>
      </c>
      <c r="AH589" s="5"/>
      <c r="AI589" s="5"/>
      <c r="AJ589" s="8" t="str">
        <f>IF(CropLCAs[[#This Row],[product_fraction]]&gt;0,CropLCAs[[#This Row],[footprint]]/CropLCAs[[#This Row],[product_fraction]]*CropLCAs[[#This Row],[value_fraction]],"")</f>
        <v/>
      </c>
      <c r="AK589" s="23">
        <f>1/4</f>
        <v>0.25</v>
      </c>
      <c r="AL589" s="5" t="s">
        <v>109</v>
      </c>
      <c r="AM589" s="5" t="s">
        <v>389</v>
      </c>
      <c r="AN589" s="5" t="s">
        <v>390</v>
      </c>
      <c r="AO589" s="5" t="s">
        <v>1239</v>
      </c>
      <c r="AP589" s="5"/>
      <c r="AQ589" s="17"/>
      <c r="AR589" s="17"/>
      <c r="AS589" s="17"/>
      <c r="AT589" s="17"/>
      <c r="AU589" s="17"/>
    </row>
    <row r="590" spans="1:47" ht="44.1" customHeight="1" x14ac:dyDescent="0.2">
      <c r="A590" s="5" t="s">
        <v>385</v>
      </c>
      <c r="B590" s="5" t="s">
        <v>1501</v>
      </c>
      <c r="C590" s="16">
        <v>2010</v>
      </c>
      <c r="D590" s="6" t="s">
        <v>386</v>
      </c>
      <c r="E590" s="6" t="s">
        <v>376</v>
      </c>
      <c r="F590" s="5" t="s">
        <v>16</v>
      </c>
      <c r="G590" s="5" t="str">
        <f>IF(CropLCAs[[#This Row],[fbs_item]]="Insects","insect_ghg","plant_ghg")</f>
        <v>plant_ghg</v>
      </c>
      <c r="H590" s="49" t="s">
        <v>1297</v>
      </c>
      <c r="I590" s="49"/>
      <c r="J590" s="49"/>
      <c r="K590" s="5" t="s">
        <v>138</v>
      </c>
      <c r="L590" s="5" t="s">
        <v>391</v>
      </c>
      <c r="M590" s="5" t="s">
        <v>102</v>
      </c>
      <c r="N590" s="5" t="s">
        <v>109</v>
      </c>
      <c r="O590" s="5" t="s">
        <v>109</v>
      </c>
      <c r="P590" s="5" t="s">
        <v>102</v>
      </c>
      <c r="Q590" s="5" t="s">
        <v>102</v>
      </c>
      <c r="R590" s="5" t="s">
        <v>102</v>
      </c>
      <c r="S590" s="5" t="s">
        <v>102</v>
      </c>
      <c r="T590" s="5" t="s">
        <v>388</v>
      </c>
      <c r="U590" s="5">
        <v>100</v>
      </c>
      <c r="V590" s="5">
        <v>1</v>
      </c>
      <c r="W590" s="5" t="s">
        <v>127</v>
      </c>
      <c r="X590" s="24">
        <v>0.28999999999999998</v>
      </c>
      <c r="Y590" s="5" t="s">
        <v>127</v>
      </c>
      <c r="Z590" s="5"/>
      <c r="AA590" s="5"/>
      <c r="AB590" s="24">
        <v>1</v>
      </c>
      <c r="AC590" s="5"/>
      <c r="AD590" s="5" t="str">
        <f t="shared" si="41"/>
        <v>kg_co2e_excl_luc</v>
      </c>
      <c r="AE590" s="24">
        <f>IF(CropLCAs[[#This Row],[Product fraction]]="",CropLCAs[[#This Row],[CO2e (value)]]*CropLCAs[[#This Row],[Conversion factor (value)]],CropLCAs[[#This Row],[CO2e (value)]]*CropLCAs[[#This Row],[Conversion factor (value)]]/CropLCAs[[#This Row],[Product fraction]]*CropLCAs[[#This Row],[Value fraction]])</f>
        <v>0.28999999999999998</v>
      </c>
      <c r="AF590" s="5"/>
      <c r="AG590" s="5" t="str">
        <f t="shared" si="42"/>
        <v>processed_ghg</v>
      </c>
      <c r="AH590" s="5"/>
      <c r="AI590" s="5"/>
      <c r="AJ590" s="8" t="str">
        <f>IF(CropLCAs[[#This Row],[product_fraction]]&gt;0,CropLCAs[[#This Row],[footprint]]/CropLCAs[[#This Row],[product_fraction]]*CropLCAs[[#This Row],[value_fraction]],"")</f>
        <v/>
      </c>
      <c r="AK590" s="23">
        <f>1/4</f>
        <v>0.25</v>
      </c>
      <c r="AL590" s="5" t="s">
        <v>109</v>
      </c>
      <c r="AM590" s="5" t="s">
        <v>389</v>
      </c>
      <c r="AN590" s="5" t="s">
        <v>392</v>
      </c>
      <c r="AO590" s="5"/>
      <c r="AP590" s="5"/>
      <c r="AQ590" s="17"/>
      <c r="AR590" s="17"/>
      <c r="AS590" s="17"/>
      <c r="AT590" s="17"/>
      <c r="AU590" s="17"/>
    </row>
    <row r="591" spans="1:47" ht="44.1" customHeight="1" x14ac:dyDescent="0.2">
      <c r="A591" s="5" t="s">
        <v>385</v>
      </c>
      <c r="B591" s="5" t="s">
        <v>1501</v>
      </c>
      <c r="C591" s="16">
        <v>2010</v>
      </c>
      <c r="D591" s="6" t="s">
        <v>386</v>
      </c>
      <c r="E591" s="6" t="s">
        <v>376</v>
      </c>
      <c r="F591" s="5" t="s">
        <v>16</v>
      </c>
      <c r="G591" s="5" t="str">
        <f>IF(CropLCAs[[#This Row],[fbs_item]]="Insects","insect_ghg","plant_ghg")</f>
        <v>plant_ghg</v>
      </c>
      <c r="H591" s="49" t="s">
        <v>1297</v>
      </c>
      <c r="I591" s="49"/>
      <c r="J591" s="49"/>
      <c r="K591" s="5" t="s">
        <v>138</v>
      </c>
      <c r="L591" s="5" t="s">
        <v>393</v>
      </c>
      <c r="M591" s="5" t="s">
        <v>102</v>
      </c>
      <c r="N591" s="5" t="s">
        <v>109</v>
      </c>
      <c r="O591" s="5" t="s">
        <v>109</v>
      </c>
      <c r="P591" s="5" t="s">
        <v>102</v>
      </c>
      <c r="Q591" s="5" t="s">
        <v>102</v>
      </c>
      <c r="R591" s="5" t="s">
        <v>102</v>
      </c>
      <c r="S591" s="5" t="s">
        <v>102</v>
      </c>
      <c r="T591" s="5" t="s">
        <v>388</v>
      </c>
      <c r="U591" s="5">
        <v>100</v>
      </c>
      <c r="V591" s="5">
        <v>1</v>
      </c>
      <c r="W591" s="5" t="s">
        <v>127</v>
      </c>
      <c r="X591" s="24">
        <v>0.13</v>
      </c>
      <c r="Y591" s="5" t="s">
        <v>127</v>
      </c>
      <c r="Z591" s="5"/>
      <c r="AA591" s="5"/>
      <c r="AB591" s="24">
        <v>1</v>
      </c>
      <c r="AC591" s="5"/>
      <c r="AD591" s="5" t="str">
        <f t="shared" si="41"/>
        <v>kg_co2e_excl_luc</v>
      </c>
      <c r="AE591" s="24">
        <f>IF(CropLCAs[[#This Row],[Product fraction]]="",CropLCAs[[#This Row],[CO2e (value)]]*CropLCAs[[#This Row],[Conversion factor (value)]],CropLCAs[[#This Row],[CO2e (value)]]*CropLCAs[[#This Row],[Conversion factor (value)]]/CropLCAs[[#This Row],[Product fraction]]*CropLCAs[[#This Row],[Value fraction]])</f>
        <v>0.13</v>
      </c>
      <c r="AF591" s="5"/>
      <c r="AG591" s="5" t="str">
        <f t="shared" si="42"/>
        <v>processed_ghg</v>
      </c>
      <c r="AH591" s="5"/>
      <c r="AI591" s="5"/>
      <c r="AJ591" s="8" t="str">
        <f>IF(CropLCAs[[#This Row],[product_fraction]]&gt;0,CropLCAs[[#This Row],[footprint]]/CropLCAs[[#This Row],[product_fraction]]*CropLCAs[[#This Row],[value_fraction]],"")</f>
        <v/>
      </c>
      <c r="AK591" s="23">
        <f>1/4</f>
        <v>0.25</v>
      </c>
      <c r="AL591" s="5" t="s">
        <v>109</v>
      </c>
      <c r="AM591" s="5" t="s">
        <v>389</v>
      </c>
      <c r="AN591" s="5" t="s">
        <v>392</v>
      </c>
      <c r="AO591" s="5"/>
      <c r="AP591" s="5"/>
      <c r="AQ591" s="17"/>
      <c r="AR591" s="17"/>
      <c r="AS591" s="17"/>
      <c r="AT591" s="17"/>
      <c r="AU591" s="17"/>
    </row>
    <row r="592" spans="1:47" ht="44.1" customHeight="1" x14ac:dyDescent="0.2">
      <c r="A592" s="5" t="s">
        <v>385</v>
      </c>
      <c r="B592" s="5" t="s">
        <v>1501</v>
      </c>
      <c r="C592" s="16">
        <v>2010</v>
      </c>
      <c r="D592" s="6" t="s">
        <v>386</v>
      </c>
      <c r="E592" s="6" t="s">
        <v>376</v>
      </c>
      <c r="F592" s="5" t="s">
        <v>16</v>
      </c>
      <c r="G592" s="5" t="str">
        <f>IF(CropLCAs[[#This Row],[fbs_item]]="Insects","insect_ghg","plant_ghg")</f>
        <v>plant_ghg</v>
      </c>
      <c r="H592" s="49" t="s">
        <v>1297</v>
      </c>
      <c r="I592" s="49"/>
      <c r="J592" s="49"/>
      <c r="K592" s="5" t="s">
        <v>101</v>
      </c>
      <c r="L592" s="5"/>
      <c r="M592" s="5" t="s">
        <v>102</v>
      </c>
      <c r="N592" s="5" t="s">
        <v>109</v>
      </c>
      <c r="O592" s="5" t="s">
        <v>109</v>
      </c>
      <c r="P592" s="5" t="s">
        <v>102</v>
      </c>
      <c r="Q592" s="5" t="s">
        <v>102</v>
      </c>
      <c r="R592" s="5" t="s">
        <v>102</v>
      </c>
      <c r="S592" s="5" t="s">
        <v>102</v>
      </c>
      <c r="T592" s="5" t="s">
        <v>388</v>
      </c>
      <c r="U592" s="5">
        <v>100</v>
      </c>
      <c r="V592" s="5">
        <v>1</v>
      </c>
      <c r="W592" s="5" t="s">
        <v>127</v>
      </c>
      <c r="X592" s="24">
        <v>0.2</v>
      </c>
      <c r="Y592" s="5" t="s">
        <v>127</v>
      </c>
      <c r="Z592" s="5"/>
      <c r="AA592" s="5"/>
      <c r="AB592" s="24">
        <v>1</v>
      </c>
      <c r="AC592" s="5"/>
      <c r="AD592" s="5" t="str">
        <f t="shared" si="41"/>
        <v>kg_co2e_excl_luc</v>
      </c>
      <c r="AE592" s="24">
        <f>IF(CropLCAs[[#This Row],[Product fraction]]="",CropLCAs[[#This Row],[CO2e (value)]]*CropLCAs[[#This Row],[Conversion factor (value)]],CropLCAs[[#This Row],[CO2e (value)]]*CropLCAs[[#This Row],[Conversion factor (value)]]/CropLCAs[[#This Row],[Product fraction]]*CropLCAs[[#This Row],[Value fraction]])</f>
        <v>0.2</v>
      </c>
      <c r="AF592" s="5"/>
      <c r="AG592" s="5" t="str">
        <f t="shared" si="42"/>
        <v>processed_ghg</v>
      </c>
      <c r="AH592" s="5"/>
      <c r="AI592" s="5"/>
      <c r="AJ592" s="8" t="str">
        <f>IF(CropLCAs[[#This Row],[product_fraction]]&gt;0,CropLCAs[[#This Row],[footprint]]/CropLCAs[[#This Row],[product_fraction]]*CropLCAs[[#This Row],[value_fraction]],"")</f>
        <v/>
      </c>
      <c r="AK592" s="23">
        <f>1/4</f>
        <v>0.25</v>
      </c>
      <c r="AL592" s="5" t="s">
        <v>109</v>
      </c>
      <c r="AM592" s="5" t="s">
        <v>389</v>
      </c>
      <c r="AN592" s="5" t="s">
        <v>390</v>
      </c>
      <c r="AO592" s="5" t="s">
        <v>1239</v>
      </c>
      <c r="AP592" s="5"/>
      <c r="AQ592" s="17"/>
      <c r="AR592" s="17"/>
      <c r="AS592" s="17"/>
      <c r="AT592" s="17"/>
      <c r="AU592" s="17"/>
    </row>
    <row r="593" spans="1:47" ht="44.1" customHeight="1" x14ac:dyDescent="0.2">
      <c r="A593" s="5" t="s">
        <v>385</v>
      </c>
      <c r="B593" s="5" t="s">
        <v>1501</v>
      </c>
      <c r="C593" s="16">
        <v>2010</v>
      </c>
      <c r="D593" s="6" t="s">
        <v>386</v>
      </c>
      <c r="E593" s="6" t="s">
        <v>630</v>
      </c>
      <c r="F593" s="5" t="s">
        <v>5</v>
      </c>
      <c r="G593" s="5" t="str">
        <f>IF(CropLCAs[[#This Row],[fbs_item]]="Insects","insect_ghg","plant_ghg")</f>
        <v>plant_ghg</v>
      </c>
      <c r="H593" s="49" t="s">
        <v>1297</v>
      </c>
      <c r="I593" s="49"/>
      <c r="J593" s="49"/>
      <c r="K593" s="5" t="s">
        <v>111</v>
      </c>
      <c r="L593" s="5"/>
      <c r="M593" s="5" t="s">
        <v>102</v>
      </c>
      <c r="N593" s="5" t="s">
        <v>109</v>
      </c>
      <c r="O593" s="5" t="s">
        <v>109</v>
      </c>
      <c r="P593" s="5" t="s">
        <v>102</v>
      </c>
      <c r="Q593" s="5" t="s">
        <v>102</v>
      </c>
      <c r="R593" s="5" t="s">
        <v>102</v>
      </c>
      <c r="S593" s="5" t="s">
        <v>102</v>
      </c>
      <c r="T593" s="5" t="s">
        <v>693</v>
      </c>
      <c r="U593" s="5">
        <v>100</v>
      </c>
      <c r="V593" s="5">
        <v>1</v>
      </c>
      <c r="W593" s="5" t="s">
        <v>127</v>
      </c>
      <c r="X593" s="24">
        <v>0.7</v>
      </c>
      <c r="Y593" s="5" t="s">
        <v>127</v>
      </c>
      <c r="Z593" s="5"/>
      <c r="AA593" s="5"/>
      <c r="AB593" s="24">
        <v>1</v>
      </c>
      <c r="AC593" s="5"/>
      <c r="AD593" s="5" t="str">
        <f t="shared" si="41"/>
        <v>kg_co2e_excl_luc</v>
      </c>
      <c r="AE593" s="24">
        <f>IF(CropLCAs[[#This Row],[Product fraction]]="",CropLCAs[[#This Row],[CO2e (value)]]*CropLCAs[[#This Row],[Conversion factor (value)]],CropLCAs[[#This Row],[CO2e (value)]]*CropLCAs[[#This Row],[Conversion factor (value)]]/CropLCAs[[#This Row],[Product fraction]]*CropLCAs[[#This Row],[Value fraction]])</f>
        <v>0.7</v>
      </c>
      <c r="AF593" s="5"/>
      <c r="AG593" s="5" t="str">
        <f t="shared" si="42"/>
        <v>processed_ghg</v>
      </c>
      <c r="AH593" s="5"/>
      <c r="AI593" s="5"/>
      <c r="AJ593" s="8" t="str">
        <f>IF(CropLCAs[[#This Row],[product_fraction]]&gt;0,CropLCAs[[#This Row],[footprint]]/CropLCAs[[#This Row],[product_fraction]]*CropLCAs[[#This Row],[value_fraction]],"")</f>
        <v/>
      </c>
      <c r="AK593" s="23">
        <f t="shared" ref="AK593:AK600" si="43">1/8</f>
        <v>0.125</v>
      </c>
      <c r="AL593" s="5" t="s">
        <v>109</v>
      </c>
      <c r="AM593" s="5" t="s">
        <v>389</v>
      </c>
      <c r="AN593" s="5"/>
      <c r="AO593" s="5" t="s">
        <v>1239</v>
      </c>
      <c r="AP593" s="5"/>
      <c r="AQ593" s="17"/>
      <c r="AR593" s="17"/>
      <c r="AS593" s="17"/>
      <c r="AT593" s="17"/>
      <c r="AU593" s="17"/>
    </row>
    <row r="594" spans="1:47" ht="44.1" customHeight="1" x14ac:dyDescent="0.2">
      <c r="A594" s="5" t="s">
        <v>385</v>
      </c>
      <c r="B594" s="5" t="s">
        <v>1501</v>
      </c>
      <c r="C594" s="16">
        <v>2010</v>
      </c>
      <c r="D594" s="6" t="s">
        <v>386</v>
      </c>
      <c r="E594" s="6" t="s">
        <v>630</v>
      </c>
      <c r="F594" s="5" t="s">
        <v>5</v>
      </c>
      <c r="G594" s="5" t="str">
        <f>IF(CropLCAs[[#This Row],[fbs_item]]="Insects","insect_ghg","plant_ghg")</f>
        <v>plant_ghg</v>
      </c>
      <c r="H594" s="49" t="s">
        <v>1297</v>
      </c>
      <c r="I594" s="49"/>
      <c r="J594" s="49"/>
      <c r="K594" s="5" t="s">
        <v>111</v>
      </c>
      <c r="L594" s="5" t="s">
        <v>694</v>
      </c>
      <c r="M594" s="5" t="s">
        <v>102</v>
      </c>
      <c r="N594" s="5" t="s">
        <v>109</v>
      </c>
      <c r="O594" s="5" t="s">
        <v>109</v>
      </c>
      <c r="P594" s="5" t="s">
        <v>102</v>
      </c>
      <c r="Q594" s="5" t="s">
        <v>102</v>
      </c>
      <c r="R594" s="5" t="s">
        <v>102</v>
      </c>
      <c r="S594" s="5" t="s">
        <v>102</v>
      </c>
      <c r="T594" s="5" t="s">
        <v>693</v>
      </c>
      <c r="U594" s="5">
        <v>100</v>
      </c>
      <c r="V594" s="5">
        <v>1</v>
      </c>
      <c r="W594" s="5" t="s">
        <v>127</v>
      </c>
      <c r="X594" s="24">
        <v>0.56000000000000005</v>
      </c>
      <c r="Y594" s="5" t="s">
        <v>127</v>
      </c>
      <c r="Z594" s="5"/>
      <c r="AA594" s="5"/>
      <c r="AB594" s="24">
        <v>1</v>
      </c>
      <c r="AC594" s="5"/>
      <c r="AD594" s="5" t="str">
        <f t="shared" si="41"/>
        <v>kg_co2e_excl_luc</v>
      </c>
      <c r="AE594" s="24">
        <f>IF(CropLCAs[[#This Row],[Product fraction]]="",CropLCAs[[#This Row],[CO2e (value)]]*CropLCAs[[#This Row],[Conversion factor (value)]],CropLCAs[[#This Row],[CO2e (value)]]*CropLCAs[[#This Row],[Conversion factor (value)]]/CropLCAs[[#This Row],[Product fraction]]*CropLCAs[[#This Row],[Value fraction]])</f>
        <v>0.56000000000000005</v>
      </c>
      <c r="AF594" s="5"/>
      <c r="AG594" s="5" t="str">
        <f t="shared" si="42"/>
        <v>processed_ghg</v>
      </c>
      <c r="AH594" s="5"/>
      <c r="AI594" s="5"/>
      <c r="AJ594" s="8" t="str">
        <f>IF(CropLCAs[[#This Row],[product_fraction]]&gt;0,CropLCAs[[#This Row],[footprint]]/CropLCAs[[#This Row],[product_fraction]]*CropLCAs[[#This Row],[value_fraction]],"")</f>
        <v/>
      </c>
      <c r="AK594" s="23">
        <f t="shared" si="43"/>
        <v>0.125</v>
      </c>
      <c r="AL594" s="5" t="s">
        <v>109</v>
      </c>
      <c r="AM594" s="5" t="s">
        <v>389</v>
      </c>
      <c r="AN594" s="5"/>
      <c r="AO594" s="5"/>
      <c r="AP594" s="5"/>
      <c r="AQ594" s="17"/>
      <c r="AR594" s="17"/>
      <c r="AS594" s="17"/>
      <c r="AT594" s="17"/>
      <c r="AU594" s="17"/>
    </row>
    <row r="595" spans="1:47" ht="44.1" customHeight="1" x14ac:dyDescent="0.2">
      <c r="A595" s="5" t="s">
        <v>385</v>
      </c>
      <c r="B595" s="5" t="s">
        <v>1501</v>
      </c>
      <c r="C595" s="16">
        <v>2010</v>
      </c>
      <c r="D595" s="6" t="s">
        <v>386</v>
      </c>
      <c r="E595" s="6" t="s">
        <v>630</v>
      </c>
      <c r="F595" s="5" t="s">
        <v>5</v>
      </c>
      <c r="G595" s="5" t="str">
        <f>IF(CropLCAs[[#This Row],[fbs_item]]="Insects","insect_ghg","plant_ghg")</f>
        <v>plant_ghg</v>
      </c>
      <c r="H595" s="49" t="s">
        <v>1297</v>
      </c>
      <c r="I595" s="49"/>
      <c r="J595" s="49"/>
      <c r="K595" s="5" t="s">
        <v>111</v>
      </c>
      <c r="L595" s="5" t="s">
        <v>695</v>
      </c>
      <c r="M595" s="5" t="s">
        <v>102</v>
      </c>
      <c r="N595" s="5" t="s">
        <v>109</v>
      </c>
      <c r="O595" s="5" t="s">
        <v>109</v>
      </c>
      <c r="P595" s="5" t="s">
        <v>102</v>
      </c>
      <c r="Q595" s="5" t="s">
        <v>102</v>
      </c>
      <c r="R595" s="5" t="s">
        <v>102</v>
      </c>
      <c r="S595" s="5" t="s">
        <v>102</v>
      </c>
      <c r="T595" s="5" t="s">
        <v>693</v>
      </c>
      <c r="U595" s="5">
        <v>100</v>
      </c>
      <c r="V595" s="5">
        <v>1</v>
      </c>
      <c r="W595" s="5" t="s">
        <v>127</v>
      </c>
      <c r="X595" s="24">
        <v>0.7</v>
      </c>
      <c r="Y595" s="5" t="s">
        <v>127</v>
      </c>
      <c r="Z595" s="5"/>
      <c r="AA595" s="5"/>
      <c r="AB595" s="24">
        <v>1</v>
      </c>
      <c r="AC595" s="5"/>
      <c r="AD595" s="5" t="str">
        <f t="shared" si="41"/>
        <v>kg_co2e_excl_luc</v>
      </c>
      <c r="AE595" s="24">
        <f>IF(CropLCAs[[#This Row],[Product fraction]]="",CropLCAs[[#This Row],[CO2e (value)]]*CropLCAs[[#This Row],[Conversion factor (value)]],CropLCAs[[#This Row],[CO2e (value)]]*CropLCAs[[#This Row],[Conversion factor (value)]]/CropLCAs[[#This Row],[Product fraction]]*CropLCAs[[#This Row],[Value fraction]])</f>
        <v>0.7</v>
      </c>
      <c r="AF595" s="5"/>
      <c r="AG595" s="5" t="str">
        <f t="shared" si="42"/>
        <v>processed_ghg</v>
      </c>
      <c r="AH595" s="5"/>
      <c r="AI595" s="5"/>
      <c r="AJ595" s="8" t="str">
        <f>IF(CropLCAs[[#This Row],[product_fraction]]&gt;0,CropLCAs[[#This Row],[footprint]]/CropLCAs[[#This Row],[product_fraction]]*CropLCAs[[#This Row],[value_fraction]],"")</f>
        <v/>
      </c>
      <c r="AK595" s="23">
        <f t="shared" si="43"/>
        <v>0.125</v>
      </c>
      <c r="AL595" s="5" t="s">
        <v>109</v>
      </c>
      <c r="AM595" s="5" t="s">
        <v>389</v>
      </c>
      <c r="AN595" s="5"/>
      <c r="AO595" s="5"/>
      <c r="AP595" s="5"/>
      <c r="AQ595" s="17"/>
      <c r="AR595" s="17"/>
      <c r="AS595" s="17"/>
      <c r="AT595" s="17"/>
      <c r="AU595" s="17"/>
    </row>
    <row r="596" spans="1:47" ht="44.1" customHeight="1" x14ac:dyDescent="0.2">
      <c r="A596" s="5" t="s">
        <v>385</v>
      </c>
      <c r="B596" s="5" t="s">
        <v>1501</v>
      </c>
      <c r="C596" s="16">
        <v>2010</v>
      </c>
      <c r="D596" s="6" t="s">
        <v>386</v>
      </c>
      <c r="E596" s="6" t="s">
        <v>630</v>
      </c>
      <c r="F596" s="5" t="s">
        <v>5</v>
      </c>
      <c r="G596" s="5" t="str">
        <f>IF(CropLCAs[[#This Row],[fbs_item]]="Insects","insect_ghg","plant_ghg")</f>
        <v>plant_ghg</v>
      </c>
      <c r="H596" s="49" t="s">
        <v>1297</v>
      </c>
      <c r="I596" s="49"/>
      <c r="J596" s="49"/>
      <c r="K596" s="5" t="s">
        <v>111</v>
      </c>
      <c r="L596" s="5" t="s">
        <v>696</v>
      </c>
      <c r="M596" s="5" t="s">
        <v>102</v>
      </c>
      <c r="N596" s="5" t="s">
        <v>109</v>
      </c>
      <c r="O596" s="5" t="s">
        <v>109</v>
      </c>
      <c r="P596" s="5" t="s">
        <v>102</v>
      </c>
      <c r="Q596" s="5" t="s">
        <v>102</v>
      </c>
      <c r="R596" s="5" t="s">
        <v>102</v>
      </c>
      <c r="S596" s="5" t="s">
        <v>102</v>
      </c>
      <c r="T596" s="5" t="s">
        <v>693</v>
      </c>
      <c r="U596" s="5">
        <v>100</v>
      </c>
      <c r="V596" s="5">
        <v>1</v>
      </c>
      <c r="W596" s="5" t="s">
        <v>127</v>
      </c>
      <c r="X596" s="24">
        <v>0.61</v>
      </c>
      <c r="Y596" s="5" t="s">
        <v>127</v>
      </c>
      <c r="Z596" s="5"/>
      <c r="AA596" s="5"/>
      <c r="AB596" s="24">
        <v>1</v>
      </c>
      <c r="AC596" s="5"/>
      <c r="AD596" s="5" t="str">
        <f t="shared" si="41"/>
        <v>kg_co2e_excl_luc</v>
      </c>
      <c r="AE596" s="24">
        <f>IF(CropLCAs[[#This Row],[Product fraction]]="",CropLCAs[[#This Row],[CO2e (value)]]*CropLCAs[[#This Row],[Conversion factor (value)]],CropLCAs[[#This Row],[CO2e (value)]]*CropLCAs[[#This Row],[Conversion factor (value)]]/CropLCAs[[#This Row],[Product fraction]]*CropLCAs[[#This Row],[Value fraction]])</f>
        <v>0.61</v>
      </c>
      <c r="AF596" s="5"/>
      <c r="AG596" s="5" t="str">
        <f t="shared" si="42"/>
        <v>processed_ghg</v>
      </c>
      <c r="AH596" s="5"/>
      <c r="AI596" s="5"/>
      <c r="AJ596" s="8" t="str">
        <f>IF(CropLCAs[[#This Row],[product_fraction]]&gt;0,CropLCAs[[#This Row],[footprint]]/CropLCAs[[#This Row],[product_fraction]]*CropLCAs[[#This Row],[value_fraction]],"")</f>
        <v/>
      </c>
      <c r="AK596" s="23">
        <f t="shared" si="43"/>
        <v>0.125</v>
      </c>
      <c r="AL596" s="5" t="s">
        <v>109</v>
      </c>
      <c r="AM596" s="5" t="s">
        <v>389</v>
      </c>
      <c r="AN596" s="5"/>
      <c r="AO596" s="5"/>
      <c r="AP596" s="5"/>
      <c r="AQ596" s="17"/>
      <c r="AR596" s="17"/>
      <c r="AS596" s="17"/>
      <c r="AT596" s="17"/>
      <c r="AU596" s="17"/>
    </row>
    <row r="597" spans="1:47" ht="44.1" customHeight="1" x14ac:dyDescent="0.2">
      <c r="A597" s="5" t="s">
        <v>385</v>
      </c>
      <c r="B597" s="5" t="s">
        <v>1501</v>
      </c>
      <c r="C597" s="16">
        <v>2010</v>
      </c>
      <c r="D597" s="6" t="s">
        <v>386</v>
      </c>
      <c r="E597" s="6" t="s">
        <v>630</v>
      </c>
      <c r="F597" s="5" t="s">
        <v>5</v>
      </c>
      <c r="G597" s="5" t="str">
        <f>IF(CropLCAs[[#This Row],[fbs_item]]="Insects","insect_ghg","plant_ghg")</f>
        <v>plant_ghg</v>
      </c>
      <c r="H597" s="49" t="s">
        <v>1297</v>
      </c>
      <c r="I597" s="49"/>
      <c r="J597" s="49"/>
      <c r="K597" s="5" t="s">
        <v>111</v>
      </c>
      <c r="L597" s="5" t="s">
        <v>697</v>
      </c>
      <c r="M597" s="5" t="s">
        <v>102</v>
      </c>
      <c r="N597" s="5" t="s">
        <v>109</v>
      </c>
      <c r="O597" s="5" t="s">
        <v>109</v>
      </c>
      <c r="P597" s="5" t="s">
        <v>102</v>
      </c>
      <c r="Q597" s="5" t="s">
        <v>102</v>
      </c>
      <c r="R597" s="5" t="s">
        <v>102</v>
      </c>
      <c r="S597" s="5" t="s">
        <v>102</v>
      </c>
      <c r="T597" s="5" t="s">
        <v>693</v>
      </c>
      <c r="U597" s="5">
        <v>100</v>
      </c>
      <c r="V597" s="5">
        <v>1</v>
      </c>
      <c r="W597" s="5" t="s">
        <v>127</v>
      </c>
      <c r="X597" s="24">
        <v>0.64</v>
      </c>
      <c r="Y597" s="5" t="s">
        <v>127</v>
      </c>
      <c r="Z597" s="5"/>
      <c r="AA597" s="5"/>
      <c r="AB597" s="24">
        <v>1</v>
      </c>
      <c r="AC597" s="5"/>
      <c r="AD597" s="5" t="str">
        <f t="shared" si="41"/>
        <v>kg_co2e_excl_luc</v>
      </c>
      <c r="AE597" s="24">
        <f>IF(CropLCAs[[#This Row],[Product fraction]]="",CropLCAs[[#This Row],[CO2e (value)]]*CropLCAs[[#This Row],[Conversion factor (value)]],CropLCAs[[#This Row],[CO2e (value)]]*CropLCAs[[#This Row],[Conversion factor (value)]]/CropLCAs[[#This Row],[Product fraction]]*CropLCAs[[#This Row],[Value fraction]])</f>
        <v>0.64</v>
      </c>
      <c r="AF597" s="5"/>
      <c r="AG597" s="5" t="str">
        <f t="shared" si="42"/>
        <v>processed_ghg</v>
      </c>
      <c r="AH597" s="5"/>
      <c r="AI597" s="5"/>
      <c r="AJ597" s="8" t="str">
        <f>IF(CropLCAs[[#This Row],[product_fraction]]&gt;0,CropLCAs[[#This Row],[footprint]]/CropLCAs[[#This Row],[product_fraction]]*CropLCAs[[#This Row],[value_fraction]],"")</f>
        <v/>
      </c>
      <c r="AK597" s="23">
        <f t="shared" si="43"/>
        <v>0.125</v>
      </c>
      <c r="AL597" s="5" t="s">
        <v>109</v>
      </c>
      <c r="AM597" s="5" t="s">
        <v>389</v>
      </c>
      <c r="AN597" s="5"/>
      <c r="AO597" s="5"/>
      <c r="AP597" s="5"/>
      <c r="AQ597" s="17"/>
      <c r="AR597" s="17"/>
      <c r="AS597" s="17"/>
      <c r="AT597" s="17"/>
      <c r="AU597" s="17"/>
    </row>
    <row r="598" spans="1:47" ht="44.1" customHeight="1" x14ac:dyDescent="0.2">
      <c r="A598" s="5" t="s">
        <v>385</v>
      </c>
      <c r="B598" s="5" t="s">
        <v>1501</v>
      </c>
      <c r="C598" s="16">
        <v>2010</v>
      </c>
      <c r="D598" s="6" t="s">
        <v>386</v>
      </c>
      <c r="E598" s="6" t="s">
        <v>630</v>
      </c>
      <c r="F598" s="5" t="s">
        <v>5</v>
      </c>
      <c r="G598" s="5" t="str">
        <f>IF(CropLCAs[[#This Row],[fbs_item]]="Insects","insect_ghg","plant_ghg")</f>
        <v>plant_ghg</v>
      </c>
      <c r="H598" s="49" t="s">
        <v>1297</v>
      </c>
      <c r="I598" s="49"/>
      <c r="J598" s="49"/>
      <c r="K598" s="5" t="s">
        <v>111</v>
      </c>
      <c r="L598" s="5" t="s">
        <v>698</v>
      </c>
      <c r="M598" s="5" t="s">
        <v>102</v>
      </c>
      <c r="N598" s="5" t="s">
        <v>109</v>
      </c>
      <c r="O598" s="5" t="s">
        <v>109</v>
      </c>
      <c r="P598" s="5" t="s">
        <v>102</v>
      </c>
      <c r="Q598" s="5" t="s">
        <v>102</v>
      </c>
      <c r="R598" s="5" t="s">
        <v>102</v>
      </c>
      <c r="S598" s="5" t="s">
        <v>102</v>
      </c>
      <c r="T598" s="5" t="s">
        <v>693</v>
      </c>
      <c r="U598" s="5">
        <v>100</v>
      </c>
      <c r="V598" s="5">
        <v>1</v>
      </c>
      <c r="W598" s="5" t="s">
        <v>127</v>
      </c>
      <c r="X598" s="24">
        <v>0.74</v>
      </c>
      <c r="Y598" s="5" t="s">
        <v>127</v>
      </c>
      <c r="Z598" s="5"/>
      <c r="AA598" s="5"/>
      <c r="AB598" s="24">
        <v>1</v>
      </c>
      <c r="AC598" s="5"/>
      <c r="AD598" s="5" t="str">
        <f t="shared" si="41"/>
        <v>kg_co2e_excl_luc</v>
      </c>
      <c r="AE598" s="24">
        <f>IF(CropLCAs[[#This Row],[Product fraction]]="",CropLCAs[[#This Row],[CO2e (value)]]*CropLCAs[[#This Row],[Conversion factor (value)]],CropLCAs[[#This Row],[CO2e (value)]]*CropLCAs[[#This Row],[Conversion factor (value)]]/CropLCAs[[#This Row],[Product fraction]]*CropLCAs[[#This Row],[Value fraction]])</f>
        <v>0.74</v>
      </c>
      <c r="AF598" s="5"/>
      <c r="AG598" s="5" t="str">
        <f t="shared" si="42"/>
        <v>processed_ghg</v>
      </c>
      <c r="AH598" s="5"/>
      <c r="AI598" s="5"/>
      <c r="AJ598" s="8" t="str">
        <f>IF(CropLCAs[[#This Row],[product_fraction]]&gt;0,CropLCAs[[#This Row],[footprint]]/CropLCAs[[#This Row],[product_fraction]]*CropLCAs[[#This Row],[value_fraction]],"")</f>
        <v/>
      </c>
      <c r="AK598" s="23">
        <f t="shared" si="43"/>
        <v>0.125</v>
      </c>
      <c r="AL598" s="5" t="s">
        <v>109</v>
      </c>
      <c r="AM598" s="5" t="s">
        <v>389</v>
      </c>
      <c r="AN598" s="5"/>
      <c r="AO598" s="5"/>
      <c r="AP598" s="5"/>
      <c r="AQ598" s="17"/>
      <c r="AR598" s="17"/>
      <c r="AS598" s="17"/>
      <c r="AT598" s="17"/>
      <c r="AU598" s="17"/>
    </row>
    <row r="599" spans="1:47" ht="44.1" customHeight="1" x14ac:dyDescent="0.2">
      <c r="A599" s="5" t="s">
        <v>385</v>
      </c>
      <c r="B599" s="5" t="s">
        <v>1501</v>
      </c>
      <c r="C599" s="16">
        <v>2010</v>
      </c>
      <c r="D599" s="6" t="s">
        <v>386</v>
      </c>
      <c r="E599" s="6" t="s">
        <v>630</v>
      </c>
      <c r="F599" s="5" t="s">
        <v>5</v>
      </c>
      <c r="G599" s="5" t="str">
        <f>IF(CropLCAs[[#This Row],[fbs_item]]="Insects","insect_ghg","plant_ghg")</f>
        <v>plant_ghg</v>
      </c>
      <c r="H599" s="49" t="s">
        <v>1297</v>
      </c>
      <c r="I599" s="49"/>
      <c r="J599" s="49"/>
      <c r="K599" s="5" t="s">
        <v>111</v>
      </c>
      <c r="L599" s="5" t="s">
        <v>699</v>
      </c>
      <c r="M599" s="5" t="s">
        <v>102</v>
      </c>
      <c r="N599" s="5" t="s">
        <v>109</v>
      </c>
      <c r="O599" s="5" t="s">
        <v>109</v>
      </c>
      <c r="P599" s="5" t="s">
        <v>102</v>
      </c>
      <c r="Q599" s="5" t="s">
        <v>102</v>
      </c>
      <c r="R599" s="5" t="s">
        <v>102</v>
      </c>
      <c r="S599" s="5" t="s">
        <v>102</v>
      </c>
      <c r="T599" s="5" t="s">
        <v>693</v>
      </c>
      <c r="U599" s="5">
        <v>100</v>
      </c>
      <c r="V599" s="5">
        <v>1</v>
      </c>
      <c r="W599" s="5" t="s">
        <v>127</v>
      </c>
      <c r="X599" s="24">
        <v>0.65</v>
      </c>
      <c r="Y599" s="5" t="s">
        <v>127</v>
      </c>
      <c r="Z599" s="5"/>
      <c r="AA599" s="5"/>
      <c r="AB599" s="24">
        <v>1</v>
      </c>
      <c r="AC599" s="5"/>
      <c r="AD599" s="5" t="str">
        <f t="shared" si="41"/>
        <v>kg_co2e_excl_luc</v>
      </c>
      <c r="AE599" s="24">
        <f>IF(CropLCAs[[#This Row],[Product fraction]]="",CropLCAs[[#This Row],[CO2e (value)]]*CropLCAs[[#This Row],[Conversion factor (value)]],CropLCAs[[#This Row],[CO2e (value)]]*CropLCAs[[#This Row],[Conversion factor (value)]]/CropLCAs[[#This Row],[Product fraction]]*CropLCAs[[#This Row],[Value fraction]])</f>
        <v>0.65</v>
      </c>
      <c r="AF599" s="5"/>
      <c r="AG599" s="5" t="str">
        <f t="shared" si="42"/>
        <v>processed_ghg</v>
      </c>
      <c r="AH599" s="5"/>
      <c r="AI599" s="5"/>
      <c r="AJ599" s="8" t="str">
        <f>IF(CropLCAs[[#This Row],[product_fraction]]&gt;0,CropLCAs[[#This Row],[footprint]]/CropLCAs[[#This Row],[product_fraction]]*CropLCAs[[#This Row],[value_fraction]],"")</f>
        <v/>
      </c>
      <c r="AK599" s="23">
        <f t="shared" si="43"/>
        <v>0.125</v>
      </c>
      <c r="AL599" s="5" t="s">
        <v>109</v>
      </c>
      <c r="AM599" s="5" t="s">
        <v>389</v>
      </c>
      <c r="AN599" s="5"/>
      <c r="AO599" s="5"/>
      <c r="AP599" s="5"/>
      <c r="AQ599" s="17"/>
      <c r="AR599" s="17"/>
      <c r="AS599" s="17"/>
      <c r="AT599" s="17"/>
      <c r="AU599" s="17"/>
    </row>
    <row r="600" spans="1:47" ht="44.1" customHeight="1" x14ac:dyDescent="0.2">
      <c r="A600" s="5" t="s">
        <v>385</v>
      </c>
      <c r="B600" s="5" t="s">
        <v>1501</v>
      </c>
      <c r="C600" s="16">
        <v>2010</v>
      </c>
      <c r="D600" s="6" t="s">
        <v>386</v>
      </c>
      <c r="E600" s="6" t="s">
        <v>630</v>
      </c>
      <c r="F600" s="5" t="s">
        <v>5</v>
      </c>
      <c r="G600" s="5" t="str">
        <f>IF(CropLCAs[[#This Row],[fbs_item]]="Insects","insect_ghg","plant_ghg")</f>
        <v>plant_ghg</v>
      </c>
      <c r="H600" s="49" t="s">
        <v>1297</v>
      </c>
      <c r="I600" s="49"/>
      <c r="J600" s="49"/>
      <c r="K600" s="5" t="s">
        <v>101</v>
      </c>
      <c r="L600" s="5"/>
      <c r="M600" s="5" t="s">
        <v>102</v>
      </c>
      <c r="N600" s="5" t="s">
        <v>109</v>
      </c>
      <c r="O600" s="5" t="s">
        <v>109</v>
      </c>
      <c r="P600" s="5" t="s">
        <v>102</v>
      </c>
      <c r="Q600" s="5" t="s">
        <v>102</v>
      </c>
      <c r="R600" s="5" t="s">
        <v>102</v>
      </c>
      <c r="S600" s="5" t="s">
        <v>102</v>
      </c>
      <c r="T600" s="5" t="s">
        <v>693</v>
      </c>
      <c r="U600" s="5">
        <v>100</v>
      </c>
      <c r="V600" s="5">
        <v>1</v>
      </c>
      <c r="W600" s="5" t="s">
        <v>127</v>
      </c>
      <c r="X600" s="24">
        <v>0.8</v>
      </c>
      <c r="Y600" s="5" t="s">
        <v>127</v>
      </c>
      <c r="Z600" s="5"/>
      <c r="AA600" s="5"/>
      <c r="AB600" s="24">
        <v>1</v>
      </c>
      <c r="AC600" s="5"/>
      <c r="AD600" s="5" t="str">
        <f t="shared" si="41"/>
        <v>kg_co2e_excl_luc</v>
      </c>
      <c r="AE600" s="24">
        <f>IF(CropLCAs[[#This Row],[Product fraction]]="",CropLCAs[[#This Row],[CO2e (value)]]*CropLCAs[[#This Row],[Conversion factor (value)]],CropLCAs[[#This Row],[CO2e (value)]]*CropLCAs[[#This Row],[Conversion factor (value)]]/CropLCAs[[#This Row],[Product fraction]]*CropLCAs[[#This Row],[Value fraction]])</f>
        <v>0.8</v>
      </c>
      <c r="AF600" s="5"/>
      <c r="AG600" s="5" t="str">
        <f t="shared" si="42"/>
        <v>processed_ghg</v>
      </c>
      <c r="AH600" s="5"/>
      <c r="AI600" s="5"/>
      <c r="AJ600" s="8" t="str">
        <f>IF(CropLCAs[[#This Row],[product_fraction]]&gt;0,CropLCAs[[#This Row],[footprint]]/CropLCAs[[#This Row],[product_fraction]]*CropLCAs[[#This Row],[value_fraction]],"")</f>
        <v/>
      </c>
      <c r="AK600" s="23">
        <f t="shared" si="43"/>
        <v>0.125</v>
      </c>
      <c r="AL600" s="5" t="s">
        <v>109</v>
      </c>
      <c r="AM600" s="5" t="s">
        <v>389</v>
      </c>
      <c r="AN600" s="5"/>
      <c r="AO600" s="5" t="s">
        <v>1239</v>
      </c>
      <c r="AP600" s="5"/>
      <c r="AQ600" s="17"/>
      <c r="AR600" s="17"/>
      <c r="AS600" s="17"/>
      <c r="AT600" s="17"/>
      <c r="AU600" s="17"/>
    </row>
    <row r="601" spans="1:47" ht="44.1" customHeight="1" x14ac:dyDescent="0.2">
      <c r="A601" s="5" t="s">
        <v>296</v>
      </c>
      <c r="B601" s="5" t="s">
        <v>1502</v>
      </c>
      <c r="C601" s="16">
        <v>2015</v>
      </c>
      <c r="D601" s="5" t="s">
        <v>297</v>
      </c>
      <c r="E601" s="5" t="s">
        <v>271</v>
      </c>
      <c r="F601" s="5" t="s">
        <v>13</v>
      </c>
      <c r="G601" s="5" t="str">
        <f>IF(CropLCAs[[#This Row],[fbs_item]]="Insects","insect_ghg","plant_ghg")</f>
        <v>plant_ghg</v>
      </c>
      <c r="H601" s="49" t="s">
        <v>143</v>
      </c>
      <c r="I601" s="49"/>
      <c r="J601" s="49"/>
      <c r="K601" s="5" t="s">
        <v>111</v>
      </c>
      <c r="L601" s="5" t="s">
        <v>298</v>
      </c>
      <c r="M601" s="5" t="s">
        <v>102</v>
      </c>
      <c r="N601" s="5" t="s">
        <v>102</v>
      </c>
      <c r="O601" s="5" t="s">
        <v>109</v>
      </c>
      <c r="P601" s="5" t="s">
        <v>102</v>
      </c>
      <c r="Q601" s="5" t="s">
        <v>102</v>
      </c>
      <c r="R601" s="5" t="s">
        <v>102</v>
      </c>
      <c r="S601" s="5" t="s">
        <v>102</v>
      </c>
      <c r="T601" s="5" t="s">
        <v>102</v>
      </c>
      <c r="U601" s="5">
        <v>100</v>
      </c>
      <c r="V601" s="5">
        <v>1</v>
      </c>
      <c r="W601" s="5" t="s">
        <v>127</v>
      </c>
      <c r="X601" s="24">
        <v>0.39</v>
      </c>
      <c r="Y601" s="25" t="s">
        <v>127</v>
      </c>
      <c r="Z601" s="25"/>
      <c r="AA601" s="25"/>
      <c r="AB601" s="24">
        <v>1</v>
      </c>
      <c r="AC601" s="5"/>
      <c r="AD601" s="5" t="str">
        <f t="shared" si="41"/>
        <v>kg_co2e_excl_luc</v>
      </c>
      <c r="AE601" s="24">
        <f>IF(CropLCAs[[#This Row],[Product fraction]]="",CropLCAs[[#This Row],[CO2e (value)]]*CropLCAs[[#This Row],[Conversion factor (value)]],CropLCAs[[#This Row],[CO2e (value)]]*CropLCAs[[#This Row],[Conversion factor (value)]]/CropLCAs[[#This Row],[Product fraction]]*CropLCAs[[#This Row],[Value fraction]])</f>
        <v>0.39</v>
      </c>
      <c r="AF601" s="5" t="s">
        <v>47</v>
      </c>
      <c r="AG601" s="5" t="str">
        <f t="shared" si="42"/>
        <v>processed_ghg</v>
      </c>
      <c r="AH601" s="5">
        <f>0.06*0.45</f>
        <v>2.7E-2</v>
      </c>
      <c r="AI601" s="5">
        <v>0.06</v>
      </c>
      <c r="AJ601" s="8">
        <f>IF(CropLCAs[[#This Row],[product_fraction]]&gt;0,CropLCAs[[#This Row],[footprint]]/CropLCAs[[#This Row],[product_fraction]]*CropLCAs[[#This Row],[value_fraction]],"")</f>
        <v>0.8666666666666667</v>
      </c>
      <c r="AK601" s="23">
        <v>0.5</v>
      </c>
      <c r="AL601" s="5" t="s">
        <v>109</v>
      </c>
      <c r="AM601" s="5" t="s">
        <v>299</v>
      </c>
      <c r="AN601" s="5"/>
      <c r="AO601" s="5"/>
      <c r="AP601" s="5"/>
      <c r="AQ601" s="17"/>
      <c r="AR601" s="17"/>
      <c r="AS601" s="17"/>
      <c r="AT601" s="17"/>
      <c r="AU601" s="17"/>
    </row>
    <row r="602" spans="1:47" ht="44.1" customHeight="1" x14ac:dyDescent="0.2">
      <c r="A602" s="5" t="s">
        <v>296</v>
      </c>
      <c r="B602" s="5" t="s">
        <v>1502</v>
      </c>
      <c r="C602" s="16">
        <v>2015</v>
      </c>
      <c r="D602" s="5" t="s">
        <v>297</v>
      </c>
      <c r="E602" s="5" t="s">
        <v>271</v>
      </c>
      <c r="F602" s="5" t="s">
        <v>13</v>
      </c>
      <c r="G602" s="5" t="str">
        <f>IF(CropLCAs[[#This Row],[fbs_item]]="Insects","insect_ghg","plant_ghg")</f>
        <v>plant_ghg</v>
      </c>
      <c r="H602" s="49" t="s">
        <v>143</v>
      </c>
      <c r="I602" s="49"/>
      <c r="J602" s="49"/>
      <c r="K602" s="5" t="s">
        <v>111</v>
      </c>
      <c r="L602" s="5" t="s">
        <v>300</v>
      </c>
      <c r="M602" s="5" t="s">
        <v>102</v>
      </c>
      <c r="N602" s="5" t="s">
        <v>102</v>
      </c>
      <c r="O602" s="5" t="s">
        <v>109</v>
      </c>
      <c r="P602" s="5" t="s">
        <v>102</v>
      </c>
      <c r="Q602" s="5" t="s">
        <v>102</v>
      </c>
      <c r="R602" s="5" t="s">
        <v>102</v>
      </c>
      <c r="S602" s="5" t="s">
        <v>102</v>
      </c>
      <c r="T602" s="5" t="s">
        <v>102</v>
      </c>
      <c r="U602" s="5">
        <v>100</v>
      </c>
      <c r="V602" s="5">
        <v>1</v>
      </c>
      <c r="W602" s="5" t="s">
        <v>127</v>
      </c>
      <c r="X602" s="24">
        <v>0.28000000000000003</v>
      </c>
      <c r="Y602" s="25" t="s">
        <v>127</v>
      </c>
      <c r="Z602" s="25"/>
      <c r="AA602" s="25"/>
      <c r="AB602" s="24">
        <v>1</v>
      </c>
      <c r="AC602" s="5"/>
      <c r="AD602" s="5" t="str">
        <f t="shared" si="41"/>
        <v>kg_co2e_excl_luc</v>
      </c>
      <c r="AE602" s="24">
        <f>IF(CropLCAs[[#This Row],[Product fraction]]="",CropLCAs[[#This Row],[CO2e (value)]]*CropLCAs[[#This Row],[Conversion factor (value)]],CropLCAs[[#This Row],[CO2e (value)]]*CropLCAs[[#This Row],[Conversion factor (value)]]/CropLCAs[[#This Row],[Product fraction]]*CropLCAs[[#This Row],[Value fraction]])</f>
        <v>0.28000000000000003</v>
      </c>
      <c r="AF602" s="5" t="s">
        <v>47</v>
      </c>
      <c r="AG602" s="5" t="str">
        <f t="shared" si="42"/>
        <v>processed_ghg</v>
      </c>
      <c r="AH602" s="5">
        <f>0.06*0.45</f>
        <v>2.7E-2</v>
      </c>
      <c r="AI602" s="5">
        <v>0.06</v>
      </c>
      <c r="AJ602" s="8">
        <f>IF(CropLCAs[[#This Row],[product_fraction]]&gt;0,CropLCAs[[#This Row],[footprint]]/CropLCAs[[#This Row],[product_fraction]]*CropLCAs[[#This Row],[value_fraction]],"")</f>
        <v>0.62222222222222234</v>
      </c>
      <c r="AK602" s="23">
        <v>0.5</v>
      </c>
      <c r="AL602" s="5" t="s">
        <v>109</v>
      </c>
      <c r="AM602" s="5" t="s">
        <v>299</v>
      </c>
      <c r="AN602" s="5"/>
      <c r="AO602" s="5"/>
      <c r="AP602" s="5"/>
      <c r="AQ602" s="17"/>
      <c r="AR602" s="17"/>
      <c r="AS602" s="17"/>
      <c r="AT602" s="17"/>
      <c r="AU602" s="17"/>
    </row>
    <row r="603" spans="1:47" ht="44.1" customHeight="1" x14ac:dyDescent="0.2">
      <c r="A603" s="5" t="s">
        <v>296</v>
      </c>
      <c r="B603" s="5" t="s">
        <v>1502</v>
      </c>
      <c r="C603" s="16">
        <v>2015</v>
      </c>
      <c r="D603" s="5" t="s">
        <v>297</v>
      </c>
      <c r="E603" s="5" t="s">
        <v>431</v>
      </c>
      <c r="F603" s="5" t="s">
        <v>18</v>
      </c>
      <c r="G603" s="5" t="str">
        <f>IF(CropLCAs[[#This Row],[fbs_item]]="Insects","insect_ghg","plant_ghg")</f>
        <v>plant_ghg</v>
      </c>
      <c r="H603" s="49" t="s">
        <v>143</v>
      </c>
      <c r="I603" s="49"/>
      <c r="J603" s="49"/>
      <c r="K603" s="5" t="s">
        <v>111</v>
      </c>
      <c r="L603" s="5"/>
      <c r="M603" s="5" t="s">
        <v>102</v>
      </c>
      <c r="N603" s="5" t="s">
        <v>102</v>
      </c>
      <c r="O603" s="5" t="s">
        <v>109</v>
      </c>
      <c r="P603" s="5" t="s">
        <v>102</v>
      </c>
      <c r="Q603" s="5" t="s">
        <v>102</v>
      </c>
      <c r="R603" s="5" t="s">
        <v>102</v>
      </c>
      <c r="S603" s="5" t="s">
        <v>102</v>
      </c>
      <c r="T603" s="5" t="s">
        <v>102</v>
      </c>
      <c r="U603" s="5">
        <v>100</v>
      </c>
      <c r="V603" s="5">
        <v>1</v>
      </c>
      <c r="W603" s="5" t="s">
        <v>1430</v>
      </c>
      <c r="X603" s="28">
        <f>0.8</f>
        <v>0.8</v>
      </c>
      <c r="Y603" s="5" t="s">
        <v>127</v>
      </c>
      <c r="Z603" s="5">
        <f>0.77*0.9</f>
        <v>0.69300000000000006</v>
      </c>
      <c r="AA603" s="5">
        <v>0.81</v>
      </c>
      <c r="AB603" s="28">
        <v>1</v>
      </c>
      <c r="AC603" s="5"/>
      <c r="AD603" s="5" t="str">
        <f t="shared" si="41"/>
        <v>kg_co2e_excl_luc</v>
      </c>
      <c r="AE603" s="24">
        <f>IF(CropLCAs[[#This Row],[Product fraction]]="",CropLCAs[[#This Row],[CO2e (value)]]*CropLCAs[[#This Row],[Conversion factor (value)]],CropLCAs[[#This Row],[CO2e (value)]]*CropLCAs[[#This Row],[Conversion factor (value)]]/CropLCAs[[#This Row],[Product fraction]]*CropLCAs[[#This Row],[Value fraction]])</f>
        <v>0.93506493506493504</v>
      </c>
      <c r="AF603" s="5" t="s">
        <v>46</v>
      </c>
      <c r="AG603" s="5" t="str">
        <f t="shared" si="42"/>
        <v>processed_ghg</v>
      </c>
      <c r="AH603" s="5">
        <f>0.08*0.14</f>
        <v>1.1200000000000002E-2</v>
      </c>
      <c r="AI603" s="5">
        <f>0.19*0.33</f>
        <v>6.2700000000000006E-2</v>
      </c>
      <c r="AJ603" s="8">
        <f>IF(CropLCAs[[#This Row],[product_fraction]]&gt;0,CropLCAs[[#This Row],[footprint]]/CropLCAs[[#This Row],[product_fraction]]*CropLCAs[[#This Row],[value_fraction]],"")</f>
        <v>5.2346938775510203</v>
      </c>
      <c r="AK603" s="23">
        <v>1</v>
      </c>
      <c r="AL603" s="5" t="s">
        <v>109</v>
      </c>
      <c r="AM603" s="5" t="s">
        <v>362</v>
      </c>
      <c r="AN603" s="5"/>
      <c r="AO603" s="5"/>
      <c r="AP603" s="5"/>
      <c r="AQ603" s="17"/>
      <c r="AR603" s="17"/>
      <c r="AS603" s="17"/>
      <c r="AT603" s="17"/>
      <c r="AU603" s="17"/>
    </row>
    <row r="604" spans="1:47" ht="44.1" customHeight="1" x14ac:dyDescent="0.2">
      <c r="A604" s="5" t="s">
        <v>123</v>
      </c>
      <c r="B604" s="5" t="s">
        <v>1502</v>
      </c>
      <c r="C604" s="16">
        <v>2015</v>
      </c>
      <c r="D604" s="6" t="s">
        <v>142</v>
      </c>
      <c r="E604" s="7" t="s">
        <v>119</v>
      </c>
      <c r="F604" s="7" t="s">
        <v>30</v>
      </c>
      <c r="G604" s="7" t="str">
        <f>IF(CropLCAs[[#This Row],[fbs_item]]="Insects","insect_ghg","plant_ghg")</f>
        <v>plant_ghg</v>
      </c>
      <c r="H604" s="53" t="s">
        <v>143</v>
      </c>
      <c r="I604" s="53"/>
      <c r="J604" s="53"/>
      <c r="K604" s="7" t="s">
        <v>111</v>
      </c>
      <c r="L604" s="7"/>
      <c r="M604" s="5" t="s">
        <v>102</v>
      </c>
      <c r="N604" s="5" t="s">
        <v>144</v>
      </c>
      <c r="O604" s="5" t="s">
        <v>109</v>
      </c>
      <c r="P604" s="5" t="s">
        <v>102</v>
      </c>
      <c r="Q604" s="5" t="s">
        <v>102</v>
      </c>
      <c r="R604" s="5" t="s">
        <v>102</v>
      </c>
      <c r="S604" s="5" t="s">
        <v>102</v>
      </c>
      <c r="T604" s="5" t="s">
        <v>102</v>
      </c>
      <c r="U604" s="5">
        <v>100</v>
      </c>
      <c r="V604" s="5">
        <v>1</v>
      </c>
      <c r="W604" s="5" t="s">
        <v>106</v>
      </c>
      <c r="X604" s="24">
        <v>0.24</v>
      </c>
      <c r="Y604" s="5" t="s">
        <v>106</v>
      </c>
      <c r="Z604" s="5"/>
      <c r="AA604" s="5"/>
      <c r="AB604" s="24">
        <v>1</v>
      </c>
      <c r="AC604" s="5"/>
      <c r="AD604" s="5" t="str">
        <f t="shared" si="41"/>
        <v>kg_co2e_excl_luc</v>
      </c>
      <c r="AE604" s="24">
        <f>IF(CropLCAs[[#This Row],[Product fraction]]="",CropLCAs[[#This Row],[CO2e (value)]]*CropLCAs[[#This Row],[Conversion factor (value)]],CropLCAs[[#This Row],[CO2e (value)]]*CropLCAs[[#This Row],[Conversion factor (value)]]/CropLCAs[[#This Row],[Product fraction]]*CropLCAs[[#This Row],[Value fraction]])</f>
        <v>0.24</v>
      </c>
      <c r="AF604" s="5"/>
      <c r="AG604" s="5" t="str">
        <f t="shared" si="42"/>
        <v>processed_ghg</v>
      </c>
      <c r="AH604" s="5"/>
      <c r="AI604" s="5"/>
      <c r="AJ604" s="8" t="str">
        <f>IF(CropLCAs[[#This Row],[product_fraction]]&gt;0,CropLCAs[[#This Row],[footprint]]/CropLCAs[[#This Row],[product_fraction]]*CropLCAs[[#This Row],[value_fraction]],"")</f>
        <v/>
      </c>
      <c r="AK604" s="23">
        <v>1</v>
      </c>
      <c r="AL604" s="5" t="s">
        <v>109</v>
      </c>
      <c r="AM604" s="5" t="s">
        <v>145</v>
      </c>
      <c r="AN604" s="5" t="s">
        <v>146</v>
      </c>
      <c r="AO604" s="5"/>
      <c r="AP604" s="5"/>
      <c r="AQ604" s="17"/>
      <c r="AR604" s="17"/>
      <c r="AS604" s="17"/>
      <c r="AT604" s="17"/>
      <c r="AU604" s="17"/>
    </row>
    <row r="605" spans="1:47" ht="44.1" customHeight="1" x14ac:dyDescent="0.2">
      <c r="A605" s="5" t="s">
        <v>123</v>
      </c>
      <c r="B605" s="5" t="s">
        <v>1502</v>
      </c>
      <c r="C605" s="16">
        <v>2015</v>
      </c>
      <c r="D605" s="6" t="s">
        <v>142</v>
      </c>
      <c r="E605" s="6" t="s">
        <v>148</v>
      </c>
      <c r="F605" s="5" t="s">
        <v>29</v>
      </c>
      <c r="G605" s="5" t="str">
        <f>IF(CropLCAs[[#This Row],[fbs_item]]="Insects","insect_ghg","plant_ghg")</f>
        <v>plant_ghg</v>
      </c>
      <c r="H605" s="53" t="s">
        <v>143</v>
      </c>
      <c r="I605" s="53"/>
      <c r="J605" s="53"/>
      <c r="K605" s="7" t="s">
        <v>111</v>
      </c>
      <c r="L605" s="7"/>
      <c r="M605" s="5" t="s">
        <v>102</v>
      </c>
      <c r="N605" s="5" t="s">
        <v>144</v>
      </c>
      <c r="O605" s="5" t="s">
        <v>109</v>
      </c>
      <c r="P605" s="5" t="s">
        <v>102</v>
      </c>
      <c r="Q605" s="5" t="s">
        <v>102</v>
      </c>
      <c r="R605" s="5" t="s">
        <v>102</v>
      </c>
      <c r="S605" s="5" t="s">
        <v>102</v>
      </c>
      <c r="T605" s="5" t="s">
        <v>102</v>
      </c>
      <c r="U605" s="5">
        <v>100</v>
      </c>
      <c r="V605" s="5">
        <v>1</v>
      </c>
      <c r="W605" s="5" t="s">
        <v>106</v>
      </c>
      <c r="X605" s="24">
        <v>0.27</v>
      </c>
      <c r="Y605" s="5" t="s">
        <v>106</v>
      </c>
      <c r="Z605" s="5"/>
      <c r="AA605" s="5"/>
      <c r="AB605" s="24">
        <v>1</v>
      </c>
      <c r="AC605" s="5"/>
      <c r="AD605" s="5" t="str">
        <f t="shared" si="41"/>
        <v>kg_co2e_excl_luc</v>
      </c>
      <c r="AE605" s="24">
        <f>IF(CropLCAs[[#This Row],[Product fraction]]="",CropLCAs[[#This Row],[CO2e (value)]]*CropLCAs[[#This Row],[Conversion factor (value)]],CropLCAs[[#This Row],[CO2e (value)]]*CropLCAs[[#This Row],[Conversion factor (value)]]/CropLCAs[[#This Row],[Product fraction]]*CropLCAs[[#This Row],[Value fraction]])</f>
        <v>0.27</v>
      </c>
      <c r="AF605" s="5"/>
      <c r="AG605" s="5" t="str">
        <f t="shared" si="42"/>
        <v>processed_ghg</v>
      </c>
      <c r="AH605" s="5"/>
      <c r="AI605" s="5"/>
      <c r="AJ605" s="8" t="str">
        <f>IF(CropLCAs[[#This Row],[product_fraction]]&gt;0,CropLCAs[[#This Row],[footprint]]/CropLCAs[[#This Row],[product_fraction]]*CropLCAs[[#This Row],[value_fraction]],"")</f>
        <v/>
      </c>
      <c r="AK605" s="23">
        <v>1</v>
      </c>
      <c r="AL605" s="5" t="s">
        <v>109</v>
      </c>
      <c r="AM605" s="5" t="s">
        <v>155</v>
      </c>
      <c r="AN605" s="5" t="s">
        <v>146</v>
      </c>
      <c r="AO605" s="5"/>
      <c r="AP605" s="5"/>
      <c r="AQ605" s="17"/>
      <c r="AR605" s="17"/>
      <c r="AS605" s="17"/>
      <c r="AT605" s="17"/>
      <c r="AU605" s="17"/>
    </row>
    <row r="606" spans="1:47" ht="44.1" customHeight="1" x14ac:dyDescent="0.2">
      <c r="A606" s="5" t="s">
        <v>123</v>
      </c>
      <c r="B606" s="5" t="s">
        <v>1502</v>
      </c>
      <c r="C606" s="16">
        <v>2015</v>
      </c>
      <c r="D606" s="6" t="s">
        <v>142</v>
      </c>
      <c r="E606" s="6" t="s">
        <v>361</v>
      </c>
      <c r="F606" s="5" t="s">
        <v>27</v>
      </c>
      <c r="G606" s="5" t="str">
        <f>IF(CropLCAs[[#This Row],[fbs_item]]="Insects","insect_ghg","plant_ghg")</f>
        <v>plant_ghg</v>
      </c>
      <c r="H606" s="53" t="s">
        <v>143</v>
      </c>
      <c r="I606" s="53"/>
      <c r="J606" s="53"/>
      <c r="K606" s="7" t="s">
        <v>111</v>
      </c>
      <c r="L606" s="7"/>
      <c r="M606" s="5" t="s">
        <v>102</v>
      </c>
      <c r="N606" s="5" t="s">
        <v>144</v>
      </c>
      <c r="O606" s="5" t="s">
        <v>109</v>
      </c>
      <c r="P606" s="5" t="s">
        <v>102</v>
      </c>
      <c r="Q606" s="5" t="s">
        <v>102</v>
      </c>
      <c r="R606" s="5" t="s">
        <v>102</v>
      </c>
      <c r="S606" s="5" t="s">
        <v>102</v>
      </c>
      <c r="T606" s="5" t="s">
        <v>102</v>
      </c>
      <c r="U606" s="5">
        <v>100</v>
      </c>
      <c r="V606" s="5">
        <v>1</v>
      </c>
      <c r="W606" s="5" t="s">
        <v>106</v>
      </c>
      <c r="X606" s="24">
        <v>0.14000000000000001</v>
      </c>
      <c r="Y606" s="5" t="s">
        <v>106</v>
      </c>
      <c r="Z606" s="5"/>
      <c r="AA606" s="5"/>
      <c r="AB606" s="24">
        <v>1</v>
      </c>
      <c r="AC606" s="5"/>
      <c r="AD606" s="5" t="str">
        <f t="shared" si="41"/>
        <v>kg_co2e_excl_luc</v>
      </c>
      <c r="AE606" s="24">
        <f>IF(CropLCAs[[#This Row],[Product fraction]]="",CropLCAs[[#This Row],[CO2e (value)]]*CropLCAs[[#This Row],[Conversion factor (value)]],CropLCAs[[#This Row],[CO2e (value)]]*CropLCAs[[#This Row],[Conversion factor (value)]]/CropLCAs[[#This Row],[Product fraction]]*CropLCAs[[#This Row],[Value fraction]])</f>
        <v>0.14000000000000001</v>
      </c>
      <c r="AF606" s="5"/>
      <c r="AG606" s="5" t="str">
        <f t="shared" si="42"/>
        <v>processed_ghg</v>
      </c>
      <c r="AH606" s="5"/>
      <c r="AI606" s="5"/>
      <c r="AJ606" s="8" t="str">
        <f>IF(CropLCAs[[#This Row],[product_fraction]]&gt;0,CropLCAs[[#This Row],[footprint]]/CropLCAs[[#This Row],[product_fraction]]*CropLCAs[[#This Row],[value_fraction]],"")</f>
        <v/>
      </c>
      <c r="AK606" s="23">
        <v>1</v>
      </c>
      <c r="AL606" s="5" t="s">
        <v>109</v>
      </c>
      <c r="AM606" s="5" t="s">
        <v>362</v>
      </c>
      <c r="AN606" s="5" t="s">
        <v>146</v>
      </c>
      <c r="AO606" s="5"/>
      <c r="AP606" s="5"/>
      <c r="AQ606" s="17"/>
      <c r="AR606" s="17"/>
      <c r="AS606" s="17"/>
      <c r="AT606" s="17"/>
      <c r="AU606" s="17"/>
    </row>
    <row r="607" spans="1:47" ht="44.1" customHeight="1" x14ac:dyDescent="0.2">
      <c r="A607" s="5" t="s">
        <v>123</v>
      </c>
      <c r="B607" s="5" t="s">
        <v>1502</v>
      </c>
      <c r="C607" s="16">
        <v>2015</v>
      </c>
      <c r="D607" s="6" t="s">
        <v>142</v>
      </c>
      <c r="E607" s="6" t="s">
        <v>213</v>
      </c>
      <c r="F607" s="5" t="s">
        <v>31</v>
      </c>
      <c r="G607" s="5" t="str">
        <f>IF(CropLCAs[[#This Row],[fbs_item]]="Insects","insect_ghg","plant_ghg")</f>
        <v>plant_ghg</v>
      </c>
      <c r="H607" s="53" t="s">
        <v>143</v>
      </c>
      <c r="I607" s="53"/>
      <c r="J607" s="53"/>
      <c r="K607" s="7" t="s">
        <v>111</v>
      </c>
      <c r="L607" s="7"/>
      <c r="M607" s="5" t="s">
        <v>102</v>
      </c>
      <c r="N607" s="5" t="s">
        <v>144</v>
      </c>
      <c r="O607" s="5" t="s">
        <v>109</v>
      </c>
      <c r="P607" s="5" t="s">
        <v>102</v>
      </c>
      <c r="Q607" s="5" t="s">
        <v>102</v>
      </c>
      <c r="R607" s="5" t="s">
        <v>102</v>
      </c>
      <c r="S607" s="5" t="s">
        <v>102</v>
      </c>
      <c r="T607" s="5" t="s">
        <v>102</v>
      </c>
      <c r="U607" s="5">
        <v>100</v>
      </c>
      <c r="V607" s="5">
        <v>1</v>
      </c>
      <c r="W607" s="5" t="s">
        <v>106</v>
      </c>
      <c r="X607" s="24">
        <v>0.37</v>
      </c>
      <c r="Y607" s="5" t="s">
        <v>106</v>
      </c>
      <c r="Z607" s="5"/>
      <c r="AA607" s="5"/>
      <c r="AB607" s="24">
        <v>1</v>
      </c>
      <c r="AC607" s="5"/>
      <c r="AD607" s="5" t="str">
        <f t="shared" si="41"/>
        <v>kg_co2e_excl_luc</v>
      </c>
      <c r="AE607" s="24">
        <f>IF(CropLCAs[[#This Row],[Product fraction]]="",CropLCAs[[#This Row],[CO2e (value)]]*CropLCAs[[#This Row],[Conversion factor (value)]],CropLCAs[[#This Row],[CO2e (value)]]*CropLCAs[[#This Row],[Conversion factor (value)]]/CropLCAs[[#This Row],[Product fraction]]*CropLCAs[[#This Row],[Value fraction]])</f>
        <v>0.37</v>
      </c>
      <c r="AF607" s="5"/>
      <c r="AG607" s="5" t="str">
        <f t="shared" si="42"/>
        <v>processed_ghg</v>
      </c>
      <c r="AH607" s="5"/>
      <c r="AI607" s="5"/>
      <c r="AJ607" s="8" t="str">
        <f>IF(CropLCAs[[#This Row],[product_fraction]]&gt;0,CropLCAs[[#This Row],[footprint]]/CropLCAs[[#This Row],[product_fraction]]*CropLCAs[[#This Row],[value_fraction]],"")</f>
        <v/>
      </c>
      <c r="AK607" s="23">
        <v>1</v>
      </c>
      <c r="AL607" s="5" t="s">
        <v>109</v>
      </c>
      <c r="AM607" s="5" t="s">
        <v>248</v>
      </c>
      <c r="AN607" s="5" t="s">
        <v>146</v>
      </c>
      <c r="AO607" s="5"/>
      <c r="AP607" s="5"/>
      <c r="AQ607" s="5"/>
      <c r="AR607" s="5"/>
      <c r="AS607" s="5"/>
    </row>
    <row r="608" spans="1:47" ht="44.1" customHeight="1" x14ac:dyDescent="0.2">
      <c r="A608" s="5" t="s">
        <v>123</v>
      </c>
      <c r="B608" s="5" t="s">
        <v>1502</v>
      </c>
      <c r="C608" s="16">
        <v>2015</v>
      </c>
      <c r="D608" s="6" t="s">
        <v>142</v>
      </c>
      <c r="E608" s="6" t="s">
        <v>233</v>
      </c>
      <c r="F608" s="5" t="s">
        <v>31</v>
      </c>
      <c r="G608" s="5" t="str">
        <f>IF(CropLCAs[[#This Row],[fbs_item]]="Insects","insect_ghg","plant_ghg")</f>
        <v>plant_ghg</v>
      </c>
      <c r="H608" s="53" t="s">
        <v>143</v>
      </c>
      <c r="I608" s="53"/>
      <c r="J608" s="53"/>
      <c r="K608" s="7" t="s">
        <v>111</v>
      </c>
      <c r="L608" s="7"/>
      <c r="M608" s="5" t="s">
        <v>102</v>
      </c>
      <c r="N608" s="5" t="s">
        <v>144</v>
      </c>
      <c r="O608" s="5" t="s">
        <v>109</v>
      </c>
      <c r="P608" s="5" t="s">
        <v>102</v>
      </c>
      <c r="Q608" s="5" t="s">
        <v>102</v>
      </c>
      <c r="R608" s="5" t="s">
        <v>102</v>
      </c>
      <c r="S608" s="5" t="s">
        <v>102</v>
      </c>
      <c r="T608" s="5" t="s">
        <v>102</v>
      </c>
      <c r="U608" s="5">
        <v>100</v>
      </c>
      <c r="V608" s="5">
        <v>1</v>
      </c>
      <c r="W608" s="5" t="s">
        <v>106</v>
      </c>
      <c r="X608" s="24">
        <v>0.18</v>
      </c>
      <c r="Y608" s="5" t="s">
        <v>106</v>
      </c>
      <c r="Z608" s="5"/>
      <c r="AA608" s="5"/>
      <c r="AB608" s="24">
        <v>1</v>
      </c>
      <c r="AC608" s="5"/>
      <c r="AD608" s="5" t="str">
        <f t="shared" si="41"/>
        <v>kg_co2e_excl_luc</v>
      </c>
      <c r="AE608" s="24">
        <f>IF(CropLCAs[[#This Row],[Product fraction]]="",CropLCAs[[#This Row],[CO2e (value)]]*CropLCAs[[#This Row],[Conversion factor (value)]],CropLCAs[[#This Row],[CO2e (value)]]*CropLCAs[[#This Row],[Conversion factor (value)]]/CropLCAs[[#This Row],[Product fraction]]*CropLCAs[[#This Row],[Value fraction]])</f>
        <v>0.18</v>
      </c>
      <c r="AF608" s="5"/>
      <c r="AG608" s="5" t="str">
        <f t="shared" si="42"/>
        <v>processed_ghg</v>
      </c>
      <c r="AH608" s="5"/>
      <c r="AI608" s="5"/>
      <c r="AJ608" s="8" t="str">
        <f>IF(CropLCAs[[#This Row],[product_fraction]]&gt;0,CropLCAs[[#This Row],[footprint]]/CropLCAs[[#This Row],[product_fraction]]*CropLCAs[[#This Row],[value_fraction]],"")</f>
        <v/>
      </c>
      <c r="AK608" s="23">
        <v>1</v>
      </c>
      <c r="AL608" s="5" t="s">
        <v>109</v>
      </c>
      <c r="AM608" s="5" t="s">
        <v>249</v>
      </c>
      <c r="AN608" s="5" t="s">
        <v>146</v>
      </c>
      <c r="AO608" s="5"/>
      <c r="AP608" s="5"/>
      <c r="AQ608" s="5"/>
      <c r="AR608" s="5"/>
      <c r="AS608" s="5"/>
    </row>
    <row r="609" spans="1:45" ht="44.1" customHeight="1" x14ac:dyDescent="0.2">
      <c r="A609" s="5" t="s">
        <v>296</v>
      </c>
      <c r="B609" s="5" t="s">
        <v>1502</v>
      </c>
      <c r="C609" s="16">
        <v>2015</v>
      </c>
      <c r="D609" s="5" t="s">
        <v>297</v>
      </c>
      <c r="E609" s="5" t="s">
        <v>630</v>
      </c>
      <c r="F609" s="5" t="s">
        <v>5</v>
      </c>
      <c r="G609" s="5" t="str">
        <f>IF(CropLCAs[[#This Row],[fbs_item]]="Insects","insect_ghg","plant_ghg")</f>
        <v>plant_ghg</v>
      </c>
      <c r="H609" s="49" t="s">
        <v>143</v>
      </c>
      <c r="I609" s="49"/>
      <c r="J609" s="49"/>
      <c r="K609" s="5" t="s">
        <v>111</v>
      </c>
      <c r="L609" s="5" t="s">
        <v>298</v>
      </c>
      <c r="M609" s="5" t="s">
        <v>102</v>
      </c>
      <c r="N609" s="5" t="s">
        <v>102</v>
      </c>
      <c r="O609" s="5" t="s">
        <v>109</v>
      </c>
      <c r="P609" s="5" t="s">
        <v>102</v>
      </c>
      <c r="Q609" s="5" t="s">
        <v>102</v>
      </c>
      <c r="R609" s="5" t="s">
        <v>102</v>
      </c>
      <c r="S609" s="5" t="s">
        <v>102</v>
      </c>
      <c r="T609" s="5" t="s">
        <v>102</v>
      </c>
      <c r="U609" s="5">
        <v>100</v>
      </c>
      <c r="V609" s="5">
        <v>1</v>
      </c>
      <c r="W609" s="5" t="s">
        <v>127</v>
      </c>
      <c r="X609" s="28">
        <v>0.59</v>
      </c>
      <c r="Y609" s="5" t="s">
        <v>127</v>
      </c>
      <c r="Z609" s="5"/>
      <c r="AA609" s="5"/>
      <c r="AB609" s="28">
        <v>1</v>
      </c>
      <c r="AC609" s="5"/>
      <c r="AD609" s="5" t="str">
        <f t="shared" si="41"/>
        <v>kg_co2e_excl_luc</v>
      </c>
      <c r="AE609" s="24">
        <f>IF(CropLCAs[[#This Row],[Product fraction]]="",CropLCAs[[#This Row],[CO2e (value)]]*CropLCAs[[#This Row],[Conversion factor (value)]],CropLCAs[[#This Row],[CO2e (value)]]*CropLCAs[[#This Row],[Conversion factor (value)]]/CropLCAs[[#This Row],[Product fraction]]*CropLCAs[[#This Row],[Value fraction]])</f>
        <v>0.59</v>
      </c>
      <c r="AF609" s="5"/>
      <c r="AG609" s="5" t="str">
        <f t="shared" si="42"/>
        <v>processed_ghg</v>
      </c>
      <c r="AH609" s="5"/>
      <c r="AI609" s="5"/>
      <c r="AJ609" s="8" t="str">
        <f>IF(CropLCAs[[#This Row],[product_fraction]]&gt;0,CropLCAs[[#This Row],[footprint]]/CropLCAs[[#This Row],[product_fraction]]*CropLCAs[[#This Row],[value_fraction]],"")</f>
        <v/>
      </c>
      <c r="AK609" s="23">
        <v>0.5</v>
      </c>
      <c r="AL609" s="5" t="s">
        <v>109</v>
      </c>
      <c r="AM609" s="5" t="s">
        <v>145</v>
      </c>
      <c r="AN609" s="5"/>
      <c r="AO609" s="5"/>
      <c r="AP609" s="5"/>
      <c r="AQ609" s="5"/>
      <c r="AR609" s="5"/>
      <c r="AS609" s="5"/>
    </row>
    <row r="610" spans="1:45" s="59" customFormat="1" ht="44.1" customHeight="1" x14ac:dyDescent="0.2">
      <c r="A610" s="36" t="s">
        <v>1384</v>
      </c>
      <c r="B610" s="36" t="s">
        <v>1391</v>
      </c>
      <c r="C610" s="36"/>
      <c r="D610" s="36" t="s">
        <v>1392</v>
      </c>
      <c r="E610" s="54"/>
      <c r="F610" s="36" t="s">
        <v>1386</v>
      </c>
      <c r="G610" s="36" t="str">
        <f>IF(CropLCAs[[#This Row],[fbs_item]]="Insects","insect_ghg","plant_ghg")</f>
        <v>insect_ghg</v>
      </c>
      <c r="H610" s="55"/>
      <c r="I610" s="55"/>
      <c r="J610" s="55"/>
      <c r="K610" s="36"/>
      <c r="L610" s="36"/>
      <c r="M610" s="36"/>
      <c r="N610" s="36"/>
      <c r="O610" s="36"/>
      <c r="P610" s="36"/>
      <c r="Q610" s="36"/>
      <c r="R610" s="36"/>
      <c r="S610" s="36"/>
      <c r="T610" s="36"/>
      <c r="U610" s="36"/>
      <c r="V610" s="36"/>
      <c r="W610" s="36" t="s">
        <v>1419</v>
      </c>
      <c r="X610" s="56"/>
      <c r="Y610" s="36"/>
      <c r="Z610" s="36"/>
      <c r="AA610" s="36"/>
      <c r="AB610" s="56"/>
      <c r="AC610" s="36"/>
      <c r="AD610" s="36" t="str">
        <f t="shared" si="41"/>
        <v>kg_co2e_excl_luc</v>
      </c>
      <c r="AE610" s="56">
        <f>IF(CropLCAs[[#This Row],[Product fraction]]="",CropLCAs[[#This Row],[CO2e (value)]]*CropLCAs[[#This Row],[Conversion factor (value)]],CropLCAs[[#This Row],[CO2e (value)]]*CropLCAs[[#This Row],[Conversion factor (value)]]/CropLCAs[[#This Row],[Product fraction]]*CropLCAs[[#This Row],[Value fraction]])</f>
        <v>0</v>
      </c>
      <c r="AF610" s="54"/>
      <c r="AG610" s="54" t="str">
        <f t="shared" si="42"/>
        <v>processed_ghg</v>
      </c>
      <c r="AH610" s="54"/>
      <c r="AI610" s="54"/>
      <c r="AJ610" s="57" t="str">
        <f>IF(CropLCAs[[#This Row],[product_fraction]]&gt;0,CropLCAs[[#This Row],[footprint]]/CropLCAs[[#This Row],[product_fraction]]*CropLCAs[[#This Row],[value_fraction]],"")</f>
        <v/>
      </c>
      <c r="AK610" s="58"/>
      <c r="AL610" s="54" t="s">
        <v>1418</v>
      </c>
      <c r="AM610" s="36"/>
      <c r="AN610" s="36"/>
      <c r="AO610" s="36"/>
      <c r="AP610" s="36"/>
      <c r="AQ610" s="36"/>
      <c r="AR610" s="36"/>
      <c r="AS610" s="36"/>
    </row>
    <row r="611" spans="1:45" ht="44.1" customHeight="1" x14ac:dyDescent="0.2">
      <c r="A611" s="5" t="s">
        <v>296</v>
      </c>
      <c r="B611" s="5" t="s">
        <v>1502</v>
      </c>
      <c r="C611" s="16">
        <v>2015</v>
      </c>
      <c r="D611" s="5" t="s">
        <v>297</v>
      </c>
      <c r="E611" s="5" t="s">
        <v>630</v>
      </c>
      <c r="F611" s="5" t="s">
        <v>5</v>
      </c>
      <c r="G611" s="5" t="str">
        <f>IF(CropLCAs[[#This Row],[fbs_item]]="Insects","insect_ghg","plant_ghg")</f>
        <v>plant_ghg</v>
      </c>
      <c r="H611" s="49" t="s">
        <v>143</v>
      </c>
      <c r="I611" s="49"/>
      <c r="J611" s="49"/>
      <c r="K611" s="5" t="s">
        <v>111</v>
      </c>
      <c r="L611" s="5" t="s">
        <v>300</v>
      </c>
      <c r="M611" s="5" t="s">
        <v>102</v>
      </c>
      <c r="N611" s="5" t="s">
        <v>102</v>
      </c>
      <c r="O611" s="5" t="s">
        <v>109</v>
      </c>
      <c r="P611" s="5" t="s">
        <v>102</v>
      </c>
      <c r="Q611" s="5" t="s">
        <v>102</v>
      </c>
      <c r="R611" s="5" t="s">
        <v>102</v>
      </c>
      <c r="S611" s="5" t="s">
        <v>102</v>
      </c>
      <c r="T611" s="5" t="s">
        <v>102</v>
      </c>
      <c r="U611" s="5">
        <v>100</v>
      </c>
      <c r="V611" s="5">
        <v>1</v>
      </c>
      <c r="W611" s="5" t="s">
        <v>127</v>
      </c>
      <c r="X611" s="28">
        <v>0.71</v>
      </c>
      <c r="Y611" s="5" t="s">
        <v>127</v>
      </c>
      <c r="Z611" s="5"/>
      <c r="AA611" s="5"/>
      <c r="AB611" s="28">
        <v>1</v>
      </c>
      <c r="AC611" s="5"/>
      <c r="AD611" s="5" t="str">
        <f t="shared" si="41"/>
        <v>kg_co2e_excl_luc</v>
      </c>
      <c r="AE611" s="28">
        <f>IF(CropLCAs[[#This Row],[Product fraction]]="",CropLCAs[[#This Row],[CO2e (value)]]*CropLCAs[[#This Row],[Conversion factor (value)]],CropLCAs[[#This Row],[CO2e (value)]]*CropLCAs[[#This Row],[Conversion factor (value)]]/CropLCAs[[#This Row],[Product fraction]]*CropLCAs[[#This Row],[Value fraction]])</f>
        <v>0.71</v>
      </c>
      <c r="AF611" s="5"/>
      <c r="AG611" s="5" t="str">
        <f t="shared" si="42"/>
        <v>processed_ghg</v>
      </c>
      <c r="AH611" s="5"/>
      <c r="AI611" s="5"/>
      <c r="AJ611" s="8" t="str">
        <f>IF(CropLCAs[[#This Row],[product_fraction]]&gt;0,CropLCAs[[#This Row],[footprint]]/CropLCAs[[#This Row],[product_fraction]]*CropLCAs[[#This Row],[value_fraction]],"")</f>
        <v/>
      </c>
      <c r="AK611" s="27">
        <v>0.5</v>
      </c>
      <c r="AL611" s="5" t="s">
        <v>109</v>
      </c>
      <c r="AM611" s="5" t="s">
        <v>700</v>
      </c>
      <c r="AN611" s="5"/>
      <c r="AO611" s="5"/>
      <c r="AP611" s="5"/>
      <c r="AQ611" s="5"/>
      <c r="AR611" s="5"/>
      <c r="AS611" s="5"/>
    </row>
    <row r="612" spans="1:45" s="59" customFormat="1" ht="44.1" customHeight="1" x14ac:dyDescent="0.2">
      <c r="A612" s="36" t="s">
        <v>1407</v>
      </c>
      <c r="B612" s="36" t="s">
        <v>1408</v>
      </c>
      <c r="C612" s="36"/>
      <c r="D612" s="36" t="s">
        <v>1409</v>
      </c>
      <c r="E612" s="54" t="s">
        <v>1410</v>
      </c>
      <c r="F612" s="36" t="s">
        <v>1386</v>
      </c>
      <c r="G612" s="36" t="str">
        <f>IF(CropLCAs[[#This Row],[fbs_item]]="Insects","insect_ghg","plant_ghg")</f>
        <v>insect_ghg</v>
      </c>
      <c r="H612" s="55"/>
      <c r="I612" s="55"/>
      <c r="J612" s="55"/>
      <c r="K612" s="36"/>
      <c r="L612" s="36"/>
      <c r="M612" s="36"/>
      <c r="N612" s="36"/>
      <c r="O612" s="36" t="s">
        <v>109</v>
      </c>
      <c r="P612" s="36"/>
      <c r="Q612" s="36"/>
      <c r="R612" s="36"/>
      <c r="S612" s="36" t="s">
        <v>1411</v>
      </c>
      <c r="T612" s="36" t="s">
        <v>109</v>
      </c>
      <c r="U612" s="36"/>
      <c r="V612" s="36"/>
      <c r="W612" s="36"/>
      <c r="X612" s="56">
        <f>AVERAGE(2.84,3.02)</f>
        <v>2.9299999999999997</v>
      </c>
      <c r="Y612" s="36"/>
      <c r="Z612" s="36"/>
      <c r="AA612" s="36"/>
      <c r="AB612" s="56">
        <v>1</v>
      </c>
      <c r="AC612" s="36"/>
      <c r="AD612" s="36" t="str">
        <f t="shared" si="41"/>
        <v>kg_co2e_excl_luc</v>
      </c>
      <c r="AE612" s="56">
        <f>IF(CropLCAs[[#This Row],[Product fraction]]="",CropLCAs[[#This Row],[CO2e (value)]]*CropLCAs[[#This Row],[Conversion factor (value)]],CropLCAs[[#This Row],[CO2e (value)]]*CropLCAs[[#This Row],[Conversion factor (value)]]/CropLCAs[[#This Row],[Product fraction]]*CropLCAs[[#This Row],[Value fraction]])</f>
        <v>2.9299999999999997</v>
      </c>
      <c r="AF612" s="54"/>
      <c r="AG612" s="54" t="str">
        <f t="shared" si="42"/>
        <v>processed_ghg</v>
      </c>
      <c r="AH612" s="54"/>
      <c r="AI612" s="54"/>
      <c r="AJ612" s="57" t="str">
        <f>IF(CropLCAs[[#This Row],[product_fraction]]&gt;0,CropLCAs[[#This Row],[footprint]]/CropLCAs[[#This Row],[product_fraction]]*CropLCAs[[#This Row],[value_fraction]],"")</f>
        <v/>
      </c>
      <c r="AK612" s="58"/>
      <c r="AL612" s="54" t="s">
        <v>1416</v>
      </c>
      <c r="AM612" s="56" t="s">
        <v>1412</v>
      </c>
      <c r="AN612" s="36"/>
      <c r="AO612" s="36"/>
      <c r="AP612" s="36"/>
      <c r="AQ612" s="36"/>
      <c r="AR612" s="36"/>
      <c r="AS612" s="36"/>
    </row>
    <row r="613" spans="1:45" s="59" customFormat="1" ht="44.1" customHeight="1" x14ac:dyDescent="0.2">
      <c r="A613" s="36" t="s">
        <v>1407</v>
      </c>
      <c r="B613" s="36" t="s">
        <v>1396</v>
      </c>
      <c r="C613" s="36"/>
      <c r="D613" s="36" t="s">
        <v>1397</v>
      </c>
      <c r="E613" s="54" t="s">
        <v>1398</v>
      </c>
      <c r="F613" s="36" t="s">
        <v>1386</v>
      </c>
      <c r="G613" s="36" t="str">
        <f>IF(CropLCAs[[#This Row],[fbs_item]]="Insects","insect_ghg","plant_ghg")</f>
        <v>insect_ghg</v>
      </c>
      <c r="H613" s="55" t="s">
        <v>1183</v>
      </c>
      <c r="I613" s="55"/>
      <c r="J613" s="55"/>
      <c r="K613" s="36"/>
      <c r="L613" s="36"/>
      <c r="M613" s="36"/>
      <c r="N613" s="36"/>
      <c r="O613" s="36"/>
      <c r="P613" s="36"/>
      <c r="Q613" s="36"/>
      <c r="R613" s="36"/>
      <c r="S613" s="36"/>
      <c r="T613" s="36"/>
      <c r="U613" s="36"/>
      <c r="V613" s="36"/>
      <c r="W613" s="36"/>
      <c r="X613" s="56"/>
      <c r="Y613" s="36"/>
      <c r="Z613" s="36"/>
      <c r="AA613" s="36"/>
      <c r="AB613" s="56"/>
      <c r="AC613" s="36"/>
      <c r="AD613" s="36" t="str">
        <f t="shared" si="41"/>
        <v>kg_co2e_excl_luc</v>
      </c>
      <c r="AE613" s="56">
        <f>IF(CropLCAs[[#This Row],[Product fraction]]="",CropLCAs[[#This Row],[CO2e (value)]]*CropLCAs[[#This Row],[Conversion factor (value)]],CropLCAs[[#This Row],[CO2e (value)]]*CropLCAs[[#This Row],[Conversion factor (value)]]/CropLCAs[[#This Row],[Product fraction]]*CropLCAs[[#This Row],[Value fraction]])</f>
        <v>0</v>
      </c>
      <c r="AF613" s="54"/>
      <c r="AG613" s="54" t="str">
        <f t="shared" si="42"/>
        <v>processed_ghg</v>
      </c>
      <c r="AH613" s="54"/>
      <c r="AI613" s="54"/>
      <c r="AJ613" s="57" t="str">
        <f>IF(CropLCAs[[#This Row],[product_fraction]]&gt;0,CropLCAs[[#This Row],[footprint]]/CropLCAs[[#This Row],[product_fraction]]*CropLCAs[[#This Row],[value_fraction]],"")</f>
        <v/>
      </c>
      <c r="AK613" s="58"/>
      <c r="AL613" s="54" t="s">
        <v>1417</v>
      </c>
      <c r="AM613" s="36" t="s">
        <v>1414</v>
      </c>
      <c r="AN613" s="36"/>
      <c r="AO613" s="36"/>
      <c r="AP613" s="36"/>
      <c r="AQ613" s="36"/>
      <c r="AR613" s="36"/>
      <c r="AS613" s="36"/>
    </row>
    <row r="614" spans="1:45" s="59" customFormat="1" ht="44.1" customHeight="1" x14ac:dyDescent="0.2">
      <c r="A614" s="36" t="s">
        <v>1384</v>
      </c>
      <c r="B614" s="36" t="s">
        <v>1399</v>
      </c>
      <c r="C614" s="36"/>
      <c r="D614" s="36" t="s">
        <v>1420</v>
      </c>
      <c r="E614" s="54"/>
      <c r="F614" s="36" t="s">
        <v>1386</v>
      </c>
      <c r="G614" s="36" t="str">
        <f>IF(CropLCAs[[#This Row],[fbs_item]]="Insects","insect_ghg","plant_ghg")</f>
        <v>insect_ghg</v>
      </c>
      <c r="H614" s="55"/>
      <c r="I614" s="55"/>
      <c r="J614" s="55"/>
      <c r="K614" s="36"/>
      <c r="L614" s="36"/>
      <c r="M614" s="36"/>
      <c r="N614" s="36"/>
      <c r="O614" s="36"/>
      <c r="P614" s="36"/>
      <c r="Q614" s="36"/>
      <c r="R614" s="36"/>
      <c r="S614" s="36"/>
      <c r="T614" s="36"/>
      <c r="U614" s="36"/>
      <c r="V614" s="36"/>
      <c r="W614" s="36"/>
      <c r="X614" s="56"/>
      <c r="Y614" s="36"/>
      <c r="Z614" s="36"/>
      <c r="AA614" s="36"/>
      <c r="AB614" s="56"/>
      <c r="AC614" s="36"/>
      <c r="AD614" s="36" t="str">
        <f t="shared" si="41"/>
        <v>kg_co2e_excl_luc</v>
      </c>
      <c r="AE614" s="56">
        <f>IF(CropLCAs[[#This Row],[Product fraction]]="",CropLCAs[[#This Row],[CO2e (value)]]*CropLCAs[[#This Row],[Conversion factor (value)]],CropLCAs[[#This Row],[CO2e (value)]]*CropLCAs[[#This Row],[Conversion factor (value)]]/CropLCAs[[#This Row],[Product fraction]]*CropLCAs[[#This Row],[Value fraction]])</f>
        <v>0</v>
      </c>
      <c r="AF614" s="54"/>
      <c r="AG614" s="54" t="str">
        <f t="shared" si="42"/>
        <v>processed_ghg</v>
      </c>
      <c r="AH614" s="54"/>
      <c r="AI614" s="54"/>
      <c r="AJ614" s="57" t="str">
        <f>IF(CropLCAs[[#This Row],[product_fraction]]&gt;0,CropLCAs[[#This Row],[footprint]]/CropLCAs[[#This Row],[product_fraction]]*CropLCAs[[#This Row],[value_fraction]],"")</f>
        <v/>
      </c>
      <c r="AK614" s="58"/>
      <c r="AL614" s="54" t="s">
        <v>102</v>
      </c>
      <c r="AM614" s="55" t="s">
        <v>1413</v>
      </c>
      <c r="AN614" s="36"/>
      <c r="AO614" s="36"/>
      <c r="AP614" s="36"/>
      <c r="AQ614" s="36"/>
      <c r="AR614" s="36"/>
      <c r="AS614" s="36"/>
    </row>
  </sheetData>
  <hyperlinks>
    <hyperlink ref="AN363" r:id="rId1" xr:uid="{00000000-0004-0000-0200-000000000000}"/>
    <hyperlink ref="AN364" r:id="rId2" xr:uid="{00000000-0004-0000-0200-000001000000}"/>
    <hyperlink ref="AN365" r:id="rId3" xr:uid="{00000000-0004-0000-0200-000002000000}"/>
    <hyperlink ref="AN366" r:id="rId4" xr:uid="{00000000-0004-0000-0200-000003000000}"/>
    <hyperlink ref="AN367" r:id="rId5" xr:uid="{00000000-0004-0000-0200-000004000000}"/>
    <hyperlink ref="AN368" r:id="rId6" xr:uid="{00000000-0004-0000-0200-000005000000}"/>
    <hyperlink ref="AN369" r:id="rId7" xr:uid="{00000000-0004-0000-0200-000006000000}"/>
    <hyperlink ref="AN370" r:id="rId8" xr:uid="{00000000-0004-0000-0200-000007000000}"/>
    <hyperlink ref="AN361" r:id="rId9" xr:uid="{00000000-0004-0000-0200-000008000000}"/>
    <hyperlink ref="AN362" r:id="rId10" xr:uid="{00000000-0004-0000-0200-000009000000}"/>
    <hyperlink ref="AN371" r:id="rId11" xr:uid="{00000000-0004-0000-0200-00000A000000}"/>
    <hyperlink ref="AN372" r:id="rId12" xr:uid="{00000000-0004-0000-0200-00000B000000}"/>
  </hyperlinks>
  <pageMargins left="0.7" right="0.7" top="0.75" bottom="0.75" header="0.3" footer="0.3"/>
  <pageSetup orientation="portrait" r:id="rId13"/>
  <legacyDrawing r:id="rId14"/>
  <tableParts count="1">
    <tablePart r:id="rId1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L171"/>
  <sheetViews>
    <sheetView workbookViewId="0">
      <pane ySplit="4" topLeftCell="A5" activePane="bottomLeft" state="frozen"/>
      <selection activeCell="A49" sqref="A49"/>
      <selection pane="bottomLeft" activeCell="AA5" sqref="AA5"/>
    </sheetView>
  </sheetViews>
  <sheetFormatPr defaultColWidth="14.42578125" defaultRowHeight="44.1" customHeight="1" x14ac:dyDescent="0.2"/>
  <cols>
    <col min="1" max="3" width="10.7109375" style="85" customWidth="1"/>
    <col min="4" max="4" width="25.7109375" style="85" customWidth="1"/>
    <col min="5" max="5" width="10.7109375" style="85" customWidth="1"/>
    <col min="6" max="6" width="10.5703125" style="85" bestFit="1" customWidth="1"/>
    <col min="7" max="7" width="9.28515625" style="85" bestFit="1" customWidth="1"/>
    <col min="8" max="8" width="12.85546875" style="85" bestFit="1" customWidth="1"/>
    <col min="9" max="9" width="9.28515625" style="109" bestFit="1" customWidth="1"/>
    <col min="10" max="10" width="11.140625" style="109" bestFit="1" customWidth="1"/>
    <col min="11" max="11" width="12.7109375" style="85" bestFit="1" customWidth="1"/>
    <col min="12" max="12" width="17.140625" style="85" bestFit="1" customWidth="1"/>
    <col min="13" max="13" width="12.140625" style="85" bestFit="1" customWidth="1"/>
    <col min="14" max="14" width="11.28515625" style="85" bestFit="1" customWidth="1"/>
    <col min="15" max="15" width="12.42578125" style="85" bestFit="1" customWidth="1"/>
    <col min="16" max="16" width="14" style="85" bestFit="1" customWidth="1"/>
    <col min="17" max="17" width="11.140625" style="85" bestFit="1" customWidth="1"/>
    <col min="18" max="18" width="10.28515625" style="85" bestFit="1" customWidth="1"/>
    <col min="19" max="19" width="9" style="16" bestFit="1" customWidth="1"/>
    <col min="20" max="21" width="10.7109375" style="85" bestFit="1" customWidth="1"/>
    <col min="22" max="22" width="10" style="85" bestFit="1" customWidth="1"/>
    <col min="23" max="28" width="10.7109375" style="85" customWidth="1"/>
    <col min="29" max="29" width="30.7109375" style="85" customWidth="1"/>
    <col min="30" max="31" width="43" style="85" customWidth="1"/>
    <col min="32" max="32" width="50.28515625" style="85" customWidth="1"/>
    <col min="33" max="33" width="52.5703125" style="85" customWidth="1"/>
    <col min="34" max="38" width="8.7109375" style="85" customWidth="1"/>
    <col min="39" max="16384" width="14.42578125" style="85"/>
  </cols>
  <sheetData>
    <row r="1" spans="1:37" s="121" customFormat="1" ht="12" customHeight="1" x14ac:dyDescent="0.2">
      <c r="A1" s="120" t="s">
        <v>1786</v>
      </c>
      <c r="I1" s="122"/>
      <c r="J1" s="122"/>
      <c r="S1" s="4"/>
    </row>
    <row r="2" spans="1:37" s="121" customFormat="1" ht="12" customHeight="1" x14ac:dyDescent="0.2">
      <c r="I2" s="122"/>
      <c r="J2" s="122"/>
    </row>
    <row r="3" spans="1:37" s="121" customFormat="1" ht="12" customHeight="1" x14ac:dyDescent="0.2">
      <c r="I3" s="122"/>
      <c r="J3" s="122"/>
    </row>
    <row r="4" spans="1:37" ht="44.1" customHeight="1" x14ac:dyDescent="0.2">
      <c r="A4" s="61" t="s">
        <v>898</v>
      </c>
      <c r="B4" s="61" t="s">
        <v>1527</v>
      </c>
      <c r="C4" s="61" t="s">
        <v>1433</v>
      </c>
      <c r="D4" s="61" t="s">
        <v>79</v>
      </c>
      <c r="E4" s="61" t="s">
        <v>1660</v>
      </c>
      <c r="F4" s="62" t="s">
        <v>1649</v>
      </c>
      <c r="G4" s="112" t="s">
        <v>1691</v>
      </c>
      <c r="H4" s="61" t="s">
        <v>1282</v>
      </c>
      <c r="I4" s="63" t="s">
        <v>1667</v>
      </c>
      <c r="J4" s="48" t="s">
        <v>1382</v>
      </c>
      <c r="K4" s="61" t="s">
        <v>1653</v>
      </c>
      <c r="L4" s="61" t="s">
        <v>899</v>
      </c>
      <c r="M4" s="61" t="s">
        <v>1534</v>
      </c>
      <c r="N4" s="61" t="s">
        <v>1228</v>
      </c>
      <c r="O4" s="61" t="s">
        <v>1229</v>
      </c>
      <c r="P4" s="61" t="s">
        <v>1230</v>
      </c>
      <c r="Q4" s="61" t="s">
        <v>1231</v>
      </c>
      <c r="R4" s="61" t="s">
        <v>88</v>
      </c>
      <c r="S4" s="61" t="s">
        <v>89</v>
      </c>
      <c r="T4" s="61" t="s">
        <v>90</v>
      </c>
      <c r="U4" s="61" t="s">
        <v>91</v>
      </c>
      <c r="V4" s="61" t="s">
        <v>92</v>
      </c>
      <c r="W4" s="61" t="s">
        <v>93</v>
      </c>
      <c r="X4" s="61" t="s">
        <v>94</v>
      </c>
      <c r="Y4" s="64" t="s">
        <v>1796</v>
      </c>
      <c r="Z4" s="64" t="s">
        <v>1795</v>
      </c>
      <c r="AA4" s="61" t="s">
        <v>1797</v>
      </c>
      <c r="AB4" s="62" t="s">
        <v>897</v>
      </c>
      <c r="AC4" s="61" t="s">
        <v>95</v>
      </c>
      <c r="AD4" s="61" t="s">
        <v>96</v>
      </c>
      <c r="AE4" s="61" t="s">
        <v>97</v>
      </c>
      <c r="AF4" s="61" t="s">
        <v>98</v>
      </c>
      <c r="AG4" s="61"/>
      <c r="AH4" s="61"/>
      <c r="AI4" s="61"/>
      <c r="AJ4" s="61"/>
      <c r="AK4" s="61"/>
    </row>
    <row r="5" spans="1:37" s="69" customFormat="1" ht="44.1" customHeight="1" x14ac:dyDescent="0.2">
      <c r="A5" s="74" t="s">
        <v>99</v>
      </c>
      <c r="B5" s="5" t="s">
        <v>1520</v>
      </c>
      <c r="C5" s="16">
        <v>2015</v>
      </c>
      <c r="D5" s="75" t="s">
        <v>923</v>
      </c>
      <c r="E5" s="74" t="s">
        <v>924</v>
      </c>
      <c r="F5" s="75" t="s">
        <v>69</v>
      </c>
      <c r="G5" s="75" t="str">
        <f t="shared" ref="G5:G36" si="0">"a_animal_ghg"</f>
        <v>a_animal_ghg</v>
      </c>
      <c r="H5" s="77" t="s">
        <v>262</v>
      </c>
      <c r="I5" s="76" t="s">
        <v>351</v>
      </c>
      <c r="J5" s="76"/>
      <c r="K5" s="74" t="s">
        <v>916</v>
      </c>
      <c r="L5" s="74" t="s">
        <v>138</v>
      </c>
      <c r="M5" s="74" t="s">
        <v>1250</v>
      </c>
      <c r="N5" s="74" t="s">
        <v>109</v>
      </c>
      <c r="O5" s="74" t="s">
        <v>109</v>
      </c>
      <c r="P5" s="74" t="s">
        <v>925</v>
      </c>
      <c r="Q5" s="74" t="s">
        <v>926</v>
      </c>
      <c r="R5" s="74" t="s">
        <v>126</v>
      </c>
      <c r="S5" s="74">
        <v>1</v>
      </c>
      <c r="T5" s="74" t="s">
        <v>927</v>
      </c>
      <c r="U5" s="74">
        <v>6533.7</v>
      </c>
      <c r="V5" s="74" t="s">
        <v>106</v>
      </c>
      <c r="W5" s="24">
        <v>1E-3</v>
      </c>
      <c r="X5" s="74" t="s">
        <v>195</v>
      </c>
      <c r="Y5" s="74" t="str">
        <f t="shared" ref="Y5:Y36" si="1">"kg_co2e_excl_luc"</f>
        <v>kg_co2e_excl_luc</v>
      </c>
      <c r="Z5" s="24">
        <f>SeafoodLCAs[[#This Row],[CO2e (value)]]*SeafoodLCAs[[#This Row],[Conversion factor (value)]]</f>
        <v>6.5336999999999996</v>
      </c>
      <c r="AA5" s="74">
        <f>1/2</f>
        <v>0.5</v>
      </c>
      <c r="AB5" s="75" t="s">
        <v>109</v>
      </c>
      <c r="AC5" s="74" t="s">
        <v>235</v>
      </c>
      <c r="AD5" s="74"/>
      <c r="AE5" s="74" t="s">
        <v>928</v>
      </c>
      <c r="AF5" s="74"/>
      <c r="AG5" s="65"/>
      <c r="AH5" s="65"/>
      <c r="AI5" s="65"/>
      <c r="AJ5" s="65"/>
      <c r="AK5" s="65"/>
    </row>
    <row r="6" spans="1:37" s="69" customFormat="1" ht="44.1" customHeight="1" x14ac:dyDescent="0.2">
      <c r="A6" s="74" t="s">
        <v>99</v>
      </c>
      <c r="B6" s="5" t="s">
        <v>1520</v>
      </c>
      <c r="C6" s="16">
        <v>2015</v>
      </c>
      <c r="D6" s="75" t="s">
        <v>923</v>
      </c>
      <c r="E6" s="74" t="s">
        <v>924</v>
      </c>
      <c r="F6" s="75" t="s">
        <v>69</v>
      </c>
      <c r="G6" s="75" t="str">
        <f t="shared" si="0"/>
        <v>a_animal_ghg</v>
      </c>
      <c r="H6" s="77" t="s">
        <v>262</v>
      </c>
      <c r="I6" s="76" t="s">
        <v>351</v>
      </c>
      <c r="J6" s="76"/>
      <c r="K6" s="74" t="s">
        <v>916</v>
      </c>
      <c r="L6" s="74" t="s">
        <v>929</v>
      </c>
      <c r="M6" s="74" t="s">
        <v>1250</v>
      </c>
      <c r="N6" s="74" t="s">
        <v>109</v>
      </c>
      <c r="O6" s="74" t="s">
        <v>109</v>
      </c>
      <c r="P6" s="74" t="s">
        <v>925</v>
      </c>
      <c r="Q6" s="74" t="s">
        <v>926</v>
      </c>
      <c r="R6" s="74" t="s">
        <v>126</v>
      </c>
      <c r="S6" s="74">
        <v>1</v>
      </c>
      <c r="T6" s="74" t="s">
        <v>927</v>
      </c>
      <c r="U6" s="74">
        <v>6719.8</v>
      </c>
      <c r="V6" s="74" t="s">
        <v>106</v>
      </c>
      <c r="W6" s="24">
        <v>1E-3</v>
      </c>
      <c r="X6" s="74" t="s">
        <v>195</v>
      </c>
      <c r="Y6" s="74" t="str">
        <f t="shared" si="1"/>
        <v>kg_co2e_excl_luc</v>
      </c>
      <c r="Z6" s="24">
        <f>SeafoodLCAs[[#This Row],[CO2e (value)]]*SeafoodLCAs[[#This Row],[Conversion factor (value)]]</f>
        <v>6.7198000000000002</v>
      </c>
      <c r="AA6" s="74">
        <f>1/2</f>
        <v>0.5</v>
      </c>
      <c r="AB6" s="75" t="s">
        <v>109</v>
      </c>
      <c r="AC6" s="91" t="s">
        <v>930</v>
      </c>
      <c r="AD6" s="74" t="s">
        <v>931</v>
      </c>
      <c r="AE6" s="74" t="s">
        <v>928</v>
      </c>
      <c r="AF6" s="74"/>
      <c r="AG6" s="65"/>
      <c r="AH6" s="65"/>
      <c r="AI6" s="65"/>
      <c r="AJ6" s="65"/>
      <c r="AK6" s="65"/>
    </row>
    <row r="7" spans="1:37" s="69" customFormat="1" ht="44.1" customHeight="1" x14ac:dyDescent="0.2">
      <c r="A7" s="94" t="s">
        <v>1219</v>
      </c>
      <c r="B7" s="94" t="s">
        <v>1220</v>
      </c>
      <c r="C7" s="94"/>
      <c r="D7" s="94" t="s">
        <v>1221</v>
      </c>
      <c r="E7" s="94" t="s">
        <v>1222</v>
      </c>
      <c r="F7" s="95" t="s">
        <v>68</v>
      </c>
      <c r="G7" s="95" t="str">
        <f t="shared" si="0"/>
        <v>a_animal_ghg</v>
      </c>
      <c r="H7" s="94" t="s">
        <v>1223</v>
      </c>
      <c r="I7" s="97" t="s">
        <v>120</v>
      </c>
      <c r="J7" s="97"/>
      <c r="K7" s="94" t="s">
        <v>905</v>
      </c>
      <c r="L7" s="94" t="s">
        <v>1179</v>
      </c>
      <c r="M7" s="94"/>
      <c r="N7" s="94" t="s">
        <v>109</v>
      </c>
      <c r="O7" s="94" t="s">
        <v>164</v>
      </c>
      <c r="P7" s="94" t="s">
        <v>151</v>
      </c>
      <c r="Q7" s="94" t="s">
        <v>102</v>
      </c>
      <c r="R7" s="94"/>
      <c r="S7" s="94">
        <v>1</v>
      </c>
      <c r="T7" s="94" t="s">
        <v>1032</v>
      </c>
      <c r="U7" s="94">
        <v>64.64</v>
      </c>
      <c r="V7" s="94" t="s">
        <v>106</v>
      </c>
      <c r="W7" s="30">
        <v>1E-3</v>
      </c>
      <c r="X7" s="94" t="s">
        <v>956</v>
      </c>
      <c r="Y7" s="94" t="str">
        <f t="shared" si="1"/>
        <v>kg_co2e_excl_luc</v>
      </c>
      <c r="Z7" s="30">
        <f>SeafoodLCAs[[#This Row],[CO2e (value)]]*SeafoodLCAs[[#This Row],[Conversion factor (value)]]</f>
        <v>6.4640000000000003E-2</v>
      </c>
      <c r="AA7" s="94">
        <f t="shared" ref="AA7:AA12" si="2">1/6</f>
        <v>0.16666666666666666</v>
      </c>
      <c r="AB7" s="95" t="s">
        <v>1224</v>
      </c>
      <c r="AC7" s="94" t="s">
        <v>1225</v>
      </c>
      <c r="AD7" s="94" t="s">
        <v>1226</v>
      </c>
      <c r="AE7" s="94" t="s">
        <v>1227</v>
      </c>
      <c r="AF7" s="94"/>
      <c r="AG7" s="65"/>
      <c r="AH7" s="65"/>
      <c r="AI7" s="65"/>
      <c r="AJ7" s="65"/>
      <c r="AK7" s="65"/>
    </row>
    <row r="8" spans="1:37" s="69" customFormat="1" ht="44.1" customHeight="1" x14ac:dyDescent="0.2">
      <c r="A8" s="94" t="s">
        <v>1219</v>
      </c>
      <c r="B8" s="94" t="s">
        <v>1220</v>
      </c>
      <c r="C8" s="94"/>
      <c r="D8" s="94" t="s">
        <v>1221</v>
      </c>
      <c r="E8" s="94" t="s">
        <v>1222</v>
      </c>
      <c r="F8" s="95" t="s">
        <v>68</v>
      </c>
      <c r="G8" s="95" t="str">
        <f t="shared" si="0"/>
        <v>a_animal_ghg</v>
      </c>
      <c r="H8" s="94" t="s">
        <v>1223</v>
      </c>
      <c r="I8" s="97" t="s">
        <v>120</v>
      </c>
      <c r="J8" s="97"/>
      <c r="K8" s="94" t="s">
        <v>905</v>
      </c>
      <c r="L8" s="94" t="s">
        <v>1179</v>
      </c>
      <c r="M8" s="94"/>
      <c r="N8" s="94" t="s">
        <v>109</v>
      </c>
      <c r="O8" s="94" t="s">
        <v>164</v>
      </c>
      <c r="P8" s="94" t="s">
        <v>151</v>
      </c>
      <c r="Q8" s="94" t="s">
        <v>102</v>
      </c>
      <c r="R8" s="94"/>
      <c r="S8" s="94">
        <v>1</v>
      </c>
      <c r="T8" s="94" t="s">
        <v>1032</v>
      </c>
      <c r="U8" s="94">
        <v>68.34</v>
      </c>
      <c r="V8" s="94" t="s">
        <v>106</v>
      </c>
      <c r="W8" s="30">
        <v>1E-3</v>
      </c>
      <c r="X8" s="94" t="s">
        <v>956</v>
      </c>
      <c r="Y8" s="94" t="str">
        <f t="shared" si="1"/>
        <v>kg_co2e_excl_luc</v>
      </c>
      <c r="Z8" s="30">
        <f>SeafoodLCAs[[#This Row],[CO2e (value)]]*SeafoodLCAs[[#This Row],[Conversion factor (value)]]</f>
        <v>6.8339999999999998E-2</v>
      </c>
      <c r="AA8" s="94">
        <f t="shared" si="2"/>
        <v>0.16666666666666666</v>
      </c>
      <c r="AB8" s="95" t="s">
        <v>1224</v>
      </c>
      <c r="AC8" s="94" t="s">
        <v>1225</v>
      </c>
      <c r="AD8" s="94" t="s">
        <v>1226</v>
      </c>
      <c r="AE8" s="94" t="s">
        <v>1227</v>
      </c>
      <c r="AF8" s="94"/>
      <c r="AG8" s="70"/>
      <c r="AH8" s="70"/>
      <c r="AI8" s="70"/>
      <c r="AJ8" s="70"/>
      <c r="AK8" s="70"/>
    </row>
    <row r="9" spans="1:37" s="69" customFormat="1" ht="44.1" customHeight="1" x14ac:dyDescent="0.2">
      <c r="A9" s="94" t="s">
        <v>1219</v>
      </c>
      <c r="B9" s="94" t="s">
        <v>1220</v>
      </c>
      <c r="C9" s="94"/>
      <c r="D9" s="94" t="s">
        <v>1221</v>
      </c>
      <c r="E9" s="94" t="s">
        <v>1222</v>
      </c>
      <c r="F9" s="95" t="s">
        <v>68</v>
      </c>
      <c r="G9" s="95" t="str">
        <f t="shared" si="0"/>
        <v>a_animal_ghg</v>
      </c>
      <c r="H9" s="94" t="s">
        <v>1223</v>
      </c>
      <c r="I9" s="97" t="s">
        <v>120</v>
      </c>
      <c r="J9" s="97"/>
      <c r="K9" s="94" t="s">
        <v>905</v>
      </c>
      <c r="L9" s="94" t="s">
        <v>1179</v>
      </c>
      <c r="M9" s="94"/>
      <c r="N9" s="94" t="s">
        <v>109</v>
      </c>
      <c r="O9" s="94" t="s">
        <v>164</v>
      </c>
      <c r="P9" s="94" t="s">
        <v>151</v>
      </c>
      <c r="Q9" s="94" t="s">
        <v>102</v>
      </c>
      <c r="R9" s="94"/>
      <c r="S9" s="94">
        <v>1</v>
      </c>
      <c r="T9" s="94" t="s">
        <v>1032</v>
      </c>
      <c r="U9" s="94">
        <v>67.790000000000006</v>
      </c>
      <c r="V9" s="94" t="s">
        <v>106</v>
      </c>
      <c r="W9" s="30">
        <v>1E-3</v>
      </c>
      <c r="X9" s="94" t="s">
        <v>956</v>
      </c>
      <c r="Y9" s="94" t="str">
        <f t="shared" si="1"/>
        <v>kg_co2e_excl_luc</v>
      </c>
      <c r="Z9" s="30">
        <f>SeafoodLCAs[[#This Row],[CO2e (value)]]*SeafoodLCAs[[#This Row],[Conversion factor (value)]]</f>
        <v>6.7790000000000003E-2</v>
      </c>
      <c r="AA9" s="94">
        <f t="shared" si="2"/>
        <v>0.16666666666666666</v>
      </c>
      <c r="AB9" s="95" t="s">
        <v>1224</v>
      </c>
      <c r="AC9" s="94" t="s">
        <v>1225</v>
      </c>
      <c r="AD9" s="94" t="s">
        <v>1226</v>
      </c>
      <c r="AE9" s="94" t="s">
        <v>1227</v>
      </c>
      <c r="AF9" s="94"/>
      <c r="AG9" s="70"/>
      <c r="AH9" s="70"/>
      <c r="AI9" s="70"/>
      <c r="AJ9" s="70"/>
      <c r="AK9" s="70"/>
    </row>
    <row r="10" spans="1:37" s="69" customFormat="1" ht="44.1" customHeight="1" x14ac:dyDescent="0.2">
      <c r="A10" s="94" t="s">
        <v>1219</v>
      </c>
      <c r="B10" s="94" t="s">
        <v>1220</v>
      </c>
      <c r="C10" s="94"/>
      <c r="D10" s="94" t="s">
        <v>1221</v>
      </c>
      <c r="E10" s="94" t="s">
        <v>1222</v>
      </c>
      <c r="F10" s="95" t="s">
        <v>68</v>
      </c>
      <c r="G10" s="95" t="str">
        <f t="shared" si="0"/>
        <v>a_animal_ghg</v>
      </c>
      <c r="H10" s="94" t="s">
        <v>1223</v>
      </c>
      <c r="I10" s="97" t="s">
        <v>120</v>
      </c>
      <c r="J10" s="97"/>
      <c r="K10" s="94" t="s">
        <v>905</v>
      </c>
      <c r="L10" s="94" t="s">
        <v>1179</v>
      </c>
      <c r="M10" s="94"/>
      <c r="N10" s="94" t="s">
        <v>109</v>
      </c>
      <c r="O10" s="94" t="s">
        <v>164</v>
      </c>
      <c r="P10" s="94" t="s">
        <v>151</v>
      </c>
      <c r="Q10" s="94" t="s">
        <v>102</v>
      </c>
      <c r="R10" s="94"/>
      <c r="S10" s="94">
        <v>1</v>
      </c>
      <c r="T10" s="94" t="s">
        <v>1032</v>
      </c>
      <c r="U10" s="94">
        <v>69.41</v>
      </c>
      <c r="V10" s="94" t="s">
        <v>106</v>
      </c>
      <c r="W10" s="30">
        <v>1E-3</v>
      </c>
      <c r="X10" s="94" t="s">
        <v>956</v>
      </c>
      <c r="Y10" s="94" t="str">
        <f t="shared" si="1"/>
        <v>kg_co2e_excl_luc</v>
      </c>
      <c r="Z10" s="30">
        <f>SeafoodLCAs[[#This Row],[CO2e (value)]]*SeafoodLCAs[[#This Row],[Conversion factor (value)]]</f>
        <v>6.9409999999999999E-2</v>
      </c>
      <c r="AA10" s="94">
        <f t="shared" si="2"/>
        <v>0.16666666666666666</v>
      </c>
      <c r="AB10" s="95" t="s">
        <v>1224</v>
      </c>
      <c r="AC10" s="94" t="s">
        <v>1225</v>
      </c>
      <c r="AD10" s="94" t="s">
        <v>1226</v>
      </c>
      <c r="AE10" s="94" t="s">
        <v>1227</v>
      </c>
      <c r="AF10" s="94"/>
      <c r="AG10" s="70"/>
      <c r="AH10" s="70"/>
      <c r="AI10" s="70"/>
      <c r="AJ10" s="70"/>
      <c r="AK10" s="70"/>
    </row>
    <row r="11" spans="1:37" ht="44.1" customHeight="1" x14ac:dyDescent="0.2">
      <c r="A11" s="94" t="s">
        <v>1219</v>
      </c>
      <c r="B11" s="94" t="s">
        <v>1220</v>
      </c>
      <c r="C11" s="94"/>
      <c r="D11" s="94" t="s">
        <v>1221</v>
      </c>
      <c r="E11" s="94" t="s">
        <v>1222</v>
      </c>
      <c r="F11" s="95" t="s">
        <v>68</v>
      </c>
      <c r="G11" s="95" t="str">
        <f t="shared" si="0"/>
        <v>a_animal_ghg</v>
      </c>
      <c r="H11" s="94" t="s">
        <v>1223</v>
      </c>
      <c r="I11" s="97" t="s">
        <v>120</v>
      </c>
      <c r="J11" s="97"/>
      <c r="K11" s="94" t="s">
        <v>905</v>
      </c>
      <c r="L11" s="94" t="s">
        <v>1179</v>
      </c>
      <c r="M11" s="94"/>
      <c r="N11" s="94" t="s">
        <v>109</v>
      </c>
      <c r="O11" s="94" t="s">
        <v>164</v>
      </c>
      <c r="P11" s="94" t="s">
        <v>151</v>
      </c>
      <c r="Q11" s="94" t="s">
        <v>102</v>
      </c>
      <c r="R11" s="94"/>
      <c r="S11" s="94">
        <v>1</v>
      </c>
      <c r="T11" s="94" t="s">
        <v>1032</v>
      </c>
      <c r="U11" s="94">
        <v>71.510000000000005</v>
      </c>
      <c r="V11" s="94" t="s">
        <v>106</v>
      </c>
      <c r="W11" s="30">
        <v>1E-3</v>
      </c>
      <c r="X11" s="94" t="s">
        <v>956</v>
      </c>
      <c r="Y11" s="94" t="str">
        <f t="shared" si="1"/>
        <v>kg_co2e_excl_luc</v>
      </c>
      <c r="Z11" s="30">
        <f>SeafoodLCAs[[#This Row],[CO2e (value)]]*SeafoodLCAs[[#This Row],[Conversion factor (value)]]</f>
        <v>7.1510000000000004E-2</v>
      </c>
      <c r="AA11" s="94">
        <f t="shared" si="2"/>
        <v>0.16666666666666666</v>
      </c>
      <c r="AB11" s="95" t="s">
        <v>1224</v>
      </c>
      <c r="AC11" s="94" t="s">
        <v>1225</v>
      </c>
      <c r="AD11" s="94" t="s">
        <v>1226</v>
      </c>
      <c r="AE11" s="94" t="s">
        <v>1227</v>
      </c>
      <c r="AF11" s="94"/>
      <c r="AG11" s="74"/>
      <c r="AH11" s="74"/>
      <c r="AI11" s="74"/>
      <c r="AJ11" s="74"/>
      <c r="AK11" s="74"/>
    </row>
    <row r="12" spans="1:37" ht="44.1" customHeight="1" x14ac:dyDescent="0.2">
      <c r="A12" s="94" t="s">
        <v>1219</v>
      </c>
      <c r="B12" s="94" t="s">
        <v>1220</v>
      </c>
      <c r="C12" s="94"/>
      <c r="D12" s="94" t="s">
        <v>1221</v>
      </c>
      <c r="E12" s="94" t="s">
        <v>1222</v>
      </c>
      <c r="F12" s="95" t="s">
        <v>68</v>
      </c>
      <c r="G12" s="95" t="str">
        <f t="shared" si="0"/>
        <v>a_animal_ghg</v>
      </c>
      <c r="H12" s="94" t="s">
        <v>1223</v>
      </c>
      <c r="I12" s="97" t="s">
        <v>120</v>
      </c>
      <c r="J12" s="97"/>
      <c r="K12" s="94" t="s">
        <v>905</v>
      </c>
      <c r="L12" s="94" t="s">
        <v>1179</v>
      </c>
      <c r="M12" s="94"/>
      <c r="N12" s="94" t="s">
        <v>109</v>
      </c>
      <c r="O12" s="94" t="s">
        <v>164</v>
      </c>
      <c r="P12" s="94" t="s">
        <v>151</v>
      </c>
      <c r="Q12" s="94" t="s">
        <v>102</v>
      </c>
      <c r="R12" s="94"/>
      <c r="S12" s="94">
        <v>1</v>
      </c>
      <c r="T12" s="94" t="s">
        <v>1032</v>
      </c>
      <c r="U12" s="94">
        <v>62.96</v>
      </c>
      <c r="V12" s="94" t="s">
        <v>106</v>
      </c>
      <c r="W12" s="30">
        <v>1E-3</v>
      </c>
      <c r="X12" s="94" t="s">
        <v>956</v>
      </c>
      <c r="Y12" s="94" t="str">
        <f t="shared" si="1"/>
        <v>kg_co2e_excl_luc</v>
      </c>
      <c r="Z12" s="30">
        <f>SeafoodLCAs[[#This Row],[CO2e (value)]]*SeafoodLCAs[[#This Row],[Conversion factor (value)]]</f>
        <v>6.2960000000000002E-2</v>
      </c>
      <c r="AA12" s="94">
        <f t="shared" si="2"/>
        <v>0.16666666666666666</v>
      </c>
      <c r="AB12" s="95" t="s">
        <v>1224</v>
      </c>
      <c r="AC12" s="94" t="s">
        <v>1225</v>
      </c>
      <c r="AD12" s="94" t="s">
        <v>1226</v>
      </c>
      <c r="AE12" s="94" t="s">
        <v>1227</v>
      </c>
      <c r="AF12" s="94"/>
      <c r="AG12" s="74"/>
      <c r="AH12" s="74"/>
      <c r="AI12" s="74"/>
      <c r="AJ12" s="74"/>
      <c r="AK12" s="74"/>
    </row>
    <row r="13" spans="1:37" ht="44.1" customHeight="1" x14ac:dyDescent="0.2">
      <c r="A13" s="94" t="s">
        <v>1116</v>
      </c>
      <c r="B13" s="94" t="s">
        <v>1176</v>
      </c>
      <c r="C13" s="94"/>
      <c r="D13" s="94" t="s">
        <v>1177</v>
      </c>
      <c r="E13" s="94" t="s">
        <v>1178</v>
      </c>
      <c r="F13" s="95" t="s">
        <v>1112</v>
      </c>
      <c r="G13" s="95" t="str">
        <f t="shared" si="0"/>
        <v>a_animal_ghg</v>
      </c>
      <c r="H13" s="94" t="s">
        <v>77</v>
      </c>
      <c r="I13" s="97"/>
      <c r="J13" s="97"/>
      <c r="K13" s="94" t="s">
        <v>905</v>
      </c>
      <c r="L13" s="94" t="s">
        <v>1179</v>
      </c>
      <c r="M13" s="94"/>
      <c r="N13" s="94"/>
      <c r="O13" s="94"/>
      <c r="P13" s="94"/>
      <c r="Q13" s="94"/>
      <c r="R13" s="94"/>
      <c r="S13" s="94">
        <v>1</v>
      </c>
      <c r="T13" s="94" t="s">
        <v>1032</v>
      </c>
      <c r="U13" s="94">
        <v>94.6</v>
      </c>
      <c r="V13" s="94" t="s">
        <v>106</v>
      </c>
      <c r="W13" s="30">
        <v>1E-3</v>
      </c>
      <c r="X13" s="94" t="s">
        <v>956</v>
      </c>
      <c r="Y13" s="94" t="str">
        <f t="shared" si="1"/>
        <v>kg_co2e_excl_luc</v>
      </c>
      <c r="Z13" s="30">
        <f>SeafoodLCAs[[#This Row],[CO2e (value)]]*SeafoodLCAs[[#This Row],[Conversion factor (value)]]</f>
        <v>9.459999999999999E-2</v>
      </c>
      <c r="AA13" s="94"/>
      <c r="AB13" s="94" t="s">
        <v>1113</v>
      </c>
      <c r="AC13" s="94" t="s">
        <v>1180</v>
      </c>
      <c r="AD13" s="94"/>
      <c r="AE13" s="94"/>
      <c r="AF13" s="94"/>
      <c r="AG13" s="74"/>
      <c r="AH13" s="74"/>
      <c r="AI13" s="74"/>
      <c r="AJ13" s="74"/>
      <c r="AK13" s="74"/>
    </row>
    <row r="14" spans="1:37" ht="44.1" customHeight="1" x14ac:dyDescent="0.2">
      <c r="A14" s="74" t="s">
        <v>1011</v>
      </c>
      <c r="B14" s="5" t="s">
        <v>1507</v>
      </c>
      <c r="C14" s="16">
        <v>2016</v>
      </c>
      <c r="D14" s="75" t="s">
        <v>1012</v>
      </c>
      <c r="E14" s="74" t="s">
        <v>1643</v>
      </c>
      <c r="F14" s="75" t="s">
        <v>66</v>
      </c>
      <c r="G14" s="75" t="str">
        <f t="shared" si="0"/>
        <v>a_animal_ghg</v>
      </c>
      <c r="H14" s="77" t="s">
        <v>262</v>
      </c>
      <c r="I14" s="76" t="s">
        <v>1010</v>
      </c>
      <c r="J14" s="76"/>
      <c r="K14" s="74" t="s">
        <v>916</v>
      </c>
      <c r="L14" s="74" t="s">
        <v>1013</v>
      </c>
      <c r="M14" s="74" t="s">
        <v>1247</v>
      </c>
      <c r="N14" s="74" t="s">
        <v>109</v>
      </c>
      <c r="O14" s="74" t="s">
        <v>1014</v>
      </c>
      <c r="P14" s="74" t="s">
        <v>1009</v>
      </c>
      <c r="Q14" s="74" t="s">
        <v>102</v>
      </c>
      <c r="R14" s="74" t="s">
        <v>126</v>
      </c>
      <c r="S14" s="74">
        <v>1</v>
      </c>
      <c r="T14" s="74" t="s">
        <v>1015</v>
      </c>
      <c r="U14" s="74">
        <v>2210</v>
      </c>
      <c r="V14" s="74" t="s">
        <v>106</v>
      </c>
      <c r="W14" s="24">
        <v>1E-3</v>
      </c>
      <c r="X14" s="74" t="s">
        <v>956</v>
      </c>
      <c r="Y14" s="74" t="str">
        <f t="shared" si="1"/>
        <v>kg_co2e_excl_luc</v>
      </c>
      <c r="Z14" s="24">
        <f>SeafoodLCAs[[#This Row],[CO2e (value)]]*SeafoodLCAs[[#This Row],[Conversion factor (value)]]</f>
        <v>2.21</v>
      </c>
      <c r="AA14" s="74">
        <v>0.5</v>
      </c>
      <c r="AB14" s="75" t="s">
        <v>109</v>
      </c>
      <c r="AC14" s="74"/>
      <c r="AD14" s="74"/>
      <c r="AE14" s="74"/>
      <c r="AF14" s="74"/>
      <c r="AG14" s="74"/>
      <c r="AH14" s="74"/>
      <c r="AI14" s="74"/>
      <c r="AJ14" s="74"/>
      <c r="AK14" s="74"/>
    </row>
    <row r="15" spans="1:37" ht="44.1" customHeight="1" x14ac:dyDescent="0.2">
      <c r="A15" s="74" t="s">
        <v>1011</v>
      </c>
      <c r="B15" s="5" t="s">
        <v>1507</v>
      </c>
      <c r="C15" s="16">
        <v>2016</v>
      </c>
      <c r="D15" s="75" t="s">
        <v>1012</v>
      </c>
      <c r="E15" s="74" t="s">
        <v>1643</v>
      </c>
      <c r="F15" s="75" t="s">
        <v>66</v>
      </c>
      <c r="G15" s="75" t="str">
        <f t="shared" si="0"/>
        <v>a_animal_ghg</v>
      </c>
      <c r="H15" s="77" t="s">
        <v>262</v>
      </c>
      <c r="I15" s="76" t="s">
        <v>1010</v>
      </c>
      <c r="J15" s="76"/>
      <c r="K15" s="74" t="s">
        <v>916</v>
      </c>
      <c r="L15" s="74" t="s">
        <v>1016</v>
      </c>
      <c r="M15" s="74" t="s">
        <v>1247</v>
      </c>
      <c r="N15" s="74" t="s">
        <v>109</v>
      </c>
      <c r="O15" s="74" t="s">
        <v>1014</v>
      </c>
      <c r="P15" s="74" t="s">
        <v>1009</v>
      </c>
      <c r="Q15" s="74" t="s">
        <v>102</v>
      </c>
      <c r="R15" s="74" t="s">
        <v>126</v>
      </c>
      <c r="S15" s="74">
        <v>1</v>
      </c>
      <c r="T15" s="74" t="s">
        <v>1015</v>
      </c>
      <c r="U15" s="74">
        <v>2660</v>
      </c>
      <c r="V15" s="74" t="s">
        <v>106</v>
      </c>
      <c r="W15" s="24">
        <v>1E-3</v>
      </c>
      <c r="X15" s="74" t="s">
        <v>956</v>
      </c>
      <c r="Y15" s="74" t="str">
        <f t="shared" si="1"/>
        <v>kg_co2e_excl_luc</v>
      </c>
      <c r="Z15" s="24">
        <f>SeafoodLCAs[[#This Row],[CO2e (value)]]*SeafoodLCAs[[#This Row],[Conversion factor (value)]]</f>
        <v>2.66</v>
      </c>
      <c r="AA15" s="74">
        <v>0.5</v>
      </c>
      <c r="AB15" s="75" t="s">
        <v>109</v>
      </c>
      <c r="AC15" s="74"/>
      <c r="AD15" s="74"/>
      <c r="AE15" s="74"/>
      <c r="AF15" s="74"/>
      <c r="AG15" s="74"/>
      <c r="AH15" s="74"/>
      <c r="AI15" s="74"/>
      <c r="AJ15" s="74"/>
      <c r="AK15" s="74"/>
    </row>
    <row r="16" spans="1:37" ht="44.1" customHeight="1" x14ac:dyDescent="0.2">
      <c r="A16" s="77" t="s">
        <v>1270</v>
      </c>
      <c r="B16" s="5" t="s">
        <v>1513</v>
      </c>
      <c r="C16" s="16">
        <v>2011</v>
      </c>
      <c r="D16" s="77" t="s">
        <v>1259</v>
      </c>
      <c r="E16" s="77" t="s">
        <v>1260</v>
      </c>
      <c r="F16" s="80" t="s">
        <v>71</v>
      </c>
      <c r="G16" s="80" t="str">
        <f t="shared" si="0"/>
        <v>a_animal_ghg</v>
      </c>
      <c r="H16" s="77" t="s">
        <v>262</v>
      </c>
      <c r="I16" s="81" t="s">
        <v>1298</v>
      </c>
      <c r="J16" s="81"/>
      <c r="K16" s="77" t="s">
        <v>916</v>
      </c>
      <c r="L16" s="77" t="s">
        <v>1261</v>
      </c>
      <c r="M16" s="77"/>
      <c r="N16" s="77" t="s">
        <v>102</v>
      </c>
      <c r="O16" s="77" t="s">
        <v>109</v>
      </c>
      <c r="P16" s="77" t="s">
        <v>102</v>
      </c>
      <c r="Q16" s="77" t="s">
        <v>102</v>
      </c>
      <c r="R16" s="77" t="s">
        <v>126</v>
      </c>
      <c r="S16" s="77">
        <v>1</v>
      </c>
      <c r="T16" s="77" t="s">
        <v>1262</v>
      </c>
      <c r="U16" s="77">
        <v>329</v>
      </c>
      <c r="V16" s="77" t="s">
        <v>106</v>
      </c>
      <c r="W16" s="88">
        <v>1E-3</v>
      </c>
      <c r="X16" s="77" t="s">
        <v>956</v>
      </c>
      <c r="Y16" s="77" t="str">
        <f t="shared" si="1"/>
        <v>kg_co2e_excl_luc</v>
      </c>
      <c r="Z16" s="24">
        <f>SeafoodLCAs[[#This Row],[CO2e (value)]]*SeafoodLCAs[[#This Row],[Conversion factor (value)]]</f>
        <v>0.32900000000000001</v>
      </c>
      <c r="AA16" s="77">
        <v>1</v>
      </c>
      <c r="AB16" s="80" t="s">
        <v>109</v>
      </c>
      <c r="AC16" s="80" t="s">
        <v>1263</v>
      </c>
      <c r="AD16" s="77" t="s">
        <v>1272</v>
      </c>
      <c r="AE16" s="77" t="s">
        <v>1269</v>
      </c>
      <c r="AF16" s="77"/>
      <c r="AG16" s="74"/>
      <c r="AH16" s="74"/>
      <c r="AI16" s="74"/>
      <c r="AJ16" s="74"/>
      <c r="AK16" s="74"/>
    </row>
    <row r="17" spans="1:37" ht="44.1" customHeight="1" x14ac:dyDescent="0.2">
      <c r="A17" s="94" t="s">
        <v>1116</v>
      </c>
      <c r="B17" s="94" t="s">
        <v>900</v>
      </c>
      <c r="C17" s="94"/>
      <c r="D17" s="94" t="s">
        <v>944</v>
      </c>
      <c r="E17" s="94" t="s">
        <v>1144</v>
      </c>
      <c r="F17" s="95" t="s">
        <v>1112</v>
      </c>
      <c r="G17" s="95" t="str">
        <f t="shared" si="0"/>
        <v>a_animal_ghg</v>
      </c>
      <c r="H17" s="96" t="s">
        <v>262</v>
      </c>
      <c r="I17" s="97" t="s">
        <v>120</v>
      </c>
      <c r="J17" s="97"/>
      <c r="K17" s="94" t="s">
        <v>916</v>
      </c>
      <c r="L17" s="94"/>
      <c r="M17" s="94"/>
      <c r="N17" s="94"/>
      <c r="O17" s="94"/>
      <c r="P17" s="94"/>
      <c r="Q17" s="94"/>
      <c r="R17" s="94"/>
      <c r="S17" s="94">
        <v>1</v>
      </c>
      <c r="T17" s="94" t="s">
        <v>1142</v>
      </c>
      <c r="U17" s="98">
        <f>4653*0.42</f>
        <v>1954.26</v>
      </c>
      <c r="V17" s="94" t="s">
        <v>106</v>
      </c>
      <c r="W17" s="30">
        <v>1E-3</v>
      </c>
      <c r="X17" s="94" t="s">
        <v>956</v>
      </c>
      <c r="Y17" s="94" t="str">
        <f t="shared" si="1"/>
        <v>kg_co2e_excl_luc</v>
      </c>
      <c r="Z17" s="30">
        <f>SeafoodLCAs[[#This Row],[CO2e (value)]]*SeafoodLCAs[[#This Row],[Conversion factor (value)]]</f>
        <v>1.9542600000000001</v>
      </c>
      <c r="AA17" s="94"/>
      <c r="AB17" s="94" t="s">
        <v>1113</v>
      </c>
      <c r="AC17" s="94" t="s">
        <v>1143</v>
      </c>
      <c r="AD17" s="94"/>
      <c r="AE17" s="94"/>
      <c r="AF17" s="94"/>
      <c r="AG17" s="74"/>
      <c r="AH17" s="74"/>
      <c r="AI17" s="74"/>
      <c r="AJ17" s="74"/>
      <c r="AK17" s="74"/>
    </row>
    <row r="18" spans="1:37" ht="44.1" customHeight="1" x14ac:dyDescent="0.2">
      <c r="A18" s="74" t="s">
        <v>1011</v>
      </c>
      <c r="B18" s="5" t="s">
        <v>1515</v>
      </c>
      <c r="C18" s="16">
        <v>2011</v>
      </c>
      <c r="D18" s="75" t="s">
        <v>1027</v>
      </c>
      <c r="E18" s="74" t="s">
        <v>1375</v>
      </c>
      <c r="F18" s="75" t="s">
        <v>67</v>
      </c>
      <c r="G18" s="75" t="str">
        <f t="shared" si="0"/>
        <v>a_animal_ghg</v>
      </c>
      <c r="H18" s="74" t="s">
        <v>1029</v>
      </c>
      <c r="I18" s="76" t="s">
        <v>77</v>
      </c>
      <c r="J18" s="76"/>
      <c r="K18" s="74" t="s">
        <v>905</v>
      </c>
      <c r="L18" s="74" t="s">
        <v>961</v>
      </c>
      <c r="M18" s="74" t="s">
        <v>1246</v>
      </c>
      <c r="N18" s="74" t="s">
        <v>102</v>
      </c>
      <c r="O18" s="74" t="s">
        <v>379</v>
      </c>
      <c r="P18" s="74" t="s">
        <v>1031</v>
      </c>
      <c r="Q18" s="74" t="s">
        <v>102</v>
      </c>
      <c r="R18" s="74">
        <v>100</v>
      </c>
      <c r="S18" s="74">
        <v>1</v>
      </c>
      <c r="T18" s="74" t="s">
        <v>1032</v>
      </c>
      <c r="U18" s="74">
        <v>1.54</v>
      </c>
      <c r="V18" s="74" t="s">
        <v>816</v>
      </c>
      <c r="W18" s="24">
        <v>1</v>
      </c>
      <c r="X18" s="74" t="s">
        <v>262</v>
      </c>
      <c r="Y18" s="74" t="str">
        <f t="shared" si="1"/>
        <v>kg_co2e_excl_luc</v>
      </c>
      <c r="Z18" s="24">
        <f>SeafoodLCAs[[#This Row],[CO2e (value)]]*SeafoodLCAs[[#This Row],[Conversion factor (value)]]</f>
        <v>1.54</v>
      </c>
      <c r="AA18" s="74">
        <v>1</v>
      </c>
      <c r="AB18" s="75" t="s">
        <v>109</v>
      </c>
      <c r="AC18" s="74" t="s">
        <v>1033</v>
      </c>
      <c r="AD18" s="74" t="s">
        <v>1037</v>
      </c>
      <c r="AE18" s="74"/>
      <c r="AF18" s="74"/>
      <c r="AG18" s="74"/>
      <c r="AH18" s="74"/>
      <c r="AI18" s="74"/>
      <c r="AJ18" s="74"/>
      <c r="AK18" s="74"/>
    </row>
    <row r="19" spans="1:37" ht="44.1" customHeight="1" x14ac:dyDescent="0.2">
      <c r="A19" s="94" t="s">
        <v>1116</v>
      </c>
      <c r="B19" s="94" t="s">
        <v>1156</v>
      </c>
      <c r="C19" s="94"/>
      <c r="D19" s="94" t="s">
        <v>1157</v>
      </c>
      <c r="E19" s="94" t="s">
        <v>1158</v>
      </c>
      <c r="F19" s="95" t="s">
        <v>1112</v>
      </c>
      <c r="G19" s="95" t="str">
        <f t="shared" si="0"/>
        <v>a_animal_ghg</v>
      </c>
      <c r="H19" s="96" t="s">
        <v>262</v>
      </c>
      <c r="I19" s="97" t="s">
        <v>114</v>
      </c>
      <c r="J19" s="97"/>
      <c r="K19" s="94" t="s">
        <v>916</v>
      </c>
      <c r="L19" s="94" t="s">
        <v>1159</v>
      </c>
      <c r="M19" s="94"/>
      <c r="N19" s="94"/>
      <c r="O19" s="94" t="s">
        <v>109</v>
      </c>
      <c r="P19" s="94"/>
      <c r="Q19" s="94"/>
      <c r="R19" s="94"/>
      <c r="S19" s="94">
        <v>1</v>
      </c>
      <c r="T19" s="94" t="s">
        <v>995</v>
      </c>
      <c r="U19" s="94">
        <v>2015</v>
      </c>
      <c r="V19" s="94" t="s">
        <v>106</v>
      </c>
      <c r="W19" s="30">
        <v>1E-3</v>
      </c>
      <c r="X19" s="94" t="s">
        <v>956</v>
      </c>
      <c r="Y19" s="94" t="str">
        <f t="shared" si="1"/>
        <v>kg_co2e_excl_luc</v>
      </c>
      <c r="Z19" s="30">
        <f>SeafoodLCAs[[#This Row],[CO2e (value)]]*SeafoodLCAs[[#This Row],[Conversion factor (value)]]</f>
        <v>2.0150000000000001</v>
      </c>
      <c r="AA19" s="94"/>
      <c r="AB19" s="94" t="s">
        <v>1113</v>
      </c>
      <c r="AC19" s="94" t="s">
        <v>1160</v>
      </c>
      <c r="AD19" s="94"/>
      <c r="AE19" s="94"/>
      <c r="AF19" s="94"/>
      <c r="AG19" s="74"/>
      <c r="AH19" s="74"/>
      <c r="AI19" s="74"/>
      <c r="AJ19" s="74"/>
      <c r="AK19" s="74"/>
    </row>
    <row r="20" spans="1:37" ht="44.1" customHeight="1" x14ac:dyDescent="0.2">
      <c r="A20" s="74" t="s">
        <v>99</v>
      </c>
      <c r="B20" s="5" t="s">
        <v>1522</v>
      </c>
      <c r="C20" s="16">
        <v>2016</v>
      </c>
      <c r="D20" s="75" t="s">
        <v>933</v>
      </c>
      <c r="E20" s="74" t="s">
        <v>941</v>
      </c>
      <c r="F20" s="75" t="s">
        <v>67</v>
      </c>
      <c r="G20" s="75" t="str">
        <f t="shared" si="0"/>
        <v>a_animal_ghg</v>
      </c>
      <c r="H20" s="74" t="s">
        <v>935</v>
      </c>
      <c r="I20" s="76" t="s">
        <v>936</v>
      </c>
      <c r="J20" s="76"/>
      <c r="K20" s="74" t="s">
        <v>905</v>
      </c>
      <c r="L20" s="74" t="s">
        <v>937</v>
      </c>
      <c r="M20" s="74" t="s">
        <v>1246</v>
      </c>
      <c r="N20" s="74" t="s">
        <v>109</v>
      </c>
      <c r="O20" s="74" t="s">
        <v>109</v>
      </c>
      <c r="P20" s="74" t="s">
        <v>938</v>
      </c>
      <c r="Q20" s="74" t="s">
        <v>102</v>
      </c>
      <c r="R20" s="74" t="s">
        <v>126</v>
      </c>
      <c r="S20" s="74">
        <v>1</v>
      </c>
      <c r="T20" s="74" t="s">
        <v>106</v>
      </c>
      <c r="U20" s="74">
        <v>5.2</v>
      </c>
      <c r="V20" s="74" t="s">
        <v>106</v>
      </c>
      <c r="W20" s="24">
        <v>1</v>
      </c>
      <c r="X20" s="74"/>
      <c r="Y20" s="74" t="str">
        <f t="shared" si="1"/>
        <v>kg_co2e_excl_luc</v>
      </c>
      <c r="Z20" s="24">
        <f>SeafoodLCAs[[#This Row],[CO2e (value)]]*SeafoodLCAs[[#This Row],[Conversion factor (value)]]</f>
        <v>5.2</v>
      </c>
      <c r="AA20" s="74">
        <v>1</v>
      </c>
      <c r="AB20" s="75" t="s">
        <v>109</v>
      </c>
      <c r="AC20" s="91" t="s">
        <v>939</v>
      </c>
      <c r="AD20" s="74"/>
      <c r="AE20" s="74"/>
      <c r="AF20" s="74"/>
      <c r="AG20" s="74"/>
      <c r="AH20" s="74"/>
      <c r="AI20" s="74"/>
      <c r="AJ20" s="74"/>
      <c r="AK20" s="74"/>
    </row>
    <row r="21" spans="1:37" ht="44.1" customHeight="1" x14ac:dyDescent="0.2">
      <c r="A21" s="74" t="s">
        <v>974</v>
      </c>
      <c r="B21" s="5" t="s">
        <v>1517</v>
      </c>
      <c r="C21" s="16">
        <v>2013</v>
      </c>
      <c r="D21" s="74" t="s">
        <v>982</v>
      </c>
      <c r="E21" s="74" t="s">
        <v>1529</v>
      </c>
      <c r="F21" s="75" t="s">
        <v>66</v>
      </c>
      <c r="G21" s="75" t="str">
        <f t="shared" si="0"/>
        <v>a_animal_ghg</v>
      </c>
      <c r="H21" s="77" t="s">
        <v>262</v>
      </c>
      <c r="I21" s="76" t="s">
        <v>983</v>
      </c>
      <c r="J21" s="76"/>
      <c r="K21" s="74" t="s">
        <v>916</v>
      </c>
      <c r="L21" s="74" t="s">
        <v>984</v>
      </c>
      <c r="M21" s="74" t="s">
        <v>1383</v>
      </c>
      <c r="N21" s="74" t="s">
        <v>109</v>
      </c>
      <c r="O21" s="74" t="s">
        <v>109</v>
      </c>
      <c r="P21" s="74" t="s">
        <v>102</v>
      </c>
      <c r="Q21" s="74" t="s">
        <v>985</v>
      </c>
      <c r="R21" s="74" t="s">
        <v>152</v>
      </c>
      <c r="S21" s="74">
        <v>1</v>
      </c>
      <c r="T21" s="74" t="s">
        <v>986</v>
      </c>
      <c r="U21" s="78">
        <v>1525</v>
      </c>
      <c r="V21" s="74" t="s">
        <v>106</v>
      </c>
      <c r="W21" s="24">
        <v>1E-3</v>
      </c>
      <c r="X21" s="74" t="s">
        <v>956</v>
      </c>
      <c r="Y21" s="74" t="str">
        <f t="shared" si="1"/>
        <v>kg_co2e_excl_luc</v>
      </c>
      <c r="Z21" s="24">
        <f>SeafoodLCAs[[#This Row],[CO2e (value)]]*SeafoodLCAs[[#This Row],[Conversion factor (value)]]</f>
        <v>1.5250000000000001</v>
      </c>
      <c r="AA21" s="74">
        <f>1/2</f>
        <v>0.5</v>
      </c>
      <c r="AB21" s="74" t="s">
        <v>109</v>
      </c>
      <c r="AC21" s="74" t="s">
        <v>987</v>
      </c>
      <c r="AD21" s="74" t="s">
        <v>988</v>
      </c>
      <c r="AE21" s="74"/>
      <c r="AF21" s="74"/>
      <c r="AG21" s="74"/>
      <c r="AH21" s="74"/>
      <c r="AI21" s="74"/>
      <c r="AJ21" s="74"/>
      <c r="AK21" s="74"/>
    </row>
    <row r="22" spans="1:37" ht="44.1" customHeight="1" x14ac:dyDescent="0.2">
      <c r="A22" s="74" t="s">
        <v>974</v>
      </c>
      <c r="B22" s="5" t="s">
        <v>1517</v>
      </c>
      <c r="C22" s="16">
        <v>2013</v>
      </c>
      <c r="D22" s="74" t="s">
        <v>982</v>
      </c>
      <c r="E22" s="74" t="s">
        <v>1529</v>
      </c>
      <c r="F22" s="75" t="s">
        <v>66</v>
      </c>
      <c r="G22" s="75" t="str">
        <f t="shared" si="0"/>
        <v>a_animal_ghg</v>
      </c>
      <c r="H22" s="77" t="s">
        <v>262</v>
      </c>
      <c r="I22" s="76" t="s">
        <v>983</v>
      </c>
      <c r="J22" s="76"/>
      <c r="K22" s="74" t="s">
        <v>916</v>
      </c>
      <c r="L22" s="74" t="s">
        <v>989</v>
      </c>
      <c r="M22" s="74" t="s">
        <v>1383</v>
      </c>
      <c r="N22" s="74" t="s">
        <v>109</v>
      </c>
      <c r="O22" s="74" t="s">
        <v>109</v>
      </c>
      <c r="P22" s="74" t="s">
        <v>102</v>
      </c>
      <c r="Q22" s="74" t="s">
        <v>985</v>
      </c>
      <c r="R22" s="74" t="s">
        <v>152</v>
      </c>
      <c r="S22" s="74">
        <v>1</v>
      </c>
      <c r="T22" s="74" t="s">
        <v>986</v>
      </c>
      <c r="U22" s="78">
        <v>1803</v>
      </c>
      <c r="V22" s="74" t="s">
        <v>106</v>
      </c>
      <c r="W22" s="24">
        <v>1E-3</v>
      </c>
      <c r="X22" s="74" t="s">
        <v>956</v>
      </c>
      <c r="Y22" s="74" t="str">
        <f t="shared" si="1"/>
        <v>kg_co2e_excl_luc</v>
      </c>
      <c r="Z22" s="24">
        <f>SeafoodLCAs[[#This Row],[CO2e (value)]]*SeafoodLCAs[[#This Row],[Conversion factor (value)]]</f>
        <v>1.8029999999999999</v>
      </c>
      <c r="AA22" s="74">
        <f>1/2</f>
        <v>0.5</v>
      </c>
      <c r="AB22" s="74" t="s">
        <v>109</v>
      </c>
      <c r="AC22" s="74" t="s">
        <v>987</v>
      </c>
      <c r="AD22" s="74" t="s">
        <v>988</v>
      </c>
      <c r="AE22" s="74"/>
      <c r="AF22" s="74"/>
      <c r="AG22" s="74"/>
      <c r="AH22" s="74"/>
      <c r="AI22" s="74"/>
      <c r="AJ22" s="74"/>
      <c r="AK22" s="74"/>
    </row>
    <row r="23" spans="1:37" ht="44.1" customHeight="1" x14ac:dyDescent="0.2">
      <c r="A23" s="94" t="s">
        <v>1116</v>
      </c>
      <c r="B23" s="94" t="s">
        <v>1145</v>
      </c>
      <c r="C23" s="94"/>
      <c r="D23" s="94" t="s">
        <v>1146</v>
      </c>
      <c r="E23" s="94" t="s">
        <v>1147</v>
      </c>
      <c r="F23" s="95" t="s">
        <v>1112</v>
      </c>
      <c r="G23" s="95" t="str">
        <f t="shared" si="0"/>
        <v>a_animal_ghg</v>
      </c>
      <c r="H23" s="96" t="s">
        <v>262</v>
      </c>
      <c r="I23" s="97" t="s">
        <v>1148</v>
      </c>
      <c r="J23" s="97"/>
      <c r="K23" s="94" t="s">
        <v>916</v>
      </c>
      <c r="L23" s="94" t="s">
        <v>219</v>
      </c>
      <c r="M23" s="94"/>
      <c r="N23" s="94"/>
      <c r="O23" s="94" t="s">
        <v>109</v>
      </c>
      <c r="P23" s="94"/>
      <c r="Q23" s="94"/>
      <c r="R23" s="94"/>
      <c r="S23" s="94">
        <v>1</v>
      </c>
      <c r="T23" s="94" t="s">
        <v>1149</v>
      </c>
      <c r="U23" s="94">
        <v>8930</v>
      </c>
      <c r="V23" s="94" t="s">
        <v>106</v>
      </c>
      <c r="W23" s="30">
        <v>1E-3</v>
      </c>
      <c r="X23" s="94" t="s">
        <v>956</v>
      </c>
      <c r="Y23" s="94" t="str">
        <f t="shared" si="1"/>
        <v>kg_co2e_excl_luc</v>
      </c>
      <c r="Z23" s="30">
        <f>SeafoodLCAs[[#This Row],[CO2e (value)]]*SeafoodLCAs[[#This Row],[Conversion factor (value)]]</f>
        <v>8.93</v>
      </c>
      <c r="AA23" s="94"/>
      <c r="AB23" s="94" t="s">
        <v>1113</v>
      </c>
      <c r="AC23" s="94"/>
      <c r="AD23" s="94"/>
      <c r="AE23" s="94"/>
      <c r="AF23" s="94"/>
      <c r="AG23" s="74"/>
      <c r="AH23" s="74"/>
      <c r="AI23" s="74"/>
      <c r="AJ23" s="74"/>
      <c r="AK23" s="74"/>
    </row>
    <row r="24" spans="1:37" ht="44.1" customHeight="1" x14ac:dyDescent="0.2">
      <c r="A24" s="94" t="s">
        <v>251</v>
      </c>
      <c r="B24" s="94" t="s">
        <v>1106</v>
      </c>
      <c r="C24" s="94"/>
      <c r="D24" s="95" t="s">
        <v>1107</v>
      </c>
      <c r="E24" s="94" t="s">
        <v>1108</v>
      </c>
      <c r="F24" s="95" t="s">
        <v>71</v>
      </c>
      <c r="G24" s="95" t="str">
        <f t="shared" si="0"/>
        <v>a_animal_ghg</v>
      </c>
      <c r="H24" s="96" t="s">
        <v>262</v>
      </c>
      <c r="I24" s="97" t="s">
        <v>367</v>
      </c>
      <c r="J24" s="97"/>
      <c r="K24" s="94" t="s">
        <v>916</v>
      </c>
      <c r="L24" s="94"/>
      <c r="M24" s="94"/>
      <c r="N24" s="94" t="s">
        <v>109</v>
      </c>
      <c r="O24" s="94"/>
      <c r="P24" s="94"/>
      <c r="Q24" s="94"/>
      <c r="R24" s="94"/>
      <c r="S24" s="94">
        <v>70</v>
      </c>
      <c r="T24" s="94" t="s">
        <v>106</v>
      </c>
      <c r="U24" s="94"/>
      <c r="V24" s="94"/>
      <c r="W24" s="30"/>
      <c r="X24" s="94"/>
      <c r="Y24" s="94" t="str">
        <f t="shared" si="1"/>
        <v>kg_co2e_excl_luc</v>
      </c>
      <c r="Z24" s="30">
        <f>SeafoodLCAs[[#This Row],[CO2e (value)]]*SeafoodLCAs[[#This Row],[Conversion factor (value)]]</f>
        <v>0</v>
      </c>
      <c r="AA24" s="94"/>
      <c r="AB24" s="95" t="s">
        <v>1109</v>
      </c>
      <c r="AC24" s="94" t="s">
        <v>1110</v>
      </c>
      <c r="AD24" s="94"/>
      <c r="AE24" s="94"/>
      <c r="AF24" s="94"/>
      <c r="AG24" s="74"/>
      <c r="AH24" s="74"/>
      <c r="AI24" s="74"/>
      <c r="AJ24" s="74"/>
      <c r="AK24" s="74"/>
    </row>
    <row r="25" spans="1:37" ht="44.1" customHeight="1" x14ac:dyDescent="0.2">
      <c r="A25" s="94" t="s">
        <v>974</v>
      </c>
      <c r="B25" s="94" t="s">
        <v>1203</v>
      </c>
      <c r="C25" s="94"/>
      <c r="D25" s="94" t="s">
        <v>1204</v>
      </c>
      <c r="E25" s="94" t="s">
        <v>1076</v>
      </c>
      <c r="F25" s="95" t="s">
        <v>1205</v>
      </c>
      <c r="G25" s="95" t="str">
        <f t="shared" si="0"/>
        <v>a_animal_ghg</v>
      </c>
      <c r="H25" s="94" t="s">
        <v>1206</v>
      </c>
      <c r="I25" s="97"/>
      <c r="J25" s="97"/>
      <c r="K25" s="94" t="s">
        <v>905</v>
      </c>
      <c r="L25" s="94" t="s">
        <v>1207</v>
      </c>
      <c r="M25" s="94"/>
      <c r="N25" s="94"/>
      <c r="O25" s="94"/>
      <c r="P25" s="94"/>
      <c r="Q25" s="94"/>
      <c r="R25" s="94"/>
      <c r="S25" s="94">
        <v>1</v>
      </c>
      <c r="T25" s="94" t="s">
        <v>1209</v>
      </c>
      <c r="U25" s="94">
        <v>2433</v>
      </c>
      <c r="V25" s="94" t="s">
        <v>107</v>
      </c>
      <c r="W25" s="30">
        <v>1E-3</v>
      </c>
      <c r="X25" s="94" t="s">
        <v>108</v>
      </c>
      <c r="Y25" s="94" t="str">
        <f t="shared" si="1"/>
        <v>kg_co2e_excl_luc</v>
      </c>
      <c r="Z25" s="30">
        <f>SeafoodLCAs[[#This Row],[CO2e (value)]]*SeafoodLCAs[[#This Row],[Conversion factor (value)]]</f>
        <v>2.4329999999999998</v>
      </c>
      <c r="AA25" s="94"/>
      <c r="AB25" s="94" t="s">
        <v>1208</v>
      </c>
      <c r="AC25" s="94" t="s">
        <v>1210</v>
      </c>
      <c r="AD25" s="94"/>
      <c r="AE25" s="94"/>
      <c r="AF25" s="94"/>
      <c r="AG25" s="74"/>
      <c r="AH25" s="74"/>
      <c r="AI25" s="74"/>
      <c r="AJ25" s="74"/>
      <c r="AK25" s="74"/>
    </row>
    <row r="26" spans="1:37" ht="44.1" customHeight="1" x14ac:dyDescent="0.2">
      <c r="A26" s="77" t="s">
        <v>251</v>
      </c>
      <c r="B26" s="5" t="s">
        <v>1524</v>
      </c>
      <c r="C26" s="16">
        <v>2013</v>
      </c>
      <c r="D26" s="75" t="s">
        <v>1071</v>
      </c>
      <c r="E26" s="77" t="s">
        <v>1076</v>
      </c>
      <c r="F26" s="80" t="s">
        <v>67</v>
      </c>
      <c r="G26" s="80" t="str">
        <f t="shared" si="0"/>
        <v>a_animal_ghg</v>
      </c>
      <c r="H26" s="77" t="s">
        <v>186</v>
      </c>
      <c r="I26" s="81" t="s">
        <v>186</v>
      </c>
      <c r="J26" s="81"/>
      <c r="K26" s="74" t="s">
        <v>905</v>
      </c>
      <c r="L26" s="77"/>
      <c r="M26" s="74" t="s">
        <v>1246</v>
      </c>
      <c r="N26" s="77" t="s">
        <v>109</v>
      </c>
      <c r="O26" s="77" t="s">
        <v>109</v>
      </c>
      <c r="P26" s="77" t="s">
        <v>1073</v>
      </c>
      <c r="Q26" s="77" t="s">
        <v>105</v>
      </c>
      <c r="R26" s="74" t="s">
        <v>126</v>
      </c>
      <c r="S26" s="77">
        <v>1</v>
      </c>
      <c r="T26" s="77" t="s">
        <v>1074</v>
      </c>
      <c r="U26" s="77">
        <v>1.17</v>
      </c>
      <c r="V26" s="74" t="s">
        <v>106</v>
      </c>
      <c r="W26" s="24">
        <v>1</v>
      </c>
      <c r="X26" s="74" t="s">
        <v>262</v>
      </c>
      <c r="Y26" s="74" t="str">
        <f t="shared" si="1"/>
        <v>kg_co2e_excl_luc</v>
      </c>
      <c r="Z26" s="24">
        <f>SeafoodLCAs[[#This Row],[CO2e (value)]]*SeafoodLCAs[[#This Row],[Conversion factor (value)]]</f>
        <v>1.17</v>
      </c>
      <c r="AA26" s="77">
        <v>1</v>
      </c>
      <c r="AB26" s="80" t="s">
        <v>109</v>
      </c>
      <c r="AC26" s="77" t="s">
        <v>1075</v>
      </c>
      <c r="AD26" s="77"/>
      <c r="AE26" s="77"/>
      <c r="AF26" s="77"/>
      <c r="AG26" s="74"/>
      <c r="AH26" s="74"/>
      <c r="AI26" s="74"/>
      <c r="AJ26" s="74"/>
      <c r="AK26" s="74"/>
    </row>
    <row r="27" spans="1:37" ht="44.1" customHeight="1" x14ac:dyDescent="0.2">
      <c r="A27" s="74"/>
      <c r="B27" s="5" t="s">
        <v>1515</v>
      </c>
      <c r="C27" s="16">
        <v>2011</v>
      </c>
      <c r="D27" s="75" t="s">
        <v>1027</v>
      </c>
      <c r="E27" s="74" t="s">
        <v>1046</v>
      </c>
      <c r="F27" s="75" t="s">
        <v>70</v>
      </c>
      <c r="G27" s="75" t="str">
        <f t="shared" si="0"/>
        <v>a_animal_ghg</v>
      </c>
      <c r="H27" s="74" t="s">
        <v>1047</v>
      </c>
      <c r="I27" s="76" t="s">
        <v>77</v>
      </c>
      <c r="J27" s="76"/>
      <c r="K27" s="74" t="s">
        <v>905</v>
      </c>
      <c r="L27" s="74" t="s">
        <v>961</v>
      </c>
      <c r="M27" s="74"/>
      <c r="N27" s="74" t="s">
        <v>102</v>
      </c>
      <c r="O27" s="74" t="s">
        <v>379</v>
      </c>
      <c r="P27" s="74" t="s">
        <v>1031</v>
      </c>
      <c r="Q27" s="74" t="s">
        <v>102</v>
      </c>
      <c r="R27" s="74">
        <v>100</v>
      </c>
      <c r="S27" s="74">
        <v>1</v>
      </c>
      <c r="T27" s="74" t="s">
        <v>1032</v>
      </c>
      <c r="U27" s="74">
        <v>6.39</v>
      </c>
      <c r="V27" s="74" t="s">
        <v>816</v>
      </c>
      <c r="W27" s="24">
        <v>1</v>
      </c>
      <c r="X27" s="74" t="s">
        <v>262</v>
      </c>
      <c r="Y27" s="74" t="str">
        <f t="shared" si="1"/>
        <v>kg_co2e_excl_luc</v>
      </c>
      <c r="Z27" s="24">
        <f>SeafoodLCAs[[#This Row],[CO2e (value)]]*SeafoodLCAs[[#This Row],[Conversion factor (value)]]</f>
        <v>6.39</v>
      </c>
      <c r="AA27" s="74">
        <v>1</v>
      </c>
      <c r="AB27" s="75" t="s">
        <v>109</v>
      </c>
      <c r="AC27" s="74" t="s">
        <v>1033</v>
      </c>
      <c r="AD27" s="74" t="s">
        <v>1048</v>
      </c>
      <c r="AE27" s="74"/>
      <c r="AF27" s="74"/>
      <c r="AG27" s="74"/>
      <c r="AH27" s="74"/>
      <c r="AI27" s="74"/>
      <c r="AJ27" s="74"/>
      <c r="AK27" s="74"/>
    </row>
    <row r="28" spans="1:37" ht="44.1" customHeight="1" x14ac:dyDescent="0.2">
      <c r="A28" s="94" t="s">
        <v>1011</v>
      </c>
      <c r="B28" s="94" t="s">
        <v>1026</v>
      </c>
      <c r="C28" s="94"/>
      <c r="D28" s="95" t="s">
        <v>1027</v>
      </c>
      <c r="E28" s="99" t="s">
        <v>1125</v>
      </c>
      <c r="F28" s="95" t="s">
        <v>67</v>
      </c>
      <c r="G28" s="95" t="str">
        <f t="shared" si="0"/>
        <v>a_animal_ghg</v>
      </c>
      <c r="H28" s="94" t="s">
        <v>1038</v>
      </c>
      <c r="I28" s="97" t="s">
        <v>1030</v>
      </c>
      <c r="J28" s="97"/>
      <c r="K28" s="94" t="s">
        <v>905</v>
      </c>
      <c r="L28" s="94" t="s">
        <v>1039</v>
      </c>
      <c r="M28" s="94"/>
      <c r="N28" s="94" t="s">
        <v>102</v>
      </c>
      <c r="O28" s="94" t="s">
        <v>379</v>
      </c>
      <c r="P28" s="94" t="s">
        <v>1031</v>
      </c>
      <c r="Q28" s="94" t="s">
        <v>102</v>
      </c>
      <c r="R28" s="94">
        <v>100</v>
      </c>
      <c r="S28" s="94">
        <v>1</v>
      </c>
      <c r="T28" s="94" t="s">
        <v>1032</v>
      </c>
      <c r="U28" s="94">
        <v>3.13</v>
      </c>
      <c r="V28" s="94" t="s">
        <v>816</v>
      </c>
      <c r="W28" s="30">
        <v>1</v>
      </c>
      <c r="X28" s="94" t="s">
        <v>262</v>
      </c>
      <c r="Y28" s="94" t="str">
        <f t="shared" si="1"/>
        <v>kg_co2e_excl_luc</v>
      </c>
      <c r="Z28" s="30">
        <f>SeafoodLCAs[[#This Row],[CO2e (value)]]*SeafoodLCAs[[#This Row],[Conversion factor (value)]]</f>
        <v>3.13</v>
      </c>
      <c r="AA28" s="94">
        <v>1</v>
      </c>
      <c r="AB28" s="100" t="s">
        <v>1126</v>
      </c>
      <c r="AC28" s="94" t="s">
        <v>1033</v>
      </c>
      <c r="AD28" s="94" t="s">
        <v>1043</v>
      </c>
      <c r="AE28" s="94"/>
      <c r="AF28" s="94"/>
      <c r="AG28" s="74"/>
      <c r="AH28" s="74"/>
      <c r="AI28" s="74"/>
      <c r="AJ28" s="74"/>
      <c r="AK28" s="74"/>
    </row>
    <row r="29" spans="1:37" ht="44.1" customHeight="1" x14ac:dyDescent="0.2">
      <c r="A29" s="74" t="s">
        <v>1011</v>
      </c>
      <c r="B29" s="5" t="s">
        <v>1515</v>
      </c>
      <c r="C29" s="16">
        <v>2011</v>
      </c>
      <c r="D29" s="75" t="s">
        <v>1027</v>
      </c>
      <c r="E29" s="74" t="s">
        <v>1049</v>
      </c>
      <c r="F29" s="75" t="s">
        <v>70</v>
      </c>
      <c r="G29" s="75" t="str">
        <f t="shared" si="0"/>
        <v>a_animal_ghg</v>
      </c>
      <c r="H29" s="74" t="s">
        <v>1047</v>
      </c>
      <c r="I29" s="76" t="s">
        <v>77</v>
      </c>
      <c r="J29" s="76"/>
      <c r="K29" s="74" t="s">
        <v>905</v>
      </c>
      <c r="L29" s="74" t="s">
        <v>778</v>
      </c>
      <c r="M29" s="74"/>
      <c r="N29" s="74" t="s">
        <v>102</v>
      </c>
      <c r="O29" s="74" t="s">
        <v>379</v>
      </c>
      <c r="P29" s="74" t="s">
        <v>1031</v>
      </c>
      <c r="Q29" s="74" t="s">
        <v>102</v>
      </c>
      <c r="R29" s="74">
        <v>100</v>
      </c>
      <c r="S29" s="74">
        <v>1</v>
      </c>
      <c r="T29" s="74" t="s">
        <v>1032</v>
      </c>
      <c r="U29" s="74">
        <v>7.35</v>
      </c>
      <c r="V29" s="74" t="s">
        <v>816</v>
      </c>
      <c r="W29" s="24">
        <v>1</v>
      </c>
      <c r="X29" s="74" t="s">
        <v>262</v>
      </c>
      <c r="Y29" s="74" t="str">
        <f t="shared" si="1"/>
        <v>kg_co2e_excl_luc</v>
      </c>
      <c r="Z29" s="24">
        <f>SeafoodLCAs[[#This Row],[CO2e (value)]]*SeafoodLCAs[[#This Row],[Conversion factor (value)]]</f>
        <v>7.35</v>
      </c>
      <c r="AA29" s="74">
        <v>1</v>
      </c>
      <c r="AB29" s="75" t="s">
        <v>109</v>
      </c>
      <c r="AC29" s="74" t="s">
        <v>1033</v>
      </c>
      <c r="AD29" s="74" t="s">
        <v>1050</v>
      </c>
      <c r="AE29" s="74"/>
      <c r="AF29" s="74"/>
      <c r="AG29" s="74"/>
      <c r="AH29" s="74"/>
      <c r="AI29" s="74"/>
      <c r="AJ29" s="74"/>
      <c r="AK29" s="74"/>
    </row>
    <row r="30" spans="1:37" ht="44.1" customHeight="1" x14ac:dyDescent="0.2">
      <c r="A30" s="96" t="s">
        <v>123</v>
      </c>
      <c r="B30" s="96" t="s">
        <v>1258</v>
      </c>
      <c r="C30" s="96"/>
      <c r="D30" s="96" t="s">
        <v>1259</v>
      </c>
      <c r="E30" s="96" t="s">
        <v>1264</v>
      </c>
      <c r="F30" s="105" t="s">
        <v>71</v>
      </c>
      <c r="G30" s="105" t="str">
        <f t="shared" si="0"/>
        <v>a_animal_ghg</v>
      </c>
      <c r="H30" s="96" t="s">
        <v>262</v>
      </c>
      <c r="I30" s="106" t="s">
        <v>143</v>
      </c>
      <c r="J30" s="106"/>
      <c r="K30" s="96" t="s">
        <v>916</v>
      </c>
      <c r="L30" s="96" t="s">
        <v>1261</v>
      </c>
      <c r="M30" s="96"/>
      <c r="N30" s="96" t="s">
        <v>102</v>
      </c>
      <c r="O30" s="96" t="s">
        <v>334</v>
      </c>
      <c r="P30" s="96" t="s">
        <v>102</v>
      </c>
      <c r="Q30" s="96" t="s">
        <v>102</v>
      </c>
      <c r="R30" s="96" t="s">
        <v>126</v>
      </c>
      <c r="S30" s="96">
        <v>1</v>
      </c>
      <c r="T30" s="96" t="s">
        <v>1262</v>
      </c>
      <c r="U30" s="96">
        <v>309</v>
      </c>
      <c r="V30" s="96" t="s">
        <v>106</v>
      </c>
      <c r="W30" s="56">
        <v>1E-3</v>
      </c>
      <c r="X30" s="96" t="s">
        <v>956</v>
      </c>
      <c r="Y30" s="96" t="str">
        <f t="shared" si="1"/>
        <v>kg_co2e_excl_luc</v>
      </c>
      <c r="Z30" s="107">
        <f>SeafoodLCAs[[#This Row],[CO2e (value)]]*SeafoodLCAs[[#This Row],[Conversion factor (value)]]</f>
        <v>0.309</v>
      </c>
      <c r="AA30" s="96">
        <v>0.16666666699999999</v>
      </c>
      <c r="AB30" s="105" t="s">
        <v>1271</v>
      </c>
      <c r="AC30" s="105" t="s">
        <v>1263</v>
      </c>
      <c r="AD30" s="96"/>
      <c r="AE30" s="96"/>
      <c r="AF30" s="96"/>
      <c r="AG30" s="74"/>
      <c r="AH30" s="74"/>
      <c r="AI30" s="74"/>
      <c r="AJ30" s="74"/>
      <c r="AK30" s="74"/>
    </row>
    <row r="31" spans="1:37" ht="44.1" customHeight="1" x14ac:dyDescent="0.2">
      <c r="A31" s="74" t="s">
        <v>99</v>
      </c>
      <c r="B31" s="5" t="s">
        <v>1520</v>
      </c>
      <c r="C31" s="16">
        <v>2015</v>
      </c>
      <c r="D31" s="75" t="s">
        <v>923</v>
      </c>
      <c r="E31" s="74" t="s">
        <v>932</v>
      </c>
      <c r="F31" s="75" t="s">
        <v>69</v>
      </c>
      <c r="G31" s="75" t="str">
        <f t="shared" si="0"/>
        <v>a_animal_ghg</v>
      </c>
      <c r="H31" s="77" t="s">
        <v>262</v>
      </c>
      <c r="I31" s="76" t="s">
        <v>351</v>
      </c>
      <c r="J31" s="76"/>
      <c r="K31" s="74" t="s">
        <v>916</v>
      </c>
      <c r="L31" s="74" t="s">
        <v>138</v>
      </c>
      <c r="M31" s="74" t="s">
        <v>1250</v>
      </c>
      <c r="N31" s="74" t="s">
        <v>109</v>
      </c>
      <c r="O31" s="74" t="s">
        <v>109</v>
      </c>
      <c r="P31" s="74" t="s">
        <v>925</v>
      </c>
      <c r="Q31" s="74" t="s">
        <v>926</v>
      </c>
      <c r="R31" s="74" t="s">
        <v>126</v>
      </c>
      <c r="S31" s="74">
        <v>1</v>
      </c>
      <c r="T31" s="74" t="s">
        <v>927</v>
      </c>
      <c r="U31" s="74">
        <v>3516.3</v>
      </c>
      <c r="V31" s="74" t="s">
        <v>106</v>
      </c>
      <c r="W31" s="24">
        <v>1E-3</v>
      </c>
      <c r="X31" s="74" t="s">
        <v>195</v>
      </c>
      <c r="Y31" s="74" t="str">
        <f t="shared" si="1"/>
        <v>kg_co2e_excl_luc</v>
      </c>
      <c r="Z31" s="24">
        <f>SeafoodLCAs[[#This Row],[CO2e (value)]]*SeafoodLCAs[[#This Row],[Conversion factor (value)]]</f>
        <v>3.5163000000000002</v>
      </c>
      <c r="AA31" s="74">
        <f>1/2</f>
        <v>0.5</v>
      </c>
      <c r="AB31" s="75" t="s">
        <v>109</v>
      </c>
      <c r="AC31" s="74" t="s">
        <v>235</v>
      </c>
      <c r="AD31" s="74"/>
      <c r="AE31" s="74" t="s">
        <v>928</v>
      </c>
      <c r="AF31" s="74"/>
      <c r="AG31" s="74"/>
      <c r="AH31" s="74"/>
      <c r="AI31" s="74"/>
      <c r="AJ31" s="74"/>
      <c r="AK31" s="74"/>
    </row>
    <row r="32" spans="1:37" ht="44.1" customHeight="1" x14ac:dyDescent="0.2">
      <c r="A32" s="74" t="s">
        <v>99</v>
      </c>
      <c r="B32" s="5" t="s">
        <v>1520</v>
      </c>
      <c r="C32" s="16">
        <v>2015</v>
      </c>
      <c r="D32" s="75" t="s">
        <v>923</v>
      </c>
      <c r="E32" s="74" t="s">
        <v>932</v>
      </c>
      <c r="F32" s="75" t="s">
        <v>69</v>
      </c>
      <c r="G32" s="75" t="str">
        <f t="shared" si="0"/>
        <v>a_animal_ghg</v>
      </c>
      <c r="H32" s="77" t="s">
        <v>262</v>
      </c>
      <c r="I32" s="76" t="s">
        <v>351</v>
      </c>
      <c r="J32" s="76"/>
      <c r="K32" s="74" t="s">
        <v>916</v>
      </c>
      <c r="L32" s="74" t="s">
        <v>929</v>
      </c>
      <c r="M32" s="74" t="s">
        <v>1250</v>
      </c>
      <c r="N32" s="74" t="s">
        <v>109</v>
      </c>
      <c r="O32" s="74" t="s">
        <v>109</v>
      </c>
      <c r="P32" s="74" t="s">
        <v>925</v>
      </c>
      <c r="Q32" s="74" t="s">
        <v>926</v>
      </c>
      <c r="R32" s="74" t="s">
        <v>126</v>
      </c>
      <c r="S32" s="74">
        <v>1</v>
      </c>
      <c r="T32" s="74" t="s">
        <v>927</v>
      </c>
      <c r="U32" s="74">
        <v>3654.5</v>
      </c>
      <c r="V32" s="74" t="s">
        <v>106</v>
      </c>
      <c r="W32" s="24">
        <v>1E-3</v>
      </c>
      <c r="X32" s="74" t="s">
        <v>195</v>
      </c>
      <c r="Y32" s="74" t="str">
        <f t="shared" si="1"/>
        <v>kg_co2e_excl_luc</v>
      </c>
      <c r="Z32" s="24">
        <f>SeafoodLCAs[[#This Row],[CO2e (value)]]*SeafoodLCAs[[#This Row],[Conversion factor (value)]]</f>
        <v>3.6545000000000001</v>
      </c>
      <c r="AA32" s="74">
        <f>1/2</f>
        <v>0.5</v>
      </c>
      <c r="AB32" s="75" t="s">
        <v>109</v>
      </c>
      <c r="AC32" s="74" t="s">
        <v>235</v>
      </c>
      <c r="AD32" s="74" t="s">
        <v>931</v>
      </c>
      <c r="AE32" s="74" t="s">
        <v>928</v>
      </c>
      <c r="AF32" s="74"/>
      <c r="AG32" s="74"/>
      <c r="AH32" s="74"/>
      <c r="AI32" s="74"/>
      <c r="AJ32" s="74"/>
      <c r="AK32" s="74"/>
    </row>
    <row r="33" spans="1:37" ht="44.1" customHeight="1" x14ac:dyDescent="0.2">
      <c r="A33" s="77" t="s">
        <v>251</v>
      </c>
      <c r="B33" s="5" t="s">
        <v>1524</v>
      </c>
      <c r="C33" s="16">
        <v>2013</v>
      </c>
      <c r="D33" s="75" t="s">
        <v>1071</v>
      </c>
      <c r="E33" s="77" t="s">
        <v>1077</v>
      </c>
      <c r="F33" s="80" t="s">
        <v>67</v>
      </c>
      <c r="G33" s="80" t="str">
        <f t="shared" si="0"/>
        <v>a_animal_ghg</v>
      </c>
      <c r="H33" s="77" t="s">
        <v>186</v>
      </c>
      <c r="I33" s="81" t="s">
        <v>186</v>
      </c>
      <c r="J33" s="81"/>
      <c r="K33" s="74" t="s">
        <v>905</v>
      </c>
      <c r="L33" s="77"/>
      <c r="M33" s="74" t="s">
        <v>1246</v>
      </c>
      <c r="N33" s="77" t="s">
        <v>109</v>
      </c>
      <c r="O33" s="77" t="s">
        <v>109</v>
      </c>
      <c r="P33" s="77" t="s">
        <v>1073</v>
      </c>
      <c r="Q33" s="77" t="s">
        <v>105</v>
      </c>
      <c r="R33" s="74" t="s">
        <v>126</v>
      </c>
      <c r="S33" s="77">
        <v>1</v>
      </c>
      <c r="T33" s="77" t="s">
        <v>1074</v>
      </c>
      <c r="U33" s="77">
        <v>1.33</v>
      </c>
      <c r="V33" s="74" t="s">
        <v>106</v>
      </c>
      <c r="W33" s="24">
        <v>1</v>
      </c>
      <c r="X33" s="74" t="s">
        <v>262</v>
      </c>
      <c r="Y33" s="74" t="str">
        <f t="shared" si="1"/>
        <v>kg_co2e_excl_luc</v>
      </c>
      <c r="Z33" s="24">
        <f>SeafoodLCAs[[#This Row],[CO2e (value)]]*SeafoodLCAs[[#This Row],[Conversion factor (value)]]</f>
        <v>1.33</v>
      </c>
      <c r="AA33" s="77">
        <v>1</v>
      </c>
      <c r="AB33" s="80" t="s">
        <v>109</v>
      </c>
      <c r="AC33" s="77" t="s">
        <v>1075</v>
      </c>
      <c r="AD33" s="77"/>
      <c r="AE33" s="77"/>
      <c r="AF33" s="77"/>
      <c r="AG33" s="74"/>
      <c r="AH33" s="74"/>
      <c r="AI33" s="74"/>
      <c r="AJ33" s="74"/>
      <c r="AK33" s="74"/>
    </row>
    <row r="34" spans="1:37" ht="44.1" customHeight="1" x14ac:dyDescent="0.2">
      <c r="A34" s="74" t="s">
        <v>1011</v>
      </c>
      <c r="B34" s="5" t="s">
        <v>1515</v>
      </c>
      <c r="C34" s="16">
        <v>2011</v>
      </c>
      <c r="D34" s="75" t="s">
        <v>1027</v>
      </c>
      <c r="E34" s="74" t="s">
        <v>1035</v>
      </c>
      <c r="F34" s="75" t="s">
        <v>67</v>
      </c>
      <c r="G34" s="75" t="str">
        <f t="shared" si="0"/>
        <v>a_animal_ghg</v>
      </c>
      <c r="H34" s="74" t="s">
        <v>1029</v>
      </c>
      <c r="I34" s="76" t="s">
        <v>77</v>
      </c>
      <c r="J34" s="76"/>
      <c r="K34" s="74" t="s">
        <v>905</v>
      </c>
      <c r="L34" s="74" t="s">
        <v>961</v>
      </c>
      <c r="M34" s="74" t="s">
        <v>1246</v>
      </c>
      <c r="N34" s="74" t="s">
        <v>102</v>
      </c>
      <c r="O34" s="74" t="s">
        <v>379</v>
      </c>
      <c r="P34" s="74" t="s">
        <v>1031</v>
      </c>
      <c r="Q34" s="74" t="s">
        <v>102</v>
      </c>
      <c r="R34" s="74">
        <v>100</v>
      </c>
      <c r="S34" s="74">
        <v>1</v>
      </c>
      <c r="T34" s="74" t="s">
        <v>1032</v>
      </c>
      <c r="U34" s="74">
        <v>6.46</v>
      </c>
      <c r="V34" s="74" t="s">
        <v>816</v>
      </c>
      <c r="W34" s="24">
        <v>1</v>
      </c>
      <c r="X34" s="74" t="s">
        <v>262</v>
      </c>
      <c r="Y34" s="74" t="str">
        <f t="shared" si="1"/>
        <v>kg_co2e_excl_luc</v>
      </c>
      <c r="Z34" s="24">
        <f>SeafoodLCAs[[#This Row],[CO2e (value)]]*SeafoodLCAs[[#This Row],[Conversion factor (value)]]</f>
        <v>6.46</v>
      </c>
      <c r="AA34" s="74">
        <f>1/3</f>
        <v>0.33333333333333331</v>
      </c>
      <c r="AB34" s="75" t="s">
        <v>109</v>
      </c>
      <c r="AC34" s="74" t="s">
        <v>1033</v>
      </c>
      <c r="AD34" s="74" t="s">
        <v>1036</v>
      </c>
      <c r="AE34" s="74"/>
      <c r="AF34" s="74"/>
      <c r="AG34" s="74"/>
      <c r="AH34" s="74"/>
      <c r="AI34" s="74"/>
      <c r="AJ34" s="74"/>
      <c r="AK34" s="74"/>
    </row>
    <row r="35" spans="1:37" ht="44.1" customHeight="1" x14ac:dyDescent="0.2">
      <c r="A35" s="74" t="s">
        <v>1011</v>
      </c>
      <c r="B35" s="5" t="s">
        <v>1515</v>
      </c>
      <c r="C35" s="16">
        <v>2011</v>
      </c>
      <c r="D35" s="75" t="s">
        <v>1027</v>
      </c>
      <c r="E35" s="74" t="s">
        <v>1035</v>
      </c>
      <c r="F35" s="75" t="s">
        <v>67</v>
      </c>
      <c r="G35" s="75" t="str">
        <f t="shared" si="0"/>
        <v>a_animal_ghg</v>
      </c>
      <c r="H35" s="74" t="s">
        <v>1038</v>
      </c>
      <c r="I35" s="76" t="s">
        <v>77</v>
      </c>
      <c r="J35" s="76"/>
      <c r="K35" s="74" t="s">
        <v>905</v>
      </c>
      <c r="L35" s="74" t="s">
        <v>1039</v>
      </c>
      <c r="M35" s="74" t="s">
        <v>1246</v>
      </c>
      <c r="N35" s="74" t="s">
        <v>102</v>
      </c>
      <c r="O35" s="74" t="s">
        <v>379</v>
      </c>
      <c r="P35" s="74" t="s">
        <v>1031</v>
      </c>
      <c r="Q35" s="74" t="s">
        <v>102</v>
      </c>
      <c r="R35" s="74">
        <v>100</v>
      </c>
      <c r="S35" s="74">
        <v>1</v>
      </c>
      <c r="T35" s="74" t="s">
        <v>1032</v>
      </c>
      <c r="U35" s="74">
        <v>7.21</v>
      </c>
      <c r="V35" s="74" t="s">
        <v>816</v>
      </c>
      <c r="W35" s="24">
        <v>1</v>
      </c>
      <c r="X35" s="74" t="s">
        <v>262</v>
      </c>
      <c r="Y35" s="74" t="str">
        <f t="shared" si="1"/>
        <v>kg_co2e_excl_luc</v>
      </c>
      <c r="Z35" s="24">
        <f>SeafoodLCAs[[#This Row],[CO2e (value)]]*SeafoodLCAs[[#This Row],[Conversion factor (value)]]</f>
        <v>7.21</v>
      </c>
      <c r="AA35" s="74">
        <f>1/3</f>
        <v>0.33333333333333331</v>
      </c>
      <c r="AB35" s="75" t="s">
        <v>109</v>
      </c>
      <c r="AC35" s="74" t="s">
        <v>1033</v>
      </c>
      <c r="AD35" s="74" t="s">
        <v>1040</v>
      </c>
      <c r="AE35" s="74"/>
      <c r="AF35" s="74"/>
      <c r="AG35" s="74"/>
      <c r="AH35" s="74"/>
      <c r="AI35" s="74"/>
      <c r="AJ35" s="74"/>
      <c r="AK35" s="74"/>
    </row>
    <row r="36" spans="1:37" ht="44.1" customHeight="1" x14ac:dyDescent="0.2">
      <c r="A36" s="74" t="s">
        <v>1011</v>
      </c>
      <c r="B36" s="5" t="s">
        <v>1515</v>
      </c>
      <c r="C36" s="16">
        <v>2011</v>
      </c>
      <c r="D36" s="75" t="s">
        <v>1027</v>
      </c>
      <c r="E36" s="74" t="s">
        <v>1035</v>
      </c>
      <c r="F36" s="75" t="s">
        <v>67</v>
      </c>
      <c r="G36" s="75" t="str">
        <f t="shared" si="0"/>
        <v>a_animal_ghg</v>
      </c>
      <c r="H36" s="74" t="s">
        <v>1038</v>
      </c>
      <c r="I36" s="76" t="s">
        <v>77</v>
      </c>
      <c r="J36" s="76"/>
      <c r="K36" s="74" t="s">
        <v>905</v>
      </c>
      <c r="L36" s="74" t="s">
        <v>961</v>
      </c>
      <c r="M36" s="74" t="s">
        <v>1246</v>
      </c>
      <c r="N36" s="74" t="s">
        <v>102</v>
      </c>
      <c r="O36" s="74" t="s">
        <v>379</v>
      </c>
      <c r="P36" s="74" t="s">
        <v>1031</v>
      </c>
      <c r="Q36" s="74" t="s">
        <v>102</v>
      </c>
      <c r="R36" s="74">
        <v>100</v>
      </c>
      <c r="S36" s="74">
        <v>1</v>
      </c>
      <c r="T36" s="74" t="s">
        <v>1032</v>
      </c>
      <c r="U36" s="74">
        <v>6.96</v>
      </c>
      <c r="V36" s="74" t="s">
        <v>816</v>
      </c>
      <c r="W36" s="24">
        <v>1</v>
      </c>
      <c r="X36" s="74" t="s">
        <v>262</v>
      </c>
      <c r="Y36" s="74" t="str">
        <f t="shared" si="1"/>
        <v>kg_co2e_excl_luc</v>
      </c>
      <c r="Z36" s="24">
        <f>SeafoodLCAs[[#This Row],[CO2e (value)]]*SeafoodLCAs[[#This Row],[Conversion factor (value)]]</f>
        <v>6.96</v>
      </c>
      <c r="AA36" s="74">
        <f>1/3</f>
        <v>0.33333333333333331</v>
      </c>
      <c r="AB36" s="75" t="s">
        <v>109</v>
      </c>
      <c r="AC36" s="74" t="s">
        <v>1033</v>
      </c>
      <c r="AD36" s="74" t="s">
        <v>1041</v>
      </c>
      <c r="AE36" s="74"/>
      <c r="AF36" s="74"/>
      <c r="AG36" s="74"/>
      <c r="AH36" s="74"/>
      <c r="AI36" s="74"/>
      <c r="AJ36" s="74"/>
      <c r="AK36" s="74"/>
    </row>
    <row r="37" spans="1:37" ht="44.1" customHeight="1" x14ac:dyDescent="0.2">
      <c r="A37" s="74" t="s">
        <v>1011</v>
      </c>
      <c r="B37" s="5" t="s">
        <v>1521</v>
      </c>
      <c r="C37" s="16">
        <v>2011</v>
      </c>
      <c r="D37" s="77" t="s">
        <v>1056</v>
      </c>
      <c r="E37" s="74" t="s">
        <v>1035</v>
      </c>
      <c r="F37" s="75" t="s">
        <v>67</v>
      </c>
      <c r="G37" s="75" t="str">
        <f t="shared" ref="G37:G68" si="3">"a_animal_ghg"</f>
        <v>a_animal_ghg</v>
      </c>
      <c r="H37" s="74" t="s">
        <v>1038</v>
      </c>
      <c r="I37" s="76" t="s">
        <v>77</v>
      </c>
      <c r="J37" s="76"/>
      <c r="K37" s="74" t="s">
        <v>905</v>
      </c>
      <c r="L37" s="74" t="s">
        <v>1057</v>
      </c>
      <c r="M37" s="74" t="s">
        <v>1246</v>
      </c>
      <c r="N37" s="74" t="s">
        <v>109</v>
      </c>
      <c r="O37" s="74" t="s">
        <v>109</v>
      </c>
      <c r="P37" s="74" t="s">
        <v>1058</v>
      </c>
      <c r="Q37" s="74" t="s">
        <v>105</v>
      </c>
      <c r="R37" s="74" t="s">
        <v>126</v>
      </c>
      <c r="S37" s="74">
        <v>500</v>
      </c>
      <c r="T37" s="74" t="s">
        <v>1059</v>
      </c>
      <c r="U37" s="74">
        <f>0.329+3.18</f>
        <v>3.5090000000000003</v>
      </c>
      <c r="V37" s="74" t="s">
        <v>107</v>
      </c>
      <c r="W37" s="24">
        <f>645/500</f>
        <v>1.29</v>
      </c>
      <c r="X37" s="74" t="s">
        <v>1060</v>
      </c>
      <c r="Y37" s="74" t="str">
        <f t="shared" ref="Y37:Y68" si="4">"kg_co2e_excl_luc"</f>
        <v>kg_co2e_excl_luc</v>
      </c>
      <c r="Z37" s="24">
        <f>SeafoodLCAs[[#This Row],[CO2e (value)]]*SeafoodLCAs[[#This Row],[Conversion factor (value)]]</f>
        <v>4.5266100000000007</v>
      </c>
      <c r="AA37" s="74">
        <f>1/2</f>
        <v>0.5</v>
      </c>
      <c r="AB37" s="75" t="s">
        <v>109</v>
      </c>
      <c r="AC37" s="74" t="s">
        <v>909</v>
      </c>
      <c r="AD37" s="74" t="s">
        <v>1061</v>
      </c>
      <c r="AE37" s="74" t="s">
        <v>1062</v>
      </c>
      <c r="AF37" s="74"/>
      <c r="AG37" s="74"/>
      <c r="AH37" s="74"/>
      <c r="AI37" s="74"/>
      <c r="AJ37" s="74"/>
      <c r="AK37" s="74"/>
    </row>
    <row r="38" spans="1:37" ht="44.1" customHeight="1" x14ac:dyDescent="0.2">
      <c r="A38" s="74" t="s">
        <v>1011</v>
      </c>
      <c r="B38" s="5" t="s">
        <v>1521</v>
      </c>
      <c r="C38" s="16">
        <v>2011</v>
      </c>
      <c r="D38" s="77" t="s">
        <v>1056</v>
      </c>
      <c r="E38" s="74" t="s">
        <v>1035</v>
      </c>
      <c r="F38" s="75" t="s">
        <v>67</v>
      </c>
      <c r="G38" s="75" t="str">
        <f t="shared" si="3"/>
        <v>a_animal_ghg</v>
      </c>
      <c r="H38" s="74" t="s">
        <v>1038</v>
      </c>
      <c r="I38" s="76" t="s">
        <v>77</v>
      </c>
      <c r="J38" s="76"/>
      <c r="K38" s="74" t="s">
        <v>905</v>
      </c>
      <c r="L38" s="74" t="s">
        <v>961</v>
      </c>
      <c r="M38" s="74" t="s">
        <v>1246</v>
      </c>
      <c r="N38" s="74" t="s">
        <v>109</v>
      </c>
      <c r="O38" s="74" t="s">
        <v>109</v>
      </c>
      <c r="P38" s="74" t="s">
        <v>1058</v>
      </c>
      <c r="Q38" s="74" t="s">
        <v>105</v>
      </c>
      <c r="R38" s="74" t="s">
        <v>126</v>
      </c>
      <c r="S38" s="74">
        <v>500</v>
      </c>
      <c r="T38" s="74" t="s">
        <v>1059</v>
      </c>
      <c r="U38" s="74">
        <f>5.13</f>
        <v>5.13</v>
      </c>
      <c r="V38" s="74" t="s">
        <v>107</v>
      </c>
      <c r="W38" s="24">
        <f>645/500</f>
        <v>1.29</v>
      </c>
      <c r="X38" s="74" t="s">
        <v>1060</v>
      </c>
      <c r="Y38" s="74" t="str">
        <f t="shared" si="4"/>
        <v>kg_co2e_excl_luc</v>
      </c>
      <c r="Z38" s="24">
        <f>SeafoodLCAs[[#This Row],[CO2e (value)]]*SeafoodLCAs[[#This Row],[Conversion factor (value)]]</f>
        <v>6.6177000000000001</v>
      </c>
      <c r="AA38" s="74">
        <f>1/2</f>
        <v>0.5</v>
      </c>
      <c r="AB38" s="75" t="s">
        <v>109</v>
      </c>
      <c r="AC38" s="74" t="s">
        <v>909</v>
      </c>
      <c r="AD38" s="74" t="s">
        <v>1061</v>
      </c>
      <c r="AE38" s="74" t="s">
        <v>1062</v>
      </c>
      <c r="AF38" s="74"/>
      <c r="AG38" s="74"/>
      <c r="AH38" s="74"/>
      <c r="AI38" s="74"/>
      <c r="AJ38" s="74"/>
      <c r="AK38" s="74"/>
    </row>
    <row r="39" spans="1:37" ht="44.1" customHeight="1" x14ac:dyDescent="0.2">
      <c r="A39" s="70" t="s">
        <v>251</v>
      </c>
      <c r="B39" s="65" t="s">
        <v>1421</v>
      </c>
      <c r="C39" s="65"/>
      <c r="D39" s="65" t="s">
        <v>1421</v>
      </c>
      <c r="E39" s="70" t="s">
        <v>1072</v>
      </c>
      <c r="F39" s="66" t="s">
        <v>1248</v>
      </c>
      <c r="G39" s="66" t="str">
        <f t="shared" si="3"/>
        <v>a_animal_ghg</v>
      </c>
      <c r="H39" s="70"/>
      <c r="I39" s="71"/>
      <c r="J39" s="71"/>
      <c r="K39" s="65"/>
      <c r="L39" s="70"/>
      <c r="M39" s="65" t="s">
        <v>1242</v>
      </c>
      <c r="N39" s="70"/>
      <c r="O39" s="70"/>
      <c r="P39" s="70"/>
      <c r="Q39" s="70"/>
      <c r="R39" s="65"/>
      <c r="S39" s="70">
        <v>1</v>
      </c>
      <c r="T39" s="70" t="s">
        <v>1074</v>
      </c>
      <c r="U39" s="70">
        <v>0.31</v>
      </c>
      <c r="V39" s="65" t="s">
        <v>106</v>
      </c>
      <c r="W39" s="68">
        <v>1</v>
      </c>
      <c r="X39" s="65" t="s">
        <v>262</v>
      </c>
      <c r="Y39" s="65" t="str">
        <f t="shared" si="4"/>
        <v>kg_co2e_excl_luc</v>
      </c>
      <c r="Z39" s="68">
        <f>SeafoodLCAs[[#This Row],[CO2e (value)]]*SeafoodLCAs[[#This Row],[Conversion factor (value)]]</f>
        <v>0.31</v>
      </c>
      <c r="AA39" s="70">
        <v>1</v>
      </c>
      <c r="AB39" s="72" t="s">
        <v>109</v>
      </c>
      <c r="AC39" s="70"/>
      <c r="AD39" s="70"/>
      <c r="AE39" s="70"/>
      <c r="AF39" s="70"/>
      <c r="AG39" s="74"/>
      <c r="AH39" s="74"/>
      <c r="AI39" s="74"/>
      <c r="AJ39" s="74"/>
      <c r="AK39" s="74"/>
    </row>
    <row r="40" spans="1:37" ht="44.1" customHeight="1" x14ac:dyDescent="0.2">
      <c r="A40" s="77" t="s">
        <v>251</v>
      </c>
      <c r="B40" s="5" t="s">
        <v>1524</v>
      </c>
      <c r="C40" s="16">
        <v>2013</v>
      </c>
      <c r="D40" s="75" t="s">
        <v>1071</v>
      </c>
      <c r="E40" s="77" t="s">
        <v>1072</v>
      </c>
      <c r="F40" s="80" t="s">
        <v>68</v>
      </c>
      <c r="G40" s="80" t="str">
        <f t="shared" si="3"/>
        <v>a_animal_ghg</v>
      </c>
      <c r="H40" s="77" t="s">
        <v>186</v>
      </c>
      <c r="I40" s="81" t="s">
        <v>186</v>
      </c>
      <c r="J40" s="81"/>
      <c r="K40" s="74" t="s">
        <v>905</v>
      </c>
      <c r="L40" s="77"/>
      <c r="M40" s="74" t="s">
        <v>1248</v>
      </c>
      <c r="N40" s="77" t="s">
        <v>109</v>
      </c>
      <c r="O40" s="77" t="s">
        <v>109</v>
      </c>
      <c r="P40" s="77" t="s">
        <v>1073</v>
      </c>
      <c r="Q40" s="77" t="s">
        <v>105</v>
      </c>
      <c r="R40" s="74" t="s">
        <v>126</v>
      </c>
      <c r="S40" s="77">
        <v>1</v>
      </c>
      <c r="T40" s="77" t="s">
        <v>1074</v>
      </c>
      <c r="U40" s="77">
        <v>0.31</v>
      </c>
      <c r="V40" s="74" t="s">
        <v>106</v>
      </c>
      <c r="W40" s="24">
        <v>1</v>
      </c>
      <c r="X40" s="74" t="s">
        <v>262</v>
      </c>
      <c r="Y40" s="74" t="str">
        <f t="shared" si="4"/>
        <v>kg_co2e_excl_luc</v>
      </c>
      <c r="Z40" s="24">
        <f>SeafoodLCAs[[#This Row],[CO2e (value)]]*SeafoodLCAs[[#This Row],[Conversion factor (value)]]</f>
        <v>0.31</v>
      </c>
      <c r="AA40" s="77">
        <v>1</v>
      </c>
      <c r="AB40" s="80" t="s">
        <v>109</v>
      </c>
      <c r="AC40" s="77" t="s">
        <v>1075</v>
      </c>
      <c r="AD40" s="77"/>
      <c r="AE40" s="77"/>
      <c r="AF40" s="77"/>
      <c r="AG40" s="74"/>
      <c r="AH40" s="74"/>
      <c r="AI40" s="74"/>
      <c r="AJ40" s="74"/>
      <c r="AK40" s="74"/>
    </row>
    <row r="41" spans="1:37" ht="44.1" customHeight="1" x14ac:dyDescent="0.2">
      <c r="A41" s="74" t="s">
        <v>1011</v>
      </c>
      <c r="B41" s="5" t="s">
        <v>1515</v>
      </c>
      <c r="C41" s="16">
        <v>2011</v>
      </c>
      <c r="D41" s="75" t="s">
        <v>1027</v>
      </c>
      <c r="E41" s="74" t="s">
        <v>1376</v>
      </c>
      <c r="F41" s="75" t="s">
        <v>70</v>
      </c>
      <c r="G41" s="75" t="str">
        <f t="shared" si="3"/>
        <v>a_animal_ghg</v>
      </c>
      <c r="H41" s="74" t="s">
        <v>1047</v>
      </c>
      <c r="I41" s="76" t="s">
        <v>77</v>
      </c>
      <c r="J41" s="76"/>
      <c r="K41" s="74" t="s">
        <v>905</v>
      </c>
      <c r="L41" s="74" t="s">
        <v>778</v>
      </c>
      <c r="M41" s="74"/>
      <c r="N41" s="74" t="s">
        <v>102</v>
      </c>
      <c r="O41" s="74" t="s">
        <v>379</v>
      </c>
      <c r="P41" s="74" t="s">
        <v>1031</v>
      </c>
      <c r="Q41" s="74" t="s">
        <v>102</v>
      </c>
      <c r="R41" s="74">
        <v>100</v>
      </c>
      <c r="S41" s="74">
        <v>1</v>
      </c>
      <c r="T41" s="74" t="s">
        <v>1032</v>
      </c>
      <c r="U41" s="74">
        <v>6.91</v>
      </c>
      <c r="V41" s="74" t="s">
        <v>816</v>
      </c>
      <c r="W41" s="24">
        <v>1</v>
      </c>
      <c r="X41" s="74" t="s">
        <v>262</v>
      </c>
      <c r="Y41" s="74" t="str">
        <f t="shared" si="4"/>
        <v>kg_co2e_excl_luc</v>
      </c>
      <c r="Z41" s="24">
        <f>SeafoodLCAs[[#This Row],[CO2e (value)]]*SeafoodLCAs[[#This Row],[Conversion factor (value)]]</f>
        <v>6.91</v>
      </c>
      <c r="AA41" s="74">
        <v>1</v>
      </c>
      <c r="AB41" s="75" t="s">
        <v>109</v>
      </c>
      <c r="AC41" s="74" t="s">
        <v>1033</v>
      </c>
      <c r="AD41" s="74" t="s">
        <v>1051</v>
      </c>
      <c r="AE41" s="74"/>
      <c r="AF41" s="74"/>
      <c r="AG41" s="74"/>
      <c r="AH41" s="74"/>
      <c r="AI41" s="74"/>
      <c r="AJ41" s="74"/>
      <c r="AK41" s="74"/>
    </row>
    <row r="42" spans="1:37" ht="44.1" customHeight="1" x14ac:dyDescent="0.2">
      <c r="A42" s="94" t="s">
        <v>1116</v>
      </c>
      <c r="B42" s="94" t="s">
        <v>1190</v>
      </c>
      <c r="C42" s="94"/>
      <c r="D42" s="94" t="s">
        <v>1191</v>
      </c>
      <c r="E42" s="94" t="s">
        <v>1192</v>
      </c>
      <c r="F42" s="95" t="s">
        <v>1112</v>
      </c>
      <c r="G42" s="95" t="str">
        <f t="shared" si="3"/>
        <v>a_animal_ghg</v>
      </c>
      <c r="H42" s="94" t="s">
        <v>186</v>
      </c>
      <c r="I42" s="97"/>
      <c r="J42" s="97"/>
      <c r="K42" s="94" t="s">
        <v>905</v>
      </c>
      <c r="L42" s="94" t="s">
        <v>1193</v>
      </c>
      <c r="M42" s="94"/>
      <c r="N42" s="94"/>
      <c r="O42" s="94"/>
      <c r="P42" s="94"/>
      <c r="Q42" s="94"/>
      <c r="R42" s="94"/>
      <c r="S42" s="94">
        <v>1</v>
      </c>
      <c r="T42" s="94" t="s">
        <v>1194</v>
      </c>
      <c r="U42" s="94">
        <v>7.18</v>
      </c>
      <c r="V42" s="94" t="s">
        <v>106</v>
      </c>
      <c r="W42" s="30">
        <v>1</v>
      </c>
      <c r="X42" s="94" t="s">
        <v>262</v>
      </c>
      <c r="Y42" s="94" t="str">
        <f t="shared" si="4"/>
        <v>kg_co2e_excl_luc</v>
      </c>
      <c r="Z42" s="30">
        <f>SeafoodLCAs[[#This Row],[CO2e (value)]]*SeafoodLCAs[[#This Row],[Conversion factor (value)]]</f>
        <v>7.18</v>
      </c>
      <c r="AA42" s="94"/>
      <c r="AB42" s="94" t="s">
        <v>1113</v>
      </c>
      <c r="AC42" s="94"/>
      <c r="AD42" s="94"/>
      <c r="AE42" s="94"/>
      <c r="AF42" s="94"/>
      <c r="AG42" s="74"/>
      <c r="AH42" s="74"/>
      <c r="AI42" s="74"/>
      <c r="AJ42" s="74"/>
      <c r="AK42" s="74"/>
    </row>
    <row r="43" spans="1:37" ht="44.1" customHeight="1" x14ac:dyDescent="0.2">
      <c r="A43" s="94" t="s">
        <v>1116</v>
      </c>
      <c r="B43" s="94" t="s">
        <v>1190</v>
      </c>
      <c r="C43" s="94"/>
      <c r="D43" s="94" t="s">
        <v>1191</v>
      </c>
      <c r="E43" s="94" t="s">
        <v>1192</v>
      </c>
      <c r="F43" s="95" t="s">
        <v>1112</v>
      </c>
      <c r="G43" s="95" t="str">
        <f t="shared" si="3"/>
        <v>a_animal_ghg</v>
      </c>
      <c r="H43" s="94" t="s">
        <v>186</v>
      </c>
      <c r="I43" s="97"/>
      <c r="J43" s="97"/>
      <c r="K43" s="94" t="s">
        <v>905</v>
      </c>
      <c r="L43" s="94" t="s">
        <v>961</v>
      </c>
      <c r="M43" s="94"/>
      <c r="N43" s="94"/>
      <c r="O43" s="94"/>
      <c r="P43" s="94"/>
      <c r="Q43" s="94"/>
      <c r="R43" s="94"/>
      <c r="S43" s="94">
        <v>1</v>
      </c>
      <c r="T43" s="94" t="s">
        <v>1194</v>
      </c>
      <c r="U43" s="104">
        <v>27.8</v>
      </c>
      <c r="V43" s="94" t="s">
        <v>106</v>
      </c>
      <c r="W43" s="30">
        <v>1</v>
      </c>
      <c r="X43" s="94" t="s">
        <v>262</v>
      </c>
      <c r="Y43" s="94" t="str">
        <f t="shared" si="4"/>
        <v>kg_co2e_excl_luc</v>
      </c>
      <c r="Z43" s="30">
        <f>SeafoodLCAs[[#This Row],[CO2e (value)]]*SeafoodLCAs[[#This Row],[Conversion factor (value)]]</f>
        <v>27.8</v>
      </c>
      <c r="AA43" s="94"/>
      <c r="AB43" s="94" t="s">
        <v>1113</v>
      </c>
      <c r="AC43" s="94"/>
      <c r="AD43" s="94"/>
      <c r="AE43" s="94"/>
      <c r="AF43" s="94"/>
      <c r="AG43" s="74"/>
      <c r="AH43" s="74"/>
      <c r="AI43" s="74"/>
      <c r="AJ43" s="74"/>
      <c r="AK43" s="74"/>
    </row>
    <row r="44" spans="1:37" ht="44.1" customHeight="1" x14ac:dyDescent="0.2">
      <c r="A44" s="94" t="s">
        <v>1116</v>
      </c>
      <c r="B44" s="94" t="s">
        <v>1187</v>
      </c>
      <c r="C44" s="94"/>
      <c r="D44" s="94" t="s">
        <v>1188</v>
      </c>
      <c r="E44" s="94" t="s">
        <v>1114</v>
      </c>
      <c r="F44" s="95" t="s">
        <v>1112</v>
      </c>
      <c r="G44" s="95" t="str">
        <f t="shared" si="3"/>
        <v>a_animal_ghg</v>
      </c>
      <c r="H44" s="94" t="s">
        <v>77</v>
      </c>
      <c r="I44" s="97"/>
      <c r="J44" s="97"/>
      <c r="K44" s="94" t="s">
        <v>905</v>
      </c>
      <c r="L44" s="94" t="s">
        <v>1179</v>
      </c>
      <c r="M44" s="94"/>
      <c r="N44" s="94"/>
      <c r="O44" s="94"/>
      <c r="P44" s="94"/>
      <c r="Q44" s="94"/>
      <c r="R44" s="94"/>
      <c r="S44" s="94">
        <v>1</v>
      </c>
      <c r="T44" s="94" t="s">
        <v>1189</v>
      </c>
      <c r="U44" s="94">
        <v>796</v>
      </c>
      <c r="V44" s="94" t="s">
        <v>106</v>
      </c>
      <c r="W44" s="30">
        <v>1E-3</v>
      </c>
      <c r="X44" s="94" t="s">
        <v>956</v>
      </c>
      <c r="Y44" s="94" t="str">
        <f t="shared" si="4"/>
        <v>kg_co2e_excl_luc</v>
      </c>
      <c r="Z44" s="30">
        <f>SeafoodLCAs[[#This Row],[CO2e (value)]]*SeafoodLCAs[[#This Row],[Conversion factor (value)]]</f>
        <v>0.79600000000000004</v>
      </c>
      <c r="AA44" s="94"/>
      <c r="AB44" s="94" t="s">
        <v>1113</v>
      </c>
      <c r="AC44" s="94"/>
      <c r="AD44" s="94"/>
      <c r="AE44" s="94"/>
      <c r="AF44" s="94"/>
      <c r="AG44" s="74"/>
      <c r="AH44" s="74"/>
      <c r="AI44" s="74"/>
      <c r="AJ44" s="74"/>
      <c r="AK44" s="74"/>
    </row>
    <row r="45" spans="1:37" ht="44.1" customHeight="1" x14ac:dyDescent="0.2">
      <c r="A45" s="94" t="s">
        <v>1116</v>
      </c>
      <c r="B45" s="94" t="s">
        <v>1187</v>
      </c>
      <c r="C45" s="94"/>
      <c r="D45" s="94" t="s">
        <v>1188</v>
      </c>
      <c r="E45" s="94" t="s">
        <v>1114</v>
      </c>
      <c r="F45" s="95" t="s">
        <v>1112</v>
      </c>
      <c r="G45" s="95" t="str">
        <f t="shared" si="3"/>
        <v>a_animal_ghg</v>
      </c>
      <c r="H45" s="94" t="s">
        <v>77</v>
      </c>
      <c r="I45" s="97"/>
      <c r="J45" s="97"/>
      <c r="K45" s="94" t="s">
        <v>905</v>
      </c>
      <c r="L45" s="94" t="s">
        <v>961</v>
      </c>
      <c r="M45" s="94"/>
      <c r="N45" s="94"/>
      <c r="O45" s="94"/>
      <c r="P45" s="94"/>
      <c r="Q45" s="94"/>
      <c r="R45" s="94"/>
      <c r="S45" s="94">
        <v>1</v>
      </c>
      <c r="T45" s="94" t="s">
        <v>1189</v>
      </c>
      <c r="U45" s="94">
        <v>2278</v>
      </c>
      <c r="V45" s="94" t="s">
        <v>106</v>
      </c>
      <c r="W45" s="30">
        <v>1E-3</v>
      </c>
      <c r="X45" s="94" t="s">
        <v>956</v>
      </c>
      <c r="Y45" s="94" t="str">
        <f t="shared" si="4"/>
        <v>kg_co2e_excl_luc</v>
      </c>
      <c r="Z45" s="30">
        <f>SeafoodLCAs[[#This Row],[CO2e (value)]]*SeafoodLCAs[[#This Row],[Conversion factor (value)]]</f>
        <v>2.278</v>
      </c>
      <c r="AA45" s="94"/>
      <c r="AB45" s="94" t="s">
        <v>1113</v>
      </c>
      <c r="AC45" s="94"/>
      <c r="AD45" s="94"/>
      <c r="AE45" s="94"/>
      <c r="AF45" s="94"/>
      <c r="AG45" s="74"/>
      <c r="AH45" s="74"/>
      <c r="AI45" s="74"/>
      <c r="AJ45" s="74"/>
      <c r="AK45" s="74"/>
    </row>
    <row r="46" spans="1:37" ht="44.1" customHeight="1" x14ac:dyDescent="0.2">
      <c r="A46" s="94" t="s">
        <v>251</v>
      </c>
      <c r="B46" s="94" t="s">
        <v>1070</v>
      </c>
      <c r="C46" s="94"/>
      <c r="D46" s="95" t="s">
        <v>1071</v>
      </c>
      <c r="E46" s="94" t="s">
        <v>1114</v>
      </c>
      <c r="F46" s="95" t="s">
        <v>1112</v>
      </c>
      <c r="G46" s="95" t="str">
        <f t="shared" si="3"/>
        <v>a_animal_ghg</v>
      </c>
      <c r="H46" s="94" t="s">
        <v>186</v>
      </c>
      <c r="I46" s="97" t="s">
        <v>186</v>
      </c>
      <c r="J46" s="97"/>
      <c r="K46" s="94" t="s">
        <v>905</v>
      </c>
      <c r="L46" s="94"/>
      <c r="M46" s="94"/>
      <c r="N46" s="94" t="s">
        <v>109</v>
      </c>
      <c r="O46" s="94" t="s">
        <v>109</v>
      </c>
      <c r="P46" s="94" t="s">
        <v>1073</v>
      </c>
      <c r="Q46" s="94" t="s">
        <v>105</v>
      </c>
      <c r="R46" s="94" t="s">
        <v>126</v>
      </c>
      <c r="S46" s="94">
        <v>1</v>
      </c>
      <c r="T46" s="94" t="s">
        <v>1074</v>
      </c>
      <c r="U46" s="102">
        <v>0.33</v>
      </c>
      <c r="V46" s="94" t="s">
        <v>106</v>
      </c>
      <c r="W46" s="30">
        <v>1</v>
      </c>
      <c r="X46" s="94" t="s">
        <v>262</v>
      </c>
      <c r="Y46" s="94" t="str">
        <f t="shared" si="4"/>
        <v>kg_co2e_excl_luc</v>
      </c>
      <c r="Z46" s="30">
        <f>SeafoodLCAs[[#This Row],[CO2e (value)]]*SeafoodLCAs[[#This Row],[Conversion factor (value)]]</f>
        <v>0.33</v>
      </c>
      <c r="AA46" s="94">
        <v>1</v>
      </c>
      <c r="AB46" s="95" t="s">
        <v>1113</v>
      </c>
      <c r="AC46" s="94" t="s">
        <v>1075</v>
      </c>
      <c r="AD46" s="94"/>
      <c r="AE46" s="94"/>
      <c r="AF46" s="94"/>
      <c r="AG46" s="74"/>
      <c r="AH46" s="74"/>
      <c r="AI46" s="74"/>
      <c r="AJ46" s="74"/>
      <c r="AK46" s="74"/>
    </row>
    <row r="47" spans="1:37" ht="44.1" customHeight="1" x14ac:dyDescent="0.2">
      <c r="A47" s="74" t="s">
        <v>99</v>
      </c>
      <c r="B47" s="5" t="s">
        <v>1522</v>
      </c>
      <c r="C47" s="16">
        <v>2016</v>
      </c>
      <c r="D47" s="75" t="s">
        <v>933</v>
      </c>
      <c r="E47" s="74" t="s">
        <v>940</v>
      </c>
      <c r="F47" s="75" t="s">
        <v>67</v>
      </c>
      <c r="G47" s="75" t="str">
        <f t="shared" si="3"/>
        <v>a_animal_ghg</v>
      </c>
      <c r="H47" s="74" t="s">
        <v>935</v>
      </c>
      <c r="I47" s="76" t="s">
        <v>936</v>
      </c>
      <c r="J47" s="76"/>
      <c r="K47" s="74" t="s">
        <v>905</v>
      </c>
      <c r="L47" s="74" t="s">
        <v>937</v>
      </c>
      <c r="M47" s="74" t="s">
        <v>1246</v>
      </c>
      <c r="N47" s="74" t="s">
        <v>109</v>
      </c>
      <c r="O47" s="74" t="s">
        <v>109</v>
      </c>
      <c r="P47" s="74" t="s">
        <v>938</v>
      </c>
      <c r="Q47" s="74" t="s">
        <v>102</v>
      </c>
      <c r="R47" s="74" t="s">
        <v>126</v>
      </c>
      <c r="S47" s="74">
        <v>1</v>
      </c>
      <c r="T47" s="74" t="s">
        <v>106</v>
      </c>
      <c r="U47" s="92">
        <v>5</v>
      </c>
      <c r="V47" s="74" t="s">
        <v>106</v>
      </c>
      <c r="W47" s="24">
        <v>1</v>
      </c>
      <c r="X47" s="74"/>
      <c r="Y47" s="74" t="str">
        <f t="shared" si="4"/>
        <v>kg_co2e_excl_luc</v>
      </c>
      <c r="Z47" s="24">
        <f>SeafoodLCAs[[#This Row],[CO2e (value)]]*SeafoodLCAs[[#This Row],[Conversion factor (value)]]</f>
        <v>5</v>
      </c>
      <c r="AA47" s="74">
        <v>1</v>
      </c>
      <c r="AB47" s="75" t="s">
        <v>109</v>
      </c>
      <c r="AC47" s="91" t="s">
        <v>939</v>
      </c>
      <c r="AD47" s="74"/>
      <c r="AE47" s="74"/>
      <c r="AF47" s="74"/>
      <c r="AG47" s="74"/>
      <c r="AH47" s="74"/>
      <c r="AI47" s="74"/>
      <c r="AJ47" s="74"/>
      <c r="AK47" s="74"/>
    </row>
    <row r="48" spans="1:37" ht="44.1" customHeight="1" x14ac:dyDescent="0.2">
      <c r="A48" s="74" t="s">
        <v>1011</v>
      </c>
      <c r="B48" s="5" t="s">
        <v>1515</v>
      </c>
      <c r="C48" s="16">
        <v>2011</v>
      </c>
      <c r="D48" s="75" t="s">
        <v>1027</v>
      </c>
      <c r="E48" s="74" t="s">
        <v>1042</v>
      </c>
      <c r="F48" s="75" t="s">
        <v>67</v>
      </c>
      <c r="G48" s="75" t="str">
        <f t="shared" si="3"/>
        <v>a_animal_ghg</v>
      </c>
      <c r="H48" s="74" t="s">
        <v>1038</v>
      </c>
      <c r="I48" s="76" t="s">
        <v>77</v>
      </c>
      <c r="J48" s="76"/>
      <c r="K48" s="74" t="s">
        <v>905</v>
      </c>
      <c r="L48" s="74" t="s">
        <v>961</v>
      </c>
      <c r="M48" s="74" t="s">
        <v>1246</v>
      </c>
      <c r="N48" s="74" t="s">
        <v>102</v>
      </c>
      <c r="O48" s="74" t="s">
        <v>379</v>
      </c>
      <c r="P48" s="74" t="s">
        <v>1031</v>
      </c>
      <c r="Q48" s="74" t="s">
        <v>102</v>
      </c>
      <c r="R48" s="74">
        <v>100</v>
      </c>
      <c r="S48" s="74">
        <v>1</v>
      </c>
      <c r="T48" s="74" t="s">
        <v>1032</v>
      </c>
      <c r="U48" s="74">
        <v>8.41</v>
      </c>
      <c r="V48" s="74" t="s">
        <v>816</v>
      </c>
      <c r="W48" s="24">
        <v>1</v>
      </c>
      <c r="X48" s="74" t="s">
        <v>262</v>
      </c>
      <c r="Y48" s="74" t="str">
        <f t="shared" si="4"/>
        <v>kg_co2e_excl_luc</v>
      </c>
      <c r="Z48" s="24">
        <f>SeafoodLCAs[[#This Row],[CO2e (value)]]*SeafoodLCAs[[#This Row],[Conversion factor (value)]]</f>
        <v>8.41</v>
      </c>
      <c r="AA48" s="74">
        <v>1</v>
      </c>
      <c r="AB48" s="75" t="s">
        <v>109</v>
      </c>
      <c r="AC48" s="74" t="s">
        <v>1033</v>
      </c>
      <c r="AD48" s="74" t="s">
        <v>1043</v>
      </c>
      <c r="AE48" s="74"/>
      <c r="AF48" s="74"/>
      <c r="AG48" s="74"/>
      <c r="AH48" s="74"/>
      <c r="AI48" s="74"/>
      <c r="AJ48" s="74"/>
      <c r="AK48" s="74"/>
    </row>
    <row r="49" spans="1:37" ht="44.1" customHeight="1" x14ac:dyDescent="0.2">
      <c r="A49" s="77" t="s">
        <v>123</v>
      </c>
      <c r="B49" s="5" t="s">
        <v>1515</v>
      </c>
      <c r="C49" s="16">
        <v>2010</v>
      </c>
      <c r="D49" s="77" t="s">
        <v>1251</v>
      </c>
      <c r="E49" s="77" t="s">
        <v>1078</v>
      </c>
      <c r="F49" s="80" t="s">
        <v>71</v>
      </c>
      <c r="G49" s="80" t="str">
        <f t="shared" si="3"/>
        <v>a_animal_ghg</v>
      </c>
      <c r="H49" s="77" t="s">
        <v>262</v>
      </c>
      <c r="I49" s="81" t="s">
        <v>77</v>
      </c>
      <c r="J49" s="81"/>
      <c r="K49" s="77" t="s">
        <v>916</v>
      </c>
      <c r="L49" s="77" t="s">
        <v>1252</v>
      </c>
      <c r="M49" s="77"/>
      <c r="N49" s="77" t="s">
        <v>109</v>
      </c>
      <c r="O49" s="77" t="s">
        <v>109</v>
      </c>
      <c r="P49" s="77" t="s">
        <v>102</v>
      </c>
      <c r="Q49" s="77" t="s">
        <v>102</v>
      </c>
      <c r="R49" s="77" t="s">
        <v>126</v>
      </c>
      <c r="S49" s="77">
        <v>1</v>
      </c>
      <c r="T49" s="77" t="s">
        <v>1253</v>
      </c>
      <c r="U49" s="77">
        <v>38415.879999999997</v>
      </c>
      <c r="V49" s="77" t="s">
        <v>106</v>
      </c>
      <c r="W49" s="89">
        <f>(1/89.74)/1000</f>
        <v>1.1143302874972142E-5</v>
      </c>
      <c r="X49" s="77" t="s">
        <v>1254</v>
      </c>
      <c r="Y49" s="77" t="str">
        <f t="shared" si="4"/>
        <v>kg_co2e_excl_luc</v>
      </c>
      <c r="Z49" s="28">
        <f>SeafoodLCAs[[#This Row],[CO2e (value)]]*SeafoodLCAs[[#This Row],[Conversion factor (value)]]</f>
        <v>0.42807978604858477</v>
      </c>
      <c r="AA49" s="77">
        <v>1</v>
      </c>
      <c r="AB49" s="80" t="s">
        <v>109</v>
      </c>
      <c r="AC49" s="80" t="s">
        <v>1255</v>
      </c>
      <c r="AD49" s="90" t="s">
        <v>1273</v>
      </c>
      <c r="AE49" s="77" t="s">
        <v>1274</v>
      </c>
      <c r="AF49" s="77"/>
      <c r="AG49" s="74"/>
      <c r="AH49" s="74"/>
      <c r="AI49" s="74"/>
      <c r="AJ49" s="74"/>
      <c r="AK49" s="74"/>
    </row>
    <row r="50" spans="1:37" ht="44.1" customHeight="1" x14ac:dyDescent="0.2">
      <c r="A50" s="77" t="s">
        <v>1270</v>
      </c>
      <c r="B50" s="5" t="s">
        <v>1516</v>
      </c>
      <c r="C50" s="16">
        <v>2011</v>
      </c>
      <c r="D50" s="77" t="s">
        <v>1256</v>
      </c>
      <c r="E50" s="77" t="s">
        <v>1078</v>
      </c>
      <c r="F50" s="80" t="s">
        <v>71</v>
      </c>
      <c r="G50" s="80" t="str">
        <f t="shared" si="3"/>
        <v>a_animal_ghg</v>
      </c>
      <c r="H50" s="77" t="s">
        <v>262</v>
      </c>
      <c r="I50" s="81" t="s">
        <v>860</v>
      </c>
      <c r="J50" s="81"/>
      <c r="K50" s="77" t="s">
        <v>916</v>
      </c>
      <c r="L50" s="77"/>
      <c r="M50" s="77"/>
      <c r="N50" s="77" t="s">
        <v>102</v>
      </c>
      <c r="O50" s="77" t="s">
        <v>109</v>
      </c>
      <c r="P50" s="77" t="s">
        <v>102</v>
      </c>
      <c r="Q50" s="77" t="s">
        <v>1019</v>
      </c>
      <c r="R50" s="77" t="s">
        <v>126</v>
      </c>
      <c r="S50" s="77">
        <v>1</v>
      </c>
      <c r="T50" s="77" t="s">
        <v>1268</v>
      </c>
      <c r="U50" s="77">
        <v>250.44</v>
      </c>
      <c r="V50" s="77" t="s">
        <v>106</v>
      </c>
      <c r="W50" s="88">
        <v>1E-3</v>
      </c>
      <c r="X50" s="77" t="s">
        <v>956</v>
      </c>
      <c r="Y50" s="77" t="str">
        <f t="shared" si="4"/>
        <v>kg_co2e_excl_luc</v>
      </c>
      <c r="Z50" s="24">
        <f>SeafoodLCAs[[#This Row],[CO2e (value)]]*SeafoodLCAs[[#This Row],[Conversion factor (value)]]</f>
        <v>0.25044</v>
      </c>
      <c r="AA50" s="77">
        <v>1</v>
      </c>
      <c r="AB50" s="80" t="s">
        <v>109</v>
      </c>
      <c r="AC50" s="77" t="s">
        <v>1267</v>
      </c>
      <c r="AD50" s="80" t="s">
        <v>1265</v>
      </c>
      <c r="AE50" s="77" t="s">
        <v>1269</v>
      </c>
      <c r="AF50" s="77"/>
      <c r="AG50" s="74"/>
      <c r="AH50" s="74"/>
      <c r="AI50" s="74"/>
      <c r="AJ50" s="74"/>
      <c r="AK50" s="74"/>
    </row>
    <row r="51" spans="1:37" ht="44.1" customHeight="1" x14ac:dyDescent="0.2">
      <c r="A51" s="77" t="s">
        <v>251</v>
      </c>
      <c r="B51" s="5" t="s">
        <v>1524</v>
      </c>
      <c r="C51" s="16">
        <v>2013</v>
      </c>
      <c r="D51" s="75" t="s">
        <v>1071</v>
      </c>
      <c r="E51" s="77" t="s">
        <v>1078</v>
      </c>
      <c r="F51" s="80" t="s">
        <v>71</v>
      </c>
      <c r="G51" s="80" t="str">
        <f t="shared" si="3"/>
        <v>a_animal_ghg</v>
      </c>
      <c r="H51" s="77" t="s">
        <v>262</v>
      </c>
      <c r="I51" s="81" t="s">
        <v>186</v>
      </c>
      <c r="J51" s="81"/>
      <c r="K51" s="74" t="s">
        <v>916</v>
      </c>
      <c r="L51" s="77"/>
      <c r="M51" s="77"/>
      <c r="N51" s="77" t="s">
        <v>109</v>
      </c>
      <c r="O51" s="77" t="s">
        <v>109</v>
      </c>
      <c r="P51" s="77" t="s">
        <v>1073</v>
      </c>
      <c r="Q51" s="77" t="s">
        <v>105</v>
      </c>
      <c r="R51" s="74" t="s">
        <v>126</v>
      </c>
      <c r="S51" s="77">
        <v>1</v>
      </c>
      <c r="T51" s="77" t="s">
        <v>1074</v>
      </c>
      <c r="U51" s="77">
        <v>0.16</v>
      </c>
      <c r="V51" s="74" t="s">
        <v>106</v>
      </c>
      <c r="W51" s="24">
        <v>1</v>
      </c>
      <c r="X51" s="74" t="s">
        <v>262</v>
      </c>
      <c r="Y51" s="74" t="str">
        <f t="shared" si="4"/>
        <v>kg_co2e_excl_luc</v>
      </c>
      <c r="Z51" s="24">
        <f>SeafoodLCAs[[#This Row],[CO2e (value)]]*SeafoodLCAs[[#This Row],[Conversion factor (value)]]</f>
        <v>0.16</v>
      </c>
      <c r="AA51" s="77">
        <v>1</v>
      </c>
      <c r="AB51" s="80" t="s">
        <v>109</v>
      </c>
      <c r="AC51" s="77" t="s">
        <v>1075</v>
      </c>
      <c r="AD51" s="77"/>
      <c r="AE51" s="77"/>
      <c r="AF51" s="77"/>
      <c r="AG51" s="74"/>
      <c r="AH51" s="74"/>
      <c r="AI51" s="74"/>
      <c r="AJ51" s="74"/>
      <c r="AK51" s="74"/>
    </row>
    <row r="52" spans="1:37" ht="44.1" customHeight="1" x14ac:dyDescent="0.2">
      <c r="A52" s="94" t="s">
        <v>974</v>
      </c>
      <c r="B52" s="94" t="s">
        <v>1211</v>
      </c>
      <c r="C52" s="94"/>
      <c r="D52" s="94" t="s">
        <v>1212</v>
      </c>
      <c r="E52" s="94" t="s">
        <v>1213</v>
      </c>
      <c r="F52" s="95" t="s">
        <v>70</v>
      </c>
      <c r="G52" s="95" t="str">
        <f t="shared" si="3"/>
        <v>a_animal_ghg</v>
      </c>
      <c r="H52" s="94" t="s">
        <v>1214</v>
      </c>
      <c r="I52" s="97"/>
      <c r="J52" s="97"/>
      <c r="K52" s="94" t="s">
        <v>905</v>
      </c>
      <c r="L52" s="94" t="s">
        <v>961</v>
      </c>
      <c r="M52" s="94"/>
      <c r="N52" s="94"/>
      <c r="O52" s="94"/>
      <c r="P52" s="94"/>
      <c r="Q52" s="94"/>
      <c r="R52" s="94"/>
      <c r="S52" s="94">
        <v>24</v>
      </c>
      <c r="T52" s="94" t="s">
        <v>1216</v>
      </c>
      <c r="U52" s="94">
        <f>155.83+28.18+0.58</f>
        <v>184.59000000000003</v>
      </c>
      <c r="V52" s="94" t="s">
        <v>106</v>
      </c>
      <c r="W52" s="30">
        <f>1/24</f>
        <v>4.1666666666666664E-2</v>
      </c>
      <c r="X52" s="94" t="s">
        <v>262</v>
      </c>
      <c r="Y52" s="94" t="str">
        <f t="shared" si="4"/>
        <v>kg_co2e_excl_luc</v>
      </c>
      <c r="Z52" s="30">
        <f>SeafoodLCAs[[#This Row],[CO2e (value)]]*SeafoodLCAs[[#This Row],[Conversion factor (value)]]</f>
        <v>7.691250000000001</v>
      </c>
      <c r="AA52" s="94"/>
      <c r="AB52" s="94" t="s">
        <v>1215</v>
      </c>
      <c r="AC52" s="94" t="s">
        <v>1217</v>
      </c>
      <c r="AD52" s="94" t="s">
        <v>1218</v>
      </c>
      <c r="AE52" s="94"/>
      <c r="AF52" s="94"/>
      <c r="AG52" s="74"/>
      <c r="AH52" s="74"/>
      <c r="AI52" s="74"/>
      <c r="AJ52" s="74"/>
      <c r="AK52" s="74"/>
    </row>
    <row r="53" spans="1:37" ht="44.1" customHeight="1" x14ac:dyDescent="0.2">
      <c r="A53" s="74" t="s">
        <v>99</v>
      </c>
      <c r="B53" s="5" t="s">
        <v>1522</v>
      </c>
      <c r="C53" s="16">
        <v>2016</v>
      </c>
      <c r="D53" s="75" t="s">
        <v>933</v>
      </c>
      <c r="E53" s="74" t="s">
        <v>934</v>
      </c>
      <c r="F53" s="75" t="s">
        <v>67</v>
      </c>
      <c r="G53" s="75" t="str">
        <f t="shared" si="3"/>
        <v>a_animal_ghg</v>
      </c>
      <c r="H53" s="74" t="s">
        <v>935</v>
      </c>
      <c r="I53" s="76" t="s">
        <v>936</v>
      </c>
      <c r="J53" s="76"/>
      <c r="K53" s="74" t="s">
        <v>905</v>
      </c>
      <c r="L53" s="74" t="s">
        <v>937</v>
      </c>
      <c r="M53" s="74" t="s">
        <v>1246</v>
      </c>
      <c r="N53" s="74" t="s">
        <v>109</v>
      </c>
      <c r="O53" s="74" t="s">
        <v>109</v>
      </c>
      <c r="P53" s="74" t="s">
        <v>938</v>
      </c>
      <c r="Q53" s="74" t="s">
        <v>102</v>
      </c>
      <c r="R53" s="74" t="s">
        <v>126</v>
      </c>
      <c r="S53" s="74">
        <v>1</v>
      </c>
      <c r="T53" s="74" t="s">
        <v>106</v>
      </c>
      <c r="U53" s="74">
        <v>5.5</v>
      </c>
      <c r="V53" s="74" t="s">
        <v>106</v>
      </c>
      <c r="W53" s="24">
        <v>1</v>
      </c>
      <c r="X53" s="74"/>
      <c r="Y53" s="74" t="str">
        <f t="shared" si="4"/>
        <v>kg_co2e_excl_luc</v>
      </c>
      <c r="Z53" s="24">
        <f>SeafoodLCAs[[#This Row],[CO2e (value)]]*SeafoodLCAs[[#This Row],[Conversion factor (value)]]</f>
        <v>5.5</v>
      </c>
      <c r="AA53" s="74">
        <v>1</v>
      </c>
      <c r="AB53" s="75" t="s">
        <v>109</v>
      </c>
      <c r="AC53" s="91" t="s">
        <v>939</v>
      </c>
      <c r="AD53" s="74"/>
      <c r="AE53" s="74"/>
      <c r="AF53" s="74"/>
      <c r="AG53" s="74"/>
      <c r="AH53" s="74"/>
      <c r="AI53" s="74"/>
      <c r="AJ53" s="74"/>
      <c r="AK53" s="74"/>
    </row>
    <row r="54" spans="1:37" ht="44.1" customHeight="1" x14ac:dyDescent="0.2">
      <c r="A54" s="77" t="s">
        <v>1270</v>
      </c>
      <c r="B54" s="5" t="s">
        <v>1516</v>
      </c>
      <c r="C54" s="16">
        <v>2011</v>
      </c>
      <c r="D54" s="77" t="s">
        <v>1256</v>
      </c>
      <c r="E54" s="77" t="s">
        <v>1257</v>
      </c>
      <c r="F54" s="80" t="s">
        <v>71</v>
      </c>
      <c r="G54" s="80" t="str">
        <f t="shared" si="3"/>
        <v>a_animal_ghg</v>
      </c>
      <c r="H54" s="77" t="s">
        <v>262</v>
      </c>
      <c r="I54" s="81" t="s">
        <v>860</v>
      </c>
      <c r="J54" s="81"/>
      <c r="K54" s="77" t="s">
        <v>916</v>
      </c>
      <c r="L54" s="77"/>
      <c r="M54" s="77"/>
      <c r="N54" s="77" t="s">
        <v>102</v>
      </c>
      <c r="O54" s="77" t="s">
        <v>109</v>
      </c>
      <c r="P54" s="77" t="s">
        <v>102</v>
      </c>
      <c r="Q54" s="77" t="s">
        <v>1019</v>
      </c>
      <c r="R54" s="77" t="s">
        <v>126</v>
      </c>
      <c r="S54" s="77">
        <v>1</v>
      </c>
      <c r="T54" s="77" t="s">
        <v>1268</v>
      </c>
      <c r="U54" s="77">
        <v>1269.8</v>
      </c>
      <c r="V54" s="77" t="s">
        <v>106</v>
      </c>
      <c r="W54" s="88">
        <v>1E-3</v>
      </c>
      <c r="X54" s="77" t="s">
        <v>956</v>
      </c>
      <c r="Y54" s="77" t="str">
        <f t="shared" si="4"/>
        <v>kg_co2e_excl_luc</v>
      </c>
      <c r="Z54" s="24">
        <f>SeafoodLCAs[[#This Row],[CO2e (value)]]*SeafoodLCAs[[#This Row],[Conversion factor (value)]]</f>
        <v>1.2698</v>
      </c>
      <c r="AA54" s="77">
        <v>1</v>
      </c>
      <c r="AB54" s="80" t="s">
        <v>109</v>
      </c>
      <c r="AC54" s="77" t="s">
        <v>1267</v>
      </c>
      <c r="AD54" s="80" t="s">
        <v>1266</v>
      </c>
      <c r="AE54" s="77" t="s">
        <v>1269</v>
      </c>
      <c r="AF54" s="77"/>
      <c r="AG54" s="74"/>
      <c r="AH54" s="74"/>
      <c r="AI54" s="74"/>
      <c r="AJ54" s="74"/>
      <c r="AK54" s="74"/>
    </row>
    <row r="55" spans="1:37" ht="44.1" customHeight="1" x14ac:dyDescent="0.2">
      <c r="A55" s="70" t="s">
        <v>251</v>
      </c>
      <c r="B55" s="65" t="s">
        <v>1421</v>
      </c>
      <c r="C55" s="65"/>
      <c r="D55" s="65" t="s">
        <v>1421</v>
      </c>
      <c r="E55" s="70" t="s">
        <v>1079</v>
      </c>
      <c r="F55" s="66" t="s">
        <v>1248</v>
      </c>
      <c r="G55" s="66" t="str">
        <f t="shared" si="3"/>
        <v>a_animal_ghg</v>
      </c>
      <c r="H55" s="70"/>
      <c r="I55" s="71"/>
      <c r="J55" s="71"/>
      <c r="K55" s="65"/>
      <c r="L55" s="70"/>
      <c r="M55" s="65" t="s">
        <v>1242</v>
      </c>
      <c r="N55" s="70"/>
      <c r="O55" s="70"/>
      <c r="P55" s="70"/>
      <c r="Q55" s="70"/>
      <c r="R55" s="65"/>
      <c r="S55" s="70">
        <v>1</v>
      </c>
      <c r="T55" s="70" t="s">
        <v>127</v>
      </c>
      <c r="U55" s="70">
        <v>354</v>
      </c>
      <c r="V55" s="70" t="s">
        <v>106</v>
      </c>
      <c r="W55" s="73">
        <v>1E-3</v>
      </c>
      <c r="X55" s="70" t="s">
        <v>956</v>
      </c>
      <c r="Y55" s="70" t="str">
        <f t="shared" si="4"/>
        <v>kg_co2e_excl_luc</v>
      </c>
      <c r="Z55" s="68">
        <f>SeafoodLCAs[[#This Row],[CO2e (value)]]*SeafoodLCAs[[#This Row],[Conversion factor (value)]]</f>
        <v>0.35399999999999998</v>
      </c>
      <c r="AA55" s="70">
        <f>1/2</f>
        <v>0.5</v>
      </c>
      <c r="AB55" s="72" t="s">
        <v>109</v>
      </c>
      <c r="AC55" s="70"/>
      <c r="AD55" s="70"/>
      <c r="AE55" s="70"/>
      <c r="AF55" s="70"/>
      <c r="AG55" s="74"/>
      <c r="AH55" s="74"/>
      <c r="AI55" s="74"/>
      <c r="AJ55" s="74"/>
      <c r="AK55" s="74"/>
    </row>
    <row r="56" spans="1:37" ht="44.1" customHeight="1" x14ac:dyDescent="0.2">
      <c r="A56" s="70" t="s">
        <v>251</v>
      </c>
      <c r="B56" s="65" t="s">
        <v>1421</v>
      </c>
      <c r="C56" s="65"/>
      <c r="D56" s="65" t="s">
        <v>1421</v>
      </c>
      <c r="E56" s="70" t="s">
        <v>1079</v>
      </c>
      <c r="F56" s="66" t="s">
        <v>1248</v>
      </c>
      <c r="G56" s="66" t="str">
        <f t="shared" si="3"/>
        <v>a_animal_ghg</v>
      </c>
      <c r="H56" s="70"/>
      <c r="I56" s="71"/>
      <c r="J56" s="71"/>
      <c r="K56" s="65"/>
      <c r="L56" s="70"/>
      <c r="M56" s="65" t="s">
        <v>1242</v>
      </c>
      <c r="N56" s="70"/>
      <c r="O56" s="70"/>
      <c r="P56" s="70"/>
      <c r="Q56" s="70"/>
      <c r="R56" s="65"/>
      <c r="S56" s="70">
        <v>1</v>
      </c>
      <c r="T56" s="70" t="s">
        <v>127</v>
      </c>
      <c r="U56" s="70">
        <v>507</v>
      </c>
      <c r="V56" s="70" t="s">
        <v>106</v>
      </c>
      <c r="W56" s="73">
        <v>1E-3</v>
      </c>
      <c r="X56" s="70" t="s">
        <v>956</v>
      </c>
      <c r="Y56" s="70" t="str">
        <f t="shared" si="4"/>
        <v>kg_co2e_excl_luc</v>
      </c>
      <c r="Z56" s="68">
        <f>SeafoodLCAs[[#This Row],[CO2e (value)]]*SeafoodLCAs[[#This Row],[Conversion factor (value)]]</f>
        <v>0.50700000000000001</v>
      </c>
      <c r="AA56" s="70">
        <f>1/2</f>
        <v>0.5</v>
      </c>
      <c r="AB56" s="72" t="s">
        <v>109</v>
      </c>
      <c r="AC56" s="70"/>
      <c r="AD56" s="70"/>
      <c r="AE56" s="70"/>
      <c r="AF56" s="70"/>
      <c r="AG56" s="74"/>
      <c r="AH56" s="74"/>
      <c r="AI56" s="74"/>
      <c r="AJ56" s="74"/>
      <c r="AK56" s="74"/>
    </row>
    <row r="57" spans="1:37" ht="44.1" customHeight="1" x14ac:dyDescent="0.2">
      <c r="A57" s="77" t="s">
        <v>251</v>
      </c>
      <c r="B57" s="5" t="s">
        <v>1512</v>
      </c>
      <c r="C57" s="16">
        <v>2015</v>
      </c>
      <c r="D57" s="87" t="s">
        <v>1525</v>
      </c>
      <c r="E57" s="77" t="s">
        <v>1079</v>
      </c>
      <c r="F57" s="75" t="s">
        <v>68</v>
      </c>
      <c r="G57" s="75" t="str">
        <f t="shared" si="3"/>
        <v>a_animal_ghg</v>
      </c>
      <c r="H57" s="77" t="s">
        <v>1080</v>
      </c>
      <c r="I57" s="81" t="s">
        <v>977</v>
      </c>
      <c r="J57" s="81"/>
      <c r="K57" s="74" t="s">
        <v>905</v>
      </c>
      <c r="L57" s="77">
        <v>2011</v>
      </c>
      <c r="M57" s="74" t="s">
        <v>1248</v>
      </c>
      <c r="N57" s="77" t="s">
        <v>109</v>
      </c>
      <c r="O57" s="77" t="s">
        <v>109</v>
      </c>
      <c r="P57" s="77" t="s">
        <v>102</v>
      </c>
      <c r="Q57" s="77" t="s">
        <v>102</v>
      </c>
      <c r="R57" s="74" t="s">
        <v>126</v>
      </c>
      <c r="S57" s="77">
        <v>1</v>
      </c>
      <c r="T57" s="77" t="s">
        <v>127</v>
      </c>
      <c r="U57" s="77">
        <v>354</v>
      </c>
      <c r="V57" s="77" t="s">
        <v>106</v>
      </c>
      <c r="W57" s="83">
        <v>1E-3</v>
      </c>
      <c r="X57" s="77" t="s">
        <v>956</v>
      </c>
      <c r="Y57" s="77" t="str">
        <f t="shared" si="4"/>
        <v>kg_co2e_excl_luc</v>
      </c>
      <c r="Z57" s="24">
        <f>SeafoodLCAs[[#This Row],[CO2e (value)]]*SeafoodLCAs[[#This Row],[Conversion factor (value)]]</f>
        <v>0.35399999999999998</v>
      </c>
      <c r="AA57" s="77">
        <f>1/2</f>
        <v>0.5</v>
      </c>
      <c r="AB57" s="80" t="s">
        <v>109</v>
      </c>
      <c r="AC57" s="77" t="s">
        <v>1081</v>
      </c>
      <c r="AD57" s="77" t="s">
        <v>1082</v>
      </c>
      <c r="AE57" s="77"/>
      <c r="AF57" s="77"/>
      <c r="AG57" s="74"/>
      <c r="AH57" s="74"/>
      <c r="AI57" s="74"/>
      <c r="AJ57" s="74"/>
      <c r="AK57" s="74"/>
    </row>
    <row r="58" spans="1:37" ht="44.1" customHeight="1" x14ac:dyDescent="0.2">
      <c r="A58" s="77" t="s">
        <v>251</v>
      </c>
      <c r="B58" s="5" t="s">
        <v>1512</v>
      </c>
      <c r="C58" s="16">
        <v>2015</v>
      </c>
      <c r="D58" s="87" t="s">
        <v>1525</v>
      </c>
      <c r="E58" s="77" t="s">
        <v>1079</v>
      </c>
      <c r="F58" s="75" t="s">
        <v>68</v>
      </c>
      <c r="G58" s="75" t="str">
        <f t="shared" si="3"/>
        <v>a_animal_ghg</v>
      </c>
      <c r="H58" s="77" t="s">
        <v>1080</v>
      </c>
      <c r="I58" s="81" t="s">
        <v>977</v>
      </c>
      <c r="J58" s="81"/>
      <c r="K58" s="74" t="s">
        <v>905</v>
      </c>
      <c r="L58" s="77">
        <v>2012</v>
      </c>
      <c r="M58" s="74" t="s">
        <v>1248</v>
      </c>
      <c r="N58" s="77" t="s">
        <v>109</v>
      </c>
      <c r="O58" s="77" t="s">
        <v>109</v>
      </c>
      <c r="P58" s="77" t="s">
        <v>102</v>
      </c>
      <c r="Q58" s="77" t="s">
        <v>102</v>
      </c>
      <c r="R58" s="74" t="s">
        <v>126</v>
      </c>
      <c r="S58" s="77">
        <v>1</v>
      </c>
      <c r="T58" s="77" t="s">
        <v>127</v>
      </c>
      <c r="U58" s="77">
        <v>507</v>
      </c>
      <c r="V58" s="77" t="s">
        <v>106</v>
      </c>
      <c r="W58" s="83">
        <v>1E-3</v>
      </c>
      <c r="X58" s="77" t="s">
        <v>956</v>
      </c>
      <c r="Y58" s="77" t="str">
        <f t="shared" si="4"/>
        <v>kg_co2e_excl_luc</v>
      </c>
      <c r="Z58" s="24">
        <f>SeafoodLCAs[[#This Row],[CO2e (value)]]*SeafoodLCAs[[#This Row],[Conversion factor (value)]]</f>
        <v>0.50700000000000001</v>
      </c>
      <c r="AA58" s="77">
        <f>1/2</f>
        <v>0.5</v>
      </c>
      <c r="AB58" s="80" t="s">
        <v>109</v>
      </c>
      <c r="AC58" s="77" t="s">
        <v>1081</v>
      </c>
      <c r="AD58" s="77" t="s">
        <v>1082</v>
      </c>
      <c r="AE58" s="77"/>
      <c r="AF58" s="77"/>
      <c r="AG58" s="74"/>
      <c r="AH58" s="74"/>
      <c r="AI58" s="74"/>
      <c r="AJ58" s="74"/>
      <c r="AK58" s="74"/>
    </row>
    <row r="59" spans="1:37" ht="44.1" customHeight="1" x14ac:dyDescent="0.2">
      <c r="A59" s="74" t="s">
        <v>943</v>
      </c>
      <c r="B59" s="5" t="s">
        <v>1511</v>
      </c>
      <c r="C59" s="16">
        <v>2015</v>
      </c>
      <c r="D59" s="74" t="s">
        <v>959</v>
      </c>
      <c r="E59" s="74" t="s">
        <v>960</v>
      </c>
      <c r="F59" s="75" t="s">
        <v>69</v>
      </c>
      <c r="G59" s="75" t="str">
        <f t="shared" si="3"/>
        <v>a_animal_ghg</v>
      </c>
      <c r="H59" s="74" t="s">
        <v>225</v>
      </c>
      <c r="I59" s="76" t="s">
        <v>225</v>
      </c>
      <c r="J59" s="76"/>
      <c r="K59" s="74" t="s">
        <v>905</v>
      </c>
      <c r="L59" s="74" t="s">
        <v>961</v>
      </c>
      <c r="M59" s="74" t="s">
        <v>1250</v>
      </c>
      <c r="N59" s="74" t="s">
        <v>102</v>
      </c>
      <c r="O59" s="74" t="s">
        <v>109</v>
      </c>
      <c r="P59" s="74" t="s">
        <v>962</v>
      </c>
      <c r="Q59" s="74" t="s">
        <v>105</v>
      </c>
      <c r="R59" s="74">
        <v>100</v>
      </c>
      <c r="S59" s="74">
        <v>1</v>
      </c>
      <c r="T59" s="74" t="s">
        <v>963</v>
      </c>
      <c r="U59" s="74">
        <v>4.29</v>
      </c>
      <c r="V59" s="74" t="s">
        <v>106</v>
      </c>
      <c r="W59" s="24">
        <v>1</v>
      </c>
      <c r="X59" s="74" t="s">
        <v>262</v>
      </c>
      <c r="Y59" s="74" t="str">
        <f t="shared" si="4"/>
        <v>kg_co2e_excl_luc</v>
      </c>
      <c r="Z59" s="24">
        <f>SeafoodLCAs[[#This Row],[CO2e (value)]]*SeafoodLCAs[[#This Row],[Conversion factor (value)]]</f>
        <v>4.29</v>
      </c>
      <c r="AA59" s="74">
        <v>1</v>
      </c>
      <c r="AB59" s="75" t="s">
        <v>109</v>
      </c>
      <c r="AC59" s="74" t="s">
        <v>964</v>
      </c>
      <c r="AD59" s="74" t="s">
        <v>965</v>
      </c>
      <c r="AE59" s="74"/>
      <c r="AF59" s="74"/>
      <c r="AG59" s="74"/>
      <c r="AH59" s="74"/>
      <c r="AI59" s="74"/>
      <c r="AJ59" s="74"/>
      <c r="AK59" s="74"/>
    </row>
    <row r="60" spans="1:37" ht="44.1" customHeight="1" x14ac:dyDescent="0.2">
      <c r="A60" s="94" t="s">
        <v>1127</v>
      </c>
      <c r="B60" s="94" t="s">
        <v>1134</v>
      </c>
      <c r="C60" s="94"/>
      <c r="D60" s="94" t="s">
        <v>1135</v>
      </c>
      <c r="E60" s="94" t="s">
        <v>1136</v>
      </c>
      <c r="F60" s="95" t="s">
        <v>1112</v>
      </c>
      <c r="G60" s="95" t="str">
        <f t="shared" si="3"/>
        <v>a_animal_ghg</v>
      </c>
      <c r="H60" s="96" t="s">
        <v>262</v>
      </c>
      <c r="I60" s="97" t="s">
        <v>114</v>
      </c>
      <c r="J60" s="97"/>
      <c r="K60" s="94" t="s">
        <v>916</v>
      </c>
      <c r="L60" s="94" t="s">
        <v>1137</v>
      </c>
      <c r="M60" s="94"/>
      <c r="N60" s="94"/>
      <c r="O60" s="94"/>
      <c r="P60" s="94"/>
      <c r="Q60" s="94"/>
      <c r="R60" s="103"/>
      <c r="S60" s="103">
        <v>1000</v>
      </c>
      <c r="T60" s="95" t="s">
        <v>1138</v>
      </c>
      <c r="U60" s="103">
        <v>406</v>
      </c>
      <c r="V60" s="94" t="s">
        <v>106</v>
      </c>
      <c r="W60" s="30">
        <v>1E-3</v>
      </c>
      <c r="X60" s="94" t="s">
        <v>262</v>
      </c>
      <c r="Y60" s="94" t="str">
        <f t="shared" si="4"/>
        <v>kg_co2e_excl_luc</v>
      </c>
      <c r="Z60" s="30">
        <f>SeafoodLCAs[[#This Row],[CO2e (value)]]*SeafoodLCAs[[#This Row],[Conversion factor (value)]]</f>
        <v>0.40600000000000003</v>
      </c>
      <c r="AA60" s="103"/>
      <c r="AB60" s="94" t="s">
        <v>1113</v>
      </c>
      <c r="AC60" s="94"/>
      <c r="AD60" s="94"/>
      <c r="AE60" s="94"/>
      <c r="AF60" s="94"/>
      <c r="AG60" s="74"/>
      <c r="AH60" s="74"/>
      <c r="AI60" s="74"/>
      <c r="AJ60" s="74"/>
      <c r="AK60" s="74"/>
    </row>
    <row r="61" spans="1:37" ht="44.1" customHeight="1" x14ac:dyDescent="0.2">
      <c r="A61" s="94" t="s">
        <v>1116</v>
      </c>
      <c r="B61" s="94" t="s">
        <v>900</v>
      </c>
      <c r="C61" s="94"/>
      <c r="D61" s="94" t="s">
        <v>944</v>
      </c>
      <c r="E61" s="94" t="s">
        <v>1136</v>
      </c>
      <c r="F61" s="95" t="s">
        <v>1112</v>
      </c>
      <c r="G61" s="95" t="str">
        <f t="shared" si="3"/>
        <v>a_animal_ghg</v>
      </c>
      <c r="H61" s="96" t="s">
        <v>262</v>
      </c>
      <c r="I61" s="97" t="s">
        <v>120</v>
      </c>
      <c r="J61" s="97"/>
      <c r="K61" s="94" t="s">
        <v>916</v>
      </c>
      <c r="L61" s="94"/>
      <c r="M61" s="94"/>
      <c r="N61" s="94"/>
      <c r="O61" s="94"/>
      <c r="P61" s="94"/>
      <c r="Q61" s="94"/>
      <c r="R61" s="94"/>
      <c r="S61" s="94">
        <v>1</v>
      </c>
      <c r="T61" s="94" t="s">
        <v>1142</v>
      </c>
      <c r="U61" s="98">
        <f>4672*0.6</f>
        <v>2803.2</v>
      </c>
      <c r="V61" s="94" t="s">
        <v>106</v>
      </c>
      <c r="W61" s="30">
        <v>1E-3</v>
      </c>
      <c r="X61" s="94" t="s">
        <v>956</v>
      </c>
      <c r="Y61" s="94" t="str">
        <f t="shared" si="4"/>
        <v>kg_co2e_excl_luc</v>
      </c>
      <c r="Z61" s="30">
        <f>SeafoodLCAs[[#This Row],[CO2e (value)]]*SeafoodLCAs[[#This Row],[Conversion factor (value)]]</f>
        <v>2.8031999999999999</v>
      </c>
      <c r="AA61" s="94"/>
      <c r="AB61" s="94" t="s">
        <v>1113</v>
      </c>
      <c r="AC61" s="94" t="s">
        <v>1143</v>
      </c>
      <c r="AD61" s="94"/>
      <c r="AE61" s="94"/>
      <c r="AF61" s="94"/>
      <c r="AG61" s="74"/>
      <c r="AH61" s="74"/>
      <c r="AI61" s="74"/>
      <c r="AJ61" s="74"/>
      <c r="AK61" s="74"/>
    </row>
    <row r="62" spans="1:37" ht="44.1" customHeight="1" x14ac:dyDescent="0.2">
      <c r="A62" s="94" t="s">
        <v>1116</v>
      </c>
      <c r="B62" s="94" t="s">
        <v>1161</v>
      </c>
      <c r="C62" s="94"/>
      <c r="D62" s="94" t="s">
        <v>1162</v>
      </c>
      <c r="E62" s="94" t="s">
        <v>1136</v>
      </c>
      <c r="F62" s="95" t="s">
        <v>1112</v>
      </c>
      <c r="G62" s="95" t="str">
        <f t="shared" si="3"/>
        <v>a_animal_ghg</v>
      </c>
      <c r="H62" s="96" t="s">
        <v>262</v>
      </c>
      <c r="I62" s="97" t="s">
        <v>170</v>
      </c>
      <c r="J62" s="97"/>
      <c r="K62" s="94" t="s">
        <v>916</v>
      </c>
      <c r="L62" s="94" t="s">
        <v>1159</v>
      </c>
      <c r="M62" s="94"/>
      <c r="N62" s="94"/>
      <c r="O62" s="94" t="s">
        <v>109</v>
      </c>
      <c r="P62" s="94"/>
      <c r="Q62" s="94"/>
      <c r="R62" s="94"/>
      <c r="S62" s="94">
        <v>1</v>
      </c>
      <c r="T62" s="94" t="s">
        <v>1121</v>
      </c>
      <c r="U62" s="94">
        <v>1157.2840000000001</v>
      </c>
      <c r="V62" s="94" t="s">
        <v>106</v>
      </c>
      <c r="W62" s="30">
        <v>1E-3</v>
      </c>
      <c r="X62" s="94" t="s">
        <v>956</v>
      </c>
      <c r="Y62" s="94" t="str">
        <f t="shared" si="4"/>
        <v>kg_co2e_excl_luc</v>
      </c>
      <c r="Z62" s="30">
        <f>SeafoodLCAs[[#This Row],[CO2e (value)]]*SeafoodLCAs[[#This Row],[Conversion factor (value)]]</f>
        <v>1.1572840000000002</v>
      </c>
      <c r="AA62" s="94"/>
      <c r="AB62" s="94" t="s">
        <v>1113</v>
      </c>
      <c r="AC62" s="94"/>
      <c r="AD62" s="94"/>
      <c r="AE62" s="94"/>
      <c r="AF62" s="94"/>
      <c r="AG62" s="74"/>
      <c r="AH62" s="74"/>
      <c r="AI62" s="74"/>
      <c r="AJ62" s="74"/>
      <c r="AK62" s="74"/>
    </row>
    <row r="63" spans="1:37" ht="44.1" customHeight="1" x14ac:dyDescent="0.2">
      <c r="A63" s="94" t="s">
        <v>1116</v>
      </c>
      <c r="B63" s="94" t="s">
        <v>1161</v>
      </c>
      <c r="C63" s="94"/>
      <c r="D63" s="94" t="s">
        <v>1162</v>
      </c>
      <c r="E63" s="94" t="s">
        <v>1136</v>
      </c>
      <c r="F63" s="95" t="s">
        <v>1112</v>
      </c>
      <c r="G63" s="95" t="str">
        <f t="shared" si="3"/>
        <v>a_animal_ghg</v>
      </c>
      <c r="H63" s="96" t="s">
        <v>262</v>
      </c>
      <c r="I63" s="97" t="s">
        <v>170</v>
      </c>
      <c r="J63" s="97"/>
      <c r="K63" s="94" t="s">
        <v>916</v>
      </c>
      <c r="L63" s="94" t="s">
        <v>1163</v>
      </c>
      <c r="M63" s="94"/>
      <c r="N63" s="94"/>
      <c r="O63" s="94" t="s">
        <v>109</v>
      </c>
      <c r="P63" s="94"/>
      <c r="Q63" s="94"/>
      <c r="R63" s="94"/>
      <c r="S63" s="94">
        <v>1</v>
      </c>
      <c r="T63" s="94" t="s">
        <v>1121</v>
      </c>
      <c r="U63" s="94">
        <v>6380.0619999999999</v>
      </c>
      <c r="V63" s="94" t="s">
        <v>106</v>
      </c>
      <c r="W63" s="30">
        <v>1E-3</v>
      </c>
      <c r="X63" s="94" t="s">
        <v>956</v>
      </c>
      <c r="Y63" s="94" t="str">
        <f t="shared" si="4"/>
        <v>kg_co2e_excl_luc</v>
      </c>
      <c r="Z63" s="30">
        <f>SeafoodLCAs[[#This Row],[CO2e (value)]]*SeafoodLCAs[[#This Row],[Conversion factor (value)]]</f>
        <v>6.3800619999999997</v>
      </c>
      <c r="AA63" s="94"/>
      <c r="AB63" s="94" t="s">
        <v>1113</v>
      </c>
      <c r="AC63" s="94"/>
      <c r="AD63" s="94"/>
      <c r="AE63" s="94"/>
      <c r="AF63" s="94"/>
      <c r="AG63" s="74"/>
      <c r="AH63" s="74"/>
      <c r="AI63" s="74"/>
      <c r="AJ63" s="74"/>
      <c r="AK63" s="74"/>
    </row>
    <row r="64" spans="1:37" ht="44.1" customHeight="1" x14ac:dyDescent="0.2">
      <c r="A64" s="94" t="s">
        <v>1116</v>
      </c>
      <c r="B64" s="94" t="s">
        <v>1161</v>
      </c>
      <c r="C64" s="94"/>
      <c r="D64" s="94" t="s">
        <v>1162</v>
      </c>
      <c r="E64" s="94" t="s">
        <v>1136</v>
      </c>
      <c r="F64" s="95" t="s">
        <v>1112</v>
      </c>
      <c r="G64" s="95" t="str">
        <f t="shared" si="3"/>
        <v>a_animal_ghg</v>
      </c>
      <c r="H64" s="96" t="s">
        <v>262</v>
      </c>
      <c r="I64" s="97" t="s">
        <v>170</v>
      </c>
      <c r="J64" s="97"/>
      <c r="K64" s="94" t="s">
        <v>916</v>
      </c>
      <c r="L64" s="94" t="s">
        <v>1119</v>
      </c>
      <c r="M64" s="94"/>
      <c r="N64" s="94"/>
      <c r="O64" s="94" t="s">
        <v>109</v>
      </c>
      <c r="P64" s="94"/>
      <c r="Q64" s="94"/>
      <c r="R64" s="94"/>
      <c r="S64" s="94">
        <v>1</v>
      </c>
      <c r="T64" s="94" t="s">
        <v>1121</v>
      </c>
      <c r="U64" s="94">
        <v>6102.57</v>
      </c>
      <c r="V64" s="94" t="s">
        <v>106</v>
      </c>
      <c r="W64" s="30">
        <v>1E-3</v>
      </c>
      <c r="X64" s="94" t="s">
        <v>956</v>
      </c>
      <c r="Y64" s="94" t="str">
        <f t="shared" si="4"/>
        <v>kg_co2e_excl_luc</v>
      </c>
      <c r="Z64" s="30">
        <f>SeafoodLCAs[[#This Row],[CO2e (value)]]*SeafoodLCAs[[#This Row],[Conversion factor (value)]]</f>
        <v>6.1025700000000001</v>
      </c>
      <c r="AA64" s="94"/>
      <c r="AB64" s="94" t="s">
        <v>1113</v>
      </c>
      <c r="AC64" s="94"/>
      <c r="AD64" s="94"/>
      <c r="AE64" s="94"/>
      <c r="AF64" s="94"/>
      <c r="AG64" s="74"/>
      <c r="AH64" s="74"/>
      <c r="AI64" s="74"/>
      <c r="AJ64" s="74"/>
      <c r="AK64" s="74"/>
    </row>
    <row r="65" spans="1:37" ht="44.1" customHeight="1" x14ac:dyDescent="0.2">
      <c r="A65" s="94" t="s">
        <v>1116</v>
      </c>
      <c r="B65" s="94" t="s">
        <v>1181</v>
      </c>
      <c r="C65" s="94"/>
      <c r="D65" s="94" t="s">
        <v>1182</v>
      </c>
      <c r="E65" s="94" t="s">
        <v>1136</v>
      </c>
      <c r="F65" s="95" t="s">
        <v>1112</v>
      </c>
      <c r="G65" s="95" t="str">
        <f t="shared" si="3"/>
        <v>a_animal_ghg</v>
      </c>
      <c r="H65" s="96" t="s">
        <v>262</v>
      </c>
      <c r="I65" s="97" t="s">
        <v>1183</v>
      </c>
      <c r="J65" s="97"/>
      <c r="K65" s="94" t="s">
        <v>916</v>
      </c>
      <c r="L65" s="94"/>
      <c r="M65" s="94"/>
      <c r="N65" s="94"/>
      <c r="O65" s="94" t="s">
        <v>109</v>
      </c>
      <c r="P65" s="94"/>
      <c r="Q65" s="94"/>
      <c r="R65" s="94"/>
      <c r="S65" s="94">
        <v>1</v>
      </c>
      <c r="T65" s="94" t="s">
        <v>1184</v>
      </c>
      <c r="U65" s="94">
        <f>AVERAGE(767,900)</f>
        <v>833.5</v>
      </c>
      <c r="V65" s="94" t="s">
        <v>106</v>
      </c>
      <c r="W65" s="30">
        <v>1E-3</v>
      </c>
      <c r="X65" s="94" t="s">
        <v>956</v>
      </c>
      <c r="Y65" s="94" t="str">
        <f t="shared" si="4"/>
        <v>kg_co2e_excl_luc</v>
      </c>
      <c r="Z65" s="30">
        <f>SeafoodLCAs[[#This Row],[CO2e (value)]]*SeafoodLCAs[[#This Row],[Conversion factor (value)]]</f>
        <v>0.83350000000000002</v>
      </c>
      <c r="AA65" s="94"/>
      <c r="AB65" s="94" t="s">
        <v>1113</v>
      </c>
      <c r="AC65" s="94" t="s">
        <v>1185</v>
      </c>
      <c r="AD65" s="94" t="s">
        <v>1186</v>
      </c>
      <c r="AE65" s="94"/>
      <c r="AF65" s="94"/>
      <c r="AG65" s="74"/>
      <c r="AH65" s="74"/>
      <c r="AI65" s="74"/>
      <c r="AJ65" s="74"/>
      <c r="AK65" s="74"/>
    </row>
    <row r="66" spans="1:37" ht="44.1" customHeight="1" x14ac:dyDescent="0.2">
      <c r="A66" s="74" t="s">
        <v>943</v>
      </c>
      <c r="B66" s="5" t="s">
        <v>1505</v>
      </c>
      <c r="C66" s="16">
        <v>2015</v>
      </c>
      <c r="D66" s="77" t="s">
        <v>944</v>
      </c>
      <c r="E66" s="74" t="s">
        <v>945</v>
      </c>
      <c r="F66" s="75" t="s">
        <v>66</v>
      </c>
      <c r="G66" s="75" t="str">
        <f t="shared" si="3"/>
        <v>a_animal_ghg</v>
      </c>
      <c r="H66" s="77" t="s">
        <v>262</v>
      </c>
      <c r="I66" s="76" t="s">
        <v>120</v>
      </c>
      <c r="J66" s="76"/>
      <c r="K66" s="74" t="s">
        <v>916</v>
      </c>
      <c r="L66" s="74"/>
      <c r="M66" s="74" t="s">
        <v>1383</v>
      </c>
      <c r="N66" s="74" t="s">
        <v>109</v>
      </c>
      <c r="O66" s="74" t="s">
        <v>109</v>
      </c>
      <c r="P66" s="74" t="s">
        <v>946</v>
      </c>
      <c r="Q66" s="74" t="s">
        <v>102</v>
      </c>
      <c r="R66" s="74" t="s">
        <v>126</v>
      </c>
      <c r="S66" s="74">
        <v>1</v>
      </c>
      <c r="T66" s="74" t="s">
        <v>947</v>
      </c>
      <c r="U66" s="78">
        <f>9897</f>
        <v>9897</v>
      </c>
      <c r="V66" s="74" t="s">
        <v>106</v>
      </c>
      <c r="W66" s="24">
        <f>0.001*0.36</f>
        <v>3.5999999999999997E-4</v>
      </c>
      <c r="X66" s="74" t="s">
        <v>948</v>
      </c>
      <c r="Y66" s="74" t="str">
        <f t="shared" si="4"/>
        <v>kg_co2e_excl_luc</v>
      </c>
      <c r="Z66" s="24">
        <f>SeafoodLCAs[[#This Row],[CO2e (value)]]*SeafoodLCAs[[#This Row],[Conversion factor (value)]]</f>
        <v>3.5629199999999996</v>
      </c>
      <c r="AA66" s="74">
        <v>1</v>
      </c>
      <c r="AB66" s="75" t="s">
        <v>109</v>
      </c>
      <c r="AC66" s="74" t="s">
        <v>949</v>
      </c>
      <c r="AD66" s="74" t="s">
        <v>950</v>
      </c>
      <c r="AE66" s="74" t="s">
        <v>951</v>
      </c>
      <c r="AF66" s="79"/>
      <c r="AG66" s="74"/>
      <c r="AH66" s="74"/>
      <c r="AI66" s="74"/>
      <c r="AJ66" s="74"/>
      <c r="AK66" s="74"/>
    </row>
    <row r="67" spans="1:37" ht="44.1" customHeight="1" x14ac:dyDescent="0.2">
      <c r="A67" s="94" t="s">
        <v>1116</v>
      </c>
      <c r="B67" s="94" t="s">
        <v>1164</v>
      </c>
      <c r="C67" s="94"/>
      <c r="D67" s="94" t="s">
        <v>1165</v>
      </c>
      <c r="E67" s="94" t="s">
        <v>1166</v>
      </c>
      <c r="F67" s="95" t="s">
        <v>1112</v>
      </c>
      <c r="G67" s="95" t="str">
        <f t="shared" si="3"/>
        <v>a_animal_ghg</v>
      </c>
      <c r="H67" s="94" t="s">
        <v>225</v>
      </c>
      <c r="I67" s="97"/>
      <c r="J67" s="97"/>
      <c r="K67" s="94" t="s">
        <v>905</v>
      </c>
      <c r="L67" s="94" t="s">
        <v>1167</v>
      </c>
      <c r="M67" s="94"/>
      <c r="N67" s="94"/>
      <c r="O67" s="94"/>
      <c r="P67" s="94"/>
      <c r="Q67" s="94"/>
      <c r="R67" s="94"/>
      <c r="S67" s="94">
        <v>1</v>
      </c>
      <c r="T67" s="94" t="s">
        <v>1168</v>
      </c>
      <c r="U67" s="94">
        <v>13</v>
      </c>
      <c r="V67" s="94" t="s">
        <v>106</v>
      </c>
      <c r="W67" s="30">
        <v>1</v>
      </c>
      <c r="X67" s="94" t="s">
        <v>262</v>
      </c>
      <c r="Y67" s="94" t="str">
        <f t="shared" si="4"/>
        <v>kg_co2e_excl_luc</v>
      </c>
      <c r="Z67" s="30">
        <f>SeafoodLCAs[[#This Row],[CO2e (value)]]*SeafoodLCAs[[#This Row],[Conversion factor (value)]]</f>
        <v>13</v>
      </c>
      <c r="AA67" s="94"/>
      <c r="AB67" s="94" t="s">
        <v>1113</v>
      </c>
      <c r="AC67" s="94" t="s">
        <v>1169</v>
      </c>
      <c r="AD67" s="94"/>
      <c r="AE67" s="94"/>
      <c r="AF67" s="94"/>
      <c r="AG67" s="77"/>
      <c r="AH67" s="77"/>
      <c r="AI67" s="77"/>
      <c r="AJ67" s="77"/>
      <c r="AK67" s="77"/>
    </row>
    <row r="68" spans="1:37" ht="44.1" customHeight="1" x14ac:dyDescent="0.2">
      <c r="A68" s="94" t="s">
        <v>251</v>
      </c>
      <c r="B68" s="94" t="s">
        <v>1070</v>
      </c>
      <c r="C68" s="94"/>
      <c r="D68" s="95" t="s">
        <v>1071</v>
      </c>
      <c r="E68" s="94" t="s">
        <v>1115</v>
      </c>
      <c r="F68" s="95" t="s">
        <v>1112</v>
      </c>
      <c r="G68" s="95" t="str">
        <f t="shared" si="3"/>
        <v>a_animal_ghg</v>
      </c>
      <c r="H68" s="94" t="s">
        <v>186</v>
      </c>
      <c r="I68" s="97" t="s">
        <v>186</v>
      </c>
      <c r="J68" s="97"/>
      <c r="K68" s="94" t="s">
        <v>905</v>
      </c>
      <c r="L68" s="94"/>
      <c r="M68" s="94"/>
      <c r="N68" s="94" t="s">
        <v>109</v>
      </c>
      <c r="O68" s="94" t="s">
        <v>109</v>
      </c>
      <c r="P68" s="94" t="s">
        <v>1073</v>
      </c>
      <c r="Q68" s="94" t="s">
        <v>105</v>
      </c>
      <c r="R68" s="94" t="s">
        <v>126</v>
      </c>
      <c r="S68" s="94">
        <v>1</v>
      </c>
      <c r="T68" s="94" t="s">
        <v>1074</v>
      </c>
      <c r="U68" s="94">
        <v>1.31</v>
      </c>
      <c r="V68" s="94" t="s">
        <v>106</v>
      </c>
      <c r="W68" s="30">
        <v>1</v>
      </c>
      <c r="X68" s="94" t="s">
        <v>262</v>
      </c>
      <c r="Y68" s="94" t="str">
        <f t="shared" si="4"/>
        <v>kg_co2e_excl_luc</v>
      </c>
      <c r="Z68" s="30">
        <f>SeafoodLCAs[[#This Row],[CO2e (value)]]*SeafoodLCAs[[#This Row],[Conversion factor (value)]]</f>
        <v>1.31</v>
      </c>
      <c r="AA68" s="94">
        <v>1</v>
      </c>
      <c r="AB68" s="95" t="s">
        <v>1113</v>
      </c>
      <c r="AC68" s="94" t="s">
        <v>1075</v>
      </c>
      <c r="AD68" s="94"/>
      <c r="AE68" s="94"/>
      <c r="AF68" s="94"/>
      <c r="AG68" s="77"/>
      <c r="AH68" s="77"/>
      <c r="AI68" s="77"/>
      <c r="AJ68" s="77"/>
      <c r="AK68" s="77"/>
    </row>
    <row r="69" spans="1:37" ht="44.1" customHeight="1" x14ac:dyDescent="0.2">
      <c r="A69" s="74" t="s">
        <v>943</v>
      </c>
      <c r="B69" s="5" t="s">
        <v>1506</v>
      </c>
      <c r="C69" s="16">
        <v>2009</v>
      </c>
      <c r="D69" s="77" t="s">
        <v>992</v>
      </c>
      <c r="E69" s="74" t="s">
        <v>915</v>
      </c>
      <c r="F69" s="75" t="s">
        <v>66</v>
      </c>
      <c r="G69" s="75" t="str">
        <f t="shared" ref="G69:G100" si="5">"a_animal_ghg"</f>
        <v>a_animal_ghg</v>
      </c>
      <c r="H69" s="77" t="s">
        <v>262</v>
      </c>
      <c r="I69" s="76" t="s">
        <v>642</v>
      </c>
      <c r="J69" s="76"/>
      <c r="K69" s="74" t="s">
        <v>916</v>
      </c>
      <c r="L69" s="74" t="s">
        <v>993</v>
      </c>
      <c r="M69" s="74" t="s">
        <v>1247</v>
      </c>
      <c r="N69" s="74" t="s">
        <v>109</v>
      </c>
      <c r="O69" s="74" t="s">
        <v>109</v>
      </c>
      <c r="P69" s="74" t="s">
        <v>994</v>
      </c>
      <c r="Q69" s="74" t="s">
        <v>102</v>
      </c>
      <c r="R69" s="74" t="s">
        <v>126</v>
      </c>
      <c r="S69" s="74">
        <v>1</v>
      </c>
      <c r="T69" s="74" t="s">
        <v>995</v>
      </c>
      <c r="U69" s="78">
        <v>2073</v>
      </c>
      <c r="V69" s="74" t="s">
        <v>106</v>
      </c>
      <c r="W69" s="24">
        <v>1E-3</v>
      </c>
      <c r="X69" s="74" t="s">
        <v>956</v>
      </c>
      <c r="Y69" s="74" t="str">
        <f t="shared" ref="Y69:Y100" si="6">"kg_co2e_excl_luc"</f>
        <v>kg_co2e_excl_luc</v>
      </c>
      <c r="Z69" s="24">
        <f>SeafoodLCAs[[#This Row],[CO2e (value)]]*SeafoodLCAs[[#This Row],[Conversion factor (value)]]</f>
        <v>2.073</v>
      </c>
      <c r="AA69" s="74">
        <f>1/3</f>
        <v>0.33333333333333331</v>
      </c>
      <c r="AB69" s="75" t="s">
        <v>109</v>
      </c>
      <c r="AC69" s="74" t="s">
        <v>996</v>
      </c>
      <c r="AD69" s="74" t="s">
        <v>997</v>
      </c>
      <c r="AE69" s="74" t="s">
        <v>998</v>
      </c>
      <c r="AF69" s="74"/>
      <c r="AG69" s="77"/>
      <c r="AH69" s="77"/>
      <c r="AI69" s="77"/>
      <c r="AJ69" s="77"/>
      <c r="AK69" s="77"/>
    </row>
    <row r="70" spans="1:37" ht="44.1" customHeight="1" x14ac:dyDescent="0.2">
      <c r="A70" s="74" t="s">
        <v>943</v>
      </c>
      <c r="B70" s="5" t="s">
        <v>1506</v>
      </c>
      <c r="C70" s="16">
        <v>2009</v>
      </c>
      <c r="D70" s="77" t="s">
        <v>992</v>
      </c>
      <c r="E70" s="74" t="s">
        <v>915</v>
      </c>
      <c r="F70" s="75" t="s">
        <v>66</v>
      </c>
      <c r="G70" s="75" t="str">
        <f t="shared" si="5"/>
        <v>a_animal_ghg</v>
      </c>
      <c r="H70" s="77" t="s">
        <v>262</v>
      </c>
      <c r="I70" s="76" t="s">
        <v>642</v>
      </c>
      <c r="J70" s="76"/>
      <c r="K70" s="74" t="s">
        <v>916</v>
      </c>
      <c r="L70" s="74" t="s">
        <v>999</v>
      </c>
      <c r="M70" s="74" t="s">
        <v>1247</v>
      </c>
      <c r="N70" s="74" t="s">
        <v>109</v>
      </c>
      <c r="O70" s="74" t="s">
        <v>109</v>
      </c>
      <c r="P70" s="74" t="s">
        <v>994</v>
      </c>
      <c r="Q70" s="74" t="s">
        <v>102</v>
      </c>
      <c r="R70" s="74" t="s">
        <v>126</v>
      </c>
      <c r="S70" s="74">
        <v>1</v>
      </c>
      <c r="T70" s="74" t="s">
        <v>995</v>
      </c>
      <c r="U70" s="78">
        <v>2250</v>
      </c>
      <c r="V70" s="74" t="s">
        <v>106</v>
      </c>
      <c r="W70" s="24">
        <v>1E-3</v>
      </c>
      <c r="X70" s="74" t="s">
        <v>956</v>
      </c>
      <c r="Y70" s="74" t="str">
        <f t="shared" si="6"/>
        <v>kg_co2e_excl_luc</v>
      </c>
      <c r="Z70" s="24">
        <f>SeafoodLCAs[[#This Row],[CO2e (value)]]*SeafoodLCAs[[#This Row],[Conversion factor (value)]]</f>
        <v>2.25</v>
      </c>
      <c r="AA70" s="74">
        <f>1/3</f>
        <v>0.33333333333333331</v>
      </c>
      <c r="AB70" s="75" t="s">
        <v>109</v>
      </c>
      <c r="AC70" s="74" t="s">
        <v>996</v>
      </c>
      <c r="AD70" s="74" t="s">
        <v>997</v>
      </c>
      <c r="AE70" s="74" t="s">
        <v>998</v>
      </c>
      <c r="AF70" s="74"/>
      <c r="AG70" s="77"/>
      <c r="AH70" s="77"/>
      <c r="AI70" s="77"/>
      <c r="AJ70" s="77"/>
      <c r="AK70" s="77"/>
    </row>
    <row r="71" spans="1:37" ht="44.1" customHeight="1" x14ac:dyDescent="0.2">
      <c r="A71" s="74" t="s">
        <v>943</v>
      </c>
      <c r="B71" s="5" t="s">
        <v>1506</v>
      </c>
      <c r="C71" s="16">
        <v>2009</v>
      </c>
      <c r="D71" s="77" t="s">
        <v>992</v>
      </c>
      <c r="E71" s="74" t="s">
        <v>915</v>
      </c>
      <c r="F71" s="75" t="s">
        <v>66</v>
      </c>
      <c r="G71" s="75" t="str">
        <f t="shared" si="5"/>
        <v>a_animal_ghg</v>
      </c>
      <c r="H71" s="77" t="s">
        <v>262</v>
      </c>
      <c r="I71" s="76" t="s">
        <v>642</v>
      </c>
      <c r="J71" s="76"/>
      <c r="K71" s="74" t="s">
        <v>916</v>
      </c>
      <c r="L71" s="74" t="s">
        <v>1000</v>
      </c>
      <c r="M71" s="74" t="s">
        <v>1247</v>
      </c>
      <c r="N71" s="74" t="s">
        <v>109</v>
      </c>
      <c r="O71" s="74" t="s">
        <v>109</v>
      </c>
      <c r="P71" s="74" t="s">
        <v>994</v>
      </c>
      <c r="Q71" s="74" t="s">
        <v>102</v>
      </c>
      <c r="R71" s="74" t="s">
        <v>126</v>
      </c>
      <c r="S71" s="74">
        <v>1</v>
      </c>
      <c r="T71" s="74" t="s">
        <v>995</v>
      </c>
      <c r="U71" s="78">
        <v>5410</v>
      </c>
      <c r="V71" s="74" t="s">
        <v>106</v>
      </c>
      <c r="W71" s="24">
        <v>1E-3</v>
      </c>
      <c r="X71" s="74" t="s">
        <v>956</v>
      </c>
      <c r="Y71" s="74" t="str">
        <f t="shared" si="6"/>
        <v>kg_co2e_excl_luc</v>
      </c>
      <c r="Z71" s="24">
        <f>SeafoodLCAs[[#This Row],[CO2e (value)]]*SeafoodLCAs[[#This Row],[Conversion factor (value)]]</f>
        <v>5.41</v>
      </c>
      <c r="AA71" s="74">
        <f>1/3</f>
        <v>0.33333333333333331</v>
      </c>
      <c r="AB71" s="75" t="s">
        <v>109</v>
      </c>
      <c r="AC71" s="74" t="s">
        <v>996</v>
      </c>
      <c r="AD71" s="74" t="s">
        <v>997</v>
      </c>
      <c r="AE71" s="74" t="s">
        <v>998</v>
      </c>
      <c r="AF71" s="74"/>
      <c r="AG71" s="77"/>
      <c r="AH71" s="77"/>
      <c r="AI71" s="77"/>
      <c r="AJ71" s="77"/>
      <c r="AK71" s="77"/>
    </row>
    <row r="72" spans="1:37" ht="44.1" customHeight="1" x14ac:dyDescent="0.2">
      <c r="A72" s="94" t="s">
        <v>943</v>
      </c>
      <c r="B72" s="94" t="s">
        <v>991</v>
      </c>
      <c r="C72" s="94"/>
      <c r="D72" s="94" t="s">
        <v>992</v>
      </c>
      <c r="E72" s="94" t="s">
        <v>915</v>
      </c>
      <c r="F72" s="95" t="s">
        <v>66</v>
      </c>
      <c r="G72" s="95" t="str">
        <f t="shared" si="5"/>
        <v>a_animal_ghg</v>
      </c>
      <c r="H72" s="96" t="s">
        <v>262</v>
      </c>
      <c r="I72" s="97" t="s">
        <v>642</v>
      </c>
      <c r="J72" s="97"/>
      <c r="K72" s="94" t="s">
        <v>916</v>
      </c>
      <c r="L72" s="94" t="s">
        <v>1123</v>
      </c>
      <c r="M72" s="94"/>
      <c r="N72" s="94" t="s">
        <v>109</v>
      </c>
      <c r="O72" s="94" t="s">
        <v>109</v>
      </c>
      <c r="P72" s="94" t="s">
        <v>994</v>
      </c>
      <c r="Q72" s="94" t="s">
        <v>102</v>
      </c>
      <c r="R72" s="94" t="s">
        <v>126</v>
      </c>
      <c r="S72" s="94">
        <v>1</v>
      </c>
      <c r="T72" s="94" t="s">
        <v>995</v>
      </c>
      <c r="U72" s="98">
        <v>10300</v>
      </c>
      <c r="V72" s="94" t="s">
        <v>106</v>
      </c>
      <c r="W72" s="30">
        <v>1E-3</v>
      </c>
      <c r="X72" s="94" t="s">
        <v>956</v>
      </c>
      <c r="Y72" s="94" t="str">
        <f t="shared" si="6"/>
        <v>kg_co2e_excl_luc</v>
      </c>
      <c r="Z72" s="30">
        <f>SeafoodLCAs[[#This Row],[CO2e (value)]]*SeafoodLCAs[[#This Row],[Conversion factor (value)]]</f>
        <v>10.3</v>
      </c>
      <c r="AA72" s="94">
        <v>0.25</v>
      </c>
      <c r="AB72" s="95" t="s">
        <v>1120</v>
      </c>
      <c r="AC72" s="94" t="s">
        <v>996</v>
      </c>
      <c r="AD72" s="94" t="s">
        <v>1124</v>
      </c>
      <c r="AE72" s="94"/>
      <c r="AF72" s="94"/>
      <c r="AG72" s="77"/>
      <c r="AH72" s="77"/>
      <c r="AI72" s="77"/>
      <c r="AJ72" s="77"/>
      <c r="AK72" s="77"/>
    </row>
    <row r="73" spans="1:37" ht="44.1" customHeight="1" x14ac:dyDescent="0.2">
      <c r="A73" s="77" t="s">
        <v>251</v>
      </c>
      <c r="B73" s="5" t="s">
        <v>1508</v>
      </c>
      <c r="C73" s="16">
        <v>2011</v>
      </c>
      <c r="D73" s="75" t="s">
        <v>1098</v>
      </c>
      <c r="E73" s="77" t="s">
        <v>915</v>
      </c>
      <c r="F73" s="80" t="s">
        <v>66</v>
      </c>
      <c r="G73" s="80" t="str">
        <f t="shared" si="5"/>
        <v>a_animal_ghg</v>
      </c>
      <c r="H73" s="77" t="s">
        <v>262</v>
      </c>
      <c r="I73" s="84" t="s">
        <v>860</v>
      </c>
      <c r="J73" s="84"/>
      <c r="K73" s="74" t="s">
        <v>916</v>
      </c>
      <c r="L73" s="77" t="s">
        <v>1099</v>
      </c>
      <c r="M73" s="74" t="s">
        <v>1247</v>
      </c>
      <c r="N73" s="77" t="s">
        <v>109</v>
      </c>
      <c r="O73" s="77" t="s">
        <v>109</v>
      </c>
      <c r="P73" s="77" t="s">
        <v>1092</v>
      </c>
      <c r="Q73" s="77" t="s">
        <v>102</v>
      </c>
      <c r="R73" s="74" t="s">
        <v>126</v>
      </c>
      <c r="S73" s="77">
        <v>1</v>
      </c>
      <c r="T73" s="77" t="s">
        <v>927</v>
      </c>
      <c r="U73" s="77">
        <v>2.15</v>
      </c>
      <c r="V73" s="77" t="s">
        <v>106</v>
      </c>
      <c r="W73" s="83">
        <v>1</v>
      </c>
      <c r="X73" s="74" t="s">
        <v>262</v>
      </c>
      <c r="Y73" s="74" t="str">
        <f t="shared" si="6"/>
        <v>kg_co2e_excl_luc</v>
      </c>
      <c r="Z73" s="24">
        <f>SeafoodLCAs[[#This Row],[CO2e (value)]]*SeafoodLCAs[[#This Row],[Conversion factor (value)]]</f>
        <v>2.15</v>
      </c>
      <c r="AA73" s="77">
        <f>1/2</f>
        <v>0.5</v>
      </c>
      <c r="AB73" s="80" t="s">
        <v>109</v>
      </c>
      <c r="AC73" s="77"/>
      <c r="AD73" s="77"/>
      <c r="AE73" s="77"/>
      <c r="AF73" s="77"/>
      <c r="AG73" s="77"/>
      <c r="AH73" s="77"/>
      <c r="AI73" s="77"/>
      <c r="AJ73" s="77"/>
      <c r="AK73" s="77"/>
    </row>
    <row r="74" spans="1:37" ht="44.1" customHeight="1" x14ac:dyDescent="0.2">
      <c r="A74" s="77" t="s">
        <v>251</v>
      </c>
      <c r="B74" s="5" t="s">
        <v>1508</v>
      </c>
      <c r="C74" s="16">
        <v>2011</v>
      </c>
      <c r="D74" s="75" t="s">
        <v>1098</v>
      </c>
      <c r="E74" s="77" t="s">
        <v>915</v>
      </c>
      <c r="F74" s="80" t="s">
        <v>66</v>
      </c>
      <c r="G74" s="80" t="str">
        <f t="shared" si="5"/>
        <v>a_animal_ghg</v>
      </c>
      <c r="H74" s="77" t="s">
        <v>262</v>
      </c>
      <c r="I74" s="84" t="s">
        <v>860</v>
      </c>
      <c r="J74" s="84"/>
      <c r="K74" s="74" t="s">
        <v>916</v>
      </c>
      <c r="L74" s="77" t="s">
        <v>1100</v>
      </c>
      <c r="M74" s="74" t="s">
        <v>1247</v>
      </c>
      <c r="N74" s="77" t="s">
        <v>109</v>
      </c>
      <c r="O74" s="77" t="s">
        <v>109</v>
      </c>
      <c r="P74" s="77" t="s">
        <v>1092</v>
      </c>
      <c r="Q74" s="77" t="s">
        <v>102</v>
      </c>
      <c r="R74" s="74" t="s">
        <v>126</v>
      </c>
      <c r="S74" s="77">
        <v>1</v>
      </c>
      <c r="T74" s="77" t="s">
        <v>927</v>
      </c>
      <c r="U74" s="77">
        <v>2.48</v>
      </c>
      <c r="V74" s="77" t="s">
        <v>106</v>
      </c>
      <c r="W74" s="83">
        <v>1</v>
      </c>
      <c r="X74" s="74" t="s">
        <v>262</v>
      </c>
      <c r="Y74" s="74" t="str">
        <f t="shared" si="6"/>
        <v>kg_co2e_excl_luc</v>
      </c>
      <c r="Z74" s="24">
        <f>SeafoodLCAs[[#This Row],[CO2e (value)]]*SeafoodLCAs[[#This Row],[Conversion factor (value)]]</f>
        <v>2.48</v>
      </c>
      <c r="AA74" s="77">
        <f>1/2</f>
        <v>0.5</v>
      </c>
      <c r="AB74" s="80" t="s">
        <v>109</v>
      </c>
      <c r="AC74" s="77"/>
      <c r="AD74" s="77"/>
      <c r="AE74" s="77"/>
      <c r="AF74" s="77"/>
      <c r="AG74" s="77"/>
      <c r="AH74" s="77"/>
      <c r="AI74" s="77"/>
      <c r="AJ74" s="77"/>
      <c r="AK74" s="77"/>
    </row>
    <row r="75" spans="1:37" ht="44.1" customHeight="1" x14ac:dyDescent="0.2">
      <c r="A75" s="74" t="s">
        <v>1011</v>
      </c>
      <c r="B75" s="5" t="s">
        <v>1510</v>
      </c>
      <c r="C75" s="16">
        <v>2009</v>
      </c>
      <c r="D75" s="75" t="s">
        <v>1017</v>
      </c>
      <c r="E75" s="74" t="s">
        <v>915</v>
      </c>
      <c r="F75" s="75" t="s">
        <v>66</v>
      </c>
      <c r="G75" s="75" t="str">
        <f t="shared" si="5"/>
        <v>a_animal_ghg</v>
      </c>
      <c r="H75" s="77" t="s">
        <v>262</v>
      </c>
      <c r="I75" s="76" t="s">
        <v>186</v>
      </c>
      <c r="J75" s="76"/>
      <c r="K75" s="74" t="s">
        <v>916</v>
      </c>
      <c r="L75" s="74" t="s">
        <v>1018</v>
      </c>
      <c r="M75" s="74" t="s">
        <v>1247</v>
      </c>
      <c r="N75" s="74" t="s">
        <v>102</v>
      </c>
      <c r="O75" s="74" t="s">
        <v>109</v>
      </c>
      <c r="P75" s="74" t="s">
        <v>368</v>
      </c>
      <c r="Q75" s="74" t="s">
        <v>1019</v>
      </c>
      <c r="R75" s="74" t="s">
        <v>126</v>
      </c>
      <c r="S75" s="74">
        <v>1</v>
      </c>
      <c r="T75" s="74" t="s">
        <v>1020</v>
      </c>
      <c r="U75" s="74">
        <v>2.21</v>
      </c>
      <c r="V75" s="74" t="s">
        <v>106</v>
      </c>
      <c r="W75" s="24">
        <f>1/2</f>
        <v>0.5</v>
      </c>
      <c r="X75" s="74" t="s">
        <v>1021</v>
      </c>
      <c r="Y75" s="74" t="str">
        <f t="shared" si="6"/>
        <v>kg_co2e_excl_luc</v>
      </c>
      <c r="Z75" s="24">
        <f>SeafoodLCAs[[#This Row],[CO2e (value)]]*SeafoodLCAs[[#This Row],[Conversion factor (value)]]</f>
        <v>1.105</v>
      </c>
      <c r="AA75" s="74">
        <f>1/2</f>
        <v>0.5</v>
      </c>
      <c r="AB75" s="75" t="s">
        <v>109</v>
      </c>
      <c r="AC75" s="74" t="s">
        <v>1022</v>
      </c>
      <c r="AD75" s="74" t="s">
        <v>1023</v>
      </c>
      <c r="AE75" s="74" t="s">
        <v>1024</v>
      </c>
      <c r="AF75" s="74"/>
      <c r="AG75" s="77"/>
      <c r="AH75" s="77"/>
      <c r="AI75" s="77"/>
      <c r="AJ75" s="77"/>
      <c r="AK75" s="77"/>
    </row>
    <row r="76" spans="1:37" ht="44.1" customHeight="1" x14ac:dyDescent="0.2">
      <c r="A76" s="74" t="s">
        <v>1011</v>
      </c>
      <c r="B76" s="5" t="s">
        <v>1510</v>
      </c>
      <c r="C76" s="16">
        <v>2009</v>
      </c>
      <c r="D76" s="75" t="s">
        <v>1017</v>
      </c>
      <c r="E76" s="74" t="s">
        <v>915</v>
      </c>
      <c r="F76" s="75" t="s">
        <v>66</v>
      </c>
      <c r="G76" s="75" t="str">
        <f t="shared" si="5"/>
        <v>a_animal_ghg</v>
      </c>
      <c r="H76" s="77" t="s">
        <v>262</v>
      </c>
      <c r="I76" s="76" t="s">
        <v>186</v>
      </c>
      <c r="J76" s="76"/>
      <c r="K76" s="74" t="s">
        <v>916</v>
      </c>
      <c r="L76" s="74" t="s">
        <v>1025</v>
      </c>
      <c r="M76" s="74" t="s">
        <v>1247</v>
      </c>
      <c r="N76" s="74" t="s">
        <v>102</v>
      </c>
      <c r="O76" s="74" t="s">
        <v>109</v>
      </c>
      <c r="P76" s="74" t="s">
        <v>368</v>
      </c>
      <c r="Q76" s="74" t="s">
        <v>1019</v>
      </c>
      <c r="R76" s="74" t="s">
        <v>126</v>
      </c>
      <c r="S76" s="74">
        <v>1</v>
      </c>
      <c r="T76" s="74" t="s">
        <v>1020</v>
      </c>
      <c r="U76" s="86">
        <v>2.11</v>
      </c>
      <c r="V76" s="74" t="s">
        <v>106</v>
      </c>
      <c r="W76" s="24">
        <f>1/2</f>
        <v>0.5</v>
      </c>
      <c r="X76" s="74" t="s">
        <v>1021</v>
      </c>
      <c r="Y76" s="74" t="str">
        <f t="shared" si="6"/>
        <v>kg_co2e_excl_luc</v>
      </c>
      <c r="Z76" s="24">
        <f>SeafoodLCAs[[#This Row],[CO2e (value)]]*SeafoodLCAs[[#This Row],[Conversion factor (value)]]</f>
        <v>1.0549999999999999</v>
      </c>
      <c r="AA76" s="74">
        <f>1/2</f>
        <v>0.5</v>
      </c>
      <c r="AB76" s="75" t="s">
        <v>109</v>
      </c>
      <c r="AC76" s="74" t="s">
        <v>1022</v>
      </c>
      <c r="AD76" s="74" t="s">
        <v>1023</v>
      </c>
      <c r="AE76" s="74" t="s">
        <v>1024</v>
      </c>
      <c r="AF76" s="74"/>
      <c r="AG76" s="77"/>
      <c r="AH76" s="77"/>
      <c r="AI76" s="77"/>
      <c r="AJ76" s="77"/>
      <c r="AK76" s="77"/>
    </row>
    <row r="77" spans="1:37" ht="44.1" customHeight="1" x14ac:dyDescent="0.2">
      <c r="A77" s="74" t="s">
        <v>99</v>
      </c>
      <c r="B77" s="5" t="s">
        <v>1465</v>
      </c>
      <c r="C77" s="16">
        <v>2016</v>
      </c>
      <c r="D77" s="75" t="s">
        <v>914</v>
      </c>
      <c r="E77" s="74" t="s">
        <v>915</v>
      </c>
      <c r="F77" s="75" t="s">
        <v>66</v>
      </c>
      <c r="G77" s="75" t="str">
        <f t="shared" si="5"/>
        <v>a_animal_ghg</v>
      </c>
      <c r="H77" s="77" t="s">
        <v>262</v>
      </c>
      <c r="I77" s="76" t="s">
        <v>186</v>
      </c>
      <c r="J77" s="76"/>
      <c r="K77" s="74" t="s">
        <v>916</v>
      </c>
      <c r="L77" s="74" t="s">
        <v>917</v>
      </c>
      <c r="M77" s="74" t="s">
        <v>1247</v>
      </c>
      <c r="N77" s="74" t="s">
        <v>109</v>
      </c>
      <c r="O77" s="74" t="s">
        <v>109</v>
      </c>
      <c r="P77" s="74" t="s">
        <v>918</v>
      </c>
      <c r="Q77" s="74" t="s">
        <v>105</v>
      </c>
      <c r="R77" s="74" t="s">
        <v>919</v>
      </c>
      <c r="S77" s="74">
        <v>1</v>
      </c>
      <c r="T77" s="74" t="s">
        <v>920</v>
      </c>
      <c r="U77" s="74">
        <v>3.39</v>
      </c>
      <c r="V77" s="74" t="s">
        <v>106</v>
      </c>
      <c r="W77" s="24">
        <v>1</v>
      </c>
      <c r="X77" s="74"/>
      <c r="Y77" s="74" t="str">
        <f t="shared" si="6"/>
        <v>kg_co2e_excl_luc</v>
      </c>
      <c r="Z77" s="24">
        <f>SeafoodLCAs[[#This Row],[CO2e (value)]]*SeafoodLCAs[[#This Row],[Conversion factor (value)]]</f>
        <v>3.39</v>
      </c>
      <c r="AA77" s="74">
        <v>1</v>
      </c>
      <c r="AB77" s="75" t="s">
        <v>109</v>
      </c>
      <c r="AC77" s="74" t="s">
        <v>235</v>
      </c>
      <c r="AD77" s="74" t="s">
        <v>921</v>
      </c>
      <c r="AE77" s="91" t="s">
        <v>922</v>
      </c>
      <c r="AF77" s="74"/>
      <c r="AG77" s="77"/>
      <c r="AH77" s="77"/>
      <c r="AI77" s="77"/>
      <c r="AJ77" s="77"/>
      <c r="AK77" s="77"/>
    </row>
    <row r="78" spans="1:37" ht="44.1" customHeight="1" x14ac:dyDescent="0.2">
      <c r="A78" s="74" t="s">
        <v>943</v>
      </c>
      <c r="B78" s="5" t="s">
        <v>1518</v>
      </c>
      <c r="C78" s="16">
        <v>2009</v>
      </c>
      <c r="D78" s="74" t="s">
        <v>1007</v>
      </c>
      <c r="E78" s="74" t="s">
        <v>915</v>
      </c>
      <c r="F78" s="75" t="s">
        <v>66</v>
      </c>
      <c r="G78" s="75" t="str">
        <f t="shared" si="5"/>
        <v>a_animal_ghg</v>
      </c>
      <c r="H78" s="77" t="s">
        <v>262</v>
      </c>
      <c r="I78" s="76" t="s">
        <v>186</v>
      </c>
      <c r="J78" s="76"/>
      <c r="K78" s="74" t="s">
        <v>916</v>
      </c>
      <c r="L78" s="74" t="s">
        <v>1008</v>
      </c>
      <c r="M78" s="74" t="s">
        <v>1247</v>
      </c>
      <c r="N78" s="74" t="s">
        <v>102</v>
      </c>
      <c r="O78" s="74" t="s">
        <v>109</v>
      </c>
      <c r="P78" s="74" t="s">
        <v>1009</v>
      </c>
      <c r="Q78" s="74" t="s">
        <v>102</v>
      </c>
      <c r="R78" s="74" t="s">
        <v>126</v>
      </c>
      <c r="S78" s="74">
        <v>1</v>
      </c>
      <c r="T78" s="74" t="s">
        <v>995</v>
      </c>
      <c r="U78" s="74">
        <v>1790</v>
      </c>
      <c r="V78" s="74" t="s">
        <v>106</v>
      </c>
      <c r="W78" s="24">
        <v>1E-3</v>
      </c>
      <c r="X78" s="74" t="s">
        <v>956</v>
      </c>
      <c r="Y78" s="74" t="str">
        <f t="shared" si="6"/>
        <v>kg_co2e_excl_luc</v>
      </c>
      <c r="Z78" s="24">
        <f>SeafoodLCAs[[#This Row],[CO2e (value)]]*SeafoodLCAs[[#This Row],[Conversion factor (value)]]</f>
        <v>1.79</v>
      </c>
      <c r="AA78" s="74">
        <v>1</v>
      </c>
      <c r="AB78" s="75" t="s">
        <v>109</v>
      </c>
      <c r="AC78" s="74"/>
      <c r="AD78" s="74"/>
      <c r="AE78" s="74"/>
      <c r="AF78" s="74"/>
      <c r="AG78" s="77"/>
      <c r="AH78" s="77"/>
      <c r="AI78" s="77"/>
      <c r="AJ78" s="77"/>
      <c r="AK78" s="77"/>
    </row>
    <row r="79" spans="1:37" ht="44.1" customHeight="1" x14ac:dyDescent="0.2">
      <c r="A79" s="74" t="s">
        <v>943</v>
      </c>
      <c r="B79" s="5" t="s">
        <v>1518</v>
      </c>
      <c r="C79" s="16">
        <v>2009</v>
      </c>
      <c r="D79" s="74" t="s">
        <v>1007</v>
      </c>
      <c r="E79" s="74" t="s">
        <v>915</v>
      </c>
      <c r="F79" s="75" t="s">
        <v>66</v>
      </c>
      <c r="G79" s="75" t="str">
        <f t="shared" si="5"/>
        <v>a_animal_ghg</v>
      </c>
      <c r="H79" s="77" t="s">
        <v>262</v>
      </c>
      <c r="I79" s="76" t="s">
        <v>477</v>
      </c>
      <c r="J79" s="76"/>
      <c r="K79" s="74" t="s">
        <v>916</v>
      </c>
      <c r="L79" s="74" t="s">
        <v>1008</v>
      </c>
      <c r="M79" s="74" t="s">
        <v>1247</v>
      </c>
      <c r="N79" s="74" t="s">
        <v>102</v>
      </c>
      <c r="O79" s="74" t="s">
        <v>109</v>
      </c>
      <c r="P79" s="74" t="s">
        <v>1009</v>
      </c>
      <c r="Q79" s="74" t="s">
        <v>102</v>
      </c>
      <c r="R79" s="74" t="s">
        <v>126</v>
      </c>
      <c r="S79" s="74">
        <v>1</v>
      </c>
      <c r="T79" s="74" t="s">
        <v>995</v>
      </c>
      <c r="U79" s="74">
        <v>3270</v>
      </c>
      <c r="V79" s="74" t="s">
        <v>106</v>
      </c>
      <c r="W79" s="24">
        <v>1E-3</v>
      </c>
      <c r="X79" s="74" t="s">
        <v>956</v>
      </c>
      <c r="Y79" s="74" t="str">
        <f t="shared" si="6"/>
        <v>kg_co2e_excl_luc</v>
      </c>
      <c r="Z79" s="24">
        <f>SeafoodLCAs[[#This Row],[CO2e (value)]]*SeafoodLCAs[[#This Row],[Conversion factor (value)]]</f>
        <v>3.27</v>
      </c>
      <c r="AA79" s="74">
        <v>1</v>
      </c>
      <c r="AB79" s="75" t="s">
        <v>109</v>
      </c>
      <c r="AC79" s="74"/>
      <c r="AD79" s="74"/>
      <c r="AE79" s="74"/>
      <c r="AF79" s="74"/>
      <c r="AG79" s="77"/>
      <c r="AH79" s="77"/>
      <c r="AI79" s="77"/>
      <c r="AJ79" s="77"/>
      <c r="AK79" s="77"/>
    </row>
    <row r="80" spans="1:37" ht="44.1" customHeight="1" x14ac:dyDescent="0.2">
      <c r="A80" s="74" t="s">
        <v>943</v>
      </c>
      <c r="B80" s="5" t="s">
        <v>1518</v>
      </c>
      <c r="C80" s="16">
        <v>2009</v>
      </c>
      <c r="D80" s="74" t="s">
        <v>1007</v>
      </c>
      <c r="E80" s="74" t="s">
        <v>915</v>
      </c>
      <c r="F80" s="75" t="s">
        <v>66</v>
      </c>
      <c r="G80" s="75" t="str">
        <f t="shared" si="5"/>
        <v>a_animal_ghg</v>
      </c>
      <c r="H80" s="77" t="s">
        <v>262</v>
      </c>
      <c r="I80" s="76" t="s">
        <v>642</v>
      </c>
      <c r="J80" s="76"/>
      <c r="K80" s="74" t="s">
        <v>916</v>
      </c>
      <c r="L80" s="74" t="s">
        <v>1008</v>
      </c>
      <c r="M80" s="74" t="s">
        <v>1247</v>
      </c>
      <c r="N80" s="74" t="s">
        <v>102</v>
      </c>
      <c r="O80" s="74" t="s">
        <v>109</v>
      </c>
      <c r="P80" s="74" t="s">
        <v>1009</v>
      </c>
      <c r="Q80" s="74" t="s">
        <v>102</v>
      </c>
      <c r="R80" s="74" t="s">
        <v>126</v>
      </c>
      <c r="S80" s="74">
        <v>1</v>
      </c>
      <c r="T80" s="74" t="s">
        <v>995</v>
      </c>
      <c r="U80" s="74">
        <v>2370</v>
      </c>
      <c r="V80" s="74" t="s">
        <v>106</v>
      </c>
      <c r="W80" s="24">
        <v>1E-3</v>
      </c>
      <c r="X80" s="74" t="s">
        <v>956</v>
      </c>
      <c r="Y80" s="74" t="str">
        <f t="shared" si="6"/>
        <v>kg_co2e_excl_luc</v>
      </c>
      <c r="Z80" s="24">
        <f>SeafoodLCAs[[#This Row],[CO2e (value)]]*SeafoodLCAs[[#This Row],[Conversion factor (value)]]</f>
        <v>2.37</v>
      </c>
      <c r="AA80" s="74">
        <v>1</v>
      </c>
      <c r="AB80" s="75" t="s">
        <v>109</v>
      </c>
      <c r="AC80" s="74"/>
      <c r="AD80" s="74"/>
      <c r="AE80" s="74"/>
      <c r="AF80" s="74"/>
      <c r="AG80" s="77"/>
      <c r="AH80" s="77"/>
      <c r="AI80" s="77"/>
      <c r="AJ80" s="77"/>
      <c r="AK80" s="77"/>
    </row>
    <row r="81" spans="1:37" ht="44.1" customHeight="1" x14ac:dyDescent="0.2">
      <c r="A81" s="74" t="s">
        <v>943</v>
      </c>
      <c r="B81" s="5" t="s">
        <v>1518</v>
      </c>
      <c r="C81" s="16">
        <v>2009</v>
      </c>
      <c r="D81" s="74" t="s">
        <v>1007</v>
      </c>
      <c r="E81" s="74" t="s">
        <v>915</v>
      </c>
      <c r="F81" s="75" t="s">
        <v>66</v>
      </c>
      <c r="G81" s="75" t="str">
        <f t="shared" si="5"/>
        <v>a_animal_ghg</v>
      </c>
      <c r="H81" s="77" t="s">
        <v>262</v>
      </c>
      <c r="I81" s="76" t="s">
        <v>1010</v>
      </c>
      <c r="J81" s="76"/>
      <c r="K81" s="74" t="s">
        <v>916</v>
      </c>
      <c r="L81" s="74" t="s">
        <v>1008</v>
      </c>
      <c r="M81" s="74" t="s">
        <v>1247</v>
      </c>
      <c r="N81" s="74" t="s">
        <v>102</v>
      </c>
      <c r="O81" s="74" t="s">
        <v>109</v>
      </c>
      <c r="P81" s="74" t="s">
        <v>1009</v>
      </c>
      <c r="Q81" s="74" t="s">
        <v>102</v>
      </c>
      <c r="R81" s="74" t="s">
        <v>126</v>
      </c>
      <c r="S81" s="74">
        <v>1</v>
      </c>
      <c r="T81" s="74" t="s">
        <v>995</v>
      </c>
      <c r="U81" s="74">
        <v>2300</v>
      </c>
      <c r="V81" s="74" t="s">
        <v>106</v>
      </c>
      <c r="W81" s="24">
        <v>1E-3</v>
      </c>
      <c r="X81" s="74" t="s">
        <v>956</v>
      </c>
      <c r="Y81" s="74" t="str">
        <f t="shared" si="6"/>
        <v>kg_co2e_excl_luc</v>
      </c>
      <c r="Z81" s="24">
        <f>SeafoodLCAs[[#This Row],[CO2e (value)]]*SeafoodLCAs[[#This Row],[Conversion factor (value)]]</f>
        <v>2.3000000000000003</v>
      </c>
      <c r="AA81" s="74">
        <v>1</v>
      </c>
      <c r="AB81" s="75" t="s">
        <v>109</v>
      </c>
      <c r="AC81" s="74"/>
      <c r="AD81" s="74"/>
      <c r="AE81" s="74"/>
      <c r="AF81" s="74"/>
      <c r="AG81" s="77"/>
      <c r="AH81" s="77"/>
      <c r="AI81" s="77"/>
      <c r="AJ81" s="77"/>
      <c r="AK81" s="77"/>
    </row>
    <row r="82" spans="1:37" ht="44.1" customHeight="1" x14ac:dyDescent="0.2">
      <c r="A82" s="94" t="s">
        <v>1116</v>
      </c>
      <c r="B82" s="94" t="s">
        <v>1117</v>
      </c>
      <c r="C82" s="94"/>
      <c r="D82" s="94" t="s">
        <v>1118</v>
      </c>
      <c r="E82" s="94" t="s">
        <v>915</v>
      </c>
      <c r="F82" s="95" t="s">
        <v>66</v>
      </c>
      <c r="G82" s="95" t="str">
        <f t="shared" si="5"/>
        <v>a_animal_ghg</v>
      </c>
      <c r="H82" s="96" t="s">
        <v>262</v>
      </c>
      <c r="I82" s="97" t="s">
        <v>114</v>
      </c>
      <c r="J82" s="97"/>
      <c r="K82" s="94" t="s">
        <v>916</v>
      </c>
      <c r="L82" s="94" t="s">
        <v>1119</v>
      </c>
      <c r="M82" s="94"/>
      <c r="N82" s="94"/>
      <c r="O82" s="94"/>
      <c r="P82" s="94"/>
      <c r="Q82" s="94"/>
      <c r="R82" s="94"/>
      <c r="S82" s="94">
        <v>1</v>
      </c>
      <c r="T82" s="94" t="s">
        <v>1121</v>
      </c>
      <c r="U82" s="94">
        <v>3137</v>
      </c>
      <c r="V82" s="94" t="s">
        <v>106</v>
      </c>
      <c r="W82" s="30">
        <v>1E-3</v>
      </c>
      <c r="X82" s="94" t="s">
        <v>956</v>
      </c>
      <c r="Y82" s="94" t="str">
        <f t="shared" si="6"/>
        <v>kg_co2e_excl_luc</v>
      </c>
      <c r="Z82" s="30">
        <f>SeafoodLCAs[[#This Row],[CO2e (value)]]*SeafoodLCAs[[#This Row],[Conversion factor (value)]]</f>
        <v>3.137</v>
      </c>
      <c r="AA82" s="94"/>
      <c r="AB82" s="95" t="s">
        <v>1120</v>
      </c>
      <c r="AC82" s="94" t="s">
        <v>1122</v>
      </c>
      <c r="AD82" s="94"/>
      <c r="AE82" s="94"/>
      <c r="AF82" s="94"/>
      <c r="AG82" s="77"/>
      <c r="AH82" s="77"/>
      <c r="AI82" s="77"/>
      <c r="AJ82" s="77"/>
      <c r="AK82" s="77"/>
    </row>
    <row r="83" spans="1:37" ht="44.1" customHeight="1" x14ac:dyDescent="0.2">
      <c r="A83" s="77" t="s">
        <v>251</v>
      </c>
      <c r="B83" s="5" t="s">
        <v>1524</v>
      </c>
      <c r="C83" s="16">
        <v>2013</v>
      </c>
      <c r="D83" s="75" t="s">
        <v>1071</v>
      </c>
      <c r="E83" s="77" t="s">
        <v>915</v>
      </c>
      <c r="F83" s="80" t="s">
        <v>66</v>
      </c>
      <c r="G83" s="80" t="str">
        <f t="shared" si="5"/>
        <v>a_animal_ghg</v>
      </c>
      <c r="H83" s="77" t="s">
        <v>262</v>
      </c>
      <c r="I83" s="81" t="s">
        <v>186</v>
      </c>
      <c r="J83" s="81"/>
      <c r="K83" s="74" t="s">
        <v>916</v>
      </c>
      <c r="L83" s="77"/>
      <c r="M83" s="74" t="s">
        <v>1247</v>
      </c>
      <c r="N83" s="77" t="s">
        <v>109</v>
      </c>
      <c r="O83" s="77" t="s">
        <v>109</v>
      </c>
      <c r="P83" s="77" t="s">
        <v>1073</v>
      </c>
      <c r="Q83" s="77" t="s">
        <v>105</v>
      </c>
      <c r="R83" s="74" t="s">
        <v>126</v>
      </c>
      <c r="S83" s="77">
        <v>1</v>
      </c>
      <c r="T83" s="77" t="s">
        <v>1074</v>
      </c>
      <c r="U83" s="77">
        <v>1.99</v>
      </c>
      <c r="V83" s="74" t="s">
        <v>106</v>
      </c>
      <c r="W83" s="24">
        <v>1</v>
      </c>
      <c r="X83" s="74" t="s">
        <v>262</v>
      </c>
      <c r="Y83" s="74" t="str">
        <f t="shared" si="6"/>
        <v>kg_co2e_excl_luc</v>
      </c>
      <c r="Z83" s="24">
        <f>SeafoodLCAs[[#This Row],[CO2e (value)]]*SeafoodLCAs[[#This Row],[Conversion factor (value)]]</f>
        <v>1.99</v>
      </c>
      <c r="AA83" s="77">
        <v>1</v>
      </c>
      <c r="AB83" s="80" t="s">
        <v>109</v>
      </c>
      <c r="AC83" s="77" t="s">
        <v>1075</v>
      </c>
      <c r="AD83" s="77"/>
      <c r="AE83" s="77"/>
      <c r="AF83" s="77"/>
      <c r="AG83" s="74"/>
      <c r="AH83" s="74"/>
      <c r="AI83" s="74"/>
      <c r="AJ83" s="74"/>
      <c r="AK83" s="74"/>
    </row>
    <row r="84" spans="1:37" ht="44.1" customHeight="1" x14ac:dyDescent="0.2">
      <c r="A84" s="65" t="s">
        <v>974</v>
      </c>
      <c r="B84" s="65" t="s">
        <v>1421</v>
      </c>
      <c r="C84" s="65"/>
      <c r="D84" s="65" t="s">
        <v>1421</v>
      </c>
      <c r="E84" s="65" t="s">
        <v>976</v>
      </c>
      <c r="F84" s="66" t="s">
        <v>1248</v>
      </c>
      <c r="G84" s="66" t="str">
        <f t="shared" si="5"/>
        <v>a_animal_ghg</v>
      </c>
      <c r="H84" s="65"/>
      <c r="I84" s="67"/>
      <c r="J84" s="67"/>
      <c r="K84" s="65"/>
      <c r="L84" s="65"/>
      <c r="M84" s="65" t="s">
        <v>1242</v>
      </c>
      <c r="N84" s="65"/>
      <c r="O84" s="65"/>
      <c r="P84" s="65"/>
      <c r="Q84" s="65"/>
      <c r="R84" s="65"/>
      <c r="S84" s="65">
        <v>1</v>
      </c>
      <c r="T84" s="65" t="s">
        <v>980</v>
      </c>
      <c r="U84" s="65">
        <v>0.36</v>
      </c>
      <c r="V84" s="65" t="s">
        <v>106</v>
      </c>
      <c r="W84" s="68">
        <v>1</v>
      </c>
      <c r="X84" s="65" t="s">
        <v>262</v>
      </c>
      <c r="Y84" s="65" t="str">
        <f t="shared" si="6"/>
        <v>kg_co2e_excl_luc</v>
      </c>
      <c r="Z84" s="68">
        <f>SeafoodLCAs[[#This Row],[CO2e (value)]]*SeafoodLCAs[[#This Row],[Conversion factor (value)]]</f>
        <v>0.36</v>
      </c>
      <c r="AA84" s="65">
        <v>0.5</v>
      </c>
      <c r="AB84" s="66" t="s">
        <v>109</v>
      </c>
      <c r="AC84" s="65"/>
      <c r="AD84" s="65"/>
      <c r="AE84" s="65"/>
      <c r="AF84" s="65"/>
      <c r="AG84" s="74"/>
      <c r="AH84" s="74"/>
      <c r="AI84" s="74"/>
      <c r="AJ84" s="74"/>
      <c r="AK84" s="74"/>
    </row>
    <row r="85" spans="1:37" ht="44.1" customHeight="1" x14ac:dyDescent="0.2">
      <c r="A85" s="65" t="s">
        <v>974</v>
      </c>
      <c r="B85" s="65" t="s">
        <v>1421</v>
      </c>
      <c r="C85" s="65"/>
      <c r="D85" s="65" t="s">
        <v>1421</v>
      </c>
      <c r="E85" s="65" t="s">
        <v>976</v>
      </c>
      <c r="F85" s="66" t="s">
        <v>1248</v>
      </c>
      <c r="G85" s="66" t="str">
        <f t="shared" si="5"/>
        <v>a_animal_ghg</v>
      </c>
      <c r="H85" s="65"/>
      <c r="I85" s="67"/>
      <c r="J85" s="67"/>
      <c r="K85" s="65"/>
      <c r="L85" s="65"/>
      <c r="M85" s="65" t="s">
        <v>1242</v>
      </c>
      <c r="N85" s="65"/>
      <c r="O85" s="65"/>
      <c r="P85" s="65"/>
      <c r="Q85" s="65"/>
      <c r="R85" s="65"/>
      <c r="S85" s="65">
        <v>1</v>
      </c>
      <c r="T85" s="65" t="s">
        <v>980</v>
      </c>
      <c r="U85" s="65">
        <v>0.35</v>
      </c>
      <c r="V85" s="65" t="s">
        <v>106</v>
      </c>
      <c r="W85" s="68">
        <v>1</v>
      </c>
      <c r="X85" s="65" t="s">
        <v>262</v>
      </c>
      <c r="Y85" s="65" t="str">
        <f t="shared" si="6"/>
        <v>kg_co2e_excl_luc</v>
      </c>
      <c r="Z85" s="68">
        <f>SeafoodLCAs[[#This Row],[CO2e (value)]]*SeafoodLCAs[[#This Row],[Conversion factor (value)]]</f>
        <v>0.35</v>
      </c>
      <c r="AA85" s="65">
        <v>0.5</v>
      </c>
      <c r="AB85" s="66" t="s">
        <v>109</v>
      </c>
      <c r="AC85" s="65"/>
      <c r="AD85" s="65"/>
      <c r="AE85" s="65"/>
      <c r="AF85" s="65"/>
      <c r="AG85" s="94"/>
      <c r="AH85" s="94"/>
      <c r="AI85" s="94"/>
      <c r="AJ85" s="94"/>
      <c r="AK85" s="94"/>
    </row>
    <row r="86" spans="1:37" ht="44.1" customHeight="1" x14ac:dyDescent="0.2">
      <c r="A86" s="74" t="s">
        <v>974</v>
      </c>
      <c r="B86" s="5" t="s">
        <v>1503</v>
      </c>
      <c r="C86" s="16">
        <v>2014</v>
      </c>
      <c r="D86" s="74" t="s">
        <v>975</v>
      </c>
      <c r="E86" s="74" t="s">
        <v>976</v>
      </c>
      <c r="F86" s="75" t="s">
        <v>68</v>
      </c>
      <c r="G86" s="75" t="str">
        <f t="shared" si="5"/>
        <v>a_animal_ghg</v>
      </c>
      <c r="H86" s="74" t="s">
        <v>977</v>
      </c>
      <c r="I86" s="76" t="s">
        <v>977</v>
      </c>
      <c r="J86" s="76"/>
      <c r="K86" s="74" t="s">
        <v>905</v>
      </c>
      <c r="L86" s="74" t="s">
        <v>978</v>
      </c>
      <c r="M86" s="74" t="s">
        <v>1248</v>
      </c>
      <c r="N86" s="74" t="s">
        <v>102</v>
      </c>
      <c r="O86" s="74" t="s">
        <v>109</v>
      </c>
      <c r="P86" s="74" t="s">
        <v>979</v>
      </c>
      <c r="Q86" s="74" t="s">
        <v>102</v>
      </c>
      <c r="R86" s="74"/>
      <c r="S86" s="74">
        <v>1</v>
      </c>
      <c r="T86" s="74" t="s">
        <v>980</v>
      </c>
      <c r="U86" s="74">
        <v>0.36</v>
      </c>
      <c r="V86" s="74" t="s">
        <v>106</v>
      </c>
      <c r="W86" s="24">
        <v>1</v>
      </c>
      <c r="X86" s="74" t="s">
        <v>262</v>
      </c>
      <c r="Y86" s="74" t="str">
        <f t="shared" si="6"/>
        <v>kg_co2e_excl_luc</v>
      </c>
      <c r="Z86" s="24">
        <f>SeafoodLCAs[[#This Row],[CO2e (value)]]*SeafoodLCAs[[#This Row],[Conversion factor (value)]]</f>
        <v>0.36</v>
      </c>
      <c r="AA86" s="74">
        <f>1/2</f>
        <v>0.5</v>
      </c>
      <c r="AB86" s="75" t="s">
        <v>109</v>
      </c>
      <c r="AC86" s="74"/>
      <c r="AD86" s="74"/>
      <c r="AE86" s="74"/>
      <c r="AF86" s="74"/>
      <c r="AG86" s="94"/>
      <c r="AH86" s="94"/>
      <c r="AI86" s="94"/>
      <c r="AJ86" s="94"/>
      <c r="AK86" s="94"/>
    </row>
    <row r="87" spans="1:37" ht="44.1" customHeight="1" x14ac:dyDescent="0.2">
      <c r="A87" s="74" t="s">
        <v>974</v>
      </c>
      <c r="B87" s="5" t="s">
        <v>1503</v>
      </c>
      <c r="C87" s="16">
        <v>2014</v>
      </c>
      <c r="D87" s="74" t="s">
        <v>975</v>
      </c>
      <c r="E87" s="74" t="s">
        <v>976</v>
      </c>
      <c r="F87" s="75" t="s">
        <v>68</v>
      </c>
      <c r="G87" s="75" t="str">
        <f t="shared" si="5"/>
        <v>a_animal_ghg</v>
      </c>
      <c r="H87" s="74" t="s">
        <v>977</v>
      </c>
      <c r="I87" s="76" t="s">
        <v>977</v>
      </c>
      <c r="J87" s="76"/>
      <c r="K87" s="74" t="s">
        <v>905</v>
      </c>
      <c r="L87" s="74" t="s">
        <v>981</v>
      </c>
      <c r="M87" s="74" t="s">
        <v>1248</v>
      </c>
      <c r="N87" s="74" t="s">
        <v>102</v>
      </c>
      <c r="O87" s="74" t="s">
        <v>109</v>
      </c>
      <c r="P87" s="74" t="s">
        <v>979</v>
      </c>
      <c r="Q87" s="74" t="s">
        <v>102</v>
      </c>
      <c r="R87" s="74"/>
      <c r="S87" s="74">
        <v>1</v>
      </c>
      <c r="T87" s="74" t="s">
        <v>980</v>
      </c>
      <c r="U87" s="74">
        <v>0.35</v>
      </c>
      <c r="V87" s="74" t="s">
        <v>106</v>
      </c>
      <c r="W87" s="24">
        <v>1</v>
      </c>
      <c r="X87" s="74" t="s">
        <v>262</v>
      </c>
      <c r="Y87" s="74" t="str">
        <f t="shared" si="6"/>
        <v>kg_co2e_excl_luc</v>
      </c>
      <c r="Z87" s="24">
        <f>SeafoodLCAs[[#This Row],[CO2e (value)]]*SeafoodLCAs[[#This Row],[Conversion factor (value)]]</f>
        <v>0.35</v>
      </c>
      <c r="AA87" s="74">
        <f>1/2</f>
        <v>0.5</v>
      </c>
      <c r="AB87" s="75" t="s">
        <v>109</v>
      </c>
      <c r="AC87" s="74"/>
      <c r="AD87" s="74"/>
      <c r="AE87" s="74"/>
      <c r="AF87" s="74"/>
      <c r="AG87" s="94"/>
      <c r="AH87" s="94"/>
      <c r="AI87" s="94"/>
      <c r="AJ87" s="94"/>
      <c r="AK87" s="94"/>
    </row>
    <row r="88" spans="1:37" ht="44.1" customHeight="1" x14ac:dyDescent="0.2">
      <c r="A88" s="65" t="s">
        <v>1011</v>
      </c>
      <c r="B88" s="65" t="s">
        <v>1421</v>
      </c>
      <c r="C88" s="65"/>
      <c r="D88" s="65" t="s">
        <v>1421</v>
      </c>
      <c r="E88" s="65" t="s">
        <v>1028</v>
      </c>
      <c r="F88" s="66" t="s">
        <v>1248</v>
      </c>
      <c r="G88" s="66" t="str">
        <f t="shared" si="5"/>
        <v>a_animal_ghg</v>
      </c>
      <c r="H88" s="65"/>
      <c r="I88" s="67"/>
      <c r="J88" s="67"/>
      <c r="K88" s="65"/>
      <c r="L88" s="65"/>
      <c r="M88" s="65" t="s">
        <v>1242</v>
      </c>
      <c r="N88" s="65"/>
      <c r="O88" s="65"/>
      <c r="P88" s="65"/>
      <c r="Q88" s="65"/>
      <c r="R88" s="65"/>
      <c r="S88" s="65">
        <v>1</v>
      </c>
      <c r="T88" s="65" t="s">
        <v>1032</v>
      </c>
      <c r="U88" s="65">
        <v>0.78</v>
      </c>
      <c r="V88" s="65" t="s">
        <v>816</v>
      </c>
      <c r="W88" s="68">
        <v>1</v>
      </c>
      <c r="X88" s="65" t="s">
        <v>262</v>
      </c>
      <c r="Y88" s="65" t="str">
        <f t="shared" si="6"/>
        <v>kg_co2e_excl_luc</v>
      </c>
      <c r="Z88" s="68">
        <f>SeafoodLCAs[[#This Row],[CO2e (value)]]*SeafoodLCAs[[#This Row],[Conversion factor (value)]]</f>
        <v>0.78</v>
      </c>
      <c r="AA88" s="65">
        <v>1</v>
      </c>
      <c r="AB88" s="66" t="s">
        <v>109</v>
      </c>
      <c r="AC88" s="65"/>
      <c r="AD88" s="65"/>
      <c r="AE88" s="65"/>
      <c r="AF88" s="65"/>
      <c r="AG88" s="94"/>
      <c r="AH88" s="94"/>
      <c r="AI88" s="94"/>
      <c r="AJ88" s="94"/>
      <c r="AK88" s="94"/>
    </row>
    <row r="89" spans="1:37" ht="44.1" customHeight="1" x14ac:dyDescent="0.2">
      <c r="A89" s="74" t="s">
        <v>1011</v>
      </c>
      <c r="B89" s="5" t="s">
        <v>1515</v>
      </c>
      <c r="C89" s="16">
        <v>2011</v>
      </c>
      <c r="D89" s="75" t="s">
        <v>1027</v>
      </c>
      <c r="E89" s="74" t="s">
        <v>1028</v>
      </c>
      <c r="F89" s="75" t="s">
        <v>68</v>
      </c>
      <c r="G89" s="75" t="str">
        <f t="shared" si="5"/>
        <v>a_animal_ghg</v>
      </c>
      <c r="H89" s="74" t="s">
        <v>1029</v>
      </c>
      <c r="I89" s="76" t="s">
        <v>77</v>
      </c>
      <c r="J89" s="76"/>
      <c r="K89" s="74" t="s">
        <v>905</v>
      </c>
      <c r="L89" s="74" t="s">
        <v>1003</v>
      </c>
      <c r="M89" s="74" t="s">
        <v>1248</v>
      </c>
      <c r="N89" s="74" t="s">
        <v>102</v>
      </c>
      <c r="O89" s="74" t="s">
        <v>379</v>
      </c>
      <c r="P89" s="74" t="s">
        <v>1031</v>
      </c>
      <c r="Q89" s="74" t="s">
        <v>102</v>
      </c>
      <c r="R89" s="74">
        <v>100</v>
      </c>
      <c r="S89" s="74">
        <v>1</v>
      </c>
      <c r="T89" s="74" t="s">
        <v>1032</v>
      </c>
      <c r="U89" s="74">
        <v>0.78</v>
      </c>
      <c r="V89" s="74" t="s">
        <v>816</v>
      </c>
      <c r="W89" s="24">
        <v>1</v>
      </c>
      <c r="X89" s="74" t="s">
        <v>262</v>
      </c>
      <c r="Y89" s="74" t="str">
        <f t="shared" si="6"/>
        <v>kg_co2e_excl_luc</v>
      </c>
      <c r="Z89" s="24">
        <f>SeafoodLCAs[[#This Row],[CO2e (value)]]*SeafoodLCAs[[#This Row],[Conversion factor (value)]]</f>
        <v>0.78</v>
      </c>
      <c r="AA89" s="74">
        <v>1</v>
      </c>
      <c r="AB89" s="75" t="s">
        <v>109</v>
      </c>
      <c r="AC89" s="74" t="s">
        <v>1033</v>
      </c>
      <c r="AD89" s="74" t="s">
        <v>1034</v>
      </c>
      <c r="AE89" s="74"/>
      <c r="AF89" s="74"/>
      <c r="AG89" s="94"/>
      <c r="AH89" s="94"/>
      <c r="AI89" s="94"/>
      <c r="AJ89" s="94"/>
      <c r="AK89" s="94"/>
    </row>
    <row r="90" spans="1:37" ht="44.1" customHeight="1" x14ac:dyDescent="0.2">
      <c r="A90" s="94" t="s">
        <v>1127</v>
      </c>
      <c r="B90" s="94" t="s">
        <v>1134</v>
      </c>
      <c r="C90" s="94"/>
      <c r="D90" s="94" t="s">
        <v>1135</v>
      </c>
      <c r="E90" s="94" t="s">
        <v>1139</v>
      </c>
      <c r="F90" s="95" t="s">
        <v>1112</v>
      </c>
      <c r="G90" s="95" t="str">
        <f t="shared" si="5"/>
        <v>a_animal_ghg</v>
      </c>
      <c r="H90" s="96" t="s">
        <v>262</v>
      </c>
      <c r="I90" s="97" t="s">
        <v>210</v>
      </c>
      <c r="J90" s="97"/>
      <c r="K90" s="94" t="s">
        <v>916</v>
      </c>
      <c r="L90" s="94" t="s">
        <v>1140</v>
      </c>
      <c r="M90" s="94"/>
      <c r="N90" s="94"/>
      <c r="O90" s="94"/>
      <c r="P90" s="94"/>
      <c r="Q90" s="94"/>
      <c r="R90" s="103"/>
      <c r="S90" s="103">
        <v>1000</v>
      </c>
      <c r="T90" s="95" t="s">
        <v>1138</v>
      </c>
      <c r="U90" s="103">
        <v>163</v>
      </c>
      <c r="V90" s="94" t="s">
        <v>106</v>
      </c>
      <c r="W90" s="30">
        <v>1E-3</v>
      </c>
      <c r="X90" s="94" t="s">
        <v>262</v>
      </c>
      <c r="Y90" s="94" t="str">
        <f t="shared" si="6"/>
        <v>kg_co2e_excl_luc</v>
      </c>
      <c r="Z90" s="30">
        <f>SeafoodLCAs[[#This Row],[CO2e (value)]]*SeafoodLCAs[[#This Row],[Conversion factor (value)]]</f>
        <v>0.16300000000000001</v>
      </c>
      <c r="AA90" s="103"/>
      <c r="AB90" s="94" t="s">
        <v>1113</v>
      </c>
      <c r="AC90" s="94"/>
      <c r="AD90" s="94"/>
      <c r="AE90" s="94"/>
      <c r="AF90" s="94"/>
      <c r="AG90" s="94"/>
      <c r="AH90" s="94"/>
      <c r="AI90" s="94"/>
      <c r="AJ90" s="94"/>
      <c r="AK90" s="94"/>
    </row>
    <row r="91" spans="1:37" ht="44.1" customHeight="1" x14ac:dyDescent="0.2">
      <c r="A91" s="94" t="s">
        <v>1116</v>
      </c>
      <c r="B91" s="94" t="s">
        <v>1170</v>
      </c>
      <c r="C91" s="94"/>
      <c r="D91" s="94" t="s">
        <v>1171</v>
      </c>
      <c r="E91" s="94" t="s">
        <v>1139</v>
      </c>
      <c r="F91" s="95" t="s">
        <v>1112</v>
      </c>
      <c r="G91" s="95" t="str">
        <f t="shared" si="5"/>
        <v>a_animal_ghg</v>
      </c>
      <c r="H91" s="96" t="s">
        <v>262</v>
      </c>
      <c r="I91" s="97" t="s">
        <v>1172</v>
      </c>
      <c r="J91" s="97"/>
      <c r="K91" s="94" t="s">
        <v>916</v>
      </c>
      <c r="L91" s="94" t="s">
        <v>1173</v>
      </c>
      <c r="M91" s="94"/>
      <c r="N91" s="94"/>
      <c r="O91" s="94" t="s">
        <v>109</v>
      </c>
      <c r="P91" s="94"/>
      <c r="Q91" s="94"/>
      <c r="R91" s="94"/>
      <c r="S91" s="94">
        <v>1</v>
      </c>
      <c r="T91" s="94" t="s">
        <v>1121</v>
      </c>
      <c r="U91" s="94">
        <v>11087</v>
      </c>
      <c r="V91" s="94" t="s">
        <v>106</v>
      </c>
      <c r="W91" s="30">
        <v>1E-3</v>
      </c>
      <c r="X91" s="94" t="s">
        <v>956</v>
      </c>
      <c r="Y91" s="94" t="str">
        <f t="shared" si="6"/>
        <v>kg_co2e_excl_luc</v>
      </c>
      <c r="Z91" s="30">
        <f>SeafoodLCAs[[#This Row],[CO2e (value)]]*SeafoodLCAs[[#This Row],[Conversion factor (value)]]</f>
        <v>11.087</v>
      </c>
      <c r="AA91" s="94"/>
      <c r="AB91" s="94" t="s">
        <v>1113</v>
      </c>
      <c r="AC91" s="94" t="s">
        <v>1174</v>
      </c>
      <c r="AD91" s="94"/>
      <c r="AE91" s="94"/>
      <c r="AF91" s="94"/>
      <c r="AG91" s="94"/>
      <c r="AH91" s="94"/>
      <c r="AI91" s="94"/>
      <c r="AJ91" s="94"/>
      <c r="AK91" s="94"/>
    </row>
    <row r="92" spans="1:37" ht="44.1" customHeight="1" x14ac:dyDescent="0.2">
      <c r="A92" s="94" t="s">
        <v>1116</v>
      </c>
      <c r="B92" s="94" t="s">
        <v>1170</v>
      </c>
      <c r="C92" s="94"/>
      <c r="D92" s="94" t="s">
        <v>1171</v>
      </c>
      <c r="E92" s="94" t="s">
        <v>1139</v>
      </c>
      <c r="F92" s="95" t="s">
        <v>1112</v>
      </c>
      <c r="G92" s="95" t="str">
        <f t="shared" si="5"/>
        <v>a_animal_ghg</v>
      </c>
      <c r="H92" s="96" t="s">
        <v>262</v>
      </c>
      <c r="I92" s="97" t="s">
        <v>1172</v>
      </c>
      <c r="J92" s="97"/>
      <c r="K92" s="94" t="s">
        <v>916</v>
      </c>
      <c r="L92" s="94" t="s">
        <v>1175</v>
      </c>
      <c r="M92" s="94"/>
      <c r="N92" s="94"/>
      <c r="O92" s="94" t="s">
        <v>109</v>
      </c>
      <c r="P92" s="94"/>
      <c r="Q92" s="94"/>
      <c r="R92" s="94"/>
      <c r="S92" s="94">
        <v>1</v>
      </c>
      <c r="T92" s="94" t="s">
        <v>1121</v>
      </c>
      <c r="U92" s="94">
        <v>17449</v>
      </c>
      <c r="V92" s="94" t="s">
        <v>106</v>
      </c>
      <c r="W92" s="30">
        <v>1E-3</v>
      </c>
      <c r="X92" s="94" t="s">
        <v>956</v>
      </c>
      <c r="Y92" s="94" t="str">
        <f t="shared" si="6"/>
        <v>kg_co2e_excl_luc</v>
      </c>
      <c r="Z92" s="30">
        <f>SeafoodLCAs[[#This Row],[CO2e (value)]]*SeafoodLCAs[[#This Row],[Conversion factor (value)]]</f>
        <v>17.449000000000002</v>
      </c>
      <c r="AA92" s="94"/>
      <c r="AB92" s="94" t="s">
        <v>1113</v>
      </c>
      <c r="AC92" s="94" t="s">
        <v>1174</v>
      </c>
      <c r="AD92" s="94"/>
      <c r="AE92" s="94"/>
      <c r="AF92" s="94"/>
      <c r="AG92" s="94"/>
      <c r="AH92" s="94"/>
      <c r="AI92" s="94"/>
      <c r="AJ92" s="94"/>
      <c r="AK92" s="94"/>
    </row>
    <row r="93" spans="1:37" ht="44.1" customHeight="1" x14ac:dyDescent="0.2">
      <c r="A93" s="74" t="s">
        <v>943</v>
      </c>
      <c r="B93" s="5" t="s">
        <v>1509</v>
      </c>
      <c r="C93" s="16">
        <v>2011</v>
      </c>
      <c r="D93" s="74" t="s">
        <v>952</v>
      </c>
      <c r="E93" s="74" t="s">
        <v>953</v>
      </c>
      <c r="F93" s="75" t="s">
        <v>69</v>
      </c>
      <c r="G93" s="75" t="str">
        <f t="shared" si="5"/>
        <v>a_animal_ghg</v>
      </c>
      <c r="H93" s="77" t="s">
        <v>262</v>
      </c>
      <c r="I93" s="76" t="s">
        <v>143</v>
      </c>
      <c r="J93" s="76"/>
      <c r="K93" s="74" t="s">
        <v>916</v>
      </c>
      <c r="L93" s="74" t="s">
        <v>954</v>
      </c>
      <c r="M93" s="74" t="s">
        <v>1250</v>
      </c>
      <c r="N93" s="74" t="s">
        <v>109</v>
      </c>
      <c r="O93" s="74" t="s">
        <v>109</v>
      </c>
      <c r="P93" s="74" t="s">
        <v>102</v>
      </c>
      <c r="Q93" s="74" t="s">
        <v>105</v>
      </c>
      <c r="R93" s="74" t="s">
        <v>152</v>
      </c>
      <c r="S93" s="74">
        <v>1</v>
      </c>
      <c r="T93" s="74" t="s">
        <v>955</v>
      </c>
      <c r="U93" s="74">
        <v>5280</v>
      </c>
      <c r="V93" s="74" t="s">
        <v>106</v>
      </c>
      <c r="W93" s="24">
        <v>1E-3</v>
      </c>
      <c r="X93" s="74" t="s">
        <v>956</v>
      </c>
      <c r="Y93" s="74" t="str">
        <f t="shared" si="6"/>
        <v>kg_co2e_excl_luc</v>
      </c>
      <c r="Z93" s="24">
        <f>SeafoodLCAs[[#This Row],[CO2e (value)]]*SeafoodLCAs[[#This Row],[Conversion factor (value)]]</f>
        <v>5.28</v>
      </c>
      <c r="AA93" s="74">
        <f>1/2</f>
        <v>0.5</v>
      </c>
      <c r="AB93" s="74" t="s">
        <v>109</v>
      </c>
      <c r="AC93" s="74" t="s">
        <v>957</v>
      </c>
      <c r="AD93" s="74"/>
      <c r="AE93" s="74"/>
      <c r="AF93" s="74"/>
      <c r="AG93" s="94"/>
      <c r="AH93" s="94"/>
      <c r="AI93" s="94"/>
      <c r="AJ93" s="94"/>
      <c r="AK93" s="94"/>
    </row>
    <row r="94" spans="1:37" ht="44.1" customHeight="1" x14ac:dyDescent="0.2">
      <c r="A94" s="74" t="s">
        <v>943</v>
      </c>
      <c r="B94" s="5" t="s">
        <v>1509</v>
      </c>
      <c r="C94" s="16">
        <v>2011</v>
      </c>
      <c r="D94" s="74" t="s">
        <v>952</v>
      </c>
      <c r="E94" s="74" t="s">
        <v>953</v>
      </c>
      <c r="F94" s="75" t="s">
        <v>69</v>
      </c>
      <c r="G94" s="75" t="str">
        <f t="shared" si="5"/>
        <v>a_animal_ghg</v>
      </c>
      <c r="H94" s="77" t="s">
        <v>262</v>
      </c>
      <c r="I94" s="76" t="s">
        <v>143</v>
      </c>
      <c r="J94" s="76"/>
      <c r="K94" s="74" t="s">
        <v>916</v>
      </c>
      <c r="L94" s="74" t="s">
        <v>958</v>
      </c>
      <c r="M94" s="74" t="s">
        <v>1250</v>
      </c>
      <c r="N94" s="74" t="s">
        <v>109</v>
      </c>
      <c r="O94" s="74" t="s">
        <v>109</v>
      </c>
      <c r="P94" s="74" t="s">
        <v>102</v>
      </c>
      <c r="Q94" s="74" t="s">
        <v>105</v>
      </c>
      <c r="R94" s="74" t="s">
        <v>152</v>
      </c>
      <c r="S94" s="74">
        <v>1</v>
      </c>
      <c r="T94" s="74" t="s">
        <v>955</v>
      </c>
      <c r="U94" s="74">
        <v>2750</v>
      </c>
      <c r="V94" s="74" t="s">
        <v>106</v>
      </c>
      <c r="W94" s="24">
        <v>1E-3</v>
      </c>
      <c r="X94" s="74" t="s">
        <v>956</v>
      </c>
      <c r="Y94" s="74" t="str">
        <f t="shared" si="6"/>
        <v>kg_co2e_excl_luc</v>
      </c>
      <c r="Z94" s="24">
        <f>SeafoodLCAs[[#This Row],[CO2e (value)]]*SeafoodLCAs[[#This Row],[Conversion factor (value)]]</f>
        <v>2.75</v>
      </c>
      <c r="AA94" s="74">
        <f>1/2</f>
        <v>0.5</v>
      </c>
      <c r="AB94" s="75" t="s">
        <v>109</v>
      </c>
      <c r="AC94" s="74" t="s">
        <v>957</v>
      </c>
      <c r="AD94" s="74"/>
      <c r="AE94" s="74"/>
      <c r="AF94" s="74"/>
      <c r="AG94" s="94"/>
      <c r="AH94" s="94"/>
      <c r="AI94" s="94"/>
      <c r="AJ94" s="94"/>
      <c r="AK94" s="94"/>
    </row>
    <row r="95" spans="1:37" ht="44.1" customHeight="1" x14ac:dyDescent="0.2">
      <c r="A95" s="94" t="s">
        <v>974</v>
      </c>
      <c r="B95" s="94" t="s">
        <v>1195</v>
      </c>
      <c r="C95" s="94"/>
      <c r="D95" s="94" t="s">
        <v>1196</v>
      </c>
      <c r="E95" s="94" t="s">
        <v>1197</v>
      </c>
      <c r="F95" s="95" t="s">
        <v>69</v>
      </c>
      <c r="G95" s="95" t="str">
        <f t="shared" si="5"/>
        <v>a_animal_ghg</v>
      </c>
      <c r="H95" s="96" t="s">
        <v>262</v>
      </c>
      <c r="I95" s="97" t="s">
        <v>1148</v>
      </c>
      <c r="J95" s="97"/>
      <c r="K95" s="94" t="s">
        <v>916</v>
      </c>
      <c r="L95" s="94" t="s">
        <v>1198</v>
      </c>
      <c r="M95" s="94"/>
      <c r="N95" s="94" t="s">
        <v>102</v>
      </c>
      <c r="O95" s="94" t="s">
        <v>109</v>
      </c>
      <c r="P95" s="94" t="s">
        <v>1199</v>
      </c>
      <c r="Q95" s="94" t="s">
        <v>102</v>
      </c>
      <c r="R95" s="94" t="s">
        <v>126</v>
      </c>
      <c r="S95" s="94">
        <v>1</v>
      </c>
      <c r="T95" s="94" t="s">
        <v>1200</v>
      </c>
      <c r="U95" s="94">
        <v>13.3</v>
      </c>
      <c r="V95" s="94" t="s">
        <v>127</v>
      </c>
      <c r="W95" s="30">
        <v>1</v>
      </c>
      <c r="X95" s="94"/>
      <c r="Y95" s="94" t="str">
        <f t="shared" si="6"/>
        <v>kg_co2e_excl_luc</v>
      </c>
      <c r="Z95" s="30">
        <f>SeafoodLCAs[[#This Row],[CO2e (value)]]*SeafoodLCAs[[#This Row],[Conversion factor (value)]]</f>
        <v>13.3</v>
      </c>
      <c r="AA95" s="94"/>
      <c r="AB95" s="99" t="s">
        <v>832</v>
      </c>
      <c r="AC95" s="94" t="s">
        <v>1201</v>
      </c>
      <c r="AD95" s="94"/>
      <c r="AE95" s="94"/>
      <c r="AF95" s="94"/>
      <c r="AG95" s="94"/>
      <c r="AH95" s="94"/>
      <c r="AI95" s="94"/>
      <c r="AJ95" s="94"/>
      <c r="AK95" s="94"/>
    </row>
    <row r="96" spans="1:37" ht="44.1" customHeight="1" x14ac:dyDescent="0.2">
      <c r="A96" s="94" t="s">
        <v>974</v>
      </c>
      <c r="B96" s="94" t="s">
        <v>1195</v>
      </c>
      <c r="C96" s="94"/>
      <c r="D96" s="94" t="s">
        <v>1196</v>
      </c>
      <c r="E96" s="94" t="s">
        <v>1197</v>
      </c>
      <c r="F96" s="95" t="s">
        <v>69</v>
      </c>
      <c r="G96" s="95" t="str">
        <f t="shared" si="5"/>
        <v>a_animal_ghg</v>
      </c>
      <c r="H96" s="96" t="s">
        <v>262</v>
      </c>
      <c r="I96" s="97" t="s">
        <v>1148</v>
      </c>
      <c r="J96" s="97"/>
      <c r="K96" s="94" t="s">
        <v>916</v>
      </c>
      <c r="L96" s="94" t="s">
        <v>1202</v>
      </c>
      <c r="M96" s="94"/>
      <c r="N96" s="94" t="s">
        <v>102</v>
      </c>
      <c r="O96" s="94" t="s">
        <v>109</v>
      </c>
      <c r="P96" s="94" t="s">
        <v>1199</v>
      </c>
      <c r="Q96" s="94" t="s">
        <v>102</v>
      </c>
      <c r="R96" s="94" t="s">
        <v>126</v>
      </c>
      <c r="S96" s="94">
        <v>1</v>
      </c>
      <c r="T96" s="94" t="s">
        <v>1200</v>
      </c>
      <c r="U96" s="94">
        <v>27.4</v>
      </c>
      <c r="V96" s="94" t="s">
        <v>127</v>
      </c>
      <c r="W96" s="30">
        <v>1</v>
      </c>
      <c r="X96" s="94"/>
      <c r="Y96" s="94" t="str">
        <f t="shared" si="6"/>
        <v>kg_co2e_excl_luc</v>
      </c>
      <c r="Z96" s="30">
        <f>SeafoodLCAs[[#This Row],[CO2e (value)]]*SeafoodLCAs[[#This Row],[Conversion factor (value)]]</f>
        <v>27.4</v>
      </c>
      <c r="AA96" s="94"/>
      <c r="AB96" s="99" t="s">
        <v>832</v>
      </c>
      <c r="AC96" s="94" t="s">
        <v>1201</v>
      </c>
      <c r="AD96" s="94"/>
      <c r="AE96" s="94"/>
      <c r="AF96" s="94"/>
      <c r="AG96" s="94"/>
      <c r="AH96" s="94"/>
      <c r="AI96" s="94"/>
      <c r="AJ96" s="94"/>
      <c r="AK96" s="94"/>
    </row>
    <row r="97" spans="1:37" ht="44.1" customHeight="1" x14ac:dyDescent="0.2">
      <c r="A97" s="74" t="s">
        <v>943</v>
      </c>
      <c r="B97" s="5" t="s">
        <v>1524</v>
      </c>
      <c r="C97" s="16">
        <v>2011</v>
      </c>
      <c r="D97" s="74" t="s">
        <v>966</v>
      </c>
      <c r="E97" s="74" t="s">
        <v>967</v>
      </c>
      <c r="F97" s="75" t="s">
        <v>69</v>
      </c>
      <c r="G97" s="75" t="str">
        <f t="shared" si="5"/>
        <v>a_animal_ghg</v>
      </c>
      <c r="H97" s="74" t="s">
        <v>968</v>
      </c>
      <c r="I97" s="76" t="s">
        <v>968</v>
      </c>
      <c r="J97" s="76"/>
      <c r="K97" s="74" t="s">
        <v>905</v>
      </c>
      <c r="L97" s="74" t="s">
        <v>961</v>
      </c>
      <c r="M97" s="74" t="s">
        <v>1250</v>
      </c>
      <c r="N97" s="74" t="s">
        <v>164</v>
      </c>
      <c r="O97" s="74" t="s">
        <v>109</v>
      </c>
      <c r="P97" s="74" t="s">
        <v>969</v>
      </c>
      <c r="Q97" s="74" t="s">
        <v>105</v>
      </c>
      <c r="R97" s="74" t="s">
        <v>970</v>
      </c>
      <c r="S97" s="74">
        <v>1</v>
      </c>
      <c r="T97" s="74" t="s">
        <v>971</v>
      </c>
      <c r="U97" s="93">
        <v>35</v>
      </c>
      <c r="V97" s="93" t="s">
        <v>106</v>
      </c>
      <c r="W97" s="24">
        <v>1</v>
      </c>
      <c r="X97" s="74" t="s">
        <v>262</v>
      </c>
      <c r="Y97" s="74" t="str">
        <f t="shared" si="6"/>
        <v>kg_co2e_excl_luc</v>
      </c>
      <c r="Z97" s="24">
        <f>SeafoodLCAs[[#This Row],[CO2e (value)]]*SeafoodLCAs[[#This Row],[Conversion factor (value)]]</f>
        <v>35</v>
      </c>
      <c r="AA97" s="74">
        <f>1/2</f>
        <v>0.5</v>
      </c>
      <c r="AB97" s="75" t="s">
        <v>109</v>
      </c>
      <c r="AC97" s="74" t="s">
        <v>972</v>
      </c>
      <c r="AD97" s="74"/>
      <c r="AE97" s="74"/>
      <c r="AF97" s="74"/>
      <c r="AG97" s="94"/>
      <c r="AH97" s="94"/>
      <c r="AI97" s="94"/>
      <c r="AJ97" s="94"/>
      <c r="AK97" s="94"/>
    </row>
    <row r="98" spans="1:37" ht="44.1" customHeight="1" x14ac:dyDescent="0.2">
      <c r="A98" s="74" t="s">
        <v>943</v>
      </c>
      <c r="B98" s="5" t="s">
        <v>1524</v>
      </c>
      <c r="C98" s="16">
        <v>2011</v>
      </c>
      <c r="D98" s="74" t="s">
        <v>966</v>
      </c>
      <c r="E98" s="74" t="s">
        <v>967</v>
      </c>
      <c r="F98" s="75" t="s">
        <v>69</v>
      </c>
      <c r="G98" s="75" t="str">
        <f t="shared" si="5"/>
        <v>a_animal_ghg</v>
      </c>
      <c r="H98" s="74" t="s">
        <v>968</v>
      </c>
      <c r="I98" s="76" t="s">
        <v>968</v>
      </c>
      <c r="J98" s="76"/>
      <c r="K98" s="74" t="s">
        <v>905</v>
      </c>
      <c r="L98" s="85" t="s">
        <v>973</v>
      </c>
      <c r="M98" s="74" t="s">
        <v>1250</v>
      </c>
      <c r="N98" s="74" t="s">
        <v>164</v>
      </c>
      <c r="O98" s="74" t="s">
        <v>109</v>
      </c>
      <c r="P98" s="74" t="s">
        <v>969</v>
      </c>
      <c r="Q98" s="74" t="s">
        <v>105</v>
      </c>
      <c r="R98" s="74" t="s">
        <v>970</v>
      </c>
      <c r="S98" s="74">
        <v>1</v>
      </c>
      <c r="T98" s="74" t="s">
        <v>971</v>
      </c>
      <c r="U98" s="74">
        <v>4.4000000000000004</v>
      </c>
      <c r="V98" s="74" t="s">
        <v>106</v>
      </c>
      <c r="W98" s="24">
        <v>1</v>
      </c>
      <c r="X98" s="74" t="s">
        <v>262</v>
      </c>
      <c r="Y98" s="74" t="str">
        <f t="shared" si="6"/>
        <v>kg_co2e_excl_luc</v>
      </c>
      <c r="Z98" s="24">
        <f>SeafoodLCAs[[#This Row],[CO2e (value)]]*SeafoodLCAs[[#This Row],[Conversion factor (value)]]</f>
        <v>4.4000000000000004</v>
      </c>
      <c r="AA98" s="74">
        <f>1/2</f>
        <v>0.5</v>
      </c>
      <c r="AB98" s="75" t="s">
        <v>109</v>
      </c>
      <c r="AC98" s="74" t="s">
        <v>972</v>
      </c>
      <c r="AD98" s="74"/>
      <c r="AE98" s="74"/>
      <c r="AF98" s="74"/>
      <c r="AG98" s="94"/>
      <c r="AH98" s="94"/>
      <c r="AI98" s="94"/>
      <c r="AJ98" s="94"/>
      <c r="AK98" s="94"/>
    </row>
    <row r="99" spans="1:37" ht="44.1" customHeight="1" x14ac:dyDescent="0.2">
      <c r="A99" s="74" t="s">
        <v>99</v>
      </c>
      <c r="B99" s="5" t="s">
        <v>1522</v>
      </c>
      <c r="C99" s="16">
        <v>2016</v>
      </c>
      <c r="D99" s="75" t="s">
        <v>933</v>
      </c>
      <c r="E99" s="74" t="s">
        <v>942</v>
      </c>
      <c r="F99" s="75" t="s">
        <v>67</v>
      </c>
      <c r="G99" s="75" t="str">
        <f t="shared" si="5"/>
        <v>a_animal_ghg</v>
      </c>
      <c r="H99" s="74" t="s">
        <v>935</v>
      </c>
      <c r="I99" s="76" t="s">
        <v>936</v>
      </c>
      <c r="J99" s="76"/>
      <c r="K99" s="74" t="s">
        <v>905</v>
      </c>
      <c r="L99" s="74" t="s">
        <v>937</v>
      </c>
      <c r="M99" s="74" t="s">
        <v>1246</v>
      </c>
      <c r="N99" s="74" t="s">
        <v>109</v>
      </c>
      <c r="O99" s="74" t="s">
        <v>109</v>
      </c>
      <c r="P99" s="74" t="s">
        <v>938</v>
      </c>
      <c r="Q99" s="74" t="s">
        <v>102</v>
      </c>
      <c r="R99" s="74" t="s">
        <v>126</v>
      </c>
      <c r="S99" s="74">
        <v>1</v>
      </c>
      <c r="T99" s="74" t="s">
        <v>106</v>
      </c>
      <c r="U99" s="74">
        <v>5.2</v>
      </c>
      <c r="V99" s="74" t="s">
        <v>106</v>
      </c>
      <c r="W99" s="24">
        <v>1</v>
      </c>
      <c r="X99" s="74"/>
      <c r="Y99" s="74" t="str">
        <f t="shared" si="6"/>
        <v>kg_co2e_excl_luc</v>
      </c>
      <c r="Z99" s="24">
        <f>SeafoodLCAs[[#This Row],[CO2e (value)]]*SeafoodLCAs[[#This Row],[Conversion factor (value)]]</f>
        <v>5.2</v>
      </c>
      <c r="AA99" s="74">
        <v>1</v>
      </c>
      <c r="AB99" s="75" t="s">
        <v>109</v>
      </c>
      <c r="AC99" s="91" t="s">
        <v>939</v>
      </c>
      <c r="AD99" s="74"/>
      <c r="AE99" s="74"/>
      <c r="AF99" s="74"/>
      <c r="AG99" s="94"/>
      <c r="AH99" s="94"/>
      <c r="AI99" s="94"/>
      <c r="AJ99" s="94"/>
      <c r="AK99" s="94"/>
    </row>
    <row r="100" spans="1:37" ht="44.1" customHeight="1" x14ac:dyDescent="0.2">
      <c r="A100" s="77" t="s">
        <v>251</v>
      </c>
      <c r="B100" s="5" t="s">
        <v>1504</v>
      </c>
      <c r="C100" s="16">
        <v>2015</v>
      </c>
      <c r="D100" s="75" t="s">
        <v>1083</v>
      </c>
      <c r="E100" s="77" t="s">
        <v>1063</v>
      </c>
      <c r="F100" s="80" t="s">
        <v>66</v>
      </c>
      <c r="G100" s="80" t="str">
        <f t="shared" si="5"/>
        <v>a_animal_ghg</v>
      </c>
      <c r="H100" s="77" t="s">
        <v>262</v>
      </c>
      <c r="I100" s="81" t="s">
        <v>120</v>
      </c>
      <c r="J100" s="81"/>
      <c r="K100" s="74" t="s">
        <v>916</v>
      </c>
      <c r="L100" s="77" t="s">
        <v>1084</v>
      </c>
      <c r="M100" s="74" t="s">
        <v>1383</v>
      </c>
      <c r="N100" s="77" t="s">
        <v>109</v>
      </c>
      <c r="O100" s="77" t="s">
        <v>109</v>
      </c>
      <c r="P100" s="74" t="s">
        <v>1065</v>
      </c>
      <c r="Q100" s="77" t="s">
        <v>102</v>
      </c>
      <c r="R100" s="74" t="s">
        <v>126</v>
      </c>
      <c r="S100" s="77">
        <v>1</v>
      </c>
      <c r="T100" s="77" t="s">
        <v>927</v>
      </c>
      <c r="U100" s="82">
        <v>1937</v>
      </c>
      <c r="V100" s="77" t="s">
        <v>106</v>
      </c>
      <c r="W100" s="83">
        <v>1E-3</v>
      </c>
      <c r="X100" s="77" t="s">
        <v>956</v>
      </c>
      <c r="Y100" s="77" t="str">
        <f t="shared" si="6"/>
        <v>kg_co2e_excl_luc</v>
      </c>
      <c r="Z100" s="24">
        <f>SeafoodLCAs[[#This Row],[CO2e (value)]]*SeafoodLCAs[[#This Row],[Conversion factor (value)]]</f>
        <v>1.9370000000000001</v>
      </c>
      <c r="AA100" s="77">
        <f>1/3</f>
        <v>0.33333333333333331</v>
      </c>
      <c r="AB100" s="80" t="s">
        <v>109</v>
      </c>
      <c r="AC100" s="77" t="s">
        <v>1085</v>
      </c>
      <c r="AD100" s="77"/>
      <c r="AE100" s="77"/>
      <c r="AF100" s="77"/>
      <c r="AG100" s="94"/>
      <c r="AH100" s="94"/>
      <c r="AI100" s="94"/>
      <c r="AJ100" s="94"/>
      <c r="AK100" s="94"/>
    </row>
    <row r="101" spans="1:37" ht="44.1" customHeight="1" x14ac:dyDescent="0.2">
      <c r="A101" s="77" t="s">
        <v>251</v>
      </c>
      <c r="B101" s="5" t="s">
        <v>1504</v>
      </c>
      <c r="C101" s="16">
        <v>2015</v>
      </c>
      <c r="D101" s="75" t="s">
        <v>1083</v>
      </c>
      <c r="E101" s="77" t="s">
        <v>1063</v>
      </c>
      <c r="F101" s="80" t="s">
        <v>66</v>
      </c>
      <c r="G101" s="80" t="str">
        <f t="shared" ref="G101:G130" si="7">"a_animal_ghg"</f>
        <v>a_animal_ghg</v>
      </c>
      <c r="H101" s="77" t="s">
        <v>262</v>
      </c>
      <c r="I101" s="81" t="s">
        <v>120</v>
      </c>
      <c r="J101" s="81"/>
      <c r="K101" s="74" t="s">
        <v>916</v>
      </c>
      <c r="L101" s="77" t="s">
        <v>1086</v>
      </c>
      <c r="M101" s="74" t="s">
        <v>1383</v>
      </c>
      <c r="N101" s="77" t="s">
        <v>109</v>
      </c>
      <c r="O101" s="77" t="s">
        <v>109</v>
      </c>
      <c r="P101" s="74" t="s">
        <v>1065</v>
      </c>
      <c r="Q101" s="77" t="s">
        <v>102</v>
      </c>
      <c r="R101" s="74" t="s">
        <v>126</v>
      </c>
      <c r="S101" s="77">
        <v>1</v>
      </c>
      <c r="T101" s="77" t="s">
        <v>927</v>
      </c>
      <c r="U101" s="82">
        <v>2890</v>
      </c>
      <c r="V101" s="77" t="s">
        <v>106</v>
      </c>
      <c r="W101" s="83">
        <v>1E-3</v>
      </c>
      <c r="X101" s="77" t="s">
        <v>956</v>
      </c>
      <c r="Y101" s="77" t="str">
        <f t="shared" ref="Y101:Y130" si="8">"kg_co2e_excl_luc"</f>
        <v>kg_co2e_excl_luc</v>
      </c>
      <c r="Z101" s="24">
        <f>SeafoodLCAs[[#This Row],[CO2e (value)]]*SeafoodLCAs[[#This Row],[Conversion factor (value)]]</f>
        <v>2.89</v>
      </c>
      <c r="AA101" s="77">
        <f>1/3</f>
        <v>0.33333333333333331</v>
      </c>
      <c r="AB101" s="80" t="s">
        <v>109</v>
      </c>
      <c r="AC101" s="77" t="s">
        <v>1085</v>
      </c>
      <c r="AD101" s="77"/>
      <c r="AE101" s="77"/>
      <c r="AF101" s="77"/>
      <c r="AG101" s="94"/>
      <c r="AH101" s="94"/>
      <c r="AI101" s="94"/>
      <c r="AJ101" s="94"/>
      <c r="AK101" s="94"/>
    </row>
    <row r="102" spans="1:37" ht="44.1" customHeight="1" x14ac:dyDescent="0.2">
      <c r="A102" s="77" t="s">
        <v>251</v>
      </c>
      <c r="B102" s="5" t="s">
        <v>1504</v>
      </c>
      <c r="C102" s="16">
        <v>2015</v>
      </c>
      <c r="D102" s="75" t="s">
        <v>1083</v>
      </c>
      <c r="E102" s="77" t="s">
        <v>1063</v>
      </c>
      <c r="F102" s="80" t="s">
        <v>66</v>
      </c>
      <c r="G102" s="80" t="str">
        <f t="shared" si="7"/>
        <v>a_animal_ghg</v>
      </c>
      <c r="H102" s="77" t="s">
        <v>262</v>
      </c>
      <c r="I102" s="81" t="s">
        <v>120</v>
      </c>
      <c r="J102" s="81"/>
      <c r="K102" s="74" t="s">
        <v>916</v>
      </c>
      <c r="L102" s="77" t="s">
        <v>1087</v>
      </c>
      <c r="M102" s="74" t="s">
        <v>1383</v>
      </c>
      <c r="N102" s="77" t="s">
        <v>109</v>
      </c>
      <c r="O102" s="77" t="s">
        <v>109</v>
      </c>
      <c r="P102" s="74" t="s">
        <v>1065</v>
      </c>
      <c r="Q102" s="77" t="s">
        <v>102</v>
      </c>
      <c r="R102" s="74" t="s">
        <v>126</v>
      </c>
      <c r="S102" s="77">
        <v>1</v>
      </c>
      <c r="T102" s="77" t="s">
        <v>927</v>
      </c>
      <c r="U102" s="82">
        <v>4124</v>
      </c>
      <c r="V102" s="77" t="s">
        <v>106</v>
      </c>
      <c r="W102" s="83">
        <v>1E-3</v>
      </c>
      <c r="X102" s="77" t="s">
        <v>956</v>
      </c>
      <c r="Y102" s="77" t="str">
        <f t="shared" si="8"/>
        <v>kg_co2e_excl_luc</v>
      </c>
      <c r="Z102" s="24">
        <f>SeafoodLCAs[[#This Row],[CO2e (value)]]*SeafoodLCAs[[#This Row],[Conversion factor (value)]]</f>
        <v>4.1239999999999997</v>
      </c>
      <c r="AA102" s="77">
        <f>1/3</f>
        <v>0.33333333333333331</v>
      </c>
      <c r="AB102" s="80" t="s">
        <v>109</v>
      </c>
      <c r="AC102" s="77" t="s">
        <v>1085</v>
      </c>
      <c r="AD102" s="77"/>
      <c r="AE102" s="77"/>
      <c r="AF102" s="77"/>
      <c r="AG102" s="94"/>
      <c r="AH102" s="94"/>
      <c r="AI102" s="94"/>
      <c r="AJ102" s="94"/>
      <c r="AK102" s="94"/>
    </row>
    <row r="103" spans="1:37" ht="44.1" customHeight="1" x14ac:dyDescent="0.2">
      <c r="A103" s="96" t="s">
        <v>251</v>
      </c>
      <c r="B103" s="96" t="s">
        <v>1088</v>
      </c>
      <c r="C103" s="96"/>
      <c r="D103" s="105" t="s">
        <v>1089</v>
      </c>
      <c r="E103" s="96" t="s">
        <v>1063</v>
      </c>
      <c r="F103" s="105" t="s">
        <v>66</v>
      </c>
      <c r="G103" s="105" t="str">
        <f t="shared" si="7"/>
        <v>a_animal_ghg</v>
      </c>
      <c r="H103" s="96" t="s">
        <v>262</v>
      </c>
      <c r="I103" s="106" t="s">
        <v>1090</v>
      </c>
      <c r="J103" s="106"/>
      <c r="K103" s="96" t="s">
        <v>916</v>
      </c>
      <c r="L103" s="96" t="s">
        <v>1091</v>
      </c>
      <c r="M103" s="96" t="s">
        <v>1383</v>
      </c>
      <c r="N103" s="96" t="s">
        <v>150</v>
      </c>
      <c r="O103" s="96" t="s">
        <v>109</v>
      </c>
      <c r="P103" s="96" t="s">
        <v>1092</v>
      </c>
      <c r="Q103" s="96" t="s">
        <v>102</v>
      </c>
      <c r="R103" s="96" t="s">
        <v>126</v>
      </c>
      <c r="S103" s="96">
        <v>1</v>
      </c>
      <c r="T103" s="96" t="s">
        <v>927</v>
      </c>
      <c r="U103" s="96">
        <v>5100</v>
      </c>
      <c r="V103" s="96" t="s">
        <v>106</v>
      </c>
      <c r="W103" s="107">
        <v>1E-3</v>
      </c>
      <c r="X103" s="96" t="s">
        <v>956</v>
      </c>
      <c r="Y103" s="96" t="str">
        <f t="shared" si="8"/>
        <v>kg_co2e_excl_luc</v>
      </c>
      <c r="Z103" s="107">
        <f>SeafoodLCAs[[#This Row],[CO2e (value)]]*SeafoodLCAs[[#This Row],[Conversion factor (value)]]</f>
        <v>5.1000000000000005</v>
      </c>
      <c r="AA103" s="96">
        <f>1/4</f>
        <v>0.25</v>
      </c>
      <c r="AB103" s="108" t="s">
        <v>1093</v>
      </c>
      <c r="AC103" s="96"/>
      <c r="AD103" s="96"/>
      <c r="AE103" s="96"/>
      <c r="AF103" s="96"/>
      <c r="AG103" s="94"/>
      <c r="AH103" s="94"/>
      <c r="AI103" s="94"/>
      <c r="AJ103" s="94"/>
      <c r="AK103" s="94"/>
    </row>
    <row r="104" spans="1:37" ht="44.1" customHeight="1" x14ac:dyDescent="0.2">
      <c r="A104" s="96" t="s">
        <v>251</v>
      </c>
      <c r="B104" s="96" t="s">
        <v>1088</v>
      </c>
      <c r="C104" s="96"/>
      <c r="D104" s="105" t="s">
        <v>1089</v>
      </c>
      <c r="E104" s="96" t="s">
        <v>1063</v>
      </c>
      <c r="F104" s="105" t="s">
        <v>66</v>
      </c>
      <c r="G104" s="105" t="str">
        <f t="shared" si="7"/>
        <v>a_animal_ghg</v>
      </c>
      <c r="H104" s="96" t="s">
        <v>262</v>
      </c>
      <c r="I104" s="106" t="s">
        <v>1090</v>
      </c>
      <c r="J104" s="106"/>
      <c r="K104" s="96" t="s">
        <v>916</v>
      </c>
      <c r="L104" s="96" t="s">
        <v>1094</v>
      </c>
      <c r="M104" s="96" t="s">
        <v>1383</v>
      </c>
      <c r="N104" s="96" t="s">
        <v>150</v>
      </c>
      <c r="O104" s="96" t="s">
        <v>109</v>
      </c>
      <c r="P104" s="96" t="s">
        <v>1092</v>
      </c>
      <c r="Q104" s="96" t="s">
        <v>102</v>
      </c>
      <c r="R104" s="96" t="s">
        <v>126</v>
      </c>
      <c r="S104" s="96">
        <v>1</v>
      </c>
      <c r="T104" s="96" t="s">
        <v>927</v>
      </c>
      <c r="U104" s="96">
        <v>1600</v>
      </c>
      <c r="V104" s="96" t="s">
        <v>106</v>
      </c>
      <c r="W104" s="107">
        <v>1E-3</v>
      </c>
      <c r="X104" s="96" t="s">
        <v>956</v>
      </c>
      <c r="Y104" s="96" t="str">
        <f t="shared" si="8"/>
        <v>kg_co2e_excl_luc</v>
      </c>
      <c r="Z104" s="107">
        <f>SeafoodLCAs[[#This Row],[CO2e (value)]]*SeafoodLCAs[[#This Row],[Conversion factor (value)]]</f>
        <v>1.6</v>
      </c>
      <c r="AA104" s="96">
        <f>1/4</f>
        <v>0.25</v>
      </c>
      <c r="AB104" s="108" t="s">
        <v>1093</v>
      </c>
      <c r="AC104" s="96"/>
      <c r="AD104" s="96"/>
      <c r="AE104" s="96"/>
      <c r="AF104" s="96"/>
      <c r="AG104" s="94"/>
      <c r="AH104" s="94"/>
      <c r="AI104" s="94"/>
      <c r="AJ104" s="94"/>
      <c r="AK104" s="94"/>
    </row>
    <row r="105" spans="1:37" ht="44.1" customHeight="1" x14ac:dyDescent="0.2">
      <c r="A105" s="96" t="s">
        <v>251</v>
      </c>
      <c r="B105" s="96" t="s">
        <v>1088</v>
      </c>
      <c r="C105" s="96"/>
      <c r="D105" s="105" t="s">
        <v>1089</v>
      </c>
      <c r="E105" s="96" t="s">
        <v>1063</v>
      </c>
      <c r="F105" s="105" t="s">
        <v>66</v>
      </c>
      <c r="G105" s="105" t="str">
        <f t="shared" si="7"/>
        <v>a_animal_ghg</v>
      </c>
      <c r="H105" s="96" t="s">
        <v>262</v>
      </c>
      <c r="I105" s="106" t="s">
        <v>1090</v>
      </c>
      <c r="J105" s="106"/>
      <c r="K105" s="96" t="s">
        <v>916</v>
      </c>
      <c r="L105" s="96" t="s">
        <v>1095</v>
      </c>
      <c r="M105" s="96" t="s">
        <v>1383</v>
      </c>
      <c r="N105" s="96" t="s">
        <v>150</v>
      </c>
      <c r="O105" s="96" t="s">
        <v>109</v>
      </c>
      <c r="P105" s="96" t="s">
        <v>1092</v>
      </c>
      <c r="Q105" s="96" t="s">
        <v>102</v>
      </c>
      <c r="R105" s="96" t="s">
        <v>126</v>
      </c>
      <c r="S105" s="96">
        <v>1</v>
      </c>
      <c r="T105" s="96" t="s">
        <v>927</v>
      </c>
      <c r="U105" s="96">
        <v>800</v>
      </c>
      <c r="V105" s="96" t="s">
        <v>106</v>
      </c>
      <c r="W105" s="107">
        <v>1E-3</v>
      </c>
      <c r="X105" s="96" t="s">
        <v>956</v>
      </c>
      <c r="Y105" s="96" t="str">
        <f t="shared" si="8"/>
        <v>kg_co2e_excl_luc</v>
      </c>
      <c r="Z105" s="107">
        <f>SeafoodLCAs[[#This Row],[CO2e (value)]]*SeafoodLCAs[[#This Row],[Conversion factor (value)]]</f>
        <v>0.8</v>
      </c>
      <c r="AA105" s="96">
        <f>1/4</f>
        <v>0.25</v>
      </c>
      <c r="AB105" s="108" t="s">
        <v>1093</v>
      </c>
      <c r="AC105" s="96"/>
      <c r="AD105" s="96"/>
      <c r="AE105" s="96"/>
      <c r="AF105" s="96"/>
      <c r="AG105" s="94"/>
      <c r="AH105" s="94"/>
      <c r="AI105" s="94"/>
      <c r="AJ105" s="94"/>
      <c r="AK105" s="94"/>
    </row>
    <row r="106" spans="1:37" ht="44.1" customHeight="1" x14ac:dyDescent="0.2">
      <c r="A106" s="96" t="s">
        <v>251</v>
      </c>
      <c r="B106" s="96" t="s">
        <v>1088</v>
      </c>
      <c r="C106" s="96"/>
      <c r="D106" s="105" t="s">
        <v>1089</v>
      </c>
      <c r="E106" s="96" t="s">
        <v>1063</v>
      </c>
      <c r="F106" s="105" t="s">
        <v>66</v>
      </c>
      <c r="G106" s="105" t="str">
        <f t="shared" si="7"/>
        <v>a_animal_ghg</v>
      </c>
      <c r="H106" s="96" t="s">
        <v>262</v>
      </c>
      <c r="I106" s="106" t="s">
        <v>1090</v>
      </c>
      <c r="J106" s="106"/>
      <c r="K106" s="96" t="s">
        <v>916</v>
      </c>
      <c r="L106" s="96" t="s">
        <v>1096</v>
      </c>
      <c r="M106" s="96" t="s">
        <v>1383</v>
      </c>
      <c r="N106" s="96" t="s">
        <v>150</v>
      </c>
      <c r="O106" s="96" t="s">
        <v>109</v>
      </c>
      <c r="P106" s="96" t="s">
        <v>1092</v>
      </c>
      <c r="Q106" s="96" t="s">
        <v>102</v>
      </c>
      <c r="R106" s="96" t="s">
        <v>126</v>
      </c>
      <c r="S106" s="96">
        <v>1</v>
      </c>
      <c r="T106" s="96" t="s">
        <v>927</v>
      </c>
      <c r="U106" s="96">
        <v>600</v>
      </c>
      <c r="V106" s="96" t="s">
        <v>106</v>
      </c>
      <c r="W106" s="107">
        <v>1E-3</v>
      </c>
      <c r="X106" s="96" t="s">
        <v>956</v>
      </c>
      <c r="Y106" s="96" t="str">
        <f t="shared" si="8"/>
        <v>kg_co2e_excl_luc</v>
      </c>
      <c r="Z106" s="107">
        <f>SeafoodLCAs[[#This Row],[CO2e (value)]]*SeafoodLCAs[[#This Row],[Conversion factor (value)]]</f>
        <v>0.6</v>
      </c>
      <c r="AA106" s="96">
        <f>1/4</f>
        <v>0.25</v>
      </c>
      <c r="AB106" s="108" t="s">
        <v>1093</v>
      </c>
      <c r="AC106" s="96"/>
      <c r="AD106" s="96"/>
      <c r="AE106" s="96"/>
      <c r="AF106" s="96"/>
      <c r="AG106" s="94"/>
      <c r="AH106" s="94"/>
      <c r="AI106" s="94"/>
      <c r="AJ106" s="94"/>
      <c r="AK106" s="94"/>
    </row>
    <row r="107" spans="1:37" ht="44.1" customHeight="1" x14ac:dyDescent="0.2">
      <c r="A107" s="74" t="s">
        <v>251</v>
      </c>
      <c r="B107" s="5" t="s">
        <v>1519</v>
      </c>
      <c r="C107" s="16">
        <v>2010</v>
      </c>
      <c r="D107" s="74" t="s">
        <v>1101</v>
      </c>
      <c r="E107" s="74" t="s">
        <v>1063</v>
      </c>
      <c r="F107" s="75" t="s">
        <v>66</v>
      </c>
      <c r="G107" s="75" t="str">
        <f t="shared" si="7"/>
        <v>a_animal_ghg</v>
      </c>
      <c r="H107" s="77" t="s">
        <v>262</v>
      </c>
      <c r="I107" s="76" t="s">
        <v>983</v>
      </c>
      <c r="J107" s="76"/>
      <c r="K107" s="74" t="s">
        <v>916</v>
      </c>
      <c r="L107" s="74" t="s">
        <v>1102</v>
      </c>
      <c r="M107" s="74" t="s">
        <v>1383</v>
      </c>
      <c r="N107" s="74" t="s">
        <v>164</v>
      </c>
      <c r="O107" s="77" t="s">
        <v>109</v>
      </c>
      <c r="P107" s="74" t="s">
        <v>1065</v>
      </c>
      <c r="Q107" s="74" t="s">
        <v>105</v>
      </c>
      <c r="R107" s="74" t="s">
        <v>462</v>
      </c>
      <c r="S107" s="77">
        <v>1</v>
      </c>
      <c r="T107" s="77" t="s">
        <v>927</v>
      </c>
      <c r="U107" s="74">
        <v>1520</v>
      </c>
      <c r="V107" s="77" t="s">
        <v>106</v>
      </c>
      <c r="W107" s="83">
        <v>1E-3</v>
      </c>
      <c r="X107" s="77" t="s">
        <v>956</v>
      </c>
      <c r="Y107" s="77" t="str">
        <f t="shared" si="8"/>
        <v>kg_co2e_excl_luc</v>
      </c>
      <c r="Z107" s="24">
        <f>SeafoodLCAs[[#This Row],[CO2e (value)]]*SeafoodLCAs[[#This Row],[Conversion factor (value)]]</f>
        <v>1.52</v>
      </c>
      <c r="AA107" s="77">
        <f t="shared" ref="AA107:AA114" si="9">1/2</f>
        <v>0.5</v>
      </c>
      <c r="AB107" s="80" t="s">
        <v>109</v>
      </c>
      <c r="AC107" s="74" t="s">
        <v>1103</v>
      </c>
      <c r="AD107" s="74" t="s">
        <v>1104</v>
      </c>
      <c r="AE107" s="74"/>
      <c r="AF107" s="74"/>
      <c r="AG107" s="94"/>
      <c r="AH107" s="94"/>
      <c r="AI107" s="94"/>
      <c r="AJ107" s="94"/>
      <c r="AK107" s="94"/>
    </row>
    <row r="108" spans="1:37" ht="44.1" customHeight="1" x14ac:dyDescent="0.2">
      <c r="A108" s="74" t="s">
        <v>251</v>
      </c>
      <c r="B108" s="5" t="s">
        <v>1519</v>
      </c>
      <c r="C108" s="16">
        <v>2010</v>
      </c>
      <c r="D108" s="74" t="s">
        <v>1101</v>
      </c>
      <c r="E108" s="74" t="s">
        <v>1063</v>
      </c>
      <c r="F108" s="75" t="s">
        <v>66</v>
      </c>
      <c r="G108" s="75" t="str">
        <f t="shared" si="7"/>
        <v>a_animal_ghg</v>
      </c>
      <c r="H108" s="77" t="s">
        <v>262</v>
      </c>
      <c r="I108" s="76" t="s">
        <v>983</v>
      </c>
      <c r="J108" s="76"/>
      <c r="K108" s="74" t="s">
        <v>916</v>
      </c>
      <c r="L108" s="74" t="s">
        <v>1105</v>
      </c>
      <c r="M108" s="74" t="s">
        <v>1383</v>
      </c>
      <c r="N108" s="74" t="s">
        <v>164</v>
      </c>
      <c r="O108" s="77" t="s">
        <v>109</v>
      </c>
      <c r="P108" s="74" t="s">
        <v>1065</v>
      </c>
      <c r="Q108" s="74" t="s">
        <v>105</v>
      </c>
      <c r="R108" s="74" t="s">
        <v>462</v>
      </c>
      <c r="S108" s="77">
        <v>1</v>
      </c>
      <c r="T108" s="77" t="s">
        <v>927</v>
      </c>
      <c r="U108" s="74">
        <v>2100</v>
      </c>
      <c r="V108" s="77" t="s">
        <v>106</v>
      </c>
      <c r="W108" s="83">
        <v>1E-3</v>
      </c>
      <c r="X108" s="77" t="s">
        <v>956</v>
      </c>
      <c r="Y108" s="77" t="str">
        <f t="shared" si="8"/>
        <v>kg_co2e_excl_luc</v>
      </c>
      <c r="Z108" s="24">
        <f>SeafoodLCAs[[#This Row],[CO2e (value)]]*SeafoodLCAs[[#This Row],[Conversion factor (value)]]</f>
        <v>2.1</v>
      </c>
      <c r="AA108" s="77">
        <f t="shared" si="9"/>
        <v>0.5</v>
      </c>
      <c r="AB108" s="80" t="s">
        <v>109</v>
      </c>
      <c r="AC108" s="74" t="s">
        <v>1103</v>
      </c>
      <c r="AD108" s="74" t="s">
        <v>1104</v>
      </c>
      <c r="AE108" s="74"/>
      <c r="AF108" s="74"/>
      <c r="AG108" s="94"/>
      <c r="AH108" s="94"/>
      <c r="AI108" s="94"/>
      <c r="AJ108" s="94"/>
      <c r="AK108" s="94"/>
    </row>
    <row r="109" spans="1:37" ht="44.1" customHeight="1" x14ac:dyDescent="0.2">
      <c r="A109" s="74" t="s">
        <v>1011</v>
      </c>
      <c r="B109" s="5" t="s">
        <v>1523</v>
      </c>
      <c r="C109" s="16">
        <v>2016</v>
      </c>
      <c r="D109" s="87" t="s">
        <v>1526</v>
      </c>
      <c r="E109" s="74" t="s">
        <v>1063</v>
      </c>
      <c r="F109" s="75" t="s">
        <v>66</v>
      </c>
      <c r="G109" s="75" t="str">
        <f t="shared" si="7"/>
        <v>a_animal_ghg</v>
      </c>
      <c r="H109" s="77" t="s">
        <v>262</v>
      </c>
      <c r="I109" s="76" t="s">
        <v>1064</v>
      </c>
      <c r="J109" s="76"/>
      <c r="K109" s="74" t="s">
        <v>916</v>
      </c>
      <c r="L109" s="74" t="s">
        <v>219</v>
      </c>
      <c r="M109" s="74" t="s">
        <v>1383</v>
      </c>
      <c r="N109" s="74" t="s">
        <v>102</v>
      </c>
      <c r="O109" s="74" t="s">
        <v>109</v>
      </c>
      <c r="P109" s="74" t="s">
        <v>1065</v>
      </c>
      <c r="Q109" s="74" t="s">
        <v>102</v>
      </c>
      <c r="R109" s="74" t="s">
        <v>126</v>
      </c>
      <c r="S109" s="74">
        <v>1</v>
      </c>
      <c r="T109" s="74" t="s">
        <v>1066</v>
      </c>
      <c r="U109" s="74">
        <v>960.7</v>
      </c>
      <c r="V109" s="74" t="s">
        <v>106</v>
      </c>
      <c r="W109" s="24">
        <v>1E-3</v>
      </c>
      <c r="X109" s="74" t="s">
        <v>956</v>
      </c>
      <c r="Y109" s="74" t="str">
        <f t="shared" si="8"/>
        <v>kg_co2e_excl_luc</v>
      </c>
      <c r="Z109" s="24">
        <f>SeafoodLCAs[[#This Row],[CO2e (value)]]*SeafoodLCAs[[#This Row],[Conversion factor (value)]]</f>
        <v>0.96070000000000011</v>
      </c>
      <c r="AA109" s="74">
        <f t="shared" si="9"/>
        <v>0.5</v>
      </c>
      <c r="AB109" s="75" t="s">
        <v>109</v>
      </c>
      <c r="AC109" s="74" t="s">
        <v>1067</v>
      </c>
      <c r="AD109" s="74"/>
      <c r="AE109" s="74"/>
      <c r="AF109" s="74"/>
      <c r="AG109" s="94"/>
      <c r="AH109" s="94"/>
      <c r="AI109" s="94"/>
      <c r="AJ109" s="94"/>
      <c r="AK109" s="94"/>
    </row>
    <row r="110" spans="1:37" ht="44.1" customHeight="1" x14ac:dyDescent="0.2">
      <c r="A110" s="74" t="s">
        <v>1011</v>
      </c>
      <c r="B110" s="5" t="s">
        <v>1523</v>
      </c>
      <c r="C110" s="16">
        <v>2016</v>
      </c>
      <c r="D110" s="87" t="s">
        <v>1526</v>
      </c>
      <c r="E110" s="74" t="s">
        <v>1063</v>
      </c>
      <c r="F110" s="75" t="s">
        <v>66</v>
      </c>
      <c r="G110" s="75" t="str">
        <f t="shared" si="7"/>
        <v>a_animal_ghg</v>
      </c>
      <c r="H110" s="77" t="s">
        <v>262</v>
      </c>
      <c r="I110" s="76" t="s">
        <v>1064</v>
      </c>
      <c r="J110" s="76"/>
      <c r="K110" s="74" t="s">
        <v>916</v>
      </c>
      <c r="L110" s="74" t="s">
        <v>1068</v>
      </c>
      <c r="M110" s="74" t="s">
        <v>1383</v>
      </c>
      <c r="N110" s="74" t="s">
        <v>102</v>
      </c>
      <c r="O110" s="74" t="s">
        <v>109</v>
      </c>
      <c r="P110" s="74" t="s">
        <v>1065</v>
      </c>
      <c r="Q110" s="74" t="s">
        <v>102</v>
      </c>
      <c r="R110" s="74" t="s">
        <v>126</v>
      </c>
      <c r="S110" s="74">
        <v>1</v>
      </c>
      <c r="T110" s="74" t="s">
        <v>1066</v>
      </c>
      <c r="U110" s="74">
        <v>6126.1</v>
      </c>
      <c r="V110" s="74" t="s">
        <v>106</v>
      </c>
      <c r="W110" s="24">
        <v>1E-3</v>
      </c>
      <c r="X110" s="74" t="s">
        <v>956</v>
      </c>
      <c r="Y110" s="74" t="str">
        <f t="shared" si="8"/>
        <v>kg_co2e_excl_luc</v>
      </c>
      <c r="Z110" s="24">
        <f>SeafoodLCAs[[#This Row],[CO2e (value)]]*SeafoodLCAs[[#This Row],[Conversion factor (value)]]</f>
        <v>6.1261000000000001</v>
      </c>
      <c r="AA110" s="74">
        <f t="shared" si="9"/>
        <v>0.5</v>
      </c>
      <c r="AB110" s="75" t="s">
        <v>109</v>
      </c>
      <c r="AC110" s="74" t="s">
        <v>1067</v>
      </c>
      <c r="AD110" s="74" t="s">
        <v>1069</v>
      </c>
      <c r="AE110" s="74"/>
      <c r="AF110" s="74"/>
      <c r="AG110" s="94"/>
      <c r="AH110" s="94"/>
      <c r="AI110" s="94"/>
      <c r="AJ110" s="94"/>
      <c r="AK110" s="94"/>
    </row>
    <row r="111" spans="1:37" ht="44.1" customHeight="1" x14ac:dyDescent="0.2">
      <c r="A111" s="74" t="s">
        <v>974</v>
      </c>
      <c r="B111" s="5" t="s">
        <v>1517</v>
      </c>
      <c r="C111" s="16">
        <v>2013</v>
      </c>
      <c r="D111" s="74" t="s">
        <v>982</v>
      </c>
      <c r="E111" s="74" t="s">
        <v>990</v>
      </c>
      <c r="F111" s="75" t="s">
        <v>66</v>
      </c>
      <c r="G111" s="75" t="str">
        <f t="shared" si="7"/>
        <v>a_animal_ghg</v>
      </c>
      <c r="H111" s="77" t="s">
        <v>262</v>
      </c>
      <c r="I111" s="76" t="s">
        <v>983</v>
      </c>
      <c r="J111" s="76"/>
      <c r="K111" s="74" t="s">
        <v>916</v>
      </c>
      <c r="L111" s="74" t="s">
        <v>984</v>
      </c>
      <c r="M111" s="74" t="s">
        <v>1383</v>
      </c>
      <c r="N111" s="74" t="s">
        <v>109</v>
      </c>
      <c r="O111" s="74" t="s">
        <v>109</v>
      </c>
      <c r="P111" s="74" t="s">
        <v>102</v>
      </c>
      <c r="Q111" s="74" t="s">
        <v>985</v>
      </c>
      <c r="R111" s="74" t="s">
        <v>152</v>
      </c>
      <c r="S111" s="74">
        <v>1</v>
      </c>
      <c r="T111" s="74" t="s">
        <v>986</v>
      </c>
      <c r="U111" s="78">
        <v>1094</v>
      </c>
      <c r="V111" s="74" t="s">
        <v>106</v>
      </c>
      <c r="W111" s="24">
        <v>1E-3</v>
      </c>
      <c r="X111" s="74" t="s">
        <v>956</v>
      </c>
      <c r="Y111" s="74" t="str">
        <f t="shared" si="8"/>
        <v>kg_co2e_excl_luc</v>
      </c>
      <c r="Z111" s="24">
        <f>SeafoodLCAs[[#This Row],[CO2e (value)]]*SeafoodLCAs[[#This Row],[Conversion factor (value)]]</f>
        <v>1.0940000000000001</v>
      </c>
      <c r="AA111" s="74">
        <f t="shared" si="9"/>
        <v>0.5</v>
      </c>
      <c r="AB111" s="74" t="s">
        <v>109</v>
      </c>
      <c r="AC111" s="74" t="s">
        <v>987</v>
      </c>
      <c r="AD111" s="74" t="s">
        <v>988</v>
      </c>
      <c r="AE111" s="74"/>
      <c r="AF111" s="74"/>
      <c r="AG111" s="94"/>
      <c r="AH111" s="94"/>
      <c r="AI111" s="94"/>
      <c r="AJ111" s="94"/>
      <c r="AK111" s="94"/>
    </row>
    <row r="112" spans="1:37" ht="44.1" customHeight="1" x14ac:dyDescent="0.2">
      <c r="A112" s="74" t="s">
        <v>974</v>
      </c>
      <c r="B112" s="5" t="s">
        <v>1517</v>
      </c>
      <c r="C112" s="16">
        <v>2013</v>
      </c>
      <c r="D112" s="74" t="s">
        <v>982</v>
      </c>
      <c r="E112" s="74" t="s">
        <v>990</v>
      </c>
      <c r="F112" s="75" t="s">
        <v>66</v>
      </c>
      <c r="G112" s="75" t="str">
        <f t="shared" si="7"/>
        <v>a_animal_ghg</v>
      </c>
      <c r="H112" s="77" t="s">
        <v>262</v>
      </c>
      <c r="I112" s="76" t="s">
        <v>983</v>
      </c>
      <c r="J112" s="76"/>
      <c r="K112" s="74" t="s">
        <v>916</v>
      </c>
      <c r="L112" s="74" t="s">
        <v>989</v>
      </c>
      <c r="M112" s="74" t="s">
        <v>1383</v>
      </c>
      <c r="N112" s="74" t="s">
        <v>109</v>
      </c>
      <c r="O112" s="74" t="s">
        <v>109</v>
      </c>
      <c r="P112" s="74" t="s">
        <v>102</v>
      </c>
      <c r="Q112" s="74" t="s">
        <v>985</v>
      </c>
      <c r="R112" s="74" t="s">
        <v>152</v>
      </c>
      <c r="S112" s="74">
        <v>1</v>
      </c>
      <c r="T112" s="74" t="s">
        <v>986</v>
      </c>
      <c r="U112" s="78">
        <v>1261</v>
      </c>
      <c r="V112" s="74" t="s">
        <v>106</v>
      </c>
      <c r="W112" s="24">
        <v>1E-3</v>
      </c>
      <c r="X112" s="74" t="s">
        <v>956</v>
      </c>
      <c r="Y112" s="74" t="str">
        <f t="shared" si="8"/>
        <v>kg_co2e_excl_luc</v>
      </c>
      <c r="Z112" s="24">
        <f>SeafoodLCAs[[#This Row],[CO2e (value)]]*SeafoodLCAs[[#This Row],[Conversion factor (value)]]</f>
        <v>1.2610000000000001</v>
      </c>
      <c r="AA112" s="74">
        <f t="shared" si="9"/>
        <v>0.5</v>
      </c>
      <c r="AB112" s="74" t="s">
        <v>109</v>
      </c>
      <c r="AC112" s="74" t="s">
        <v>987</v>
      </c>
      <c r="AD112" s="74" t="s">
        <v>988</v>
      </c>
      <c r="AE112" s="74"/>
      <c r="AF112" s="74"/>
      <c r="AG112" s="94"/>
      <c r="AH112" s="94"/>
      <c r="AI112" s="94"/>
      <c r="AJ112" s="94"/>
      <c r="AK112" s="94"/>
    </row>
    <row r="113" spans="1:38" ht="44.1" customHeight="1" x14ac:dyDescent="0.2">
      <c r="A113" s="94" t="s">
        <v>251</v>
      </c>
      <c r="B113" s="94" t="s">
        <v>1097</v>
      </c>
      <c r="C113" s="94"/>
      <c r="D113" s="95" t="s">
        <v>1098</v>
      </c>
      <c r="E113" s="94" t="s">
        <v>1111</v>
      </c>
      <c r="F113" s="95" t="s">
        <v>1112</v>
      </c>
      <c r="G113" s="95" t="str">
        <f t="shared" si="7"/>
        <v>a_animal_ghg</v>
      </c>
      <c r="H113" s="96" t="s">
        <v>262</v>
      </c>
      <c r="I113" s="101" t="s">
        <v>114</v>
      </c>
      <c r="J113" s="101"/>
      <c r="K113" s="94" t="s">
        <v>916</v>
      </c>
      <c r="L113" s="94" t="s">
        <v>1099</v>
      </c>
      <c r="M113" s="94"/>
      <c r="N113" s="94" t="s">
        <v>109</v>
      </c>
      <c r="O113" s="94" t="s">
        <v>109</v>
      </c>
      <c r="P113" s="94" t="s">
        <v>1092</v>
      </c>
      <c r="Q113" s="94" t="s">
        <v>102</v>
      </c>
      <c r="R113" s="94" t="s">
        <v>126</v>
      </c>
      <c r="S113" s="94">
        <v>1</v>
      </c>
      <c r="T113" s="94" t="s">
        <v>927</v>
      </c>
      <c r="U113" s="94">
        <v>2.2200000000000002</v>
      </c>
      <c r="V113" s="94" t="s">
        <v>106</v>
      </c>
      <c r="W113" s="30">
        <v>1</v>
      </c>
      <c r="X113" s="94" t="s">
        <v>262</v>
      </c>
      <c r="Y113" s="94" t="str">
        <f t="shared" si="8"/>
        <v>kg_co2e_excl_luc</v>
      </c>
      <c r="Z113" s="30">
        <f>SeafoodLCAs[[#This Row],[CO2e (value)]]*SeafoodLCAs[[#This Row],[Conversion factor (value)]]</f>
        <v>2.2200000000000002</v>
      </c>
      <c r="AA113" s="94">
        <f t="shared" si="9"/>
        <v>0.5</v>
      </c>
      <c r="AB113" s="95" t="s">
        <v>1113</v>
      </c>
      <c r="AC113" s="94"/>
      <c r="AD113" s="94"/>
      <c r="AE113" s="94"/>
      <c r="AF113" s="94"/>
      <c r="AG113" s="94"/>
      <c r="AH113" s="94"/>
      <c r="AI113" s="94"/>
      <c r="AJ113" s="94"/>
      <c r="AK113" s="94"/>
    </row>
    <row r="114" spans="1:38" ht="44.1" customHeight="1" x14ac:dyDescent="0.2">
      <c r="A114" s="94" t="s">
        <v>251</v>
      </c>
      <c r="B114" s="94" t="s">
        <v>1097</v>
      </c>
      <c r="C114" s="94"/>
      <c r="D114" s="95" t="s">
        <v>1098</v>
      </c>
      <c r="E114" s="94" t="s">
        <v>1111</v>
      </c>
      <c r="F114" s="95" t="s">
        <v>1112</v>
      </c>
      <c r="G114" s="95" t="str">
        <f t="shared" si="7"/>
        <v>a_animal_ghg</v>
      </c>
      <c r="H114" s="96" t="s">
        <v>262</v>
      </c>
      <c r="I114" s="101" t="s">
        <v>114</v>
      </c>
      <c r="J114" s="101"/>
      <c r="K114" s="94" t="s">
        <v>916</v>
      </c>
      <c r="L114" s="94" t="s">
        <v>1100</v>
      </c>
      <c r="M114" s="94"/>
      <c r="N114" s="94" t="s">
        <v>109</v>
      </c>
      <c r="O114" s="94" t="s">
        <v>109</v>
      </c>
      <c r="P114" s="94" t="s">
        <v>1092</v>
      </c>
      <c r="Q114" s="94" t="s">
        <v>102</v>
      </c>
      <c r="R114" s="94" t="s">
        <v>126</v>
      </c>
      <c r="S114" s="94">
        <v>1</v>
      </c>
      <c r="T114" s="94" t="s">
        <v>927</v>
      </c>
      <c r="U114" s="94">
        <v>2.2200000000000002</v>
      </c>
      <c r="V114" s="94" t="s">
        <v>106</v>
      </c>
      <c r="W114" s="30">
        <v>1</v>
      </c>
      <c r="X114" s="94" t="s">
        <v>262</v>
      </c>
      <c r="Y114" s="94" t="str">
        <f t="shared" si="8"/>
        <v>kg_co2e_excl_luc</v>
      </c>
      <c r="Z114" s="30">
        <f>SeafoodLCAs[[#This Row],[CO2e (value)]]*SeafoodLCAs[[#This Row],[Conversion factor (value)]]</f>
        <v>2.2200000000000002</v>
      </c>
      <c r="AA114" s="94">
        <f t="shared" si="9"/>
        <v>0.5</v>
      </c>
      <c r="AB114" s="95" t="s">
        <v>1113</v>
      </c>
      <c r="AC114" s="94"/>
      <c r="AD114" s="94"/>
      <c r="AE114" s="94"/>
      <c r="AF114" s="94"/>
      <c r="AG114" s="94"/>
      <c r="AH114" s="94"/>
      <c r="AI114" s="94"/>
      <c r="AJ114" s="94"/>
      <c r="AK114" s="94"/>
    </row>
    <row r="115" spans="1:38" ht="44.1" customHeight="1" x14ac:dyDescent="0.2">
      <c r="A115" s="94" t="s">
        <v>1116</v>
      </c>
      <c r="B115" s="94" t="s">
        <v>1150</v>
      </c>
      <c r="C115" s="94"/>
      <c r="D115" s="94" t="s">
        <v>1151</v>
      </c>
      <c r="E115" s="94" t="s">
        <v>1111</v>
      </c>
      <c r="F115" s="95" t="s">
        <v>1112</v>
      </c>
      <c r="G115" s="95" t="str">
        <f t="shared" si="7"/>
        <v>a_animal_ghg</v>
      </c>
      <c r="H115" s="96" t="s">
        <v>262</v>
      </c>
      <c r="I115" s="97" t="s">
        <v>114</v>
      </c>
      <c r="J115" s="97"/>
      <c r="K115" s="94" t="s">
        <v>916</v>
      </c>
      <c r="L115" s="94"/>
      <c r="M115" s="94"/>
      <c r="N115" s="94"/>
      <c r="O115" s="94" t="s">
        <v>109</v>
      </c>
      <c r="P115" s="94"/>
      <c r="Q115" s="94"/>
      <c r="R115" s="94"/>
      <c r="S115" s="94">
        <v>1</v>
      </c>
      <c r="T115" s="94" t="s">
        <v>1152</v>
      </c>
      <c r="U115" s="94">
        <v>2425</v>
      </c>
      <c r="V115" s="94" t="s">
        <v>106</v>
      </c>
      <c r="W115" s="30">
        <v>1E-3</v>
      </c>
      <c r="X115" s="94" t="s">
        <v>956</v>
      </c>
      <c r="Y115" s="94" t="str">
        <f t="shared" si="8"/>
        <v>kg_co2e_excl_luc</v>
      </c>
      <c r="Z115" s="30">
        <f>SeafoodLCAs[[#This Row],[CO2e (value)]]*SeafoodLCAs[[#This Row],[Conversion factor (value)]]</f>
        <v>2.4250000000000003</v>
      </c>
      <c r="AA115" s="94"/>
      <c r="AB115" s="94" t="s">
        <v>1113</v>
      </c>
      <c r="AC115" s="94" t="s">
        <v>1153</v>
      </c>
      <c r="AD115" s="94"/>
      <c r="AE115" s="94"/>
      <c r="AF115" s="94"/>
      <c r="AG115" s="94"/>
      <c r="AH115" s="94"/>
      <c r="AI115" s="94"/>
      <c r="AJ115" s="94"/>
      <c r="AK115" s="94"/>
    </row>
    <row r="116" spans="1:38" ht="44.1" customHeight="1" x14ac:dyDescent="0.2">
      <c r="A116" s="94" t="s">
        <v>1116</v>
      </c>
      <c r="B116" s="94" t="s">
        <v>1150</v>
      </c>
      <c r="C116" s="94"/>
      <c r="D116" s="94" t="s">
        <v>1151</v>
      </c>
      <c r="E116" s="94" t="s">
        <v>1111</v>
      </c>
      <c r="F116" s="95" t="s">
        <v>1112</v>
      </c>
      <c r="G116" s="95" t="str">
        <f t="shared" si="7"/>
        <v>a_animal_ghg</v>
      </c>
      <c r="H116" s="96" t="s">
        <v>262</v>
      </c>
      <c r="I116" s="97" t="s">
        <v>114</v>
      </c>
      <c r="J116" s="97"/>
      <c r="K116" s="94" t="s">
        <v>916</v>
      </c>
      <c r="L116" s="94"/>
      <c r="M116" s="94"/>
      <c r="N116" s="94"/>
      <c r="O116" s="94" t="s">
        <v>109</v>
      </c>
      <c r="P116" s="94"/>
      <c r="Q116" s="94"/>
      <c r="R116" s="94"/>
      <c r="S116" s="94">
        <v>1</v>
      </c>
      <c r="T116" s="94" t="s">
        <v>1154</v>
      </c>
      <c r="U116" s="94">
        <v>2647</v>
      </c>
      <c r="V116" s="94" t="s">
        <v>106</v>
      </c>
      <c r="W116" s="30">
        <v>1E-3</v>
      </c>
      <c r="X116" s="94" t="s">
        <v>956</v>
      </c>
      <c r="Y116" s="94" t="str">
        <f t="shared" si="8"/>
        <v>kg_co2e_excl_luc</v>
      </c>
      <c r="Z116" s="30">
        <f>SeafoodLCAs[[#This Row],[CO2e (value)]]*SeafoodLCAs[[#This Row],[Conversion factor (value)]]</f>
        <v>2.6470000000000002</v>
      </c>
      <c r="AA116" s="94"/>
      <c r="AB116" s="94" t="s">
        <v>1113</v>
      </c>
      <c r="AC116" s="94" t="s">
        <v>1153</v>
      </c>
      <c r="AD116" s="94"/>
      <c r="AE116" s="94"/>
      <c r="AF116" s="94"/>
      <c r="AG116" s="94"/>
      <c r="AH116" s="94"/>
      <c r="AI116" s="94"/>
      <c r="AJ116" s="94"/>
      <c r="AK116" s="94"/>
    </row>
    <row r="117" spans="1:38" ht="44.1" customHeight="1" x14ac:dyDescent="0.2">
      <c r="A117" s="94" t="s">
        <v>1116</v>
      </c>
      <c r="B117" s="94" t="s">
        <v>1150</v>
      </c>
      <c r="C117" s="94"/>
      <c r="D117" s="94" t="s">
        <v>1151</v>
      </c>
      <c r="E117" s="94" t="s">
        <v>1111</v>
      </c>
      <c r="F117" s="95" t="s">
        <v>1112</v>
      </c>
      <c r="G117" s="95" t="str">
        <f t="shared" si="7"/>
        <v>a_animal_ghg</v>
      </c>
      <c r="H117" s="96" t="s">
        <v>262</v>
      </c>
      <c r="I117" s="97" t="s">
        <v>114</v>
      </c>
      <c r="J117" s="97"/>
      <c r="K117" s="94" t="s">
        <v>916</v>
      </c>
      <c r="L117" s="94"/>
      <c r="M117" s="94"/>
      <c r="N117" s="94"/>
      <c r="O117" s="94" t="s">
        <v>109</v>
      </c>
      <c r="P117" s="94"/>
      <c r="Q117" s="94"/>
      <c r="R117" s="94"/>
      <c r="S117" s="94">
        <v>1</v>
      </c>
      <c r="T117" s="94" t="s">
        <v>1155</v>
      </c>
      <c r="U117" s="94">
        <v>2344</v>
      </c>
      <c r="V117" s="94" t="s">
        <v>106</v>
      </c>
      <c r="W117" s="30">
        <v>1E-3</v>
      </c>
      <c r="X117" s="94" t="s">
        <v>956</v>
      </c>
      <c r="Y117" s="94" t="str">
        <f t="shared" si="8"/>
        <v>kg_co2e_excl_luc</v>
      </c>
      <c r="Z117" s="30">
        <f>SeafoodLCAs[[#This Row],[CO2e (value)]]*SeafoodLCAs[[#This Row],[Conversion factor (value)]]</f>
        <v>2.3439999999999999</v>
      </c>
      <c r="AA117" s="94"/>
      <c r="AB117" s="94" t="s">
        <v>1113</v>
      </c>
      <c r="AC117" s="94" t="s">
        <v>1153</v>
      </c>
      <c r="AD117" s="94"/>
      <c r="AE117" s="94"/>
      <c r="AF117" s="94"/>
      <c r="AG117" s="94"/>
      <c r="AH117" s="94"/>
      <c r="AI117" s="94"/>
      <c r="AJ117" s="94"/>
      <c r="AK117" s="94"/>
    </row>
    <row r="118" spans="1:38" ht="44.1" customHeight="1" x14ac:dyDescent="0.2">
      <c r="A118" s="74" t="s">
        <v>99</v>
      </c>
      <c r="B118" s="5" t="s">
        <v>1504</v>
      </c>
      <c r="C118" s="16">
        <v>2015</v>
      </c>
      <c r="D118" s="75" t="s">
        <v>901</v>
      </c>
      <c r="E118" s="74" t="s">
        <v>902</v>
      </c>
      <c r="F118" s="75" t="s">
        <v>68</v>
      </c>
      <c r="G118" s="75" t="str">
        <f t="shared" si="7"/>
        <v>a_animal_ghg</v>
      </c>
      <c r="H118" s="74" t="s">
        <v>903</v>
      </c>
      <c r="I118" s="76" t="s">
        <v>904</v>
      </c>
      <c r="J118" s="76"/>
      <c r="K118" s="74" t="s">
        <v>905</v>
      </c>
      <c r="L118" s="74" t="s">
        <v>906</v>
      </c>
      <c r="M118" s="74" t="s">
        <v>1249</v>
      </c>
      <c r="N118" s="74" t="s">
        <v>109</v>
      </c>
      <c r="O118" s="74" t="s">
        <v>109</v>
      </c>
      <c r="P118" s="74" t="s">
        <v>907</v>
      </c>
      <c r="Q118" s="74" t="s">
        <v>105</v>
      </c>
      <c r="R118" s="74" t="s">
        <v>126</v>
      </c>
      <c r="S118" s="74">
        <v>1</v>
      </c>
      <c r="T118" s="74" t="s">
        <v>908</v>
      </c>
      <c r="U118" s="74">
        <v>2170</v>
      </c>
      <c r="V118" s="74" t="s">
        <v>106</v>
      </c>
      <c r="W118" s="24">
        <v>1E-3</v>
      </c>
      <c r="X118" s="74" t="s">
        <v>195</v>
      </c>
      <c r="Y118" s="74" t="str">
        <f t="shared" si="8"/>
        <v>kg_co2e_excl_luc</v>
      </c>
      <c r="Z118" s="24">
        <f>SeafoodLCAs[[#This Row],[CO2e (value)]]*SeafoodLCAs[[#This Row],[Conversion factor (value)]]</f>
        <v>2.17</v>
      </c>
      <c r="AA118" s="74">
        <f>1/4</f>
        <v>0.25</v>
      </c>
      <c r="AB118" s="75" t="s">
        <v>109</v>
      </c>
      <c r="AC118" s="74" t="s">
        <v>909</v>
      </c>
      <c r="AD118" s="74" t="s">
        <v>910</v>
      </c>
      <c r="AE118" s="74"/>
      <c r="AF118" s="74"/>
      <c r="AG118" s="94"/>
      <c r="AH118" s="94"/>
      <c r="AI118" s="94"/>
      <c r="AJ118" s="94"/>
      <c r="AK118" s="94"/>
    </row>
    <row r="119" spans="1:38" ht="44.1" customHeight="1" x14ac:dyDescent="0.2">
      <c r="A119" s="74" t="s">
        <v>99</v>
      </c>
      <c r="B119" s="5" t="s">
        <v>1504</v>
      </c>
      <c r="C119" s="16">
        <v>2015</v>
      </c>
      <c r="D119" s="75" t="s">
        <v>901</v>
      </c>
      <c r="E119" s="74" t="s">
        <v>902</v>
      </c>
      <c r="F119" s="75" t="s">
        <v>68</v>
      </c>
      <c r="G119" s="75" t="str">
        <f t="shared" si="7"/>
        <v>a_animal_ghg</v>
      </c>
      <c r="H119" s="74" t="s">
        <v>903</v>
      </c>
      <c r="I119" s="76" t="s">
        <v>904</v>
      </c>
      <c r="J119" s="76"/>
      <c r="K119" s="74" t="s">
        <v>905</v>
      </c>
      <c r="L119" s="74" t="s">
        <v>911</v>
      </c>
      <c r="M119" s="74" t="s">
        <v>1249</v>
      </c>
      <c r="N119" s="74" t="s">
        <v>109</v>
      </c>
      <c r="O119" s="74" t="s">
        <v>109</v>
      </c>
      <c r="P119" s="74" t="s">
        <v>907</v>
      </c>
      <c r="Q119" s="74" t="s">
        <v>105</v>
      </c>
      <c r="R119" s="74" t="s">
        <v>126</v>
      </c>
      <c r="S119" s="74">
        <v>1</v>
      </c>
      <c r="T119" s="74" t="s">
        <v>908</v>
      </c>
      <c r="U119" s="74">
        <v>2667</v>
      </c>
      <c r="V119" s="74" t="s">
        <v>106</v>
      </c>
      <c r="W119" s="24">
        <v>1E-3</v>
      </c>
      <c r="X119" s="74" t="s">
        <v>195</v>
      </c>
      <c r="Y119" s="74" t="str">
        <f t="shared" si="8"/>
        <v>kg_co2e_excl_luc</v>
      </c>
      <c r="Z119" s="24">
        <f>SeafoodLCAs[[#This Row],[CO2e (value)]]*SeafoodLCAs[[#This Row],[Conversion factor (value)]]</f>
        <v>2.6670000000000003</v>
      </c>
      <c r="AA119" s="74">
        <f>1/4</f>
        <v>0.25</v>
      </c>
      <c r="AB119" s="75" t="s">
        <v>109</v>
      </c>
      <c r="AC119" s="74" t="s">
        <v>909</v>
      </c>
      <c r="AD119" s="74" t="s">
        <v>910</v>
      </c>
      <c r="AE119" s="74"/>
      <c r="AF119" s="74"/>
      <c r="AG119" s="94"/>
      <c r="AH119" s="94"/>
      <c r="AI119" s="94"/>
      <c r="AJ119" s="94"/>
      <c r="AK119" s="94"/>
    </row>
    <row r="120" spans="1:38" ht="44.1" customHeight="1" x14ac:dyDescent="0.2">
      <c r="A120" s="74" t="s">
        <v>99</v>
      </c>
      <c r="B120" s="5" t="s">
        <v>1504</v>
      </c>
      <c r="C120" s="16">
        <v>2015</v>
      </c>
      <c r="D120" s="75" t="s">
        <v>901</v>
      </c>
      <c r="E120" s="74" t="s">
        <v>902</v>
      </c>
      <c r="F120" s="75" t="s">
        <v>68</v>
      </c>
      <c r="G120" s="75" t="str">
        <f t="shared" si="7"/>
        <v>a_animal_ghg</v>
      </c>
      <c r="H120" s="74" t="s">
        <v>903</v>
      </c>
      <c r="I120" s="76" t="s">
        <v>904</v>
      </c>
      <c r="J120" s="76"/>
      <c r="K120" s="74" t="s">
        <v>905</v>
      </c>
      <c r="L120" s="74" t="s">
        <v>912</v>
      </c>
      <c r="M120" s="74" t="s">
        <v>1249</v>
      </c>
      <c r="N120" s="74" t="s">
        <v>109</v>
      </c>
      <c r="O120" s="74" t="s">
        <v>109</v>
      </c>
      <c r="P120" s="74" t="s">
        <v>907</v>
      </c>
      <c r="Q120" s="74" t="s">
        <v>105</v>
      </c>
      <c r="R120" s="74" t="s">
        <v>126</v>
      </c>
      <c r="S120" s="74">
        <v>1</v>
      </c>
      <c r="T120" s="74" t="s">
        <v>908</v>
      </c>
      <c r="U120" s="74">
        <v>2716</v>
      </c>
      <c r="V120" s="74" t="s">
        <v>106</v>
      </c>
      <c r="W120" s="24">
        <v>1E-3</v>
      </c>
      <c r="X120" s="74" t="s">
        <v>195</v>
      </c>
      <c r="Y120" s="74" t="str">
        <f t="shared" si="8"/>
        <v>kg_co2e_excl_luc</v>
      </c>
      <c r="Z120" s="24">
        <f>SeafoodLCAs[[#This Row],[CO2e (value)]]*SeafoodLCAs[[#This Row],[Conversion factor (value)]]</f>
        <v>2.7160000000000002</v>
      </c>
      <c r="AA120" s="74">
        <f>1/4</f>
        <v>0.25</v>
      </c>
      <c r="AB120" s="75" t="s">
        <v>109</v>
      </c>
      <c r="AC120" s="74" t="s">
        <v>909</v>
      </c>
      <c r="AD120" s="74" t="s">
        <v>910</v>
      </c>
      <c r="AE120" s="74"/>
      <c r="AF120" s="74"/>
      <c r="AG120" s="94"/>
      <c r="AH120" s="94"/>
      <c r="AI120" s="94"/>
      <c r="AJ120" s="94"/>
      <c r="AK120" s="94"/>
    </row>
    <row r="121" spans="1:38" ht="44.1" customHeight="1" x14ac:dyDescent="0.2">
      <c r="A121" s="74" t="s">
        <v>99</v>
      </c>
      <c r="B121" s="5" t="s">
        <v>1504</v>
      </c>
      <c r="C121" s="16">
        <v>2015</v>
      </c>
      <c r="D121" s="75" t="s">
        <v>901</v>
      </c>
      <c r="E121" s="74" t="s">
        <v>902</v>
      </c>
      <c r="F121" s="75" t="s">
        <v>68</v>
      </c>
      <c r="G121" s="75" t="str">
        <f t="shared" si="7"/>
        <v>a_animal_ghg</v>
      </c>
      <c r="H121" s="74" t="s">
        <v>903</v>
      </c>
      <c r="I121" s="76" t="s">
        <v>904</v>
      </c>
      <c r="J121" s="76"/>
      <c r="K121" s="74" t="s">
        <v>905</v>
      </c>
      <c r="L121" s="74" t="s">
        <v>913</v>
      </c>
      <c r="M121" s="74" t="s">
        <v>1249</v>
      </c>
      <c r="N121" s="74" t="s">
        <v>109</v>
      </c>
      <c r="O121" s="74" t="s">
        <v>109</v>
      </c>
      <c r="P121" s="74" t="s">
        <v>907</v>
      </c>
      <c r="Q121" s="74" t="s">
        <v>105</v>
      </c>
      <c r="R121" s="74" t="s">
        <v>126</v>
      </c>
      <c r="S121" s="74">
        <v>1</v>
      </c>
      <c r="T121" s="74" t="s">
        <v>908</v>
      </c>
      <c r="U121" s="74">
        <v>2763</v>
      </c>
      <c r="V121" s="74" t="s">
        <v>106</v>
      </c>
      <c r="W121" s="24">
        <v>1E-3</v>
      </c>
      <c r="X121" s="74" t="s">
        <v>195</v>
      </c>
      <c r="Y121" s="74" t="str">
        <f t="shared" si="8"/>
        <v>kg_co2e_excl_luc</v>
      </c>
      <c r="Z121" s="24">
        <f>SeafoodLCAs[[#This Row],[CO2e (value)]]*SeafoodLCAs[[#This Row],[Conversion factor (value)]]</f>
        <v>2.7629999999999999</v>
      </c>
      <c r="AA121" s="74">
        <f>1/4</f>
        <v>0.25</v>
      </c>
      <c r="AB121" s="75" t="s">
        <v>109</v>
      </c>
      <c r="AC121" s="74" t="s">
        <v>909</v>
      </c>
      <c r="AD121" s="74" t="s">
        <v>910</v>
      </c>
      <c r="AE121" s="74"/>
      <c r="AF121" s="74"/>
      <c r="AG121" s="94"/>
      <c r="AH121" s="94"/>
      <c r="AI121" s="94"/>
      <c r="AJ121" s="94"/>
      <c r="AK121" s="94"/>
    </row>
    <row r="122" spans="1:38" ht="44.1" customHeight="1" x14ac:dyDescent="0.2">
      <c r="A122" s="74" t="s">
        <v>943</v>
      </c>
      <c r="B122" s="5" t="s">
        <v>1514</v>
      </c>
      <c r="C122" s="16">
        <v>2005</v>
      </c>
      <c r="D122" s="77" t="s">
        <v>1001</v>
      </c>
      <c r="E122" s="74" t="s">
        <v>902</v>
      </c>
      <c r="F122" s="75" t="s">
        <v>68</v>
      </c>
      <c r="G122" s="75" t="str">
        <f t="shared" si="7"/>
        <v>a_animal_ghg</v>
      </c>
      <c r="H122" s="74" t="s">
        <v>1002</v>
      </c>
      <c r="I122" s="76" t="s">
        <v>77</v>
      </c>
      <c r="J122" s="76"/>
      <c r="K122" s="74" t="s">
        <v>905</v>
      </c>
      <c r="L122" s="74" t="s">
        <v>1003</v>
      </c>
      <c r="M122" s="74" t="s">
        <v>1249</v>
      </c>
      <c r="N122" s="74" t="s">
        <v>808</v>
      </c>
      <c r="O122" s="74" t="s">
        <v>109</v>
      </c>
      <c r="P122" s="74" t="s">
        <v>1004</v>
      </c>
      <c r="Q122" s="74" t="s">
        <v>102</v>
      </c>
      <c r="R122" s="74" t="s">
        <v>126</v>
      </c>
      <c r="S122" s="74">
        <v>1</v>
      </c>
      <c r="T122" s="74" t="s">
        <v>995</v>
      </c>
      <c r="U122" s="74">
        <v>1600</v>
      </c>
      <c r="V122" s="74" t="s">
        <v>106</v>
      </c>
      <c r="W122" s="24">
        <v>1E-3</v>
      </c>
      <c r="X122" s="74" t="s">
        <v>956</v>
      </c>
      <c r="Y122" s="74" t="str">
        <f t="shared" si="8"/>
        <v>kg_co2e_excl_luc</v>
      </c>
      <c r="Z122" s="24">
        <f>SeafoodLCAs[[#This Row],[CO2e (value)]]*SeafoodLCAs[[#This Row],[Conversion factor (value)]]</f>
        <v>1.6</v>
      </c>
      <c r="AA122" s="74">
        <f>1/3</f>
        <v>0.33333333333333331</v>
      </c>
      <c r="AB122" s="75" t="s">
        <v>109</v>
      </c>
      <c r="AC122" s="74"/>
      <c r="AD122" s="74"/>
      <c r="AE122" s="74"/>
      <c r="AF122" s="74"/>
      <c r="AG122" s="94"/>
      <c r="AH122" s="94"/>
      <c r="AI122" s="94"/>
      <c r="AJ122" s="94"/>
      <c r="AK122" s="94"/>
    </row>
    <row r="123" spans="1:38" ht="44.1" customHeight="1" x14ac:dyDescent="0.2">
      <c r="A123" s="74" t="s">
        <v>943</v>
      </c>
      <c r="B123" s="5" t="s">
        <v>1514</v>
      </c>
      <c r="C123" s="16">
        <v>2005</v>
      </c>
      <c r="D123" s="77" t="s">
        <v>1001</v>
      </c>
      <c r="E123" s="74" t="s">
        <v>902</v>
      </c>
      <c r="F123" s="75" t="s">
        <v>68</v>
      </c>
      <c r="G123" s="75" t="str">
        <f t="shared" si="7"/>
        <v>a_animal_ghg</v>
      </c>
      <c r="H123" s="74" t="s">
        <v>1005</v>
      </c>
      <c r="I123" s="76" t="s">
        <v>77</v>
      </c>
      <c r="J123" s="76"/>
      <c r="K123" s="74" t="s">
        <v>905</v>
      </c>
      <c r="L123" s="74" t="s">
        <v>1003</v>
      </c>
      <c r="M123" s="74" t="s">
        <v>1249</v>
      </c>
      <c r="N123" s="74" t="s">
        <v>808</v>
      </c>
      <c r="O123" s="74" t="s">
        <v>109</v>
      </c>
      <c r="P123" s="74" t="s">
        <v>1004</v>
      </c>
      <c r="Q123" s="74" t="s">
        <v>102</v>
      </c>
      <c r="R123" s="74" t="s">
        <v>126</v>
      </c>
      <c r="S123" s="74">
        <v>1</v>
      </c>
      <c r="T123" s="74" t="s">
        <v>995</v>
      </c>
      <c r="U123" s="74">
        <v>1700</v>
      </c>
      <c r="V123" s="74" t="s">
        <v>106</v>
      </c>
      <c r="W123" s="24">
        <v>1E-3</v>
      </c>
      <c r="X123" s="74" t="s">
        <v>956</v>
      </c>
      <c r="Y123" s="74" t="str">
        <f t="shared" si="8"/>
        <v>kg_co2e_excl_luc</v>
      </c>
      <c r="Z123" s="24">
        <f>SeafoodLCAs[[#This Row],[CO2e (value)]]*SeafoodLCAs[[#This Row],[Conversion factor (value)]]</f>
        <v>1.7</v>
      </c>
      <c r="AA123" s="74">
        <f>1/3</f>
        <v>0.33333333333333331</v>
      </c>
      <c r="AB123" s="75" t="s">
        <v>109</v>
      </c>
      <c r="AC123" s="74"/>
      <c r="AD123" s="74"/>
      <c r="AE123" s="74"/>
      <c r="AF123" s="74"/>
      <c r="AG123" s="94"/>
      <c r="AH123" s="94"/>
      <c r="AI123" s="94"/>
      <c r="AJ123" s="94"/>
      <c r="AK123" s="94"/>
    </row>
    <row r="124" spans="1:38" ht="44.1" customHeight="1" x14ac:dyDescent="0.2">
      <c r="A124" s="74" t="s">
        <v>943</v>
      </c>
      <c r="B124" s="5" t="s">
        <v>1514</v>
      </c>
      <c r="C124" s="16">
        <v>2005</v>
      </c>
      <c r="D124" s="77" t="s">
        <v>1001</v>
      </c>
      <c r="E124" s="74" t="s">
        <v>902</v>
      </c>
      <c r="F124" s="75" t="s">
        <v>68</v>
      </c>
      <c r="G124" s="75" t="str">
        <f t="shared" si="7"/>
        <v>a_animal_ghg</v>
      </c>
      <c r="H124" s="74" t="s">
        <v>1006</v>
      </c>
      <c r="I124" s="76" t="s">
        <v>77</v>
      </c>
      <c r="J124" s="76"/>
      <c r="K124" s="74" t="s">
        <v>905</v>
      </c>
      <c r="L124" s="74" t="s">
        <v>1003</v>
      </c>
      <c r="M124" s="74" t="s">
        <v>1249</v>
      </c>
      <c r="N124" s="74" t="s">
        <v>808</v>
      </c>
      <c r="O124" s="74" t="s">
        <v>109</v>
      </c>
      <c r="P124" s="74" t="s">
        <v>1004</v>
      </c>
      <c r="Q124" s="74" t="s">
        <v>102</v>
      </c>
      <c r="R124" s="74" t="s">
        <v>126</v>
      </c>
      <c r="S124" s="74">
        <v>1</v>
      </c>
      <c r="T124" s="74" t="s">
        <v>995</v>
      </c>
      <c r="U124" s="74">
        <v>2200</v>
      </c>
      <c r="V124" s="74" t="s">
        <v>106</v>
      </c>
      <c r="W124" s="24">
        <v>1E-3</v>
      </c>
      <c r="X124" s="74" t="s">
        <v>956</v>
      </c>
      <c r="Y124" s="74" t="str">
        <f t="shared" si="8"/>
        <v>kg_co2e_excl_luc</v>
      </c>
      <c r="Z124" s="24">
        <f>SeafoodLCAs[[#This Row],[CO2e (value)]]*SeafoodLCAs[[#This Row],[Conversion factor (value)]]</f>
        <v>2.2000000000000002</v>
      </c>
      <c r="AA124" s="74">
        <f>1/3</f>
        <v>0.33333333333333331</v>
      </c>
      <c r="AB124" s="75" t="s">
        <v>109</v>
      </c>
      <c r="AC124" s="74"/>
      <c r="AD124" s="74"/>
      <c r="AE124" s="74"/>
      <c r="AF124" s="74"/>
      <c r="AG124" s="94"/>
      <c r="AH124" s="94"/>
      <c r="AI124" s="94"/>
      <c r="AJ124" s="94"/>
      <c r="AK124" s="94"/>
    </row>
    <row r="125" spans="1:38" ht="44.1" customHeight="1" x14ac:dyDescent="0.2">
      <c r="A125" s="74" t="s">
        <v>1011</v>
      </c>
      <c r="B125" s="5" t="s">
        <v>1515</v>
      </c>
      <c r="C125" s="16">
        <v>2011</v>
      </c>
      <c r="D125" s="75" t="s">
        <v>1027</v>
      </c>
      <c r="E125" s="74" t="s">
        <v>902</v>
      </c>
      <c r="F125" s="75" t="s">
        <v>68</v>
      </c>
      <c r="G125" s="75" t="str">
        <f t="shared" si="7"/>
        <v>a_animal_ghg</v>
      </c>
      <c r="H125" s="74" t="s">
        <v>1044</v>
      </c>
      <c r="I125" s="76" t="s">
        <v>77</v>
      </c>
      <c r="J125" s="76"/>
      <c r="K125" s="74" t="s">
        <v>905</v>
      </c>
      <c r="L125" s="74" t="s">
        <v>1039</v>
      </c>
      <c r="M125" s="74" t="s">
        <v>1249</v>
      </c>
      <c r="N125" s="74" t="s">
        <v>102</v>
      </c>
      <c r="O125" s="74" t="s">
        <v>379</v>
      </c>
      <c r="P125" s="74" t="s">
        <v>1031</v>
      </c>
      <c r="Q125" s="74" t="s">
        <v>102</v>
      </c>
      <c r="R125" s="74">
        <v>100</v>
      </c>
      <c r="S125" s="74">
        <v>1</v>
      </c>
      <c r="T125" s="74" t="s">
        <v>1032</v>
      </c>
      <c r="U125" s="74">
        <v>20.45</v>
      </c>
      <c r="V125" s="74" t="s">
        <v>816</v>
      </c>
      <c r="W125" s="24">
        <v>1</v>
      </c>
      <c r="X125" s="74" t="s">
        <v>262</v>
      </c>
      <c r="Y125" s="74" t="str">
        <f t="shared" si="8"/>
        <v>kg_co2e_excl_luc</v>
      </c>
      <c r="Z125" s="24">
        <f>SeafoodLCAs[[#This Row],[CO2e (value)]]*SeafoodLCAs[[#This Row],[Conversion factor (value)]]</f>
        <v>20.45</v>
      </c>
      <c r="AA125" s="74">
        <v>0.25</v>
      </c>
      <c r="AB125" s="75" t="s">
        <v>109</v>
      </c>
      <c r="AC125" s="74" t="s">
        <v>1033</v>
      </c>
      <c r="AD125" s="74" t="s">
        <v>1045</v>
      </c>
      <c r="AE125" s="74" t="s">
        <v>1782</v>
      </c>
      <c r="AF125" s="74"/>
      <c r="AG125" s="94"/>
      <c r="AH125" s="94"/>
      <c r="AI125" s="94"/>
      <c r="AJ125" s="94"/>
      <c r="AK125" s="94"/>
    </row>
    <row r="126" spans="1:38" s="79" customFormat="1" ht="44.1" customHeight="1" x14ac:dyDescent="0.2">
      <c r="A126" s="74" t="s">
        <v>1011</v>
      </c>
      <c r="B126" s="5" t="s">
        <v>1515</v>
      </c>
      <c r="C126" s="16">
        <v>2011</v>
      </c>
      <c r="D126" s="75" t="s">
        <v>1027</v>
      </c>
      <c r="E126" s="74" t="s">
        <v>902</v>
      </c>
      <c r="F126" s="75" t="s">
        <v>68</v>
      </c>
      <c r="G126" s="75" t="str">
        <f t="shared" si="7"/>
        <v>a_animal_ghg</v>
      </c>
      <c r="H126" s="74" t="s">
        <v>1052</v>
      </c>
      <c r="I126" s="76" t="s">
        <v>77</v>
      </c>
      <c r="J126" s="76"/>
      <c r="K126" s="74" t="s">
        <v>905</v>
      </c>
      <c r="L126" s="74" t="s">
        <v>1003</v>
      </c>
      <c r="M126" s="74" t="s">
        <v>1249</v>
      </c>
      <c r="N126" s="74" t="s">
        <v>102</v>
      </c>
      <c r="O126" s="74" t="s">
        <v>379</v>
      </c>
      <c r="P126" s="74" t="s">
        <v>1031</v>
      </c>
      <c r="Q126" s="74" t="s">
        <v>102</v>
      </c>
      <c r="R126" s="74">
        <v>100</v>
      </c>
      <c r="S126" s="74">
        <v>1</v>
      </c>
      <c r="T126" s="74" t="s">
        <v>1032</v>
      </c>
      <c r="U126" s="74">
        <v>1.56</v>
      </c>
      <c r="V126" s="74" t="s">
        <v>816</v>
      </c>
      <c r="W126" s="24">
        <v>1</v>
      </c>
      <c r="X126" s="74" t="s">
        <v>262</v>
      </c>
      <c r="Y126" s="74" t="str">
        <f t="shared" si="8"/>
        <v>kg_co2e_excl_luc</v>
      </c>
      <c r="Z126" s="24">
        <f>SeafoodLCAs[[#This Row],[CO2e (value)]]*SeafoodLCAs[[#This Row],[Conversion factor (value)]]</f>
        <v>1.56</v>
      </c>
      <c r="AA126" s="74">
        <v>0.25</v>
      </c>
      <c r="AB126" s="75" t="s">
        <v>109</v>
      </c>
      <c r="AC126" s="74" t="s">
        <v>1033</v>
      </c>
      <c r="AD126" s="74" t="s">
        <v>1053</v>
      </c>
      <c r="AE126" s="74" t="s">
        <v>1783</v>
      </c>
      <c r="AF126" s="74"/>
      <c r="AG126" s="77"/>
      <c r="AH126" s="77"/>
      <c r="AI126" s="77"/>
      <c r="AJ126" s="77"/>
      <c r="AK126" s="77"/>
      <c r="AL126" s="77"/>
    </row>
    <row r="127" spans="1:38" s="110" customFormat="1" ht="44.1" customHeight="1" x14ac:dyDescent="0.2">
      <c r="A127" s="74" t="s">
        <v>1011</v>
      </c>
      <c r="B127" s="5" t="s">
        <v>1515</v>
      </c>
      <c r="C127" s="16">
        <v>2011</v>
      </c>
      <c r="D127" s="75" t="s">
        <v>1027</v>
      </c>
      <c r="E127" s="74" t="s">
        <v>902</v>
      </c>
      <c r="F127" s="75" t="s">
        <v>68</v>
      </c>
      <c r="G127" s="75" t="str">
        <f t="shared" si="7"/>
        <v>a_animal_ghg</v>
      </c>
      <c r="H127" s="74" t="s">
        <v>1005</v>
      </c>
      <c r="I127" s="76" t="s">
        <v>77</v>
      </c>
      <c r="J127" s="76"/>
      <c r="K127" s="74" t="s">
        <v>905</v>
      </c>
      <c r="L127" s="74" t="s">
        <v>1003</v>
      </c>
      <c r="M127" s="74" t="s">
        <v>1249</v>
      </c>
      <c r="N127" s="74" t="s">
        <v>102</v>
      </c>
      <c r="O127" s="74" t="s">
        <v>379</v>
      </c>
      <c r="P127" s="74" t="s">
        <v>1031</v>
      </c>
      <c r="Q127" s="74" t="s">
        <v>102</v>
      </c>
      <c r="R127" s="74">
        <v>100</v>
      </c>
      <c r="S127" s="74">
        <v>1</v>
      </c>
      <c r="T127" s="74" t="s">
        <v>1032</v>
      </c>
      <c r="U127" s="74">
        <v>1.39</v>
      </c>
      <c r="V127" s="74" t="s">
        <v>816</v>
      </c>
      <c r="W127" s="24">
        <v>1</v>
      </c>
      <c r="X127" s="74" t="s">
        <v>262</v>
      </c>
      <c r="Y127" s="74" t="str">
        <f t="shared" si="8"/>
        <v>kg_co2e_excl_luc</v>
      </c>
      <c r="Z127" s="24">
        <f>SeafoodLCAs[[#This Row],[CO2e (value)]]*SeafoodLCAs[[#This Row],[Conversion factor (value)]]</f>
        <v>1.39</v>
      </c>
      <c r="AA127" s="74">
        <v>0.25</v>
      </c>
      <c r="AB127" s="75" t="s">
        <v>109</v>
      </c>
      <c r="AC127" s="74" t="s">
        <v>1033</v>
      </c>
      <c r="AD127" s="74" t="s">
        <v>1054</v>
      </c>
      <c r="AE127" s="74" t="s">
        <v>1783</v>
      </c>
      <c r="AF127" s="74"/>
      <c r="AG127" s="96"/>
      <c r="AH127" s="96"/>
      <c r="AI127" s="96"/>
      <c r="AJ127" s="96"/>
      <c r="AK127" s="96"/>
      <c r="AL127" s="96"/>
    </row>
    <row r="128" spans="1:38" s="110" customFormat="1" ht="44.1" customHeight="1" x14ac:dyDescent="0.2">
      <c r="A128" s="74" t="s">
        <v>1011</v>
      </c>
      <c r="B128" s="5" t="s">
        <v>1515</v>
      </c>
      <c r="C128" s="16">
        <v>2011</v>
      </c>
      <c r="D128" s="75" t="s">
        <v>1027</v>
      </c>
      <c r="E128" s="74" t="s">
        <v>902</v>
      </c>
      <c r="F128" s="75" t="s">
        <v>68</v>
      </c>
      <c r="G128" s="75" t="str">
        <f t="shared" si="7"/>
        <v>a_animal_ghg</v>
      </c>
      <c r="H128" s="74" t="s">
        <v>1006</v>
      </c>
      <c r="I128" s="76" t="s">
        <v>77</v>
      </c>
      <c r="J128" s="76"/>
      <c r="K128" s="74" t="s">
        <v>905</v>
      </c>
      <c r="L128" s="74" t="s">
        <v>1003</v>
      </c>
      <c r="M128" s="74" t="s">
        <v>1249</v>
      </c>
      <c r="N128" s="74" t="s">
        <v>102</v>
      </c>
      <c r="O128" s="74" t="s">
        <v>379</v>
      </c>
      <c r="P128" s="74" t="s">
        <v>1031</v>
      </c>
      <c r="Q128" s="74" t="s">
        <v>102</v>
      </c>
      <c r="R128" s="74">
        <v>100</v>
      </c>
      <c r="S128" s="74">
        <v>1</v>
      </c>
      <c r="T128" s="74" t="s">
        <v>1032</v>
      </c>
      <c r="U128" s="74">
        <v>1.89</v>
      </c>
      <c r="V128" s="74" t="s">
        <v>816</v>
      </c>
      <c r="W128" s="24">
        <v>1</v>
      </c>
      <c r="X128" s="74" t="s">
        <v>262</v>
      </c>
      <c r="Y128" s="74" t="str">
        <f t="shared" si="8"/>
        <v>kg_co2e_excl_luc</v>
      </c>
      <c r="Z128" s="24">
        <f>SeafoodLCAs[[#This Row],[CO2e (value)]]*SeafoodLCAs[[#This Row],[Conversion factor (value)]]</f>
        <v>1.89</v>
      </c>
      <c r="AA128" s="74">
        <v>0.25</v>
      </c>
      <c r="AB128" s="75" t="s">
        <v>109</v>
      </c>
      <c r="AC128" s="74" t="s">
        <v>1033</v>
      </c>
      <c r="AD128" s="74" t="s">
        <v>1055</v>
      </c>
      <c r="AE128" s="74" t="s">
        <v>1783</v>
      </c>
      <c r="AF128" s="74"/>
      <c r="AG128" s="96"/>
      <c r="AH128" s="96"/>
      <c r="AI128" s="96"/>
      <c r="AJ128" s="96"/>
      <c r="AK128" s="96"/>
      <c r="AL128" s="96"/>
    </row>
    <row r="129" spans="1:38" s="110" customFormat="1" ht="44.1" customHeight="1" x14ac:dyDescent="0.2">
      <c r="A129" s="94" t="s">
        <v>1127</v>
      </c>
      <c r="B129" s="94" t="s">
        <v>1128</v>
      </c>
      <c r="C129" s="94"/>
      <c r="D129" s="94" t="s">
        <v>1129</v>
      </c>
      <c r="E129" s="94" t="s">
        <v>1130</v>
      </c>
      <c r="F129" s="95" t="s">
        <v>1112</v>
      </c>
      <c r="G129" s="95" t="str">
        <f t="shared" si="7"/>
        <v>a_animal_ghg</v>
      </c>
      <c r="H129" s="96" t="s">
        <v>262</v>
      </c>
      <c r="I129" s="97" t="s">
        <v>1131</v>
      </c>
      <c r="J129" s="97"/>
      <c r="K129" s="94" t="s">
        <v>916</v>
      </c>
      <c r="L129" s="94" t="s">
        <v>1132</v>
      </c>
      <c r="M129" s="94"/>
      <c r="N129" s="94" t="s">
        <v>109</v>
      </c>
      <c r="O129" s="94" t="s">
        <v>109</v>
      </c>
      <c r="P129" s="94"/>
      <c r="Q129" s="94"/>
      <c r="R129" s="94"/>
      <c r="S129" s="94">
        <v>1</v>
      </c>
      <c r="T129" s="94" t="s">
        <v>816</v>
      </c>
      <c r="U129" s="94">
        <v>7560.33</v>
      </c>
      <c r="V129" s="94" t="s">
        <v>106</v>
      </c>
      <c r="W129" s="30">
        <v>1E-3</v>
      </c>
      <c r="X129" s="94" t="s">
        <v>956</v>
      </c>
      <c r="Y129" s="94" t="str">
        <f t="shared" si="8"/>
        <v>kg_co2e_excl_luc</v>
      </c>
      <c r="Z129" s="30">
        <f>SeafoodLCAs[[#This Row],[CO2e (value)]]*SeafoodLCAs[[#This Row],[Conversion factor (value)]]</f>
        <v>7.5603300000000004</v>
      </c>
      <c r="AA129" s="94"/>
      <c r="AB129" s="94" t="s">
        <v>1113</v>
      </c>
      <c r="AC129" s="94" t="s">
        <v>1133</v>
      </c>
      <c r="AD129" s="94"/>
      <c r="AE129" s="94"/>
      <c r="AF129" s="94"/>
      <c r="AG129" s="96"/>
      <c r="AH129" s="96"/>
      <c r="AI129" s="96"/>
      <c r="AJ129" s="96"/>
      <c r="AK129" s="96"/>
      <c r="AL129" s="96"/>
    </row>
    <row r="130" spans="1:38" s="110" customFormat="1" ht="44.1" customHeight="1" x14ac:dyDescent="0.2">
      <c r="A130" s="94" t="s">
        <v>1127</v>
      </c>
      <c r="B130" s="94" t="s">
        <v>1134</v>
      </c>
      <c r="C130" s="94"/>
      <c r="D130" s="94" t="s">
        <v>1135</v>
      </c>
      <c r="E130" s="94" t="s">
        <v>1130</v>
      </c>
      <c r="F130" s="95" t="s">
        <v>1112</v>
      </c>
      <c r="G130" s="95" t="str">
        <f t="shared" si="7"/>
        <v>a_animal_ghg</v>
      </c>
      <c r="H130" s="96" t="s">
        <v>262</v>
      </c>
      <c r="I130" s="97" t="s">
        <v>114</v>
      </c>
      <c r="J130" s="97"/>
      <c r="K130" s="94" t="s">
        <v>916</v>
      </c>
      <c r="L130" s="94" t="s">
        <v>1141</v>
      </c>
      <c r="M130" s="94"/>
      <c r="N130" s="94"/>
      <c r="O130" s="94"/>
      <c r="P130" s="94"/>
      <c r="Q130" s="94"/>
      <c r="R130" s="103"/>
      <c r="S130" s="103">
        <v>1000</v>
      </c>
      <c r="T130" s="95" t="s">
        <v>1138</v>
      </c>
      <c r="U130" s="103">
        <v>3670</v>
      </c>
      <c r="V130" s="94" t="s">
        <v>106</v>
      </c>
      <c r="W130" s="30">
        <v>1E-3</v>
      </c>
      <c r="X130" s="94" t="s">
        <v>262</v>
      </c>
      <c r="Y130" s="94" t="str">
        <f t="shared" si="8"/>
        <v>kg_co2e_excl_luc</v>
      </c>
      <c r="Z130" s="30">
        <f>SeafoodLCAs[[#This Row],[CO2e (value)]]*SeafoodLCAs[[#This Row],[Conversion factor (value)]]</f>
        <v>3.67</v>
      </c>
      <c r="AA130" s="103"/>
      <c r="AB130" s="94" t="s">
        <v>1113</v>
      </c>
      <c r="AC130" s="94"/>
      <c r="AD130" s="94"/>
      <c r="AE130" s="94"/>
      <c r="AF130" s="94"/>
      <c r="AG130" s="96"/>
      <c r="AH130" s="96"/>
      <c r="AI130" s="96"/>
      <c r="AJ130" s="96"/>
      <c r="AK130" s="96"/>
      <c r="AL130" s="96"/>
    </row>
    <row r="131" spans="1:38" ht="44.1" customHeight="1" x14ac:dyDescent="0.2">
      <c r="A131" s="74"/>
      <c r="B131" s="74"/>
      <c r="C131" s="74"/>
      <c r="D131" s="74"/>
      <c r="E131" s="74"/>
      <c r="F131" s="75"/>
      <c r="G131" s="75"/>
      <c r="H131" s="74"/>
      <c r="I131" s="76"/>
      <c r="J131" s="76"/>
      <c r="K131" s="74"/>
      <c r="L131" s="74"/>
      <c r="M131" s="74"/>
      <c r="N131" s="74"/>
      <c r="O131" s="74"/>
      <c r="P131" s="74"/>
      <c r="Q131" s="74"/>
      <c r="R131" s="74"/>
      <c r="S131" s="85"/>
      <c r="T131" s="74"/>
      <c r="U131" s="74"/>
      <c r="V131" s="74"/>
      <c r="W131" s="74"/>
      <c r="X131" s="74"/>
      <c r="Y131" s="74"/>
      <c r="Z131" s="74"/>
      <c r="AA131" s="74"/>
      <c r="AB131" s="74"/>
      <c r="AC131" s="75"/>
      <c r="AD131" s="74"/>
      <c r="AE131" s="74"/>
      <c r="AF131" s="74"/>
      <c r="AG131" s="74"/>
      <c r="AH131" s="74"/>
      <c r="AI131" s="74"/>
      <c r="AJ131" s="74"/>
      <c r="AK131" s="74"/>
      <c r="AL131" s="74"/>
    </row>
    <row r="132" spans="1:38" ht="44.1" customHeight="1" x14ac:dyDescent="0.2">
      <c r="A132" s="74"/>
      <c r="B132" s="74"/>
      <c r="C132" s="74"/>
      <c r="D132" s="74"/>
      <c r="E132" s="74"/>
      <c r="F132" s="75"/>
      <c r="G132" s="75"/>
      <c r="H132" s="74"/>
      <c r="I132" s="76"/>
      <c r="J132" s="76"/>
      <c r="K132" s="74"/>
      <c r="L132" s="74"/>
      <c r="M132" s="74"/>
      <c r="N132" s="74"/>
      <c r="O132" s="74"/>
      <c r="P132" s="74"/>
      <c r="Q132" s="74"/>
      <c r="R132" s="74"/>
      <c r="S132" s="85"/>
      <c r="T132" s="74"/>
      <c r="U132" s="74"/>
      <c r="V132" s="74"/>
      <c r="W132" s="74"/>
      <c r="X132" s="74"/>
      <c r="Y132" s="74"/>
      <c r="Z132" s="74"/>
      <c r="AA132" s="74"/>
      <c r="AB132" s="74"/>
      <c r="AC132" s="75"/>
      <c r="AD132" s="74"/>
      <c r="AE132" s="74"/>
      <c r="AF132" s="74"/>
      <c r="AG132" s="74"/>
      <c r="AH132" s="74"/>
      <c r="AI132" s="74"/>
      <c r="AJ132" s="74"/>
      <c r="AK132" s="74"/>
      <c r="AL132" s="74"/>
    </row>
    <row r="133" spans="1:38" ht="44.1" customHeight="1" x14ac:dyDescent="0.2">
      <c r="A133" s="74"/>
      <c r="B133" s="74"/>
      <c r="C133" s="74"/>
      <c r="D133" s="74"/>
      <c r="E133" s="74"/>
      <c r="F133" s="75"/>
      <c r="G133" s="75"/>
      <c r="H133" s="74"/>
      <c r="I133" s="76"/>
      <c r="J133" s="76"/>
      <c r="K133" s="74"/>
      <c r="L133" s="74"/>
      <c r="M133" s="74"/>
      <c r="N133" s="74"/>
      <c r="O133" s="74"/>
      <c r="P133" s="74"/>
      <c r="Q133" s="74"/>
      <c r="R133" s="74"/>
      <c r="S133" s="85"/>
      <c r="T133" s="74"/>
      <c r="U133" s="74"/>
      <c r="V133" s="74"/>
      <c r="W133" s="74"/>
      <c r="X133" s="74"/>
      <c r="Y133" s="74"/>
      <c r="Z133" s="74"/>
      <c r="AA133" s="74"/>
      <c r="AB133" s="74"/>
      <c r="AC133" s="75"/>
      <c r="AD133" s="74"/>
      <c r="AE133" s="74"/>
      <c r="AF133" s="74"/>
      <c r="AG133" s="74"/>
      <c r="AH133" s="74"/>
      <c r="AI133" s="74"/>
      <c r="AJ133" s="74"/>
      <c r="AK133" s="74"/>
      <c r="AL133" s="74"/>
    </row>
    <row r="134" spans="1:38" ht="44.1" customHeight="1" x14ac:dyDescent="0.2">
      <c r="A134" s="74"/>
      <c r="B134" s="74"/>
      <c r="C134" s="74"/>
      <c r="D134" s="74"/>
      <c r="E134" s="74"/>
      <c r="F134" s="75"/>
      <c r="G134" s="75"/>
      <c r="H134" s="74"/>
      <c r="I134" s="76"/>
      <c r="J134" s="76"/>
      <c r="K134" s="74"/>
      <c r="L134" s="74"/>
      <c r="M134" s="74"/>
      <c r="N134" s="74"/>
      <c r="O134" s="74"/>
      <c r="P134" s="74"/>
      <c r="Q134" s="74"/>
      <c r="R134" s="74"/>
      <c r="S134" s="85"/>
      <c r="T134" s="74"/>
      <c r="U134" s="74"/>
      <c r="V134" s="74"/>
      <c r="W134" s="74"/>
      <c r="X134" s="74"/>
      <c r="Y134" s="74"/>
      <c r="Z134" s="74"/>
      <c r="AA134" s="74"/>
      <c r="AB134" s="74"/>
      <c r="AC134" s="75"/>
      <c r="AD134" s="74"/>
      <c r="AE134" s="74"/>
      <c r="AF134" s="74"/>
      <c r="AG134" s="74"/>
      <c r="AH134" s="74"/>
      <c r="AI134" s="74"/>
      <c r="AJ134" s="74"/>
      <c r="AK134" s="74"/>
      <c r="AL134" s="74"/>
    </row>
    <row r="135" spans="1:38" ht="44.1" customHeight="1" x14ac:dyDescent="0.2">
      <c r="A135" s="74"/>
      <c r="B135" s="74"/>
      <c r="C135" s="74"/>
      <c r="D135" s="74"/>
      <c r="E135" s="74"/>
      <c r="F135" s="75"/>
      <c r="G135" s="75"/>
      <c r="H135" s="74"/>
      <c r="I135" s="76"/>
      <c r="J135" s="76"/>
      <c r="K135" s="74"/>
      <c r="L135" s="74"/>
      <c r="M135" s="74"/>
      <c r="N135" s="74"/>
      <c r="O135" s="74"/>
      <c r="P135" s="74"/>
      <c r="Q135" s="74"/>
      <c r="R135" s="74"/>
      <c r="S135" s="85"/>
      <c r="T135" s="74"/>
      <c r="U135" s="74"/>
      <c r="V135" s="74"/>
      <c r="W135" s="74"/>
      <c r="X135" s="74"/>
      <c r="Y135" s="74"/>
      <c r="Z135" s="74"/>
      <c r="AA135" s="74"/>
      <c r="AB135" s="74"/>
      <c r="AC135" s="75"/>
      <c r="AD135" s="74"/>
      <c r="AE135" s="74"/>
      <c r="AF135" s="74"/>
      <c r="AG135" s="74"/>
      <c r="AH135" s="74"/>
      <c r="AI135" s="74"/>
      <c r="AJ135" s="74"/>
      <c r="AK135" s="74"/>
      <c r="AL135" s="74"/>
    </row>
    <row r="136" spans="1:38" ht="44.1" customHeight="1" x14ac:dyDescent="0.2">
      <c r="A136" s="74"/>
      <c r="B136" s="74"/>
      <c r="C136" s="74"/>
      <c r="D136" s="74"/>
      <c r="E136" s="74"/>
      <c r="F136" s="75"/>
      <c r="G136" s="75"/>
      <c r="H136" s="74"/>
      <c r="I136" s="76"/>
      <c r="J136" s="76"/>
      <c r="K136" s="74"/>
      <c r="L136" s="74"/>
      <c r="M136" s="74"/>
      <c r="N136" s="74"/>
      <c r="O136" s="74"/>
      <c r="P136" s="74"/>
      <c r="Q136" s="74"/>
      <c r="R136" s="74"/>
      <c r="S136" s="85"/>
      <c r="T136" s="74"/>
      <c r="U136" s="74"/>
      <c r="V136" s="74"/>
      <c r="W136" s="74"/>
      <c r="X136" s="74"/>
      <c r="Y136" s="74"/>
      <c r="Z136" s="74"/>
      <c r="AA136" s="74"/>
      <c r="AB136" s="74"/>
      <c r="AC136" s="75"/>
      <c r="AD136" s="74"/>
      <c r="AE136" s="74"/>
      <c r="AF136" s="74"/>
      <c r="AG136" s="74"/>
      <c r="AH136" s="74"/>
      <c r="AI136" s="74"/>
      <c r="AJ136" s="74"/>
      <c r="AK136" s="74"/>
      <c r="AL136" s="74"/>
    </row>
    <row r="137" spans="1:38" ht="44.1" customHeight="1" x14ac:dyDescent="0.2">
      <c r="A137" s="74"/>
      <c r="B137" s="74"/>
      <c r="C137" s="74"/>
      <c r="D137" s="74"/>
      <c r="E137" s="74"/>
      <c r="F137" s="75"/>
      <c r="G137" s="75"/>
      <c r="H137" s="74"/>
      <c r="I137" s="76"/>
      <c r="J137" s="76"/>
      <c r="K137" s="74"/>
      <c r="L137" s="74"/>
      <c r="M137" s="74"/>
      <c r="N137" s="74"/>
      <c r="O137" s="74"/>
      <c r="P137" s="74"/>
      <c r="Q137" s="74"/>
      <c r="R137" s="74"/>
      <c r="S137" s="85"/>
      <c r="T137" s="74"/>
      <c r="U137" s="74"/>
      <c r="V137" s="74"/>
      <c r="W137" s="74"/>
      <c r="X137" s="74"/>
      <c r="Y137" s="74"/>
      <c r="Z137" s="74"/>
      <c r="AA137" s="74"/>
      <c r="AB137" s="74"/>
      <c r="AC137" s="75"/>
      <c r="AD137" s="74"/>
      <c r="AE137" s="74"/>
      <c r="AF137" s="74"/>
      <c r="AG137" s="74"/>
      <c r="AH137" s="74"/>
      <c r="AI137" s="74"/>
      <c r="AJ137" s="74"/>
      <c r="AK137" s="74"/>
      <c r="AL137" s="74"/>
    </row>
    <row r="138" spans="1:38" ht="44.1" customHeight="1" x14ac:dyDescent="0.2">
      <c r="A138" s="74"/>
      <c r="B138" s="74"/>
      <c r="C138" s="74"/>
      <c r="D138" s="74"/>
      <c r="E138" s="74"/>
      <c r="F138" s="75"/>
      <c r="G138" s="75"/>
      <c r="H138" s="74"/>
      <c r="I138" s="76"/>
      <c r="J138" s="76"/>
      <c r="K138" s="74"/>
      <c r="L138" s="74"/>
      <c r="M138" s="74"/>
      <c r="N138" s="74"/>
      <c r="O138" s="74"/>
      <c r="P138" s="74"/>
      <c r="Q138" s="74"/>
      <c r="R138" s="74"/>
      <c r="S138" s="85"/>
      <c r="T138" s="74"/>
      <c r="U138" s="74"/>
      <c r="V138" s="74"/>
      <c r="W138" s="74"/>
      <c r="X138" s="74"/>
      <c r="Y138" s="74"/>
      <c r="Z138" s="74"/>
      <c r="AA138" s="74"/>
      <c r="AB138" s="74"/>
      <c r="AC138" s="75"/>
      <c r="AD138" s="74"/>
      <c r="AE138" s="74"/>
      <c r="AF138" s="74"/>
      <c r="AG138" s="74"/>
      <c r="AH138" s="74"/>
      <c r="AI138" s="74"/>
      <c r="AJ138" s="74"/>
      <c r="AK138" s="74"/>
      <c r="AL138" s="74"/>
    </row>
    <row r="139" spans="1:38" ht="44.1" customHeight="1" x14ac:dyDescent="0.2">
      <c r="A139" s="74"/>
      <c r="B139" s="74"/>
      <c r="C139" s="74"/>
      <c r="D139" s="74"/>
      <c r="E139" s="74"/>
      <c r="F139" s="75"/>
      <c r="G139" s="75"/>
      <c r="H139" s="74"/>
      <c r="I139" s="76"/>
      <c r="J139" s="76"/>
      <c r="K139" s="74"/>
      <c r="L139" s="74"/>
      <c r="M139" s="74"/>
      <c r="N139" s="74"/>
      <c r="O139" s="74"/>
      <c r="P139" s="74"/>
      <c r="Q139" s="74"/>
      <c r="R139" s="74"/>
      <c r="S139" s="85"/>
      <c r="T139" s="74"/>
      <c r="U139" s="74"/>
      <c r="V139" s="74"/>
      <c r="W139" s="74"/>
      <c r="X139" s="74"/>
      <c r="Y139" s="74"/>
      <c r="Z139" s="74"/>
      <c r="AA139" s="74"/>
      <c r="AB139" s="74"/>
      <c r="AC139" s="75"/>
      <c r="AD139" s="74"/>
      <c r="AE139" s="74"/>
      <c r="AF139" s="74"/>
      <c r="AG139" s="74"/>
      <c r="AH139" s="74"/>
      <c r="AI139" s="74"/>
      <c r="AJ139" s="74"/>
      <c r="AK139" s="74"/>
      <c r="AL139" s="74"/>
    </row>
    <row r="140" spans="1:38" ht="44.1" customHeight="1" x14ac:dyDescent="0.2">
      <c r="A140" s="74"/>
      <c r="B140" s="74"/>
      <c r="C140" s="74"/>
      <c r="D140" s="74"/>
      <c r="E140" s="74"/>
      <c r="F140" s="75"/>
      <c r="G140" s="75"/>
      <c r="H140" s="74"/>
      <c r="I140" s="76"/>
      <c r="J140" s="76"/>
      <c r="K140" s="74"/>
      <c r="L140" s="74"/>
      <c r="M140" s="74"/>
      <c r="N140" s="74"/>
      <c r="O140" s="74"/>
      <c r="P140" s="74"/>
      <c r="Q140" s="74"/>
      <c r="R140" s="74"/>
      <c r="S140" s="85"/>
      <c r="T140" s="74"/>
      <c r="U140" s="74"/>
      <c r="V140" s="74"/>
      <c r="W140" s="74"/>
      <c r="X140" s="74"/>
      <c r="Y140" s="74"/>
      <c r="Z140" s="74"/>
      <c r="AA140" s="74"/>
      <c r="AB140" s="74"/>
      <c r="AC140" s="75"/>
      <c r="AD140" s="74"/>
      <c r="AE140" s="74"/>
      <c r="AF140" s="74"/>
      <c r="AG140" s="74"/>
      <c r="AH140" s="74"/>
      <c r="AI140" s="74"/>
      <c r="AJ140" s="74"/>
      <c r="AK140" s="74"/>
      <c r="AL140" s="74"/>
    </row>
    <row r="141" spans="1:38" ht="44.1" customHeight="1" x14ac:dyDescent="0.2">
      <c r="A141" s="74"/>
      <c r="B141" s="74"/>
      <c r="C141" s="74"/>
      <c r="D141" s="74"/>
      <c r="E141" s="74"/>
      <c r="F141" s="75"/>
      <c r="G141" s="75"/>
      <c r="H141" s="74"/>
      <c r="I141" s="76"/>
      <c r="J141" s="76"/>
      <c r="K141" s="74"/>
      <c r="L141" s="74"/>
      <c r="M141" s="74"/>
      <c r="N141" s="74"/>
      <c r="O141" s="74"/>
      <c r="P141" s="74"/>
      <c r="Q141" s="74"/>
      <c r="R141" s="74"/>
      <c r="S141" s="85"/>
      <c r="T141" s="74"/>
      <c r="U141" s="74"/>
      <c r="V141" s="74"/>
      <c r="W141" s="74"/>
      <c r="X141" s="74"/>
      <c r="Y141" s="74"/>
      <c r="Z141" s="74"/>
      <c r="AA141" s="74"/>
      <c r="AB141" s="74"/>
      <c r="AC141" s="75"/>
      <c r="AD141" s="74"/>
      <c r="AE141" s="74"/>
      <c r="AF141" s="74"/>
      <c r="AG141" s="74"/>
      <c r="AH141" s="74"/>
      <c r="AI141" s="74"/>
      <c r="AJ141" s="74"/>
      <c r="AK141" s="74"/>
      <c r="AL141" s="74"/>
    </row>
    <row r="142" spans="1:38" ht="44.1" customHeight="1" x14ac:dyDescent="0.2">
      <c r="A142" s="74"/>
      <c r="B142" s="74"/>
      <c r="C142" s="74"/>
      <c r="D142" s="74"/>
      <c r="E142" s="74"/>
      <c r="F142" s="75"/>
      <c r="G142" s="75"/>
      <c r="H142" s="74"/>
      <c r="I142" s="76"/>
      <c r="J142" s="76"/>
      <c r="K142" s="74"/>
      <c r="L142" s="74"/>
      <c r="M142" s="74"/>
      <c r="N142" s="74"/>
      <c r="O142" s="74"/>
      <c r="P142" s="74"/>
      <c r="Q142" s="74"/>
      <c r="R142" s="74"/>
      <c r="S142" s="85"/>
      <c r="T142" s="74"/>
      <c r="U142" s="74"/>
      <c r="V142" s="74"/>
      <c r="W142" s="74"/>
      <c r="X142" s="74"/>
      <c r="Y142" s="74"/>
      <c r="Z142" s="74"/>
      <c r="AA142" s="74"/>
      <c r="AB142" s="74"/>
      <c r="AC142" s="75"/>
      <c r="AD142" s="74"/>
      <c r="AE142" s="74"/>
      <c r="AF142" s="74"/>
      <c r="AG142" s="74"/>
      <c r="AH142" s="74"/>
      <c r="AI142" s="74"/>
      <c r="AJ142" s="74"/>
      <c r="AK142" s="74"/>
      <c r="AL142" s="74"/>
    </row>
    <row r="143" spans="1:38" ht="44.1" customHeight="1" x14ac:dyDescent="0.2">
      <c r="A143" s="74"/>
      <c r="B143" s="74"/>
      <c r="C143" s="74"/>
      <c r="D143" s="74"/>
      <c r="E143" s="74"/>
      <c r="F143" s="75"/>
      <c r="G143" s="75"/>
      <c r="H143" s="74"/>
      <c r="I143" s="76"/>
      <c r="J143" s="76"/>
      <c r="K143" s="74"/>
      <c r="L143" s="74"/>
      <c r="M143" s="74"/>
      <c r="N143" s="74"/>
      <c r="O143" s="74"/>
      <c r="P143" s="74"/>
      <c r="Q143" s="74"/>
      <c r="R143" s="74"/>
      <c r="S143" s="85"/>
      <c r="T143" s="74"/>
      <c r="U143" s="74"/>
      <c r="V143" s="74"/>
      <c r="W143" s="74"/>
      <c r="X143" s="74"/>
      <c r="Y143" s="74"/>
      <c r="Z143" s="74"/>
      <c r="AA143" s="74"/>
      <c r="AB143" s="74"/>
      <c r="AC143" s="75"/>
      <c r="AD143" s="74"/>
      <c r="AE143" s="74"/>
      <c r="AF143" s="74"/>
      <c r="AG143" s="74"/>
      <c r="AH143" s="74"/>
      <c r="AI143" s="74"/>
      <c r="AJ143" s="74"/>
      <c r="AK143" s="74"/>
      <c r="AL143" s="74"/>
    </row>
    <row r="144" spans="1:38" ht="44.1" customHeight="1" x14ac:dyDescent="0.2">
      <c r="A144" s="74"/>
      <c r="B144" s="74"/>
      <c r="C144" s="74"/>
      <c r="D144" s="74"/>
      <c r="E144" s="74"/>
      <c r="F144" s="75"/>
      <c r="G144" s="75"/>
      <c r="H144" s="74"/>
      <c r="I144" s="76"/>
      <c r="J144" s="76"/>
      <c r="K144" s="74"/>
      <c r="L144" s="74"/>
      <c r="M144" s="74"/>
      <c r="N144" s="74"/>
      <c r="O144" s="74"/>
      <c r="P144" s="74"/>
      <c r="Q144" s="74"/>
      <c r="R144" s="74"/>
      <c r="S144" s="85"/>
      <c r="T144" s="74"/>
      <c r="U144" s="74"/>
      <c r="V144" s="74"/>
      <c r="W144" s="74"/>
      <c r="X144" s="74"/>
      <c r="Y144" s="74"/>
      <c r="Z144" s="74"/>
      <c r="AA144" s="74"/>
      <c r="AB144" s="74"/>
      <c r="AC144" s="75"/>
      <c r="AD144" s="74"/>
      <c r="AE144" s="74"/>
      <c r="AF144" s="74"/>
      <c r="AG144" s="74"/>
      <c r="AH144" s="74"/>
      <c r="AI144" s="74"/>
      <c r="AJ144" s="74"/>
      <c r="AK144" s="74"/>
      <c r="AL144" s="74"/>
    </row>
    <row r="145" spans="1:38" ht="44.1" customHeight="1" x14ac:dyDescent="0.2">
      <c r="A145" s="74"/>
      <c r="B145" s="74"/>
      <c r="C145" s="74"/>
      <c r="D145" s="74"/>
      <c r="E145" s="74"/>
      <c r="F145" s="75"/>
      <c r="G145" s="75"/>
      <c r="H145" s="74"/>
      <c r="I145" s="76"/>
      <c r="J145" s="76"/>
      <c r="K145" s="74"/>
      <c r="L145" s="74"/>
      <c r="M145" s="74"/>
      <c r="N145" s="74"/>
      <c r="O145" s="74"/>
      <c r="P145" s="74"/>
      <c r="Q145" s="74"/>
      <c r="R145" s="74"/>
      <c r="S145" s="85"/>
      <c r="T145" s="74"/>
      <c r="U145" s="74"/>
      <c r="V145" s="74"/>
      <c r="W145" s="74"/>
      <c r="X145" s="74"/>
      <c r="Y145" s="74"/>
      <c r="Z145" s="74"/>
      <c r="AA145" s="74"/>
      <c r="AB145" s="74"/>
      <c r="AC145" s="75"/>
      <c r="AD145" s="74"/>
      <c r="AE145" s="74"/>
      <c r="AF145" s="74"/>
      <c r="AG145" s="74"/>
      <c r="AH145" s="74"/>
      <c r="AI145" s="74"/>
      <c r="AJ145" s="74"/>
      <c r="AK145" s="74"/>
      <c r="AL145" s="74"/>
    </row>
    <row r="146" spans="1:38" ht="44.1" customHeight="1" x14ac:dyDescent="0.2">
      <c r="A146" s="74"/>
      <c r="B146" s="74"/>
      <c r="C146" s="74"/>
      <c r="D146" s="74"/>
      <c r="E146" s="74"/>
      <c r="F146" s="75"/>
      <c r="G146" s="75"/>
      <c r="H146" s="74"/>
      <c r="I146" s="76"/>
      <c r="J146" s="76"/>
      <c r="K146" s="74"/>
      <c r="L146" s="74"/>
      <c r="M146" s="74"/>
      <c r="N146" s="74"/>
      <c r="O146" s="74"/>
      <c r="P146" s="74"/>
      <c r="Q146" s="74"/>
      <c r="R146" s="74"/>
      <c r="S146" s="85"/>
      <c r="T146" s="74"/>
      <c r="U146" s="74"/>
      <c r="V146" s="74"/>
      <c r="W146" s="74"/>
      <c r="X146" s="74"/>
      <c r="Y146" s="74"/>
      <c r="Z146" s="74"/>
      <c r="AA146" s="74"/>
      <c r="AB146" s="74"/>
      <c r="AC146" s="75"/>
      <c r="AD146" s="74"/>
      <c r="AE146" s="74"/>
      <c r="AF146" s="74"/>
      <c r="AG146" s="74"/>
      <c r="AH146" s="74"/>
      <c r="AI146" s="74"/>
      <c r="AJ146" s="74"/>
      <c r="AK146" s="74"/>
      <c r="AL146" s="74"/>
    </row>
    <row r="147" spans="1:38" ht="44.1" customHeight="1" x14ac:dyDescent="0.2">
      <c r="A147" s="74"/>
      <c r="B147" s="74"/>
      <c r="C147" s="74"/>
      <c r="D147" s="74"/>
      <c r="E147" s="74"/>
      <c r="F147" s="75"/>
      <c r="G147" s="75"/>
      <c r="H147" s="74"/>
      <c r="I147" s="76"/>
      <c r="J147" s="76"/>
      <c r="K147" s="74"/>
      <c r="L147" s="74"/>
      <c r="M147" s="74"/>
      <c r="N147" s="74"/>
      <c r="O147" s="74"/>
      <c r="P147" s="74"/>
      <c r="Q147" s="74"/>
      <c r="R147" s="74"/>
      <c r="S147" s="85"/>
      <c r="T147" s="74"/>
      <c r="U147" s="74"/>
      <c r="V147" s="74"/>
      <c r="W147" s="74"/>
      <c r="X147" s="74"/>
      <c r="Y147" s="74"/>
      <c r="Z147" s="74"/>
      <c r="AA147" s="74"/>
      <c r="AB147" s="74"/>
      <c r="AC147" s="75"/>
      <c r="AD147" s="74"/>
      <c r="AE147" s="74"/>
      <c r="AF147" s="74"/>
      <c r="AG147" s="74"/>
      <c r="AH147" s="74"/>
      <c r="AI147" s="74"/>
      <c r="AJ147" s="74"/>
      <c r="AK147" s="74"/>
      <c r="AL147" s="74"/>
    </row>
    <row r="148" spans="1:38" ht="44.1" customHeight="1" x14ac:dyDescent="0.2">
      <c r="A148" s="74"/>
      <c r="B148" s="74"/>
      <c r="C148" s="74"/>
      <c r="D148" s="74"/>
      <c r="E148" s="74"/>
      <c r="F148" s="75"/>
      <c r="G148" s="75"/>
      <c r="H148" s="74"/>
      <c r="I148" s="76"/>
      <c r="J148" s="76"/>
      <c r="K148" s="74"/>
      <c r="L148" s="74"/>
      <c r="M148" s="74"/>
      <c r="N148" s="74"/>
      <c r="O148" s="74"/>
      <c r="P148" s="74"/>
      <c r="Q148" s="74"/>
      <c r="R148" s="74"/>
      <c r="S148" s="85"/>
      <c r="T148" s="74"/>
      <c r="U148" s="74"/>
      <c r="V148" s="74"/>
      <c r="W148" s="74"/>
      <c r="X148" s="74"/>
      <c r="Y148" s="74"/>
      <c r="Z148" s="74"/>
      <c r="AA148" s="74"/>
      <c r="AB148" s="74"/>
      <c r="AC148" s="75"/>
      <c r="AD148" s="74"/>
      <c r="AE148" s="74"/>
      <c r="AF148" s="74"/>
      <c r="AG148" s="74"/>
      <c r="AH148" s="74"/>
      <c r="AI148" s="74"/>
      <c r="AJ148" s="74"/>
      <c r="AK148" s="74"/>
      <c r="AL148" s="74"/>
    </row>
    <row r="149" spans="1:38" ht="44.1" customHeight="1" x14ac:dyDescent="0.2">
      <c r="A149" s="74"/>
      <c r="B149" s="74"/>
      <c r="C149" s="74"/>
      <c r="D149" s="74"/>
      <c r="E149" s="74"/>
      <c r="F149" s="75"/>
      <c r="G149" s="75"/>
      <c r="H149" s="74"/>
      <c r="I149" s="76"/>
      <c r="J149" s="76"/>
      <c r="K149" s="74"/>
      <c r="L149" s="74"/>
      <c r="M149" s="74"/>
      <c r="N149" s="74"/>
      <c r="O149" s="74"/>
      <c r="P149" s="74"/>
      <c r="Q149" s="74"/>
      <c r="R149" s="74"/>
      <c r="S149" s="85"/>
      <c r="T149" s="74"/>
      <c r="U149" s="74"/>
      <c r="V149" s="74"/>
      <c r="W149" s="74"/>
      <c r="X149" s="74"/>
      <c r="Y149" s="74"/>
      <c r="Z149" s="74"/>
      <c r="AA149" s="74"/>
      <c r="AB149" s="74"/>
      <c r="AC149" s="75"/>
      <c r="AD149" s="74"/>
      <c r="AE149" s="74"/>
      <c r="AF149" s="74"/>
      <c r="AG149" s="74"/>
      <c r="AH149" s="74"/>
      <c r="AI149" s="74"/>
      <c r="AJ149" s="74"/>
      <c r="AK149" s="74"/>
      <c r="AL149" s="74"/>
    </row>
    <row r="150" spans="1:38" ht="44.1" customHeight="1" x14ac:dyDescent="0.2">
      <c r="A150" s="74"/>
      <c r="B150" s="74"/>
      <c r="C150" s="74"/>
      <c r="D150" s="74"/>
      <c r="E150" s="74"/>
      <c r="F150" s="75"/>
      <c r="G150" s="75"/>
      <c r="H150" s="74"/>
      <c r="I150" s="76"/>
      <c r="J150" s="76"/>
      <c r="K150" s="74"/>
      <c r="L150" s="74"/>
      <c r="M150" s="74"/>
      <c r="N150" s="74"/>
      <c r="O150" s="74"/>
      <c r="P150" s="74"/>
      <c r="Q150" s="74"/>
      <c r="R150" s="74"/>
      <c r="S150" s="85"/>
      <c r="T150" s="74"/>
      <c r="U150" s="74"/>
      <c r="V150" s="74"/>
      <c r="W150" s="74"/>
      <c r="X150" s="74"/>
      <c r="Y150" s="74"/>
      <c r="Z150" s="74"/>
      <c r="AA150" s="74"/>
      <c r="AB150" s="74"/>
      <c r="AC150" s="75"/>
      <c r="AD150" s="74"/>
      <c r="AE150" s="74"/>
      <c r="AF150" s="74"/>
      <c r="AG150" s="74"/>
      <c r="AH150" s="74"/>
      <c r="AI150" s="74"/>
      <c r="AJ150" s="74"/>
      <c r="AK150" s="74"/>
      <c r="AL150" s="74"/>
    </row>
    <row r="151" spans="1:38" ht="44.1" customHeight="1" x14ac:dyDescent="0.2">
      <c r="A151" s="74"/>
      <c r="B151" s="74"/>
      <c r="C151" s="74"/>
      <c r="D151" s="74"/>
      <c r="E151" s="74"/>
      <c r="F151" s="75"/>
      <c r="G151" s="75"/>
      <c r="H151" s="74"/>
      <c r="I151" s="76"/>
      <c r="J151" s="76"/>
      <c r="K151" s="74"/>
      <c r="L151" s="74"/>
      <c r="M151" s="74"/>
      <c r="N151" s="74"/>
      <c r="O151" s="74"/>
      <c r="P151" s="74"/>
      <c r="Q151" s="74"/>
      <c r="R151" s="74"/>
      <c r="S151" s="85"/>
      <c r="T151" s="74"/>
      <c r="U151" s="74"/>
      <c r="V151" s="74"/>
      <c r="W151" s="74"/>
      <c r="X151" s="74"/>
      <c r="Y151" s="74"/>
      <c r="Z151" s="74"/>
      <c r="AA151" s="74"/>
      <c r="AB151" s="74"/>
      <c r="AC151" s="75"/>
      <c r="AD151" s="74"/>
      <c r="AE151" s="74"/>
      <c r="AF151" s="74"/>
      <c r="AG151" s="74"/>
      <c r="AH151" s="74"/>
      <c r="AI151" s="74"/>
      <c r="AJ151" s="74"/>
      <c r="AK151" s="74"/>
      <c r="AL151" s="74"/>
    </row>
    <row r="152" spans="1:38" ht="44.1" customHeight="1" x14ac:dyDescent="0.2">
      <c r="A152" s="74"/>
      <c r="B152" s="74"/>
      <c r="C152" s="74"/>
      <c r="D152" s="74"/>
      <c r="E152" s="74"/>
      <c r="F152" s="75"/>
      <c r="G152" s="75"/>
      <c r="H152" s="74"/>
      <c r="I152" s="76"/>
      <c r="J152" s="76"/>
      <c r="K152" s="74"/>
      <c r="L152" s="74"/>
      <c r="M152" s="74"/>
      <c r="N152" s="74"/>
      <c r="O152" s="74"/>
      <c r="P152" s="74"/>
      <c r="Q152" s="74"/>
      <c r="R152" s="74"/>
      <c r="S152" s="85"/>
      <c r="T152" s="74"/>
      <c r="U152" s="74"/>
      <c r="V152" s="74"/>
      <c r="W152" s="74"/>
      <c r="X152" s="74"/>
      <c r="Y152" s="74"/>
      <c r="Z152" s="74"/>
      <c r="AA152" s="74"/>
      <c r="AB152" s="74"/>
      <c r="AC152" s="75"/>
      <c r="AD152" s="74"/>
      <c r="AE152" s="74"/>
      <c r="AF152" s="74"/>
      <c r="AG152" s="74"/>
      <c r="AH152" s="74"/>
      <c r="AI152" s="74"/>
      <c r="AJ152" s="74"/>
      <c r="AK152" s="74"/>
      <c r="AL152" s="74"/>
    </row>
    <row r="153" spans="1:38" ht="44.1" customHeight="1" x14ac:dyDescent="0.2">
      <c r="A153" s="74"/>
      <c r="B153" s="74"/>
      <c r="C153" s="74"/>
      <c r="D153" s="74"/>
      <c r="E153" s="74"/>
      <c r="F153" s="75"/>
      <c r="G153" s="75"/>
      <c r="H153" s="74"/>
      <c r="I153" s="76"/>
      <c r="J153" s="76"/>
      <c r="K153" s="74"/>
      <c r="L153" s="74"/>
      <c r="M153" s="74"/>
      <c r="N153" s="74"/>
      <c r="O153" s="74"/>
      <c r="P153" s="74"/>
      <c r="Q153" s="74"/>
      <c r="R153" s="74"/>
      <c r="S153" s="85"/>
      <c r="T153" s="74"/>
      <c r="U153" s="74"/>
      <c r="V153" s="74"/>
      <c r="W153" s="74"/>
      <c r="X153" s="74"/>
      <c r="Y153" s="74"/>
      <c r="Z153" s="74"/>
      <c r="AA153" s="74"/>
      <c r="AB153" s="74"/>
      <c r="AC153" s="75"/>
      <c r="AD153" s="74"/>
      <c r="AE153" s="74"/>
      <c r="AF153" s="74"/>
      <c r="AG153" s="74"/>
      <c r="AH153" s="74"/>
      <c r="AI153" s="74"/>
      <c r="AJ153" s="74"/>
      <c r="AK153" s="74"/>
      <c r="AL153" s="74"/>
    </row>
    <row r="154" spans="1:38" ht="44.1" customHeight="1" x14ac:dyDescent="0.2">
      <c r="A154" s="74"/>
      <c r="B154" s="74"/>
      <c r="C154" s="74"/>
      <c r="D154" s="74"/>
      <c r="E154" s="74"/>
      <c r="F154" s="75"/>
      <c r="G154" s="75"/>
      <c r="H154" s="74"/>
      <c r="I154" s="76"/>
      <c r="J154" s="76"/>
      <c r="K154" s="74"/>
      <c r="L154" s="74"/>
      <c r="M154" s="74"/>
      <c r="N154" s="74"/>
      <c r="O154" s="74"/>
      <c r="P154" s="74"/>
      <c r="Q154" s="74"/>
      <c r="R154" s="74"/>
      <c r="S154" s="85"/>
      <c r="T154" s="74"/>
      <c r="U154" s="74"/>
      <c r="V154" s="74"/>
      <c r="W154" s="74"/>
      <c r="X154" s="74"/>
      <c r="Y154" s="74"/>
      <c r="Z154" s="74"/>
      <c r="AA154" s="74"/>
      <c r="AB154" s="74"/>
      <c r="AC154" s="75"/>
      <c r="AD154" s="74"/>
      <c r="AE154" s="74"/>
      <c r="AF154" s="74"/>
      <c r="AG154" s="74"/>
      <c r="AH154" s="74"/>
      <c r="AI154" s="74"/>
      <c r="AJ154" s="74"/>
      <c r="AK154" s="74"/>
      <c r="AL154" s="74"/>
    </row>
    <row r="155" spans="1:38" ht="44.1" customHeight="1" x14ac:dyDescent="0.2">
      <c r="A155" s="74"/>
      <c r="B155" s="74"/>
      <c r="C155" s="74"/>
      <c r="D155" s="74"/>
      <c r="E155" s="74"/>
      <c r="F155" s="75"/>
      <c r="G155" s="75"/>
      <c r="H155" s="74"/>
      <c r="I155" s="76"/>
      <c r="J155" s="76"/>
      <c r="K155" s="74"/>
      <c r="L155" s="74"/>
      <c r="M155" s="74"/>
      <c r="N155" s="74"/>
      <c r="O155" s="74"/>
      <c r="P155" s="74"/>
      <c r="Q155" s="74"/>
      <c r="R155" s="74"/>
      <c r="S155" s="85"/>
      <c r="T155" s="74"/>
      <c r="U155" s="74"/>
      <c r="V155" s="74"/>
      <c r="W155" s="74"/>
      <c r="X155" s="74"/>
      <c r="Y155" s="74"/>
      <c r="Z155" s="74"/>
      <c r="AA155" s="74"/>
      <c r="AB155" s="74"/>
      <c r="AC155" s="75"/>
      <c r="AD155" s="74"/>
      <c r="AE155" s="74"/>
      <c r="AF155" s="74"/>
      <c r="AG155" s="74"/>
      <c r="AH155" s="74"/>
      <c r="AI155" s="74"/>
      <c r="AJ155" s="74"/>
      <c r="AK155" s="74"/>
      <c r="AL155" s="74"/>
    </row>
    <row r="156" spans="1:38" ht="44.1" customHeight="1" x14ac:dyDescent="0.2">
      <c r="A156" s="74"/>
      <c r="B156" s="74"/>
      <c r="C156" s="74"/>
      <c r="D156" s="74"/>
      <c r="E156" s="74"/>
      <c r="F156" s="75"/>
      <c r="G156" s="75"/>
      <c r="H156" s="74"/>
      <c r="I156" s="76"/>
      <c r="J156" s="76"/>
      <c r="K156" s="74"/>
      <c r="L156" s="74"/>
      <c r="M156" s="74"/>
      <c r="N156" s="74"/>
      <c r="O156" s="74"/>
      <c r="P156" s="74"/>
      <c r="Q156" s="74"/>
      <c r="R156" s="74"/>
      <c r="S156" s="85"/>
      <c r="T156" s="74"/>
      <c r="U156" s="74"/>
      <c r="V156" s="74"/>
      <c r="W156" s="74"/>
      <c r="X156" s="74"/>
      <c r="Y156" s="74"/>
      <c r="Z156" s="74"/>
      <c r="AA156" s="74"/>
      <c r="AB156" s="74"/>
      <c r="AC156" s="75"/>
      <c r="AD156" s="74"/>
      <c r="AE156" s="74"/>
      <c r="AF156" s="74"/>
      <c r="AG156" s="74"/>
      <c r="AH156" s="74"/>
      <c r="AI156" s="74"/>
      <c r="AJ156" s="74"/>
      <c r="AK156" s="74"/>
      <c r="AL156" s="74"/>
    </row>
    <row r="157" spans="1:38" ht="44.1" customHeight="1" x14ac:dyDescent="0.2">
      <c r="A157" s="74"/>
      <c r="B157" s="74"/>
      <c r="C157" s="74"/>
      <c r="D157" s="74"/>
      <c r="E157" s="74"/>
      <c r="F157" s="75"/>
      <c r="G157" s="75"/>
      <c r="H157" s="74"/>
      <c r="I157" s="76"/>
      <c r="J157" s="76"/>
      <c r="K157" s="74"/>
      <c r="L157" s="74"/>
      <c r="M157" s="74"/>
      <c r="N157" s="74"/>
      <c r="O157" s="74"/>
      <c r="P157" s="74"/>
      <c r="Q157" s="74"/>
      <c r="R157" s="74"/>
      <c r="S157" s="85"/>
      <c r="T157" s="74"/>
      <c r="U157" s="74"/>
      <c r="V157" s="74"/>
      <c r="W157" s="74"/>
      <c r="X157" s="74"/>
      <c r="Y157" s="74"/>
      <c r="Z157" s="74"/>
      <c r="AA157" s="74"/>
      <c r="AB157" s="74"/>
      <c r="AC157" s="75"/>
      <c r="AD157" s="74"/>
      <c r="AE157" s="74"/>
      <c r="AF157" s="74"/>
      <c r="AG157" s="74"/>
      <c r="AH157" s="74"/>
      <c r="AI157" s="74"/>
      <c r="AJ157" s="74"/>
      <c r="AK157" s="74"/>
      <c r="AL157" s="74"/>
    </row>
    <row r="158" spans="1:38" ht="44.1" customHeight="1" x14ac:dyDescent="0.2">
      <c r="A158" s="74"/>
      <c r="B158" s="74"/>
      <c r="C158" s="74"/>
      <c r="D158" s="74"/>
      <c r="E158" s="74"/>
      <c r="F158" s="75"/>
      <c r="G158" s="75"/>
      <c r="H158" s="74"/>
      <c r="I158" s="76"/>
      <c r="J158" s="76"/>
      <c r="K158" s="74"/>
      <c r="L158" s="74"/>
      <c r="M158" s="74"/>
      <c r="N158" s="74"/>
      <c r="O158" s="74"/>
      <c r="P158" s="74"/>
      <c r="Q158" s="74"/>
      <c r="R158" s="74"/>
      <c r="S158" s="85"/>
      <c r="T158" s="74"/>
      <c r="U158" s="74"/>
      <c r="V158" s="74"/>
      <c r="W158" s="74"/>
      <c r="X158" s="74"/>
      <c r="Y158" s="74"/>
      <c r="Z158" s="74"/>
      <c r="AA158" s="74"/>
      <c r="AB158" s="74"/>
      <c r="AC158" s="75"/>
      <c r="AD158" s="74"/>
      <c r="AE158" s="74"/>
      <c r="AF158" s="74"/>
      <c r="AG158" s="74"/>
      <c r="AH158" s="74"/>
      <c r="AI158" s="74"/>
      <c r="AJ158" s="74"/>
      <c r="AK158" s="74"/>
      <c r="AL158" s="74"/>
    </row>
    <row r="159" spans="1:38" ht="44.1" customHeight="1" x14ac:dyDescent="0.2">
      <c r="A159" s="74"/>
      <c r="B159" s="74"/>
      <c r="C159" s="74"/>
      <c r="D159" s="74"/>
      <c r="E159" s="74"/>
      <c r="F159" s="75"/>
      <c r="G159" s="75"/>
      <c r="H159" s="74"/>
      <c r="I159" s="76"/>
      <c r="J159" s="76"/>
      <c r="K159" s="74"/>
      <c r="L159" s="74"/>
      <c r="M159" s="74"/>
      <c r="N159" s="74"/>
      <c r="O159" s="74"/>
      <c r="P159" s="74"/>
      <c r="Q159" s="74"/>
      <c r="R159" s="74"/>
      <c r="S159" s="85"/>
      <c r="T159" s="74"/>
      <c r="U159" s="74"/>
      <c r="V159" s="74"/>
      <c r="W159" s="74"/>
      <c r="X159" s="74"/>
      <c r="Y159" s="74"/>
      <c r="Z159" s="74"/>
      <c r="AA159" s="74"/>
      <c r="AB159" s="74"/>
      <c r="AC159" s="75"/>
      <c r="AD159" s="74"/>
      <c r="AE159" s="74"/>
      <c r="AF159" s="74"/>
      <c r="AG159" s="74"/>
      <c r="AH159" s="74"/>
      <c r="AI159" s="74"/>
      <c r="AJ159" s="74"/>
      <c r="AK159" s="74"/>
      <c r="AL159" s="74"/>
    </row>
    <row r="160" spans="1:38" ht="44.1" customHeight="1" x14ac:dyDescent="0.2">
      <c r="A160" s="74"/>
      <c r="B160" s="74"/>
      <c r="C160" s="74"/>
      <c r="D160" s="74"/>
      <c r="E160" s="74"/>
      <c r="F160" s="75"/>
      <c r="G160" s="75"/>
      <c r="H160" s="74"/>
      <c r="I160" s="76"/>
      <c r="J160" s="76"/>
      <c r="K160" s="74"/>
      <c r="L160" s="74"/>
      <c r="M160" s="74"/>
      <c r="N160" s="74"/>
      <c r="O160" s="74"/>
      <c r="P160" s="74"/>
      <c r="Q160" s="74"/>
      <c r="R160" s="74"/>
      <c r="S160" s="85"/>
      <c r="T160" s="74"/>
      <c r="U160" s="74"/>
      <c r="V160" s="74"/>
      <c r="W160" s="74"/>
      <c r="X160" s="74"/>
      <c r="Y160" s="74"/>
      <c r="Z160" s="74"/>
      <c r="AA160" s="74"/>
      <c r="AB160" s="74"/>
      <c r="AC160" s="75"/>
      <c r="AD160" s="74"/>
      <c r="AE160" s="74"/>
      <c r="AF160" s="74"/>
      <c r="AG160" s="74"/>
      <c r="AH160" s="74"/>
      <c r="AI160" s="74"/>
      <c r="AJ160" s="74"/>
      <c r="AK160" s="74"/>
      <c r="AL160" s="74"/>
    </row>
    <row r="161" spans="1:38" ht="44.1" customHeight="1" x14ac:dyDescent="0.2">
      <c r="A161" s="74"/>
      <c r="B161" s="74"/>
      <c r="C161" s="74"/>
      <c r="D161" s="74"/>
      <c r="E161" s="74"/>
      <c r="F161" s="75"/>
      <c r="G161" s="75"/>
      <c r="H161" s="74"/>
      <c r="I161" s="76"/>
      <c r="J161" s="76"/>
      <c r="K161" s="74"/>
      <c r="L161" s="74"/>
      <c r="M161" s="74"/>
      <c r="N161" s="74"/>
      <c r="O161" s="74"/>
      <c r="P161" s="74"/>
      <c r="Q161" s="74"/>
      <c r="R161" s="74"/>
      <c r="S161" s="85"/>
      <c r="T161" s="74"/>
      <c r="U161" s="74"/>
      <c r="V161" s="74"/>
      <c r="W161" s="74"/>
      <c r="X161" s="74"/>
      <c r="Y161" s="74"/>
      <c r="Z161" s="74"/>
      <c r="AA161" s="74"/>
      <c r="AB161" s="74"/>
      <c r="AC161" s="75"/>
      <c r="AD161" s="74"/>
      <c r="AE161" s="74"/>
      <c r="AF161" s="74"/>
      <c r="AG161" s="74"/>
      <c r="AH161" s="74"/>
      <c r="AI161" s="74"/>
      <c r="AJ161" s="74"/>
      <c r="AK161" s="74"/>
      <c r="AL161" s="74"/>
    </row>
    <row r="162" spans="1:38" ht="44.1" customHeight="1" x14ac:dyDescent="0.2">
      <c r="A162" s="74"/>
      <c r="B162" s="74"/>
      <c r="C162" s="74"/>
      <c r="D162" s="74"/>
      <c r="E162" s="74"/>
      <c r="F162" s="75"/>
      <c r="G162" s="75"/>
      <c r="H162" s="74"/>
      <c r="I162" s="76"/>
      <c r="J162" s="76"/>
      <c r="K162" s="74"/>
      <c r="L162" s="74"/>
      <c r="M162" s="74"/>
      <c r="N162" s="74"/>
      <c r="O162" s="74"/>
      <c r="P162" s="74"/>
      <c r="Q162" s="74"/>
      <c r="R162" s="74"/>
      <c r="S162" s="85"/>
      <c r="T162" s="74"/>
      <c r="U162" s="74"/>
      <c r="V162" s="74"/>
      <c r="W162" s="74"/>
      <c r="X162" s="74"/>
      <c r="Y162" s="74"/>
      <c r="Z162" s="74"/>
      <c r="AA162" s="74"/>
      <c r="AB162" s="74"/>
      <c r="AC162" s="75"/>
      <c r="AD162" s="74"/>
      <c r="AE162" s="74"/>
      <c r="AF162" s="74"/>
      <c r="AG162" s="74"/>
      <c r="AH162" s="74"/>
      <c r="AI162" s="74"/>
      <c r="AJ162" s="74"/>
      <c r="AK162" s="74"/>
      <c r="AL162" s="74"/>
    </row>
    <row r="163" spans="1:38" ht="44.1" customHeight="1" x14ac:dyDescent="0.2">
      <c r="A163" s="74"/>
      <c r="B163" s="74"/>
      <c r="C163" s="74"/>
      <c r="D163" s="74"/>
      <c r="E163" s="74"/>
      <c r="F163" s="75"/>
      <c r="G163" s="75"/>
      <c r="H163" s="74"/>
      <c r="I163" s="76"/>
      <c r="J163" s="76"/>
      <c r="K163" s="74"/>
      <c r="L163" s="74"/>
      <c r="M163" s="74"/>
      <c r="N163" s="74"/>
      <c r="O163" s="74"/>
      <c r="P163" s="74"/>
      <c r="Q163" s="74"/>
      <c r="R163" s="74"/>
      <c r="S163" s="85"/>
      <c r="T163" s="74"/>
      <c r="U163" s="74"/>
      <c r="V163" s="74"/>
      <c r="W163" s="74"/>
      <c r="X163" s="74"/>
      <c r="Y163" s="74"/>
      <c r="Z163" s="74"/>
      <c r="AA163" s="74"/>
      <c r="AB163" s="74"/>
      <c r="AC163" s="75"/>
      <c r="AD163" s="74"/>
      <c r="AE163" s="74"/>
      <c r="AF163" s="74"/>
      <c r="AG163" s="74"/>
      <c r="AH163" s="74"/>
      <c r="AI163" s="74"/>
      <c r="AJ163" s="74"/>
      <c r="AK163" s="74"/>
      <c r="AL163" s="74"/>
    </row>
    <row r="164" spans="1:38" ht="44.1" customHeight="1" x14ac:dyDescent="0.2">
      <c r="A164" s="74"/>
      <c r="B164" s="74"/>
      <c r="C164" s="74"/>
      <c r="D164" s="74"/>
      <c r="E164" s="74"/>
      <c r="F164" s="75"/>
      <c r="G164" s="75"/>
      <c r="H164" s="74"/>
      <c r="I164" s="76"/>
      <c r="J164" s="76"/>
      <c r="K164" s="74"/>
      <c r="L164" s="74"/>
      <c r="M164" s="74"/>
      <c r="N164" s="74"/>
      <c r="O164" s="74"/>
      <c r="P164" s="74"/>
      <c r="Q164" s="74"/>
      <c r="R164" s="74"/>
      <c r="S164" s="85"/>
      <c r="T164" s="74"/>
      <c r="U164" s="74"/>
      <c r="V164" s="74"/>
      <c r="W164" s="74"/>
      <c r="X164" s="74"/>
      <c r="Y164" s="74"/>
      <c r="Z164" s="74"/>
      <c r="AA164" s="74"/>
      <c r="AB164" s="74"/>
      <c r="AC164" s="75"/>
      <c r="AD164" s="74"/>
      <c r="AE164" s="74"/>
      <c r="AF164" s="74"/>
      <c r="AG164" s="74"/>
      <c r="AH164" s="74"/>
      <c r="AI164" s="74"/>
      <c r="AJ164" s="74"/>
      <c r="AK164" s="74"/>
      <c r="AL164" s="74"/>
    </row>
    <row r="165" spans="1:38" ht="44.1" customHeight="1" x14ac:dyDescent="0.2">
      <c r="A165" s="74"/>
      <c r="B165" s="74"/>
      <c r="C165" s="74"/>
      <c r="D165" s="74"/>
      <c r="E165" s="74"/>
      <c r="F165" s="75"/>
      <c r="G165" s="75"/>
      <c r="H165" s="74"/>
      <c r="I165" s="76"/>
      <c r="J165" s="76"/>
      <c r="K165" s="74"/>
      <c r="L165" s="74"/>
      <c r="M165" s="74"/>
      <c r="N165" s="74"/>
      <c r="O165" s="74"/>
      <c r="P165" s="74"/>
      <c r="Q165" s="74"/>
      <c r="R165" s="74"/>
      <c r="S165" s="85"/>
      <c r="T165" s="74"/>
      <c r="U165" s="74"/>
      <c r="V165" s="74"/>
      <c r="W165" s="74"/>
      <c r="X165" s="74"/>
      <c r="Y165" s="74"/>
      <c r="Z165" s="74"/>
      <c r="AA165" s="74"/>
      <c r="AB165" s="74"/>
      <c r="AC165" s="75"/>
      <c r="AD165" s="74"/>
      <c r="AE165" s="74"/>
      <c r="AF165" s="74"/>
      <c r="AG165" s="74"/>
      <c r="AH165" s="74"/>
      <c r="AI165" s="74"/>
      <c r="AJ165" s="74"/>
      <c r="AK165" s="74"/>
      <c r="AL165" s="74"/>
    </row>
    <row r="166" spans="1:38" ht="44.1" customHeight="1" x14ac:dyDescent="0.2">
      <c r="A166" s="74"/>
      <c r="B166" s="74"/>
      <c r="C166" s="74"/>
      <c r="D166" s="74"/>
      <c r="E166" s="74"/>
      <c r="F166" s="75"/>
      <c r="G166" s="75"/>
      <c r="H166" s="74"/>
      <c r="I166" s="76"/>
      <c r="J166" s="76"/>
      <c r="K166" s="74"/>
      <c r="L166" s="74"/>
      <c r="M166" s="74"/>
      <c r="N166" s="74"/>
      <c r="O166" s="74"/>
      <c r="P166" s="74"/>
      <c r="Q166" s="74"/>
      <c r="R166" s="74"/>
      <c r="S166" s="85"/>
      <c r="T166" s="74"/>
      <c r="U166" s="74"/>
      <c r="V166" s="74"/>
      <c r="W166" s="74"/>
      <c r="X166" s="74"/>
      <c r="Y166" s="74"/>
      <c r="Z166" s="74"/>
      <c r="AA166" s="74"/>
      <c r="AB166" s="74"/>
      <c r="AC166" s="75"/>
      <c r="AD166" s="74"/>
      <c r="AE166" s="74"/>
      <c r="AF166" s="74"/>
      <c r="AG166" s="74"/>
      <c r="AH166" s="74"/>
      <c r="AI166" s="74"/>
      <c r="AJ166" s="74"/>
      <c r="AK166" s="74"/>
      <c r="AL166" s="74"/>
    </row>
    <row r="167" spans="1:38" ht="44.1" customHeight="1" x14ac:dyDescent="0.2">
      <c r="A167" s="74"/>
      <c r="B167" s="74"/>
      <c r="C167" s="74"/>
      <c r="D167" s="74"/>
      <c r="E167" s="74"/>
      <c r="F167" s="75"/>
      <c r="G167" s="75"/>
      <c r="H167" s="74"/>
      <c r="I167" s="76"/>
      <c r="J167" s="76"/>
      <c r="K167" s="74"/>
      <c r="L167" s="74"/>
      <c r="M167" s="74"/>
      <c r="N167" s="74"/>
      <c r="O167" s="74"/>
      <c r="P167" s="74"/>
      <c r="Q167" s="74"/>
      <c r="R167" s="74"/>
      <c r="S167" s="85"/>
      <c r="T167" s="74"/>
      <c r="U167" s="74"/>
      <c r="V167" s="74"/>
      <c r="W167" s="74"/>
      <c r="X167" s="74"/>
      <c r="Y167" s="74"/>
      <c r="Z167" s="74"/>
      <c r="AA167" s="74"/>
      <c r="AB167" s="74"/>
      <c r="AC167" s="75"/>
      <c r="AD167" s="74"/>
      <c r="AE167" s="74"/>
      <c r="AF167" s="74"/>
      <c r="AG167" s="74"/>
      <c r="AH167" s="74"/>
      <c r="AI167" s="74"/>
      <c r="AJ167" s="74"/>
      <c r="AK167" s="74"/>
      <c r="AL167" s="74"/>
    </row>
    <row r="168" spans="1:38" ht="44.1" customHeight="1" x14ac:dyDescent="0.2">
      <c r="A168" s="74"/>
      <c r="B168" s="74"/>
      <c r="C168" s="74"/>
      <c r="D168" s="74"/>
      <c r="E168" s="74"/>
      <c r="F168" s="75"/>
      <c r="G168" s="75"/>
      <c r="H168" s="74"/>
      <c r="I168" s="76"/>
      <c r="J168" s="76"/>
      <c r="K168" s="74"/>
      <c r="L168" s="74"/>
      <c r="M168" s="74"/>
      <c r="N168" s="74"/>
      <c r="O168" s="74"/>
      <c r="P168" s="74"/>
      <c r="Q168" s="74"/>
      <c r="R168" s="74"/>
      <c r="S168" s="85"/>
      <c r="T168" s="74"/>
      <c r="U168" s="74"/>
      <c r="V168" s="74"/>
      <c r="W168" s="74"/>
      <c r="X168" s="74"/>
      <c r="Y168" s="74"/>
      <c r="Z168" s="74"/>
      <c r="AA168" s="74"/>
      <c r="AB168" s="74"/>
      <c r="AC168" s="75"/>
      <c r="AD168" s="74"/>
      <c r="AE168" s="74"/>
      <c r="AF168" s="74"/>
      <c r="AG168" s="74"/>
      <c r="AH168" s="74"/>
      <c r="AI168" s="74"/>
      <c r="AJ168" s="74"/>
      <c r="AK168" s="74"/>
      <c r="AL168" s="74"/>
    </row>
    <row r="169" spans="1:38" ht="44.1" customHeight="1" x14ac:dyDescent="0.2">
      <c r="A169" s="74"/>
      <c r="B169" s="74"/>
      <c r="C169" s="74"/>
      <c r="D169" s="74"/>
      <c r="E169" s="74"/>
      <c r="F169" s="75"/>
      <c r="G169" s="75"/>
      <c r="H169" s="74"/>
      <c r="I169" s="76"/>
      <c r="J169" s="76"/>
      <c r="K169" s="74"/>
      <c r="L169" s="74"/>
      <c r="M169" s="74"/>
      <c r="N169" s="74"/>
      <c r="O169" s="74"/>
      <c r="P169" s="74"/>
      <c r="Q169" s="74"/>
      <c r="R169" s="74"/>
      <c r="S169" s="85"/>
      <c r="T169" s="74"/>
      <c r="U169" s="74"/>
      <c r="V169" s="74"/>
      <c r="W169" s="74"/>
      <c r="X169" s="74"/>
      <c r="Y169" s="74"/>
      <c r="Z169" s="74"/>
      <c r="AA169" s="74"/>
      <c r="AB169" s="74"/>
      <c r="AC169" s="75"/>
      <c r="AD169" s="74"/>
      <c r="AE169" s="74"/>
      <c r="AF169" s="74"/>
      <c r="AG169" s="74"/>
      <c r="AH169" s="74"/>
      <c r="AI169" s="74"/>
      <c r="AJ169" s="74"/>
      <c r="AK169" s="74"/>
      <c r="AL169" s="74"/>
    </row>
    <row r="170" spans="1:38" ht="44.1" customHeight="1" x14ac:dyDescent="0.2">
      <c r="A170" s="74"/>
      <c r="B170" s="74"/>
      <c r="C170" s="74"/>
      <c r="D170" s="74"/>
      <c r="E170" s="74"/>
      <c r="F170" s="75"/>
      <c r="G170" s="75"/>
      <c r="H170" s="74"/>
      <c r="I170" s="76"/>
      <c r="J170" s="76"/>
      <c r="K170" s="74"/>
      <c r="L170" s="74"/>
      <c r="M170" s="74"/>
      <c r="N170" s="74"/>
      <c r="O170" s="74"/>
      <c r="P170" s="74"/>
      <c r="Q170" s="74"/>
      <c r="R170" s="74"/>
      <c r="S170" s="85"/>
      <c r="T170" s="74"/>
      <c r="U170" s="74"/>
      <c r="V170" s="74"/>
      <c r="W170" s="74"/>
      <c r="X170" s="74"/>
      <c r="Y170" s="74"/>
      <c r="Z170" s="74"/>
      <c r="AA170" s="74"/>
      <c r="AB170" s="74"/>
      <c r="AC170" s="75"/>
      <c r="AD170" s="74"/>
      <c r="AE170" s="74"/>
      <c r="AF170" s="74"/>
      <c r="AG170" s="74"/>
      <c r="AH170" s="74"/>
      <c r="AI170" s="74"/>
      <c r="AJ170" s="74"/>
      <c r="AK170" s="74"/>
      <c r="AL170" s="74"/>
    </row>
    <row r="171" spans="1:38" ht="44.1" customHeight="1" x14ac:dyDescent="0.2">
      <c r="A171" s="74"/>
      <c r="B171" s="74"/>
      <c r="C171" s="74"/>
      <c r="D171" s="74"/>
      <c r="E171" s="74"/>
      <c r="F171" s="75"/>
      <c r="G171" s="75"/>
      <c r="H171" s="74"/>
      <c r="I171" s="76"/>
      <c r="J171" s="76"/>
      <c r="K171" s="74"/>
      <c r="L171" s="74"/>
      <c r="M171" s="74"/>
      <c r="N171" s="74"/>
      <c r="O171" s="74"/>
      <c r="P171" s="74"/>
      <c r="Q171" s="74"/>
      <c r="R171" s="74"/>
      <c r="S171" s="85"/>
      <c r="T171" s="74"/>
      <c r="U171" s="74"/>
      <c r="V171" s="74"/>
      <c r="W171" s="74"/>
      <c r="X171" s="74"/>
      <c r="Y171" s="74"/>
      <c r="Z171" s="74"/>
      <c r="AA171" s="74"/>
      <c r="AB171" s="74"/>
      <c r="AC171" s="75"/>
      <c r="AD171" s="74"/>
      <c r="AE171" s="74"/>
      <c r="AF171" s="74"/>
      <c r="AG171" s="74"/>
      <c r="AH171" s="74"/>
      <c r="AI171" s="74"/>
      <c r="AJ171" s="74"/>
      <c r="AK171" s="74"/>
      <c r="AL171" s="74"/>
    </row>
  </sheetData>
  <hyperlinks>
    <hyperlink ref="AD49" r:id="rId1" xr:uid="{00000000-0004-0000-0300-000000000000}"/>
  </hyperlinks>
  <pageMargins left="0.7" right="0.7" top="0.75" bottom="0.75" header="0.3" footer="0.3"/>
  <pageSetup orientation="portrait"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BX926"/>
  <sheetViews>
    <sheetView tabSelected="1" topLeftCell="F1" zoomScale="70" zoomScaleNormal="70" workbookViewId="0">
      <pane ySplit="4" topLeftCell="A5" activePane="bottomLeft" state="frozen"/>
      <selection activeCell="A49" sqref="A49"/>
      <selection pane="bottomLeft" activeCell="S28" sqref="S28"/>
    </sheetView>
  </sheetViews>
  <sheetFormatPr defaultColWidth="9.140625" defaultRowHeight="13.5" x14ac:dyDescent="0.25"/>
  <cols>
    <col min="1" max="1" width="28" style="4" customWidth="1"/>
    <col min="2" max="2" width="14" customWidth="1"/>
    <col min="3" max="3" width="15.5703125" customWidth="1"/>
    <col min="4" max="4" width="25.28515625" customWidth="1"/>
    <col min="5" max="5" width="20.7109375" style="4" customWidth="1"/>
    <col min="6" max="6" width="16.85546875" style="4" customWidth="1"/>
    <col min="7" max="7" width="8.85546875"/>
    <col min="8" max="8" width="24.85546875" customWidth="1"/>
    <col min="9" max="9" width="14.85546875" customWidth="1"/>
    <col min="10" max="10" width="21" customWidth="1"/>
    <col min="11" max="11" width="16.28515625" customWidth="1"/>
    <col min="12" max="12" width="8.85546875"/>
    <col min="13" max="13" width="15.140625" style="4" customWidth="1"/>
    <col min="14" max="14" width="19.7109375" style="4" customWidth="1"/>
    <col min="15" max="15" width="19.5703125" customWidth="1"/>
    <col min="16" max="19" width="23.7109375" customWidth="1"/>
    <col min="20" max="20" width="16.85546875" style="4" customWidth="1"/>
    <col min="21" max="21" width="8.85546875"/>
    <col min="22" max="22" width="13.28515625" style="4" customWidth="1"/>
    <col min="23" max="23" width="15" style="4" customWidth="1"/>
    <col min="24" max="24" width="16.42578125" style="4" customWidth="1"/>
    <col min="25" max="30" width="8.85546875"/>
    <col min="31" max="31" width="32.7109375" customWidth="1"/>
    <col min="32" max="32" width="19.5703125" customWidth="1"/>
    <col min="33" max="33" width="76.28515625" customWidth="1"/>
    <col min="34" max="34" width="46.5703125" customWidth="1"/>
    <col min="35" max="35" width="19.5703125" customWidth="1"/>
    <col min="36" max="36" width="18.85546875" customWidth="1"/>
    <col min="37" max="37" width="10.42578125" customWidth="1"/>
    <col min="38" max="38" width="14.5703125" customWidth="1"/>
    <col min="39" max="39" width="16" style="4" customWidth="1"/>
    <col min="40" max="40" width="23.28515625" style="4" customWidth="1"/>
    <col min="41" max="41" width="12.7109375" style="4" customWidth="1"/>
    <col min="42" max="42" width="8.85546875"/>
    <col min="43" max="47" width="57.42578125" style="4" customWidth="1"/>
    <col min="48" max="48" width="17.140625" style="4" customWidth="1"/>
    <col min="49" max="49" width="28.5703125" style="4" customWidth="1"/>
    <col min="50" max="50" width="13.28515625" bestFit="1" customWidth="1"/>
    <col min="51" max="51" width="8.85546875"/>
    <col min="52" max="54" width="12.7109375" customWidth="1"/>
    <col min="55" max="56" width="95" customWidth="1"/>
    <col min="57" max="59" width="8.85546875"/>
    <col min="60" max="60" width="19.42578125" style="4" customWidth="1"/>
    <col min="61" max="61" width="8.85546875"/>
    <col min="62" max="62" width="19.42578125" style="4" customWidth="1"/>
    <col min="63" max="63" width="8.7109375" style="4" customWidth="1"/>
    <col min="64" max="64" width="13.28515625" style="4" customWidth="1"/>
    <col min="65" max="65" width="17" style="4" customWidth="1"/>
    <col min="66" max="66" width="15.140625" style="4" customWidth="1"/>
    <col min="67" max="67" width="81.140625" style="4" customWidth="1"/>
    <col min="68" max="68" width="8.85546875"/>
    <col min="69" max="69" width="31" style="4" customWidth="1"/>
    <col min="70" max="70" width="20.42578125" style="4" customWidth="1"/>
    <col min="71" max="71" width="20.42578125" bestFit="1" customWidth="1"/>
    <col min="72" max="72" width="31" style="4" customWidth="1"/>
    <col min="73" max="74" width="20.42578125" style="4" customWidth="1"/>
    <col min="75" max="75" width="31" customWidth="1"/>
    <col min="76" max="76" width="20.42578125" style="3" customWidth="1"/>
    <col min="77" max="77" width="31" style="4" customWidth="1"/>
    <col min="78" max="79" width="20.42578125" style="4" customWidth="1"/>
    <col min="80" max="80" width="12" style="4" bestFit="1" customWidth="1"/>
    <col min="81" max="81" width="24.5703125" style="4" bestFit="1" customWidth="1"/>
    <col min="82" max="16384" width="9.140625" style="4"/>
  </cols>
  <sheetData>
    <row r="1" spans="1:76" ht="12" customHeight="1" x14ac:dyDescent="0.25">
      <c r="A1" s="120" t="s">
        <v>1787</v>
      </c>
    </row>
    <row r="2" spans="1:76" ht="12" customHeight="1" x14ac:dyDescent="0.25">
      <c r="A2" s="4" t="s">
        <v>1788</v>
      </c>
    </row>
    <row r="3" spans="1:76" ht="12" customHeight="1" x14ac:dyDescent="0.25">
      <c r="A3" s="4" t="s">
        <v>1794</v>
      </c>
    </row>
    <row r="4" spans="1:76" s="40" customFormat="1" ht="24.95" customHeight="1" x14ac:dyDescent="0.2">
      <c r="A4" s="38" t="s">
        <v>1660</v>
      </c>
      <c r="B4" s="37" t="s">
        <v>1667</v>
      </c>
      <c r="C4" s="38" t="s">
        <v>1653</v>
      </c>
      <c r="D4" s="38" t="s">
        <v>1650</v>
      </c>
      <c r="E4" s="38" t="s">
        <v>1649</v>
      </c>
      <c r="F4" s="38" t="s">
        <v>1652</v>
      </c>
      <c r="G4" s="39" t="s">
        <v>1797</v>
      </c>
      <c r="H4" t="s">
        <v>1796</v>
      </c>
      <c r="I4" s="38" t="s">
        <v>1795</v>
      </c>
      <c r="J4" s="4" t="s">
        <v>1779</v>
      </c>
      <c r="K4" s="4" t="s">
        <v>1780</v>
      </c>
      <c r="L4" s="38" t="s">
        <v>1798</v>
      </c>
      <c r="M4" s="38" t="s">
        <v>897</v>
      </c>
      <c r="N4" s="38" t="s">
        <v>1651</v>
      </c>
      <c r="O4" s="38" t="s">
        <v>1640</v>
      </c>
      <c r="P4" s="38" t="s">
        <v>1691</v>
      </c>
      <c r="Q4" s="4" t="s">
        <v>1770</v>
      </c>
    </row>
    <row r="5" spans="1:76" ht="12.75" x14ac:dyDescent="0.2">
      <c r="A5" s="4" t="s">
        <v>1320</v>
      </c>
      <c r="B5" s="4" t="s">
        <v>314</v>
      </c>
      <c r="C5" s="4" t="s">
        <v>598</v>
      </c>
      <c r="D5" s="4">
        <v>2511</v>
      </c>
      <c r="E5" s="4" t="s">
        <v>5</v>
      </c>
      <c r="F5" s="4" t="s">
        <v>893</v>
      </c>
      <c r="G5" s="113">
        <v>8.3333333333333329E-2</v>
      </c>
      <c r="H5" t="s">
        <v>1781</v>
      </c>
      <c r="I5" s="4">
        <v>8.5999999999999993E-2</v>
      </c>
      <c r="L5" s="4" t="s">
        <v>1553</v>
      </c>
      <c r="M5" s="4" t="s">
        <v>109</v>
      </c>
      <c r="N5" s="4" t="s">
        <v>6</v>
      </c>
      <c r="O5" s="4"/>
      <c r="P5" s="4" t="s">
        <v>1693</v>
      </c>
      <c r="Q5" t="s">
        <v>109</v>
      </c>
      <c r="R5" s="4"/>
      <c r="S5" s="4"/>
      <c r="U5" s="4"/>
      <c r="Y5" s="4"/>
      <c r="Z5" s="4"/>
      <c r="AA5" s="4"/>
      <c r="AB5" s="4"/>
      <c r="AC5" s="4"/>
      <c r="AD5" s="4"/>
      <c r="AE5" s="4"/>
      <c r="AF5" s="4"/>
      <c r="AG5" s="4"/>
      <c r="AH5" s="4"/>
      <c r="AI5" s="4"/>
      <c r="AJ5" s="4"/>
      <c r="AK5" s="4"/>
      <c r="AL5" s="4"/>
      <c r="AP5" s="4"/>
      <c r="AX5" s="4"/>
      <c r="AY5" s="4"/>
      <c r="AZ5" s="4"/>
      <c r="BA5" s="4"/>
      <c r="BB5" s="4"/>
      <c r="BC5" s="4"/>
      <c r="BD5" s="4"/>
      <c r="BE5" s="4"/>
      <c r="BF5" s="4"/>
      <c r="BG5" s="4"/>
      <c r="BI5" s="4"/>
      <c r="BP5" s="4"/>
      <c r="BS5" s="4"/>
      <c r="BW5" s="4"/>
      <c r="BX5" s="4"/>
    </row>
    <row r="6" spans="1:76" ht="12.75" x14ac:dyDescent="0.2">
      <c r="A6" s="4" t="s">
        <v>1320</v>
      </c>
      <c r="B6" s="4" t="s">
        <v>314</v>
      </c>
      <c r="C6" s="4" t="s">
        <v>602</v>
      </c>
      <c r="D6" s="4">
        <v>2511</v>
      </c>
      <c r="E6" s="4" t="s">
        <v>5</v>
      </c>
      <c r="F6" s="4" t="s">
        <v>893</v>
      </c>
      <c r="G6" s="113">
        <v>8.3333333333333329E-2</v>
      </c>
      <c r="H6" t="s">
        <v>1781</v>
      </c>
      <c r="I6" s="4">
        <v>0.13200000000000001</v>
      </c>
      <c r="L6" s="4" t="s">
        <v>1553</v>
      </c>
      <c r="M6" s="4" t="s">
        <v>109</v>
      </c>
      <c r="N6" s="4" t="s">
        <v>6</v>
      </c>
      <c r="O6" s="4"/>
      <c r="P6" s="4" t="s">
        <v>1693</v>
      </c>
      <c r="Q6" t="s">
        <v>109</v>
      </c>
      <c r="R6" s="4"/>
      <c r="S6" s="4"/>
      <c r="U6" s="4"/>
      <c r="Y6" s="4"/>
      <c r="Z6" s="4"/>
      <c r="AA6" s="4"/>
      <c r="AB6" s="4"/>
      <c r="AC6" s="4"/>
      <c r="AD6" s="4"/>
      <c r="AE6" s="4"/>
      <c r="AF6" s="4"/>
      <c r="AG6" s="4"/>
      <c r="AH6" s="4"/>
      <c r="AI6" s="4"/>
      <c r="AJ6" s="4"/>
      <c r="AK6" s="4"/>
      <c r="AL6" s="4"/>
      <c r="AP6" s="4"/>
      <c r="AX6" s="4"/>
      <c r="AY6" s="4"/>
      <c r="AZ6" s="4"/>
      <c r="BA6" s="4"/>
      <c r="BB6" s="4"/>
      <c r="BC6" s="4"/>
      <c r="BD6" s="4"/>
      <c r="BE6" s="4"/>
      <c r="BF6" s="4"/>
      <c r="BG6" s="4"/>
      <c r="BI6" s="4"/>
      <c r="BP6" s="4"/>
      <c r="BS6" s="4"/>
      <c r="BW6" s="4"/>
      <c r="BX6" s="4"/>
    </row>
    <row r="7" spans="1:76" ht="12.75" x14ac:dyDescent="0.2">
      <c r="A7" s="4" t="s">
        <v>1342</v>
      </c>
      <c r="B7" s="4" t="s">
        <v>253</v>
      </c>
      <c r="C7" s="4" t="s">
        <v>111</v>
      </c>
      <c r="D7" s="4">
        <v>2511</v>
      </c>
      <c r="E7" s="4" t="s">
        <v>5</v>
      </c>
      <c r="F7" s="4" t="s">
        <v>893</v>
      </c>
      <c r="G7" s="113">
        <v>0.33333333333333331</v>
      </c>
      <c r="H7" t="s">
        <v>1781</v>
      </c>
      <c r="I7" s="4">
        <v>0.13600000000000001</v>
      </c>
      <c r="L7" s="4" t="s">
        <v>1535</v>
      </c>
      <c r="M7" s="4" t="s">
        <v>109</v>
      </c>
      <c r="N7" s="4" t="s">
        <v>6</v>
      </c>
      <c r="O7" s="4"/>
      <c r="P7" s="4" t="s">
        <v>1693</v>
      </c>
      <c r="Q7" t="s">
        <v>109</v>
      </c>
      <c r="R7" s="4"/>
      <c r="S7" s="4"/>
      <c r="U7" s="4"/>
      <c r="Y7" s="4"/>
      <c r="Z7" s="4"/>
      <c r="AA7" s="4"/>
      <c r="AB7" s="4"/>
      <c r="AC7" s="4"/>
      <c r="AD7" s="4"/>
      <c r="AE7" s="4"/>
      <c r="AF7" s="4"/>
      <c r="AG7" s="4"/>
      <c r="AH7" s="4"/>
      <c r="AI7" s="4"/>
      <c r="AJ7" s="4"/>
      <c r="AK7" s="4"/>
      <c r="AL7" s="4"/>
      <c r="AP7" s="4"/>
      <c r="AX7" s="4"/>
      <c r="AY7" s="4"/>
      <c r="AZ7" s="4"/>
      <c r="BA7" s="4"/>
      <c r="BB7" s="4"/>
      <c r="BC7" s="4"/>
      <c r="BD7" s="4"/>
      <c r="BE7" s="4"/>
      <c r="BF7" s="4"/>
      <c r="BG7" s="4"/>
      <c r="BI7" s="4"/>
      <c r="BP7" s="4"/>
      <c r="BS7" s="4"/>
      <c r="BW7" s="4"/>
      <c r="BX7" s="4"/>
    </row>
    <row r="8" spans="1:76" ht="12.75" x14ac:dyDescent="0.2">
      <c r="A8" s="4" t="s">
        <v>1321</v>
      </c>
      <c r="B8" s="4" t="s">
        <v>477</v>
      </c>
      <c r="C8" s="4" t="s">
        <v>778</v>
      </c>
      <c r="D8" s="4">
        <v>2511</v>
      </c>
      <c r="E8" s="4" t="s">
        <v>5</v>
      </c>
      <c r="F8" s="4" t="s">
        <v>893</v>
      </c>
      <c r="G8" s="113">
        <v>0.14285714285714285</v>
      </c>
      <c r="H8" t="s">
        <v>1781</v>
      </c>
      <c r="I8" s="4">
        <v>0.14168</v>
      </c>
      <c r="L8" s="4" t="s">
        <v>1550</v>
      </c>
      <c r="M8" s="4" t="s">
        <v>109</v>
      </c>
      <c r="N8" s="4" t="s">
        <v>6</v>
      </c>
      <c r="O8" s="4"/>
      <c r="P8" s="4" t="s">
        <v>1693</v>
      </c>
      <c r="Q8" t="s">
        <v>109</v>
      </c>
      <c r="R8" s="4"/>
      <c r="S8" s="4"/>
      <c r="U8" s="4"/>
      <c r="Y8" s="4"/>
      <c r="Z8" s="4"/>
      <c r="AA8" s="4"/>
      <c r="AB8" s="4"/>
      <c r="AC8" s="4"/>
      <c r="AD8" s="4"/>
      <c r="AE8" s="4"/>
      <c r="AF8" s="4"/>
      <c r="AG8" s="4"/>
      <c r="AH8" s="4"/>
      <c r="AI8" s="4"/>
      <c r="AJ8" s="4"/>
      <c r="AK8" s="4"/>
      <c r="AL8" s="4"/>
      <c r="AP8" s="4"/>
      <c r="AX8" s="4"/>
      <c r="AY8" s="4"/>
      <c r="AZ8" s="4"/>
      <c r="BA8" s="4"/>
      <c r="BB8" s="4"/>
      <c r="BC8" s="4"/>
      <c r="BD8" s="4"/>
      <c r="BE8" s="4"/>
      <c r="BF8" s="4"/>
      <c r="BG8" s="4"/>
      <c r="BI8" s="4"/>
      <c r="BP8" s="4"/>
      <c r="BS8" s="4"/>
      <c r="BW8" s="4"/>
      <c r="BX8" s="4"/>
    </row>
    <row r="9" spans="1:76" ht="12.75" x14ac:dyDescent="0.2">
      <c r="A9" s="4" t="s">
        <v>1343</v>
      </c>
      <c r="B9" s="4" t="s">
        <v>253</v>
      </c>
      <c r="C9" s="4" t="s">
        <v>111</v>
      </c>
      <c r="D9" s="4">
        <v>2511</v>
      </c>
      <c r="E9" s="4" t="s">
        <v>5</v>
      </c>
      <c r="F9" s="4" t="s">
        <v>893</v>
      </c>
      <c r="G9" s="113">
        <v>0.33333333333333331</v>
      </c>
      <c r="H9" t="s">
        <v>1781</v>
      </c>
      <c r="I9" s="4">
        <v>0.14599999999999999</v>
      </c>
      <c r="L9" s="4" t="s">
        <v>1535</v>
      </c>
      <c r="M9" s="4" t="s">
        <v>109</v>
      </c>
      <c r="N9" s="4" t="s">
        <v>6</v>
      </c>
      <c r="O9" s="4"/>
      <c r="P9" s="4" t="s">
        <v>1693</v>
      </c>
      <c r="Q9" t="s">
        <v>109</v>
      </c>
      <c r="R9" s="4"/>
      <c r="S9" s="4"/>
      <c r="U9" s="4"/>
      <c r="Y9" s="4"/>
      <c r="Z9" s="4"/>
      <c r="AA9" s="4"/>
      <c r="AB9" s="4"/>
      <c r="AC9" s="4"/>
      <c r="AD9" s="4"/>
      <c r="AE9" s="4"/>
      <c r="AF9" s="4"/>
      <c r="AG9" s="4"/>
      <c r="AH9" s="4"/>
      <c r="AI9" s="4"/>
      <c r="AJ9" s="4"/>
      <c r="AK9" s="4"/>
      <c r="AL9" s="4"/>
      <c r="AP9" s="4"/>
      <c r="AX9" s="4"/>
      <c r="AY9" s="4"/>
      <c r="AZ9" s="4"/>
      <c r="BA9" s="4"/>
      <c r="BB9" s="4"/>
      <c r="BC9" s="4"/>
      <c r="BD9" s="4"/>
      <c r="BE9" s="4"/>
      <c r="BF9" s="4"/>
      <c r="BG9" s="4"/>
      <c r="BI9" s="4"/>
      <c r="BP9" s="4"/>
      <c r="BS9" s="4"/>
      <c r="BW9" s="4"/>
      <c r="BX9" s="4"/>
    </row>
    <row r="10" spans="1:76" ht="12.75" x14ac:dyDescent="0.2">
      <c r="A10" s="4" t="s">
        <v>1344</v>
      </c>
      <c r="B10" s="4" t="s">
        <v>253</v>
      </c>
      <c r="C10" s="4" t="s">
        <v>111</v>
      </c>
      <c r="D10" s="4">
        <v>2511</v>
      </c>
      <c r="E10" s="4" t="s">
        <v>5</v>
      </c>
      <c r="F10" s="4" t="s">
        <v>893</v>
      </c>
      <c r="G10" s="113">
        <v>0.33333333333333331</v>
      </c>
      <c r="H10" t="s">
        <v>1781</v>
      </c>
      <c r="I10" s="4">
        <v>0.152</v>
      </c>
      <c r="L10" s="4" t="s">
        <v>1535</v>
      </c>
      <c r="M10" s="4" t="s">
        <v>109</v>
      </c>
      <c r="N10" s="4" t="s">
        <v>6</v>
      </c>
      <c r="O10" s="4"/>
      <c r="P10" s="4" t="s">
        <v>1693</v>
      </c>
      <c r="Q10" t="s">
        <v>109</v>
      </c>
      <c r="R10" s="4"/>
      <c r="S10" s="4"/>
      <c r="U10" s="4"/>
      <c r="Y10" s="4"/>
      <c r="Z10" s="4"/>
      <c r="AA10" s="4"/>
      <c r="AB10" s="4"/>
      <c r="AC10" s="4"/>
      <c r="AD10" s="4"/>
      <c r="AE10" s="4"/>
      <c r="AF10" s="4"/>
      <c r="AG10" s="4"/>
      <c r="AH10" s="4"/>
      <c r="AI10" s="4"/>
      <c r="AJ10" s="4"/>
      <c r="AK10" s="4"/>
      <c r="AL10" s="4"/>
      <c r="AP10" s="4"/>
      <c r="AX10" s="4"/>
      <c r="AY10" s="4"/>
      <c r="AZ10" s="4"/>
      <c r="BA10" s="4"/>
      <c r="BB10" s="4"/>
      <c r="BC10" s="4"/>
      <c r="BD10" s="4"/>
      <c r="BE10" s="4"/>
      <c r="BF10" s="4"/>
      <c r="BG10" s="4"/>
      <c r="BI10" s="4"/>
      <c r="BP10" s="4"/>
      <c r="BS10" s="4"/>
      <c r="BW10" s="4"/>
      <c r="BX10" s="4"/>
    </row>
    <row r="11" spans="1:76" ht="12.75" x14ac:dyDescent="0.2">
      <c r="A11" s="4" t="s">
        <v>1320</v>
      </c>
      <c r="B11" s="4" t="s">
        <v>314</v>
      </c>
      <c r="C11" s="4" t="s">
        <v>205</v>
      </c>
      <c r="D11" s="4">
        <v>2511</v>
      </c>
      <c r="E11" s="4" t="s">
        <v>5</v>
      </c>
      <c r="F11" s="4" t="s">
        <v>893</v>
      </c>
      <c r="G11" s="113">
        <v>8.3333333333333329E-2</v>
      </c>
      <c r="H11" t="s">
        <v>1781</v>
      </c>
      <c r="I11" s="4">
        <v>0.157</v>
      </c>
      <c r="L11" s="4" t="s">
        <v>1553</v>
      </c>
      <c r="M11" s="4" t="s">
        <v>109</v>
      </c>
      <c r="N11" s="4" t="s">
        <v>6</v>
      </c>
      <c r="O11" s="4"/>
      <c r="P11" s="4" t="s">
        <v>1693</v>
      </c>
      <c r="Q11" t="s">
        <v>109</v>
      </c>
      <c r="R11" s="4"/>
      <c r="S11" s="4"/>
      <c r="U11" s="4"/>
      <c r="Y11" s="4"/>
      <c r="Z11" s="4"/>
      <c r="AA11" s="4"/>
      <c r="AB11" s="4"/>
      <c r="AC11" s="4"/>
      <c r="AD11" s="4"/>
      <c r="AE11" s="4"/>
      <c r="AF11" s="4"/>
      <c r="AG11" s="4"/>
      <c r="AH11" s="4"/>
      <c r="AI11" s="4"/>
      <c r="AJ11" s="4"/>
      <c r="AK11" s="4"/>
      <c r="AL11" s="4"/>
      <c r="AP11" s="4"/>
      <c r="AX11" s="4"/>
      <c r="AY11" s="4"/>
      <c r="AZ11" s="4"/>
      <c r="BA11" s="4"/>
      <c r="BB11" s="4"/>
      <c r="BC11" s="4"/>
      <c r="BD11" s="4"/>
      <c r="BE11" s="4"/>
      <c r="BF11" s="4"/>
      <c r="BG11" s="4"/>
      <c r="BI11" s="4"/>
      <c r="BP11" s="4"/>
      <c r="BS11" s="4"/>
      <c r="BW11" s="4"/>
      <c r="BX11" s="4"/>
    </row>
    <row r="12" spans="1:76" ht="12.75" x14ac:dyDescent="0.2">
      <c r="A12" s="4" t="s">
        <v>1320</v>
      </c>
      <c r="B12" s="4" t="s">
        <v>314</v>
      </c>
      <c r="C12" s="4" t="s">
        <v>610</v>
      </c>
      <c r="D12" s="4">
        <v>2511</v>
      </c>
      <c r="E12" s="4" t="s">
        <v>5</v>
      </c>
      <c r="F12" s="4" t="s">
        <v>893</v>
      </c>
      <c r="G12" s="113">
        <v>8.3333333333333329E-2</v>
      </c>
      <c r="H12" t="s">
        <v>1781</v>
      </c>
      <c r="I12" s="4">
        <v>0.159</v>
      </c>
      <c r="L12" s="4" t="s">
        <v>1553</v>
      </c>
      <c r="M12" s="4" t="s">
        <v>109</v>
      </c>
      <c r="N12" s="4" t="s">
        <v>6</v>
      </c>
      <c r="O12" s="4"/>
      <c r="P12" s="4" t="s">
        <v>1693</v>
      </c>
      <c r="Q12" t="s">
        <v>109</v>
      </c>
      <c r="R12" s="4"/>
      <c r="S12" s="4"/>
      <c r="U12" s="4"/>
      <c r="Y12" s="4"/>
      <c r="Z12" s="4"/>
      <c r="AA12" s="4"/>
      <c r="AB12" s="4"/>
      <c r="AC12" s="4"/>
      <c r="AD12" s="4"/>
      <c r="AE12" s="4"/>
      <c r="AF12" s="4"/>
      <c r="AG12" s="4"/>
      <c r="AH12" s="4"/>
      <c r="AI12" s="4"/>
      <c r="AJ12" s="4"/>
      <c r="AK12" s="4"/>
      <c r="AL12" s="4"/>
      <c r="AP12" s="4"/>
      <c r="AX12" s="4"/>
      <c r="AY12" s="4"/>
      <c r="AZ12" s="4"/>
      <c r="BA12" s="4"/>
      <c r="BB12" s="4"/>
      <c r="BC12" s="4"/>
      <c r="BD12" s="4"/>
      <c r="BE12" s="4"/>
      <c r="BF12" s="4"/>
      <c r="BG12" s="4"/>
      <c r="BI12" s="4"/>
      <c r="BP12" s="4"/>
      <c r="BS12" s="4"/>
      <c r="BW12" s="4"/>
      <c r="BX12" s="4"/>
    </row>
    <row r="13" spans="1:76" ht="12.75" x14ac:dyDescent="0.2">
      <c r="A13" s="4" t="s">
        <v>1344</v>
      </c>
      <c r="B13" s="4" t="s">
        <v>253</v>
      </c>
      <c r="C13" s="4" t="s">
        <v>111</v>
      </c>
      <c r="D13" s="4">
        <v>2511</v>
      </c>
      <c r="E13" s="4" t="s">
        <v>5</v>
      </c>
      <c r="F13" s="4" t="s">
        <v>893</v>
      </c>
      <c r="G13" s="113">
        <v>0.33333333333333331</v>
      </c>
      <c r="H13" t="s">
        <v>1781</v>
      </c>
      <c r="I13" s="4">
        <v>0.16</v>
      </c>
      <c r="L13" s="4" t="s">
        <v>1535</v>
      </c>
      <c r="M13" s="4" t="s">
        <v>109</v>
      </c>
      <c r="N13" s="4" t="s">
        <v>6</v>
      </c>
      <c r="O13" s="4"/>
      <c r="P13" s="4" t="s">
        <v>1693</v>
      </c>
      <c r="Q13" t="s">
        <v>109</v>
      </c>
      <c r="R13" s="4"/>
      <c r="S13" s="4"/>
      <c r="U13" s="4"/>
      <c r="Y13" s="4"/>
      <c r="Z13" s="4"/>
      <c r="AA13" s="4"/>
      <c r="AB13" s="4"/>
      <c r="AC13" s="4"/>
      <c r="AD13" s="4"/>
      <c r="AE13" s="4"/>
      <c r="AF13" s="4"/>
      <c r="AG13" s="4"/>
      <c r="AH13" s="4"/>
      <c r="AI13" s="4"/>
      <c r="AJ13" s="4"/>
      <c r="AK13" s="4"/>
      <c r="AL13" s="4"/>
      <c r="AP13" s="4"/>
      <c r="AX13" s="4"/>
      <c r="AY13" s="4"/>
      <c r="AZ13" s="4"/>
      <c r="BA13" s="4"/>
      <c r="BB13" s="4"/>
      <c r="BC13" s="4"/>
      <c r="BD13" s="4"/>
      <c r="BE13" s="4"/>
      <c r="BF13" s="4"/>
      <c r="BG13" s="4"/>
      <c r="BI13" s="4"/>
      <c r="BP13" s="4"/>
      <c r="BS13" s="4"/>
      <c r="BW13" s="4"/>
      <c r="BX13" s="4"/>
    </row>
    <row r="14" spans="1:76" ht="12.75" x14ac:dyDescent="0.2">
      <c r="A14" s="4" t="s">
        <v>1320</v>
      </c>
      <c r="B14" s="4" t="s">
        <v>314</v>
      </c>
      <c r="C14" s="4" t="s">
        <v>598</v>
      </c>
      <c r="D14" s="4">
        <v>2511</v>
      </c>
      <c r="E14" s="4" t="s">
        <v>5</v>
      </c>
      <c r="F14" s="4" t="s">
        <v>893</v>
      </c>
      <c r="G14" s="113">
        <v>8.3333333333333329E-2</v>
      </c>
      <c r="H14" t="s">
        <v>1781</v>
      </c>
      <c r="I14" s="4">
        <v>0.16900000000000001</v>
      </c>
      <c r="L14" s="4" t="s">
        <v>1553</v>
      </c>
      <c r="M14" s="4" t="s">
        <v>109</v>
      </c>
      <c r="N14" s="4" t="s">
        <v>6</v>
      </c>
      <c r="O14" s="4"/>
      <c r="P14" s="4" t="s">
        <v>1693</v>
      </c>
      <c r="Q14" t="s">
        <v>109</v>
      </c>
      <c r="R14" s="4"/>
      <c r="S14" s="4"/>
      <c r="U14" s="4"/>
      <c r="Y14" s="4"/>
      <c r="Z14" s="4"/>
      <c r="AA14" s="4"/>
      <c r="AB14" s="4"/>
      <c r="AC14" s="4"/>
      <c r="AD14" s="4"/>
      <c r="AE14" s="4"/>
      <c r="AF14" s="4"/>
      <c r="AG14" s="4"/>
      <c r="AH14" s="4"/>
      <c r="AI14" s="4"/>
      <c r="AJ14" s="4"/>
      <c r="AK14" s="4"/>
      <c r="AL14" s="4"/>
      <c r="AP14" s="4"/>
      <c r="AX14" s="4"/>
      <c r="AY14" s="4"/>
      <c r="AZ14" s="4"/>
      <c r="BA14" s="4"/>
      <c r="BB14" s="4"/>
      <c r="BC14" s="4"/>
      <c r="BD14" s="4"/>
      <c r="BE14" s="4"/>
      <c r="BF14" s="4"/>
      <c r="BG14" s="4"/>
      <c r="BI14" s="4"/>
      <c r="BP14" s="4"/>
      <c r="BS14" s="4"/>
      <c r="BW14" s="4"/>
      <c r="BX14" s="4"/>
    </row>
    <row r="15" spans="1:76" ht="12.75" x14ac:dyDescent="0.2">
      <c r="A15" s="4" t="s">
        <v>1344</v>
      </c>
      <c r="B15" s="4" t="s">
        <v>253</v>
      </c>
      <c r="C15" s="4" t="s">
        <v>111</v>
      </c>
      <c r="D15" s="4">
        <v>2511</v>
      </c>
      <c r="E15" s="4" t="s">
        <v>5</v>
      </c>
      <c r="F15" s="4" t="s">
        <v>893</v>
      </c>
      <c r="G15" s="113">
        <v>0.33333333333333331</v>
      </c>
      <c r="H15" t="s">
        <v>1781</v>
      </c>
      <c r="I15" s="4">
        <v>0.17799999999999999</v>
      </c>
      <c r="L15" s="4" t="s">
        <v>1535</v>
      </c>
      <c r="M15" s="4" t="s">
        <v>109</v>
      </c>
      <c r="N15" s="4" t="s">
        <v>6</v>
      </c>
      <c r="O15" s="4"/>
      <c r="P15" s="4" t="s">
        <v>1693</v>
      </c>
      <c r="Q15" t="s">
        <v>109</v>
      </c>
      <c r="R15" s="4"/>
      <c r="S15" s="4"/>
      <c r="U15" s="4"/>
      <c r="Y15" s="4"/>
      <c r="Z15" s="4"/>
      <c r="AA15" s="4"/>
      <c r="AB15" s="4"/>
      <c r="AC15" s="4"/>
      <c r="AD15" s="4"/>
      <c r="AE15" s="4"/>
      <c r="AF15" s="4"/>
      <c r="AG15" s="4"/>
      <c r="AH15" s="4"/>
      <c r="AI15" s="4"/>
      <c r="AJ15" s="4"/>
      <c r="AK15" s="4"/>
      <c r="AL15" s="4"/>
      <c r="AP15" s="4"/>
      <c r="AX15" s="4"/>
      <c r="AY15" s="4"/>
      <c r="AZ15" s="4"/>
      <c r="BA15" s="4"/>
      <c r="BB15" s="4"/>
      <c r="BC15" s="4"/>
      <c r="BD15" s="4"/>
      <c r="BE15" s="4"/>
      <c r="BF15" s="4"/>
      <c r="BG15" s="4"/>
      <c r="BI15" s="4"/>
      <c r="BP15" s="4"/>
      <c r="BS15" s="4"/>
      <c r="BW15" s="4"/>
      <c r="BX15" s="4"/>
    </row>
    <row r="16" spans="1:76" ht="12.75" x14ac:dyDescent="0.2">
      <c r="A16" s="4" t="s">
        <v>1343</v>
      </c>
      <c r="B16" s="4" t="s">
        <v>253</v>
      </c>
      <c r="C16" s="4" t="s">
        <v>111</v>
      </c>
      <c r="D16" s="4">
        <v>2511</v>
      </c>
      <c r="E16" s="4" t="s">
        <v>5</v>
      </c>
      <c r="F16" s="4" t="s">
        <v>893</v>
      </c>
      <c r="G16" s="113">
        <v>0.33333333333333331</v>
      </c>
      <c r="H16" t="s">
        <v>1781</v>
      </c>
      <c r="I16" s="4">
        <v>0.18</v>
      </c>
      <c r="L16" s="4" t="s">
        <v>1535</v>
      </c>
      <c r="M16" s="4" t="s">
        <v>109</v>
      </c>
      <c r="N16" s="4" t="s">
        <v>6</v>
      </c>
      <c r="O16" s="4"/>
      <c r="P16" s="4" t="s">
        <v>1693</v>
      </c>
      <c r="Q16" t="s">
        <v>109</v>
      </c>
      <c r="R16" s="4"/>
      <c r="S16" s="4"/>
      <c r="U16" s="4"/>
      <c r="Y16" s="4"/>
      <c r="Z16" s="4"/>
      <c r="AA16" s="4"/>
      <c r="AB16" s="4"/>
      <c r="AC16" s="4"/>
      <c r="AD16" s="4"/>
      <c r="AE16" s="4"/>
      <c r="AF16" s="4"/>
      <c r="AG16" s="4"/>
      <c r="AH16" s="4"/>
      <c r="AI16" s="4"/>
      <c r="AJ16" s="4"/>
      <c r="AK16" s="4"/>
      <c r="AL16" s="4"/>
      <c r="AP16" s="4"/>
      <c r="AX16" s="4"/>
      <c r="AY16" s="4"/>
      <c r="AZ16" s="4"/>
      <c r="BA16" s="4"/>
      <c r="BB16" s="4"/>
      <c r="BC16" s="4"/>
      <c r="BD16" s="4"/>
      <c r="BE16" s="4"/>
      <c r="BF16" s="4"/>
      <c r="BG16" s="4"/>
      <c r="BI16" s="4"/>
      <c r="BP16" s="4"/>
      <c r="BS16" s="4"/>
      <c r="BW16" s="4"/>
      <c r="BX16" s="4"/>
    </row>
    <row r="17" spans="1:76" ht="12.75" x14ac:dyDescent="0.2">
      <c r="A17" s="4" t="s">
        <v>630</v>
      </c>
      <c r="B17" s="4" t="s">
        <v>225</v>
      </c>
      <c r="C17" s="4" t="s">
        <v>111</v>
      </c>
      <c r="D17" s="4">
        <v>2511</v>
      </c>
      <c r="E17" s="4" t="s">
        <v>5</v>
      </c>
      <c r="F17" s="4" t="s">
        <v>893</v>
      </c>
      <c r="G17" s="113">
        <v>0.5</v>
      </c>
      <c r="H17" t="s">
        <v>1781</v>
      </c>
      <c r="I17" s="4">
        <v>0.18210000000000001</v>
      </c>
      <c r="L17" s="4" t="s">
        <v>1558</v>
      </c>
      <c r="M17" s="4" t="s">
        <v>109</v>
      </c>
      <c r="N17" s="4" t="s">
        <v>6</v>
      </c>
      <c r="O17" s="4"/>
      <c r="P17" s="4" t="s">
        <v>1693</v>
      </c>
      <c r="Q17" t="s">
        <v>109</v>
      </c>
      <c r="R17" s="4"/>
      <c r="S17" s="4"/>
      <c r="U17" s="4"/>
      <c r="Y17" s="4"/>
      <c r="Z17" s="4"/>
      <c r="AA17" s="4"/>
      <c r="AB17" s="4"/>
      <c r="AC17" s="4"/>
      <c r="AD17" s="4"/>
      <c r="AE17" s="4"/>
      <c r="AF17" s="4"/>
      <c r="AG17" s="4"/>
      <c r="AH17" s="4"/>
      <c r="AI17" s="4"/>
      <c r="AJ17" s="4"/>
      <c r="AK17" s="4"/>
      <c r="AL17" s="4"/>
      <c r="AP17" s="4"/>
      <c r="AX17" s="4"/>
      <c r="AY17" s="4"/>
      <c r="AZ17" s="4"/>
      <c r="BA17" s="4"/>
      <c r="BB17" s="4"/>
      <c r="BC17" s="4"/>
      <c r="BD17" s="4"/>
      <c r="BE17" s="4"/>
      <c r="BF17" s="4"/>
      <c r="BG17" s="4"/>
      <c r="BI17" s="4"/>
      <c r="BP17" s="4"/>
      <c r="BS17" s="4"/>
      <c r="BW17" s="4"/>
      <c r="BX17" s="4"/>
    </row>
    <row r="18" spans="1:76" ht="12.75" x14ac:dyDescent="0.2">
      <c r="A18" s="4" t="s">
        <v>1321</v>
      </c>
      <c r="B18" s="4" t="s">
        <v>477</v>
      </c>
      <c r="C18" s="4" t="s">
        <v>690</v>
      </c>
      <c r="D18" s="4">
        <v>2511</v>
      </c>
      <c r="E18" s="4" t="s">
        <v>5</v>
      </c>
      <c r="F18" s="4" t="s">
        <v>893</v>
      </c>
      <c r="G18" s="113">
        <v>0.2</v>
      </c>
      <c r="H18" t="s">
        <v>1781</v>
      </c>
      <c r="I18" s="4">
        <v>0.18996000000000002</v>
      </c>
      <c r="L18" s="4" t="s">
        <v>1536</v>
      </c>
      <c r="M18" s="4" t="s">
        <v>109</v>
      </c>
      <c r="N18" s="4" t="s">
        <v>6</v>
      </c>
      <c r="O18" s="4"/>
      <c r="P18" s="4" t="s">
        <v>1693</v>
      </c>
      <c r="Q18" t="s">
        <v>109</v>
      </c>
      <c r="R18" s="4"/>
      <c r="S18" s="4"/>
      <c r="U18" s="4"/>
      <c r="Y18" s="4"/>
      <c r="Z18" s="4"/>
      <c r="AA18" s="4"/>
      <c r="AB18" s="4"/>
      <c r="AC18" s="4"/>
      <c r="AD18" s="4"/>
      <c r="AE18" s="4"/>
      <c r="AF18" s="4"/>
      <c r="AG18" s="4"/>
      <c r="AH18" s="4"/>
      <c r="AI18" s="4"/>
      <c r="AJ18" s="4"/>
      <c r="AK18" s="4"/>
      <c r="AL18" s="4"/>
      <c r="AP18" s="4"/>
      <c r="AX18" s="4"/>
      <c r="AY18" s="4"/>
      <c r="AZ18" s="4"/>
      <c r="BA18" s="4"/>
      <c r="BB18" s="4"/>
      <c r="BC18" s="4"/>
      <c r="BD18" s="4"/>
      <c r="BE18" s="4"/>
      <c r="BF18" s="4"/>
      <c r="BG18" s="4"/>
      <c r="BI18" s="4"/>
      <c r="BP18" s="4"/>
      <c r="BS18" s="4"/>
      <c r="BW18" s="4"/>
      <c r="BX18" s="4"/>
    </row>
    <row r="19" spans="1:76" ht="12.75" x14ac:dyDescent="0.2">
      <c r="A19" s="4" t="s">
        <v>1321</v>
      </c>
      <c r="B19" s="4" t="s">
        <v>477</v>
      </c>
      <c r="C19" s="4" t="s">
        <v>778</v>
      </c>
      <c r="D19" s="4">
        <v>2511</v>
      </c>
      <c r="E19" s="4" t="s">
        <v>5</v>
      </c>
      <c r="F19" s="4" t="s">
        <v>893</v>
      </c>
      <c r="G19" s="113">
        <v>0.14285714285714285</v>
      </c>
      <c r="H19" t="s">
        <v>1781</v>
      </c>
      <c r="I19" s="4">
        <v>0.19807</v>
      </c>
      <c r="L19" s="4" t="s">
        <v>1550</v>
      </c>
      <c r="M19" s="4" t="s">
        <v>109</v>
      </c>
      <c r="N19" s="4" t="s">
        <v>6</v>
      </c>
      <c r="O19" s="4"/>
      <c r="P19" s="4" t="s">
        <v>1693</v>
      </c>
      <c r="Q19" t="s">
        <v>109</v>
      </c>
      <c r="R19" s="4"/>
      <c r="S19" s="4"/>
      <c r="U19" s="4"/>
      <c r="Y19" s="4"/>
      <c r="Z19" s="4"/>
      <c r="AA19" s="4"/>
      <c r="AB19" s="4"/>
      <c r="AC19" s="4"/>
      <c r="AD19" s="4"/>
      <c r="AE19" s="4"/>
      <c r="AF19" s="4"/>
      <c r="AG19" s="4"/>
      <c r="AH19" s="4"/>
      <c r="AI19" s="4"/>
      <c r="AJ19" s="4"/>
      <c r="AK19" s="4"/>
      <c r="AL19" s="4"/>
      <c r="AP19" s="4"/>
      <c r="AX19" s="4"/>
      <c r="AY19" s="4"/>
      <c r="AZ19" s="4"/>
      <c r="BA19" s="4"/>
      <c r="BB19" s="4"/>
      <c r="BC19" s="4"/>
      <c r="BD19" s="4"/>
      <c r="BE19" s="4"/>
      <c r="BF19" s="4"/>
      <c r="BG19" s="4"/>
      <c r="BI19" s="4"/>
      <c r="BP19" s="4"/>
      <c r="BS19" s="4"/>
      <c r="BW19" s="4"/>
      <c r="BX19" s="4"/>
    </row>
    <row r="20" spans="1:76" ht="12.75" x14ac:dyDescent="0.2">
      <c r="A20" s="4" t="s">
        <v>1341</v>
      </c>
      <c r="B20" s="4" t="s">
        <v>253</v>
      </c>
      <c r="C20" s="4" t="s">
        <v>111</v>
      </c>
      <c r="D20" s="4">
        <v>2511</v>
      </c>
      <c r="E20" s="4" t="s">
        <v>5</v>
      </c>
      <c r="F20" s="4" t="s">
        <v>893</v>
      </c>
      <c r="G20" s="113">
        <v>0.33333333333333331</v>
      </c>
      <c r="H20" t="s">
        <v>1781</v>
      </c>
      <c r="I20" s="4">
        <v>0.20200000000000001</v>
      </c>
      <c r="L20" s="4" t="s">
        <v>1535</v>
      </c>
      <c r="M20" s="4" t="s">
        <v>109</v>
      </c>
      <c r="N20" s="4" t="s">
        <v>6</v>
      </c>
      <c r="O20" s="4"/>
      <c r="P20" s="4" t="s">
        <v>1693</v>
      </c>
      <c r="Q20" t="s">
        <v>109</v>
      </c>
      <c r="R20" s="4"/>
      <c r="S20" s="4"/>
      <c r="U20" s="4"/>
      <c r="Y20" s="4"/>
      <c r="Z20" s="4"/>
      <c r="AA20" s="4"/>
      <c r="AB20" s="4"/>
      <c r="AC20" s="4"/>
      <c r="AD20" s="4"/>
      <c r="AE20" s="4"/>
      <c r="AF20" s="4"/>
      <c r="AG20" s="4"/>
      <c r="AH20" s="4"/>
      <c r="AI20" s="4"/>
      <c r="AJ20" s="4"/>
      <c r="AK20" s="4"/>
      <c r="AL20" s="4"/>
      <c r="AP20" s="4"/>
      <c r="AX20" s="4"/>
      <c r="AY20" s="4"/>
      <c r="AZ20" s="4"/>
      <c r="BA20" s="4"/>
      <c r="BB20" s="4"/>
      <c r="BC20" s="4"/>
      <c r="BD20" s="4"/>
      <c r="BE20" s="4"/>
      <c r="BF20" s="4"/>
      <c r="BG20" s="4"/>
      <c r="BI20" s="4"/>
      <c r="BP20" s="4"/>
      <c r="BS20" s="4"/>
      <c r="BW20" s="4"/>
      <c r="BX20" s="4"/>
    </row>
    <row r="21" spans="1:76" ht="12.75" x14ac:dyDescent="0.2">
      <c r="A21" s="4" t="s">
        <v>1320</v>
      </c>
      <c r="B21" s="4" t="s">
        <v>314</v>
      </c>
      <c r="C21" s="4" t="s">
        <v>598</v>
      </c>
      <c r="D21" s="4">
        <v>2511</v>
      </c>
      <c r="E21" s="4" t="s">
        <v>5</v>
      </c>
      <c r="F21" s="4" t="s">
        <v>893</v>
      </c>
      <c r="G21" s="113">
        <v>8.3333333333333329E-2</v>
      </c>
      <c r="H21" t="s">
        <v>1781</v>
      </c>
      <c r="I21" s="4">
        <v>0.20300000000000001</v>
      </c>
      <c r="L21" s="4" t="s">
        <v>1553</v>
      </c>
      <c r="M21" s="4" t="s">
        <v>109</v>
      </c>
      <c r="N21" s="4" t="s">
        <v>6</v>
      </c>
      <c r="O21" s="4"/>
      <c r="P21" s="4" t="s">
        <v>1693</v>
      </c>
      <c r="Q21" t="s">
        <v>109</v>
      </c>
      <c r="R21" s="4"/>
      <c r="S21" s="4"/>
      <c r="U21" s="4"/>
      <c r="Y21" s="4"/>
      <c r="Z21" s="4"/>
      <c r="AA21" s="4"/>
      <c r="AB21" s="4"/>
      <c r="AC21" s="4"/>
      <c r="AD21" s="4"/>
      <c r="AE21" s="4"/>
      <c r="AF21" s="4"/>
      <c r="AG21" s="4"/>
      <c r="AH21" s="4"/>
      <c r="AI21" s="4"/>
      <c r="AJ21" s="4"/>
      <c r="AK21" s="4"/>
      <c r="AL21" s="4"/>
      <c r="AP21" s="4"/>
      <c r="AX21" s="4"/>
      <c r="AY21" s="4"/>
      <c r="AZ21" s="4"/>
      <c r="BA21" s="4"/>
      <c r="BB21" s="4"/>
      <c r="BC21" s="4"/>
      <c r="BD21" s="4"/>
      <c r="BE21" s="4"/>
      <c r="BF21" s="4"/>
      <c r="BG21" s="4"/>
      <c r="BI21" s="4"/>
      <c r="BP21" s="4"/>
      <c r="BS21" s="4"/>
      <c r="BW21" s="4"/>
      <c r="BX21" s="4"/>
    </row>
    <row r="22" spans="1:76" ht="12.75" x14ac:dyDescent="0.2">
      <c r="A22" s="4" t="s">
        <v>1308</v>
      </c>
      <c r="B22" s="4" t="s">
        <v>77</v>
      </c>
      <c r="C22" s="4" t="s">
        <v>101</v>
      </c>
      <c r="D22" s="4">
        <v>2511</v>
      </c>
      <c r="E22" s="4" t="s">
        <v>5</v>
      </c>
      <c r="F22" s="4" t="s">
        <v>893</v>
      </c>
      <c r="G22" s="113">
        <v>0.5</v>
      </c>
      <c r="H22" t="s">
        <v>1781</v>
      </c>
      <c r="I22" s="4">
        <v>0.20500000000000002</v>
      </c>
      <c r="L22" s="4" t="s">
        <v>1555</v>
      </c>
      <c r="M22" s="4" t="s">
        <v>109</v>
      </c>
      <c r="N22" s="4" t="s">
        <v>6</v>
      </c>
      <c r="O22" s="4"/>
      <c r="P22" s="4" t="s">
        <v>1693</v>
      </c>
      <c r="Q22" t="s">
        <v>109</v>
      </c>
      <c r="R22" s="4"/>
      <c r="S22" s="4"/>
      <c r="U22" s="4"/>
      <c r="Y22" s="4"/>
      <c r="Z22" s="4"/>
      <c r="AA22" s="4"/>
      <c r="AB22" s="4"/>
      <c r="AC22" s="4"/>
      <c r="AD22" s="4"/>
      <c r="AE22" s="4"/>
      <c r="AF22" s="4"/>
      <c r="AG22" s="4"/>
      <c r="AH22" s="4"/>
      <c r="AI22" s="4"/>
      <c r="AJ22" s="4"/>
      <c r="AK22" s="4"/>
      <c r="AL22" s="4"/>
      <c r="AP22" s="4"/>
      <c r="AX22" s="4"/>
      <c r="AY22" s="4"/>
      <c r="AZ22" s="4"/>
      <c r="BA22" s="4"/>
      <c r="BB22" s="4"/>
      <c r="BC22" s="4"/>
      <c r="BD22" s="4"/>
      <c r="BE22" s="4"/>
      <c r="BF22" s="4"/>
      <c r="BG22" s="4"/>
      <c r="BI22" s="4"/>
      <c r="BP22" s="4"/>
      <c r="BS22" s="4"/>
      <c r="BW22" s="4"/>
      <c r="BX22" s="4"/>
    </row>
    <row r="23" spans="1:76" ht="12.75" x14ac:dyDescent="0.2">
      <c r="A23" s="4" t="s">
        <v>667</v>
      </c>
      <c r="B23" s="4" t="s">
        <v>225</v>
      </c>
      <c r="C23" s="4" t="s">
        <v>111</v>
      </c>
      <c r="D23" s="4">
        <v>2511</v>
      </c>
      <c r="E23" s="4" t="s">
        <v>5</v>
      </c>
      <c r="F23" s="4" t="s">
        <v>893</v>
      </c>
      <c r="G23" s="113">
        <v>0.5</v>
      </c>
      <c r="H23" t="s">
        <v>1781</v>
      </c>
      <c r="I23" s="4">
        <v>0.20980000000000001</v>
      </c>
      <c r="L23" s="4" t="s">
        <v>1558</v>
      </c>
      <c r="M23" s="4" t="s">
        <v>109</v>
      </c>
      <c r="N23" s="4" t="s">
        <v>6</v>
      </c>
      <c r="O23" s="4"/>
      <c r="P23" s="4" t="s">
        <v>1693</v>
      </c>
      <c r="Q23" t="s">
        <v>109</v>
      </c>
      <c r="R23" s="4"/>
      <c r="S23" s="4"/>
      <c r="U23" s="4"/>
      <c r="Y23" s="4"/>
      <c r="Z23" s="4"/>
      <c r="AA23" s="4"/>
      <c r="AB23" s="4"/>
      <c r="AC23" s="4"/>
      <c r="AD23" s="4"/>
      <c r="AE23" s="4"/>
      <c r="AF23" s="4"/>
      <c r="AG23" s="4"/>
      <c r="AH23" s="4"/>
      <c r="AI23" s="4"/>
      <c r="AJ23" s="4"/>
      <c r="AK23" s="4"/>
      <c r="AL23" s="4"/>
      <c r="AP23" s="4"/>
      <c r="AX23" s="4"/>
      <c r="AY23" s="4"/>
      <c r="AZ23" s="4"/>
      <c r="BA23" s="4"/>
      <c r="BB23" s="4"/>
      <c r="BC23" s="4"/>
      <c r="BD23" s="4"/>
      <c r="BE23" s="4"/>
      <c r="BF23" s="4"/>
      <c r="BG23" s="4"/>
      <c r="BI23" s="4"/>
      <c r="BP23" s="4"/>
      <c r="BS23" s="4"/>
      <c r="BW23" s="4"/>
      <c r="BX23" s="4"/>
    </row>
    <row r="24" spans="1:76" ht="12.75" x14ac:dyDescent="0.2">
      <c r="A24" s="4" t="s">
        <v>1320</v>
      </c>
      <c r="B24" s="4" t="s">
        <v>314</v>
      </c>
      <c r="C24" s="4" t="s">
        <v>610</v>
      </c>
      <c r="D24" s="4">
        <v>2511</v>
      </c>
      <c r="E24" s="4" t="s">
        <v>5</v>
      </c>
      <c r="F24" s="4" t="s">
        <v>893</v>
      </c>
      <c r="G24" s="113">
        <v>8.3333333333333329E-2</v>
      </c>
      <c r="H24" t="s">
        <v>1781</v>
      </c>
      <c r="I24" s="4">
        <v>0.215</v>
      </c>
      <c r="L24" s="4" t="s">
        <v>1553</v>
      </c>
      <c r="M24" s="4" t="s">
        <v>109</v>
      </c>
      <c r="N24" s="4" t="s">
        <v>6</v>
      </c>
      <c r="O24" s="4"/>
      <c r="P24" s="4" t="s">
        <v>1693</v>
      </c>
      <c r="Q24" t="s">
        <v>109</v>
      </c>
      <c r="R24" s="4"/>
      <c r="S24" s="4"/>
      <c r="U24" s="4"/>
      <c r="Y24" s="4"/>
      <c r="Z24" s="4"/>
      <c r="AA24" s="4"/>
      <c r="AB24" s="4"/>
      <c r="AC24" s="4"/>
      <c r="AD24" s="4"/>
      <c r="AE24" s="4"/>
      <c r="AF24" s="4"/>
      <c r="AG24" s="4"/>
      <c r="AH24" s="4"/>
      <c r="AI24" s="4"/>
      <c r="AJ24" s="4"/>
      <c r="AK24" s="4"/>
      <c r="AL24" s="4"/>
      <c r="AP24" s="4"/>
      <c r="AX24" s="4"/>
      <c r="AY24" s="4"/>
      <c r="AZ24" s="4"/>
      <c r="BA24" s="4"/>
      <c r="BB24" s="4"/>
      <c r="BC24" s="4"/>
      <c r="BD24" s="4"/>
      <c r="BE24" s="4"/>
      <c r="BF24" s="4"/>
      <c r="BG24" s="4"/>
      <c r="BI24" s="4"/>
      <c r="BP24" s="4"/>
      <c r="BS24" s="4"/>
      <c r="BW24" s="4"/>
      <c r="BX24" s="4"/>
    </row>
    <row r="25" spans="1:76" ht="12.75" x14ac:dyDescent="0.2">
      <c r="A25" s="4" t="s">
        <v>1343</v>
      </c>
      <c r="B25" s="4" t="s">
        <v>253</v>
      </c>
      <c r="C25" s="4" t="s">
        <v>111</v>
      </c>
      <c r="D25" s="4">
        <v>2511</v>
      </c>
      <c r="E25" s="4" t="s">
        <v>5</v>
      </c>
      <c r="F25" s="4" t="s">
        <v>893</v>
      </c>
      <c r="G25" s="113">
        <v>0.33333333333333331</v>
      </c>
      <c r="H25" t="s">
        <v>1781</v>
      </c>
      <c r="I25" s="4">
        <v>0.219</v>
      </c>
      <c r="L25" s="4" t="s">
        <v>1535</v>
      </c>
      <c r="M25" s="4" t="s">
        <v>109</v>
      </c>
      <c r="N25" s="4" t="s">
        <v>6</v>
      </c>
      <c r="O25" s="4"/>
      <c r="P25" s="4" t="s">
        <v>1693</v>
      </c>
      <c r="Q25" t="s">
        <v>109</v>
      </c>
      <c r="R25" s="4"/>
      <c r="S25" s="4"/>
      <c r="U25" s="4"/>
      <c r="Y25" s="4"/>
      <c r="Z25" s="4"/>
      <c r="AA25" s="4"/>
      <c r="AB25" s="4"/>
      <c r="AC25" s="4"/>
      <c r="AD25" s="4"/>
      <c r="AE25" s="4"/>
      <c r="AF25" s="4"/>
      <c r="AG25" s="4"/>
      <c r="AH25" s="4"/>
      <c r="AI25" s="4"/>
      <c r="AJ25" s="4"/>
      <c r="AK25" s="4"/>
      <c r="AL25" s="4"/>
      <c r="AP25" s="4"/>
      <c r="AX25" s="4"/>
      <c r="AY25" s="4"/>
      <c r="AZ25" s="4"/>
      <c r="BA25" s="4"/>
      <c r="BB25" s="4"/>
      <c r="BC25" s="4"/>
      <c r="BD25" s="4"/>
      <c r="BE25" s="4"/>
      <c r="BF25" s="4"/>
      <c r="BG25" s="4"/>
      <c r="BI25" s="4"/>
      <c r="BP25" s="4"/>
      <c r="BS25" s="4"/>
      <c r="BW25" s="4"/>
      <c r="BX25" s="4"/>
    </row>
    <row r="26" spans="1:76" ht="12.75" x14ac:dyDescent="0.2">
      <c r="A26" s="4" t="s">
        <v>1321</v>
      </c>
      <c r="B26" s="4" t="s">
        <v>477</v>
      </c>
      <c r="C26" s="4" t="s">
        <v>778</v>
      </c>
      <c r="D26" s="4">
        <v>2511</v>
      </c>
      <c r="E26" s="4" t="s">
        <v>5</v>
      </c>
      <c r="F26" s="4" t="s">
        <v>893</v>
      </c>
      <c r="G26" s="113">
        <v>0.14285714285714285</v>
      </c>
      <c r="H26" t="s">
        <v>1781</v>
      </c>
      <c r="I26" s="4">
        <v>0.22696000000000002</v>
      </c>
      <c r="L26" s="4" t="s">
        <v>1550</v>
      </c>
      <c r="M26" s="4" t="s">
        <v>109</v>
      </c>
      <c r="N26" s="4" t="s">
        <v>6</v>
      </c>
      <c r="O26" s="4"/>
      <c r="P26" s="4" t="s">
        <v>1693</v>
      </c>
      <c r="Q26" t="s">
        <v>109</v>
      </c>
      <c r="R26" s="4"/>
      <c r="S26" s="4"/>
      <c r="U26" s="4"/>
      <c r="Y26" s="4"/>
      <c r="Z26" s="4"/>
      <c r="AA26" s="4"/>
      <c r="AB26" s="4"/>
      <c r="AC26" s="4"/>
      <c r="AD26" s="4"/>
      <c r="AE26" s="4"/>
      <c r="AF26" s="4"/>
      <c r="AG26" s="4"/>
      <c r="AH26" s="4"/>
      <c r="AI26" s="4"/>
      <c r="AJ26" s="4"/>
      <c r="AK26" s="4"/>
      <c r="AL26" s="4"/>
      <c r="AP26" s="4"/>
      <c r="AX26" s="4"/>
      <c r="AY26" s="4"/>
      <c r="AZ26" s="4"/>
      <c r="BA26" s="4"/>
      <c r="BB26" s="4"/>
      <c r="BC26" s="4"/>
      <c r="BD26" s="4"/>
      <c r="BE26" s="4"/>
      <c r="BF26" s="4"/>
      <c r="BG26" s="4"/>
      <c r="BI26" s="4"/>
      <c r="BP26" s="4"/>
      <c r="BS26" s="4"/>
      <c r="BW26" s="4"/>
      <c r="BX26" s="4"/>
    </row>
    <row r="27" spans="1:76" ht="12.75" x14ac:dyDescent="0.2">
      <c r="A27" s="4" t="s">
        <v>1341</v>
      </c>
      <c r="B27" s="4" t="s">
        <v>253</v>
      </c>
      <c r="C27" s="4" t="s">
        <v>111</v>
      </c>
      <c r="D27" s="4">
        <v>2511</v>
      </c>
      <c r="E27" s="4" t="s">
        <v>5</v>
      </c>
      <c r="F27" s="4" t="s">
        <v>893</v>
      </c>
      <c r="G27" s="113">
        <v>0.33333333333333331</v>
      </c>
      <c r="H27" t="s">
        <v>1781</v>
      </c>
      <c r="I27" s="4">
        <v>0.23300000000000001</v>
      </c>
      <c r="L27" s="4" t="s">
        <v>1535</v>
      </c>
      <c r="M27" s="4" t="s">
        <v>109</v>
      </c>
      <c r="N27" s="4" t="s">
        <v>6</v>
      </c>
      <c r="O27" s="4"/>
      <c r="P27" s="4" t="s">
        <v>1693</v>
      </c>
      <c r="Q27" t="s">
        <v>109</v>
      </c>
      <c r="R27" s="4"/>
      <c r="S27" s="4"/>
      <c r="U27" s="4"/>
      <c r="Y27" s="4"/>
      <c r="Z27" s="4"/>
      <c r="AA27" s="4"/>
      <c r="AB27" s="4"/>
      <c r="AC27" s="4"/>
      <c r="AD27" s="4"/>
      <c r="AE27" s="4"/>
      <c r="AF27" s="4"/>
      <c r="AG27" s="4"/>
      <c r="AH27" s="4"/>
      <c r="AI27" s="4"/>
      <c r="AJ27" s="4"/>
      <c r="AK27" s="4"/>
      <c r="AL27" s="4"/>
      <c r="AP27" s="4"/>
      <c r="AX27" s="4"/>
      <c r="AY27" s="4"/>
      <c r="AZ27" s="4"/>
      <c r="BA27" s="4"/>
      <c r="BB27" s="4"/>
      <c r="BC27" s="4"/>
      <c r="BD27" s="4"/>
      <c r="BE27" s="4"/>
      <c r="BF27" s="4"/>
      <c r="BG27" s="4"/>
      <c r="BI27" s="4"/>
      <c r="BP27" s="4"/>
      <c r="BS27" s="4"/>
      <c r="BW27" s="4"/>
      <c r="BX27" s="4"/>
    </row>
    <row r="28" spans="1:76" ht="12.75" x14ac:dyDescent="0.2">
      <c r="A28" s="4" t="s">
        <v>630</v>
      </c>
      <c r="B28" s="4" t="s">
        <v>253</v>
      </c>
      <c r="C28" s="4" t="s">
        <v>101</v>
      </c>
      <c r="D28" s="4">
        <v>2511</v>
      </c>
      <c r="E28" s="4" t="s">
        <v>5</v>
      </c>
      <c r="F28" s="4" t="s">
        <v>893</v>
      </c>
      <c r="G28" s="113">
        <v>0.5</v>
      </c>
      <c r="H28" t="s">
        <v>1781</v>
      </c>
      <c r="I28" s="4">
        <v>0.23880597014925373</v>
      </c>
      <c r="L28" s="4" t="s">
        <v>1541</v>
      </c>
      <c r="M28" s="4" t="s">
        <v>109</v>
      </c>
      <c r="N28" s="4" t="s">
        <v>6</v>
      </c>
      <c r="O28" s="4"/>
      <c r="P28" s="4" t="s">
        <v>1693</v>
      </c>
      <c r="Q28" t="s">
        <v>109</v>
      </c>
      <c r="R28" s="4"/>
      <c r="S28" s="4"/>
      <c r="U28" s="4"/>
      <c r="Y28" s="4"/>
      <c r="Z28" s="4"/>
      <c r="AA28" s="4"/>
      <c r="AB28" s="4"/>
      <c r="AC28" s="4"/>
      <c r="AD28" s="4"/>
      <c r="AE28" s="4"/>
      <c r="AF28" s="4"/>
      <c r="AG28" s="4"/>
      <c r="AH28" s="4"/>
      <c r="AI28" s="4"/>
      <c r="AJ28" s="4"/>
      <c r="AK28" s="4"/>
      <c r="AL28" s="4"/>
      <c r="AP28" s="4"/>
      <c r="AX28" s="4"/>
      <c r="AY28" s="4"/>
      <c r="AZ28" s="4"/>
      <c r="BA28" s="4"/>
      <c r="BB28" s="4"/>
      <c r="BC28" s="4"/>
      <c r="BD28" s="4"/>
      <c r="BE28" s="4"/>
      <c r="BF28" s="4"/>
      <c r="BG28" s="4"/>
      <c r="BI28" s="4"/>
      <c r="BP28" s="4"/>
      <c r="BS28" s="4"/>
      <c r="BW28" s="4"/>
      <c r="BX28" s="4"/>
    </row>
    <row r="29" spans="1:76" ht="12.75" x14ac:dyDescent="0.2">
      <c r="A29" s="4" t="s">
        <v>1342</v>
      </c>
      <c r="B29" s="4" t="s">
        <v>253</v>
      </c>
      <c r="C29" s="4" t="s">
        <v>111</v>
      </c>
      <c r="D29" s="4">
        <v>2511</v>
      </c>
      <c r="E29" s="4" t="s">
        <v>5</v>
      </c>
      <c r="F29" s="4" t="s">
        <v>893</v>
      </c>
      <c r="G29" s="113">
        <v>0.33333333333333331</v>
      </c>
      <c r="H29" t="s">
        <v>1781</v>
      </c>
      <c r="I29" s="4">
        <v>0.251</v>
      </c>
      <c r="L29" s="4" t="s">
        <v>1535</v>
      </c>
      <c r="M29" s="4" t="s">
        <v>109</v>
      </c>
      <c r="N29" s="4" t="s">
        <v>6</v>
      </c>
      <c r="O29" s="4"/>
      <c r="P29" s="4" t="s">
        <v>1693</v>
      </c>
      <c r="Q29" t="s">
        <v>109</v>
      </c>
      <c r="R29" s="4"/>
      <c r="S29" s="4"/>
      <c r="U29" s="4"/>
      <c r="Y29" s="4"/>
      <c r="Z29" s="4"/>
      <c r="AA29" s="4"/>
      <c r="AB29" s="4"/>
      <c r="AC29" s="4"/>
      <c r="AD29" s="4"/>
      <c r="AE29" s="4"/>
      <c r="AF29" s="4"/>
      <c r="AG29" s="4"/>
      <c r="AH29" s="4"/>
      <c r="AI29" s="4"/>
      <c r="AJ29" s="4"/>
      <c r="AK29" s="4"/>
      <c r="AL29" s="4"/>
      <c r="AP29" s="4"/>
      <c r="AX29" s="4"/>
      <c r="AY29" s="4"/>
      <c r="AZ29" s="4"/>
      <c r="BA29" s="4"/>
      <c r="BB29" s="4"/>
      <c r="BC29" s="4"/>
      <c r="BD29" s="4"/>
      <c r="BE29" s="4"/>
      <c r="BF29" s="4"/>
      <c r="BG29" s="4"/>
      <c r="BI29" s="4"/>
      <c r="BP29" s="4"/>
      <c r="BS29" s="4"/>
      <c r="BW29" s="4"/>
      <c r="BX29" s="4"/>
    </row>
    <row r="30" spans="1:76" ht="12.75" x14ac:dyDescent="0.2">
      <c r="A30" s="4" t="s">
        <v>630</v>
      </c>
      <c r="B30" s="4" t="s">
        <v>225</v>
      </c>
      <c r="C30" s="4" t="s">
        <v>1366</v>
      </c>
      <c r="D30" s="4">
        <v>2511</v>
      </c>
      <c r="E30" s="4" t="s">
        <v>5</v>
      </c>
      <c r="F30" s="4" t="s">
        <v>893</v>
      </c>
      <c r="G30" s="113">
        <v>1</v>
      </c>
      <c r="H30" t="s">
        <v>1781</v>
      </c>
      <c r="I30" s="4">
        <v>0.253</v>
      </c>
      <c r="L30" s="4" t="s">
        <v>1549</v>
      </c>
      <c r="M30" s="4" t="s">
        <v>109</v>
      </c>
      <c r="N30" s="4" t="s">
        <v>6</v>
      </c>
      <c r="O30" s="4"/>
      <c r="P30" s="4" t="s">
        <v>1693</v>
      </c>
      <c r="Q30" t="s">
        <v>109</v>
      </c>
      <c r="R30" s="4"/>
      <c r="S30" s="4"/>
      <c r="U30" s="4"/>
      <c r="Y30" s="4"/>
      <c r="Z30" s="4"/>
      <c r="AA30" s="4"/>
      <c r="AB30" s="4"/>
      <c r="AC30" s="4"/>
      <c r="AD30" s="4"/>
      <c r="AE30" s="4"/>
      <c r="AF30" s="4"/>
      <c r="AG30" s="4"/>
      <c r="AH30" s="4"/>
      <c r="AI30" s="4"/>
      <c r="AJ30" s="4"/>
      <c r="AK30" s="4"/>
      <c r="AL30" s="4"/>
      <c r="AP30" s="4"/>
      <c r="AX30" s="4"/>
      <c r="AY30" s="4"/>
      <c r="AZ30" s="4"/>
      <c r="BA30" s="4"/>
      <c r="BB30" s="4"/>
      <c r="BC30" s="4"/>
      <c r="BD30" s="4"/>
      <c r="BE30" s="4"/>
      <c r="BF30" s="4"/>
      <c r="BG30" s="4"/>
      <c r="BI30" s="4"/>
      <c r="BP30" s="4"/>
      <c r="BS30" s="4"/>
      <c r="BW30" s="4"/>
      <c r="BX30" s="4"/>
    </row>
    <row r="31" spans="1:76" ht="12.75" x14ac:dyDescent="0.2">
      <c r="A31" s="4" t="s">
        <v>1320</v>
      </c>
      <c r="B31" s="4" t="s">
        <v>314</v>
      </c>
      <c r="C31" s="4" t="s">
        <v>205</v>
      </c>
      <c r="D31" s="4">
        <v>2511</v>
      </c>
      <c r="E31" s="4" t="s">
        <v>5</v>
      </c>
      <c r="F31" s="4" t="s">
        <v>893</v>
      </c>
      <c r="G31" s="113">
        <v>8.3333333333333329E-2</v>
      </c>
      <c r="H31" t="s">
        <v>1781</v>
      </c>
      <c r="I31" s="4">
        <v>0.25900000000000001</v>
      </c>
      <c r="L31" s="4" t="s">
        <v>1553</v>
      </c>
      <c r="M31" s="4" t="s">
        <v>109</v>
      </c>
      <c r="N31" s="4" t="s">
        <v>6</v>
      </c>
      <c r="O31" s="4"/>
      <c r="P31" s="4" t="s">
        <v>1693</v>
      </c>
      <c r="Q31" t="s">
        <v>109</v>
      </c>
      <c r="R31" s="4"/>
      <c r="S31" s="4"/>
      <c r="U31" s="4"/>
      <c r="Y31" s="4"/>
      <c r="Z31" s="4"/>
      <c r="AA31" s="4"/>
      <c r="AB31" s="4"/>
      <c r="AC31" s="4"/>
      <c r="AD31" s="4"/>
      <c r="AE31" s="4"/>
      <c r="AF31" s="4"/>
      <c r="AG31" s="4"/>
      <c r="AH31" s="4"/>
      <c r="AI31" s="4"/>
      <c r="AJ31" s="4"/>
      <c r="AK31" s="4"/>
      <c r="AL31" s="4"/>
      <c r="AP31" s="4"/>
      <c r="AX31" s="4"/>
      <c r="AY31" s="4"/>
      <c r="AZ31" s="4"/>
      <c r="BA31" s="4"/>
      <c r="BB31" s="4"/>
      <c r="BC31" s="4"/>
      <c r="BD31" s="4"/>
      <c r="BE31" s="4"/>
      <c r="BF31" s="4"/>
      <c r="BG31" s="4"/>
      <c r="BI31" s="4"/>
      <c r="BP31" s="4"/>
      <c r="BS31" s="4"/>
      <c r="BW31" s="4"/>
      <c r="BX31" s="4"/>
    </row>
    <row r="32" spans="1:76" ht="12.75" x14ac:dyDescent="0.2">
      <c r="A32" s="4" t="s">
        <v>1321</v>
      </c>
      <c r="B32" s="4" t="s">
        <v>477</v>
      </c>
      <c r="C32" s="4" t="s">
        <v>778</v>
      </c>
      <c r="D32" s="4">
        <v>2511</v>
      </c>
      <c r="E32" s="4" t="s">
        <v>5</v>
      </c>
      <c r="F32" s="4" t="s">
        <v>893</v>
      </c>
      <c r="G32" s="113">
        <v>0.14285714285714285</v>
      </c>
      <c r="H32" t="s">
        <v>1781</v>
      </c>
      <c r="I32" s="4">
        <v>0.26616000000000001</v>
      </c>
      <c r="L32" s="4" t="s">
        <v>1550</v>
      </c>
      <c r="M32" s="4" t="s">
        <v>109</v>
      </c>
      <c r="N32" s="4" t="s">
        <v>6</v>
      </c>
      <c r="O32" s="4"/>
      <c r="P32" s="4" t="s">
        <v>1693</v>
      </c>
      <c r="Q32" t="s">
        <v>109</v>
      </c>
      <c r="R32" s="4"/>
      <c r="S32" s="4"/>
      <c r="U32" s="4"/>
      <c r="Y32" s="4"/>
      <c r="Z32" s="4"/>
      <c r="AA32" s="4"/>
      <c r="AB32" s="4"/>
      <c r="AC32" s="4"/>
      <c r="AD32" s="4"/>
      <c r="AE32" s="4"/>
      <c r="AF32" s="4"/>
      <c r="AG32" s="4"/>
      <c r="AH32" s="4"/>
      <c r="AI32" s="4"/>
      <c r="AJ32" s="4"/>
      <c r="AK32" s="4"/>
      <c r="AL32" s="4"/>
      <c r="AP32" s="4"/>
      <c r="AX32" s="4"/>
      <c r="AY32" s="4"/>
      <c r="AZ32" s="4"/>
      <c r="BA32" s="4"/>
      <c r="BB32" s="4"/>
      <c r="BC32" s="4"/>
      <c r="BD32" s="4"/>
      <c r="BE32" s="4"/>
      <c r="BF32" s="4"/>
      <c r="BG32" s="4"/>
      <c r="BI32" s="4"/>
      <c r="BP32" s="4"/>
      <c r="BS32" s="4"/>
      <c r="BW32" s="4"/>
      <c r="BX32" s="4"/>
    </row>
    <row r="33" spans="1:76" ht="12.75" x14ac:dyDescent="0.2">
      <c r="A33" s="4" t="s">
        <v>1320</v>
      </c>
      <c r="B33" s="4" t="s">
        <v>314</v>
      </c>
      <c r="C33" s="4" t="s">
        <v>610</v>
      </c>
      <c r="D33" s="4">
        <v>2511</v>
      </c>
      <c r="E33" s="4" t="s">
        <v>5</v>
      </c>
      <c r="F33" s="4" t="s">
        <v>893</v>
      </c>
      <c r="G33" s="113">
        <v>8.3333333333333329E-2</v>
      </c>
      <c r="H33" t="s">
        <v>1781</v>
      </c>
      <c r="I33" s="4">
        <v>0.26900000000000002</v>
      </c>
      <c r="L33" s="4" t="s">
        <v>1553</v>
      </c>
      <c r="M33" s="4" t="s">
        <v>109</v>
      </c>
      <c r="N33" s="4" t="s">
        <v>6</v>
      </c>
      <c r="O33" s="4"/>
      <c r="P33" s="4" t="s">
        <v>1693</v>
      </c>
      <c r="Q33" t="s">
        <v>109</v>
      </c>
      <c r="R33" s="4"/>
      <c r="S33" s="4"/>
      <c r="U33" s="4"/>
      <c r="Y33" s="4"/>
      <c r="Z33" s="4"/>
      <c r="AA33" s="4"/>
      <c r="AB33" s="4"/>
      <c r="AC33" s="4"/>
      <c r="AD33" s="4"/>
      <c r="AE33" s="4"/>
      <c r="AF33" s="4"/>
      <c r="AG33" s="4"/>
      <c r="AH33" s="4"/>
      <c r="AI33" s="4"/>
      <c r="AJ33" s="4"/>
      <c r="AK33" s="4"/>
      <c r="AL33" s="4"/>
      <c r="AP33" s="4"/>
      <c r="AX33" s="4"/>
      <c r="AY33" s="4"/>
      <c r="AZ33" s="4"/>
      <c r="BA33" s="4"/>
      <c r="BB33" s="4"/>
      <c r="BC33" s="4"/>
      <c r="BD33" s="4"/>
      <c r="BE33" s="4"/>
      <c r="BF33" s="4"/>
      <c r="BG33" s="4"/>
      <c r="BI33" s="4"/>
      <c r="BP33" s="4"/>
      <c r="BS33" s="4"/>
      <c r="BW33" s="4"/>
      <c r="BX33" s="4"/>
    </row>
    <row r="34" spans="1:76" ht="12.75" x14ac:dyDescent="0.2">
      <c r="A34" s="4" t="s">
        <v>630</v>
      </c>
      <c r="B34" s="4" t="s">
        <v>631</v>
      </c>
      <c r="C34" s="4" t="s">
        <v>1364</v>
      </c>
      <c r="D34" s="4">
        <v>2511</v>
      </c>
      <c r="E34" s="4" t="s">
        <v>5</v>
      </c>
      <c r="F34" s="4" t="s">
        <v>893</v>
      </c>
      <c r="G34" s="113">
        <v>1</v>
      </c>
      <c r="H34" t="s">
        <v>1781</v>
      </c>
      <c r="I34" s="4">
        <v>0.26937</v>
      </c>
      <c r="L34" s="4" t="s">
        <v>1557</v>
      </c>
      <c r="M34" s="4" t="s">
        <v>109</v>
      </c>
      <c r="N34" s="4" t="s">
        <v>6</v>
      </c>
      <c r="O34" s="4"/>
      <c r="P34" s="4" t="s">
        <v>1693</v>
      </c>
      <c r="Q34" t="s">
        <v>109</v>
      </c>
      <c r="R34" s="4"/>
      <c r="S34" s="4"/>
      <c r="U34" s="4"/>
      <c r="Y34" s="4"/>
      <c r="Z34" s="4"/>
      <c r="AA34" s="4"/>
      <c r="AB34" s="4"/>
      <c r="AC34" s="4"/>
      <c r="AD34" s="4"/>
      <c r="AE34" s="4"/>
      <c r="AF34" s="4"/>
      <c r="AG34" s="4"/>
      <c r="AH34" s="4"/>
      <c r="AI34" s="4"/>
      <c r="AJ34" s="4"/>
      <c r="AK34" s="4"/>
      <c r="AL34" s="4"/>
      <c r="AP34" s="4"/>
      <c r="AX34" s="4"/>
      <c r="AY34" s="4"/>
      <c r="AZ34" s="4"/>
      <c r="BA34" s="4"/>
      <c r="BB34" s="4"/>
      <c r="BC34" s="4"/>
      <c r="BD34" s="4"/>
      <c r="BE34" s="4"/>
      <c r="BF34" s="4"/>
      <c r="BG34" s="4"/>
      <c r="BI34" s="4"/>
      <c r="BP34" s="4"/>
      <c r="BS34" s="4"/>
      <c r="BW34" s="4"/>
      <c r="BX34" s="4"/>
    </row>
    <row r="35" spans="1:76" ht="12.75" x14ac:dyDescent="0.2">
      <c r="A35" s="4" t="s">
        <v>1341</v>
      </c>
      <c r="B35" s="4" t="s">
        <v>253</v>
      </c>
      <c r="C35" s="4" t="s">
        <v>111</v>
      </c>
      <c r="D35" s="4">
        <v>2511</v>
      </c>
      <c r="E35" s="4" t="s">
        <v>5</v>
      </c>
      <c r="F35" s="4" t="s">
        <v>893</v>
      </c>
      <c r="G35" s="113">
        <v>0.33333333333333331</v>
      </c>
      <c r="H35" t="s">
        <v>1781</v>
      </c>
      <c r="I35" s="4">
        <v>0.27200000000000002</v>
      </c>
      <c r="L35" s="4" t="s">
        <v>1535</v>
      </c>
      <c r="M35" s="4" t="s">
        <v>109</v>
      </c>
      <c r="N35" s="4" t="s">
        <v>6</v>
      </c>
      <c r="O35" s="4"/>
      <c r="P35" s="4" t="s">
        <v>1693</v>
      </c>
      <c r="Q35" t="s">
        <v>109</v>
      </c>
      <c r="R35" s="4"/>
      <c r="S35" s="4"/>
      <c r="U35" s="4"/>
      <c r="Y35" s="4"/>
      <c r="Z35" s="4"/>
      <c r="AA35" s="4"/>
      <c r="AB35" s="4"/>
      <c r="AC35" s="4"/>
      <c r="AD35" s="4"/>
      <c r="AE35" s="4"/>
      <c r="AF35" s="4"/>
      <c r="AG35" s="4"/>
      <c r="AH35" s="4"/>
      <c r="AI35" s="4"/>
      <c r="AJ35" s="4"/>
      <c r="AK35" s="4"/>
      <c r="AL35" s="4"/>
      <c r="AP35" s="4"/>
      <c r="AX35" s="4"/>
      <c r="AY35" s="4"/>
      <c r="AZ35" s="4"/>
      <c r="BA35" s="4"/>
      <c r="BB35" s="4"/>
      <c r="BC35" s="4"/>
      <c r="BD35" s="4"/>
      <c r="BE35" s="4"/>
      <c r="BF35" s="4"/>
      <c r="BG35" s="4"/>
      <c r="BI35" s="4"/>
      <c r="BP35" s="4"/>
      <c r="BS35" s="4"/>
      <c r="BW35" s="4"/>
      <c r="BX35" s="4"/>
    </row>
    <row r="36" spans="1:76" ht="12.75" x14ac:dyDescent="0.2">
      <c r="A36" s="4" t="s">
        <v>1321</v>
      </c>
      <c r="B36" s="4" t="s">
        <v>1296</v>
      </c>
      <c r="C36" s="4" t="s">
        <v>778</v>
      </c>
      <c r="D36" s="4">
        <v>2511</v>
      </c>
      <c r="E36" s="4" t="s">
        <v>5</v>
      </c>
      <c r="F36" s="4" t="s">
        <v>893</v>
      </c>
      <c r="G36" s="113">
        <v>3.7037037037037035E-2</v>
      </c>
      <c r="H36" t="s">
        <v>1781</v>
      </c>
      <c r="I36" s="4">
        <v>0.27900000000000003</v>
      </c>
      <c r="L36" s="4" t="s">
        <v>1552</v>
      </c>
      <c r="M36" s="4" t="s">
        <v>109</v>
      </c>
      <c r="N36" s="4" t="s">
        <v>6</v>
      </c>
      <c r="O36" s="4"/>
      <c r="P36" s="4" t="s">
        <v>1693</v>
      </c>
      <c r="Q36" t="s">
        <v>109</v>
      </c>
      <c r="R36" s="4"/>
      <c r="S36" s="4"/>
      <c r="U36" s="4"/>
      <c r="Y36" s="4"/>
      <c r="Z36" s="4"/>
      <c r="AA36" s="4"/>
      <c r="AB36" s="4"/>
      <c r="AC36" s="4"/>
      <c r="AD36" s="4"/>
      <c r="AE36" s="4"/>
      <c r="AF36" s="4"/>
      <c r="AG36" s="4"/>
      <c r="AH36" s="4"/>
      <c r="AI36" s="4"/>
      <c r="AJ36" s="4"/>
      <c r="AK36" s="4"/>
      <c r="AL36" s="4"/>
      <c r="AP36" s="4"/>
      <c r="AX36" s="4"/>
      <c r="AY36" s="4"/>
      <c r="AZ36" s="4"/>
      <c r="BA36" s="4"/>
      <c r="BB36" s="4"/>
      <c r="BC36" s="4"/>
      <c r="BD36" s="4"/>
      <c r="BE36" s="4"/>
      <c r="BF36" s="4"/>
      <c r="BG36" s="4"/>
      <c r="BI36" s="4"/>
      <c r="BP36" s="4"/>
      <c r="BS36" s="4"/>
      <c r="BW36" s="4"/>
      <c r="BX36" s="4"/>
    </row>
    <row r="37" spans="1:76" ht="12.75" x14ac:dyDescent="0.2">
      <c r="A37" s="4" t="s">
        <v>630</v>
      </c>
      <c r="B37" s="4" t="s">
        <v>253</v>
      </c>
      <c r="C37" s="4" t="s">
        <v>111</v>
      </c>
      <c r="D37" s="4">
        <v>2511</v>
      </c>
      <c r="E37" s="4" t="s">
        <v>5</v>
      </c>
      <c r="F37" s="4" t="s">
        <v>893</v>
      </c>
      <c r="G37" s="113">
        <v>0.5</v>
      </c>
      <c r="H37" t="s">
        <v>1781</v>
      </c>
      <c r="I37" s="4">
        <v>0.28358208955223879</v>
      </c>
      <c r="L37" s="4" t="s">
        <v>1541</v>
      </c>
      <c r="M37" s="4" t="s">
        <v>109</v>
      </c>
      <c r="N37" s="4" t="s">
        <v>6</v>
      </c>
      <c r="O37" s="4"/>
      <c r="P37" s="4" t="s">
        <v>1693</v>
      </c>
      <c r="Q37" t="s">
        <v>109</v>
      </c>
      <c r="R37" s="4"/>
      <c r="S37" s="4"/>
      <c r="U37" s="4"/>
      <c r="Y37" s="4"/>
      <c r="Z37" s="4"/>
      <c r="AA37" s="4"/>
      <c r="AB37" s="4"/>
      <c r="AC37" s="4"/>
      <c r="AD37" s="4"/>
      <c r="AE37" s="4"/>
      <c r="AF37" s="4"/>
      <c r="AG37" s="4"/>
      <c r="AH37" s="4"/>
      <c r="AI37" s="4"/>
      <c r="AJ37" s="4"/>
      <c r="AK37" s="4"/>
      <c r="AL37" s="4"/>
      <c r="AP37" s="4"/>
      <c r="AX37" s="4"/>
      <c r="AY37" s="4"/>
      <c r="AZ37" s="4"/>
      <c r="BA37" s="4"/>
      <c r="BB37" s="4"/>
      <c r="BC37" s="4"/>
      <c r="BD37" s="4"/>
      <c r="BE37" s="4"/>
      <c r="BF37" s="4"/>
      <c r="BG37" s="4"/>
      <c r="BI37" s="4"/>
      <c r="BP37" s="4"/>
      <c r="BS37" s="4"/>
      <c r="BW37" s="4"/>
      <c r="BX37" s="4"/>
    </row>
    <row r="38" spans="1:76" ht="12.75" x14ac:dyDescent="0.2">
      <c r="A38" s="4" t="s">
        <v>1324</v>
      </c>
      <c r="B38" s="4" t="s">
        <v>642</v>
      </c>
      <c r="C38" s="4" t="s">
        <v>778</v>
      </c>
      <c r="D38" s="4">
        <v>2511</v>
      </c>
      <c r="E38" s="4" t="s">
        <v>5</v>
      </c>
      <c r="F38" s="4" t="s">
        <v>893</v>
      </c>
      <c r="G38" s="113">
        <v>8.3333333333333329E-2</v>
      </c>
      <c r="H38" t="s">
        <v>1781</v>
      </c>
      <c r="I38" s="4">
        <v>0.28999999999999998</v>
      </c>
      <c r="L38" s="4" t="s">
        <v>1545</v>
      </c>
      <c r="M38" s="4" t="s">
        <v>109</v>
      </c>
      <c r="N38" s="4" t="s">
        <v>6</v>
      </c>
      <c r="O38" s="4"/>
      <c r="P38" s="4" t="s">
        <v>1693</v>
      </c>
      <c r="Q38" t="s">
        <v>109</v>
      </c>
      <c r="R38" s="4"/>
      <c r="S38" s="4"/>
      <c r="U38" s="4"/>
      <c r="Y38" s="4"/>
      <c r="Z38" s="4"/>
      <c r="AA38" s="4"/>
      <c r="AB38" s="4"/>
      <c r="AC38" s="4"/>
      <c r="AD38" s="4"/>
      <c r="AE38" s="4"/>
      <c r="AF38" s="4"/>
      <c r="AG38" s="4"/>
      <c r="AH38" s="4"/>
      <c r="AI38" s="4"/>
      <c r="AJ38" s="4"/>
      <c r="AK38" s="4"/>
      <c r="AL38" s="4"/>
      <c r="AP38" s="4"/>
      <c r="AX38" s="4"/>
      <c r="AY38" s="4"/>
      <c r="AZ38" s="4"/>
      <c r="BA38" s="4"/>
      <c r="BB38" s="4"/>
      <c r="BC38" s="4"/>
      <c r="BD38" s="4"/>
      <c r="BE38" s="4"/>
      <c r="BF38" s="4"/>
      <c r="BG38" s="4"/>
      <c r="BI38" s="4"/>
      <c r="BP38" s="4"/>
      <c r="BS38" s="4"/>
      <c r="BW38" s="4"/>
      <c r="BX38" s="4"/>
    </row>
    <row r="39" spans="1:76" ht="12.75" x14ac:dyDescent="0.2">
      <c r="A39" s="4" t="s">
        <v>1321</v>
      </c>
      <c r="B39" s="4" t="s">
        <v>1296</v>
      </c>
      <c r="C39" s="4" t="s">
        <v>778</v>
      </c>
      <c r="D39" s="4">
        <v>2511</v>
      </c>
      <c r="E39" s="4" t="s">
        <v>5</v>
      </c>
      <c r="F39" s="4" t="s">
        <v>893</v>
      </c>
      <c r="G39" s="113">
        <v>3.7037037037037035E-2</v>
      </c>
      <c r="H39" t="s">
        <v>1781</v>
      </c>
      <c r="I39" s="4">
        <v>0.29699999999999999</v>
      </c>
      <c r="L39" s="4" t="s">
        <v>1552</v>
      </c>
      <c r="M39" s="4" t="s">
        <v>109</v>
      </c>
      <c r="N39" s="4" t="s">
        <v>6</v>
      </c>
      <c r="O39" s="4"/>
      <c r="P39" s="4" t="s">
        <v>1693</v>
      </c>
      <c r="Q39" t="s">
        <v>109</v>
      </c>
      <c r="R39" s="4"/>
      <c r="S39" s="4"/>
      <c r="U39" s="4"/>
      <c r="Y39" s="4"/>
      <c r="Z39" s="4"/>
      <c r="AA39" s="4"/>
      <c r="AB39" s="4"/>
      <c r="AC39" s="4"/>
      <c r="AD39" s="4"/>
      <c r="AE39" s="4"/>
      <c r="AF39" s="4"/>
      <c r="AG39" s="4"/>
      <c r="AH39" s="4"/>
      <c r="AI39" s="4"/>
      <c r="AJ39" s="4"/>
      <c r="AK39" s="4"/>
      <c r="AL39" s="4"/>
      <c r="AP39" s="4"/>
      <c r="AX39" s="4"/>
      <c r="AY39" s="4"/>
      <c r="AZ39" s="4"/>
      <c r="BA39" s="4"/>
      <c r="BB39" s="4"/>
      <c r="BC39" s="4"/>
      <c r="BD39" s="4"/>
      <c r="BE39" s="4"/>
      <c r="BF39" s="4"/>
      <c r="BG39" s="4"/>
      <c r="BI39" s="4"/>
      <c r="BP39" s="4"/>
      <c r="BS39" s="4"/>
      <c r="BW39" s="4"/>
      <c r="BX39" s="4"/>
    </row>
    <row r="40" spans="1:76" ht="12.75" x14ac:dyDescent="0.2">
      <c r="A40" s="4" t="s">
        <v>1321</v>
      </c>
      <c r="B40" s="4" t="s">
        <v>1296</v>
      </c>
      <c r="C40" s="4" t="s">
        <v>778</v>
      </c>
      <c r="D40" s="4">
        <v>2511</v>
      </c>
      <c r="E40" s="4" t="s">
        <v>5</v>
      </c>
      <c r="F40" s="4" t="s">
        <v>893</v>
      </c>
      <c r="G40" s="113">
        <v>3.7037037037037035E-2</v>
      </c>
      <c r="H40" t="s">
        <v>1781</v>
      </c>
      <c r="I40" s="4">
        <v>0.29799999999999999</v>
      </c>
      <c r="L40" s="4" t="s">
        <v>1552</v>
      </c>
      <c r="M40" s="4" t="s">
        <v>109</v>
      </c>
      <c r="N40" s="4" t="s">
        <v>6</v>
      </c>
      <c r="O40" s="4"/>
      <c r="P40" s="4" t="s">
        <v>1693</v>
      </c>
      <c r="Q40" t="s">
        <v>109</v>
      </c>
      <c r="R40" s="4"/>
      <c r="S40" s="4"/>
      <c r="U40" s="4"/>
      <c r="Y40" s="4"/>
      <c r="Z40" s="4"/>
      <c r="AA40" s="4"/>
      <c r="AB40" s="4"/>
      <c r="AC40" s="4"/>
      <c r="AD40" s="4"/>
      <c r="AE40" s="4"/>
      <c r="AF40" s="4"/>
      <c r="AG40" s="4"/>
      <c r="AH40" s="4"/>
      <c r="AI40" s="4"/>
      <c r="AJ40" s="4"/>
      <c r="AK40" s="4"/>
      <c r="AL40" s="4"/>
      <c r="AP40" s="4"/>
      <c r="AX40" s="4"/>
      <c r="AY40" s="4"/>
      <c r="AZ40" s="4"/>
      <c r="BA40" s="4"/>
      <c r="BB40" s="4"/>
      <c r="BC40" s="4"/>
      <c r="BD40" s="4"/>
      <c r="BE40" s="4"/>
      <c r="BF40" s="4"/>
      <c r="BG40" s="4"/>
      <c r="BI40" s="4"/>
      <c r="BP40" s="4"/>
      <c r="BS40" s="4"/>
      <c r="BW40" s="4"/>
      <c r="BX40" s="4"/>
    </row>
    <row r="41" spans="1:76" ht="12.75" x14ac:dyDescent="0.2">
      <c r="A41" s="4" t="s">
        <v>1321</v>
      </c>
      <c r="B41" s="4" t="s">
        <v>180</v>
      </c>
      <c r="C41" s="4" t="s">
        <v>1363</v>
      </c>
      <c r="D41" s="4">
        <v>2511</v>
      </c>
      <c r="E41" s="4" t="s">
        <v>5</v>
      </c>
      <c r="F41" s="4" t="s">
        <v>893</v>
      </c>
      <c r="G41" s="113">
        <v>0.5</v>
      </c>
      <c r="H41" t="s">
        <v>1781</v>
      </c>
      <c r="I41" s="4">
        <v>0.30299999999999999</v>
      </c>
      <c r="L41" s="4" t="s">
        <v>1547</v>
      </c>
      <c r="M41" s="4" t="s">
        <v>109</v>
      </c>
      <c r="N41" s="4" t="s">
        <v>6</v>
      </c>
      <c r="O41" s="4"/>
      <c r="P41" s="4" t="s">
        <v>1693</v>
      </c>
      <c r="Q41" t="s">
        <v>109</v>
      </c>
      <c r="R41" s="4"/>
      <c r="S41" s="4"/>
      <c r="U41" s="4"/>
      <c r="Y41" s="4"/>
      <c r="Z41" s="4"/>
      <c r="AA41" s="4"/>
      <c r="AB41" s="4"/>
      <c r="AC41" s="4"/>
      <c r="AD41" s="4"/>
      <c r="AE41" s="4"/>
      <c r="AF41" s="4"/>
      <c r="AG41" s="4"/>
      <c r="AH41" s="4"/>
      <c r="AI41" s="4"/>
      <c r="AJ41" s="4"/>
      <c r="AK41" s="4"/>
      <c r="AL41" s="4"/>
      <c r="AP41" s="4"/>
      <c r="AX41" s="4"/>
      <c r="AY41" s="4"/>
      <c r="AZ41" s="4"/>
      <c r="BA41" s="4"/>
      <c r="BB41" s="4"/>
      <c r="BC41" s="4"/>
      <c r="BD41" s="4"/>
      <c r="BE41" s="4"/>
      <c r="BF41" s="4"/>
      <c r="BG41" s="4"/>
      <c r="BI41" s="4"/>
      <c r="BP41" s="4"/>
      <c r="BS41" s="4"/>
      <c r="BW41" s="4"/>
      <c r="BX41" s="4"/>
    </row>
    <row r="42" spans="1:76" ht="12.75" x14ac:dyDescent="0.2">
      <c r="A42" s="4" t="s">
        <v>1320</v>
      </c>
      <c r="B42" s="4" t="s">
        <v>314</v>
      </c>
      <c r="C42" s="4" t="s">
        <v>205</v>
      </c>
      <c r="D42" s="4">
        <v>2511</v>
      </c>
      <c r="E42" s="4" t="s">
        <v>5</v>
      </c>
      <c r="F42" s="4" t="s">
        <v>893</v>
      </c>
      <c r="G42" s="113">
        <v>8.3333333333333329E-2</v>
      </c>
      <c r="H42" t="s">
        <v>1781</v>
      </c>
      <c r="I42" s="4">
        <v>0.308</v>
      </c>
      <c r="L42" s="4" t="s">
        <v>1553</v>
      </c>
      <c r="M42" s="4" t="s">
        <v>109</v>
      </c>
      <c r="N42" s="4" t="s">
        <v>6</v>
      </c>
      <c r="O42" s="4"/>
      <c r="P42" s="4" t="s">
        <v>1693</v>
      </c>
      <c r="Q42" t="s">
        <v>109</v>
      </c>
      <c r="R42" s="4"/>
      <c r="S42" s="4"/>
      <c r="U42" s="4"/>
      <c r="Y42" s="4"/>
      <c r="Z42" s="4"/>
      <c r="AA42" s="4"/>
      <c r="AB42" s="4"/>
      <c r="AC42" s="4"/>
      <c r="AD42" s="4"/>
      <c r="AE42" s="4"/>
      <c r="AF42" s="4"/>
      <c r="AG42" s="4"/>
      <c r="AH42" s="4"/>
      <c r="AI42" s="4"/>
      <c r="AJ42" s="4"/>
      <c r="AK42" s="4"/>
      <c r="AL42" s="4"/>
      <c r="AP42" s="4"/>
      <c r="AX42" s="4"/>
      <c r="AY42" s="4"/>
      <c r="AZ42" s="4"/>
      <c r="BA42" s="4"/>
      <c r="BB42" s="4"/>
      <c r="BC42" s="4"/>
      <c r="BD42" s="4"/>
      <c r="BE42" s="4"/>
      <c r="BF42" s="4"/>
      <c r="BG42" s="4"/>
      <c r="BI42" s="4"/>
      <c r="BP42" s="4"/>
      <c r="BS42" s="4"/>
      <c r="BW42" s="4"/>
      <c r="BX42" s="4"/>
    </row>
    <row r="43" spans="1:76" ht="12.75" x14ac:dyDescent="0.2">
      <c r="A43" s="4" t="s">
        <v>1321</v>
      </c>
      <c r="B43" s="4" t="s">
        <v>477</v>
      </c>
      <c r="C43" s="4" t="s">
        <v>690</v>
      </c>
      <c r="D43" s="4">
        <v>2511</v>
      </c>
      <c r="E43" s="4" t="s">
        <v>5</v>
      </c>
      <c r="F43" s="4" t="s">
        <v>893</v>
      </c>
      <c r="G43" s="113">
        <v>0.2</v>
      </c>
      <c r="H43" t="s">
        <v>1781</v>
      </c>
      <c r="I43" s="4">
        <v>0.31183</v>
      </c>
      <c r="L43" s="4" t="s">
        <v>1536</v>
      </c>
      <c r="M43" s="4" t="s">
        <v>109</v>
      </c>
      <c r="N43" s="4" t="s">
        <v>6</v>
      </c>
      <c r="O43" s="4"/>
      <c r="P43" s="4" t="s">
        <v>1693</v>
      </c>
      <c r="Q43" t="s">
        <v>109</v>
      </c>
      <c r="R43" s="4"/>
      <c r="S43" s="4"/>
      <c r="U43" s="4"/>
      <c r="Y43" s="4"/>
      <c r="Z43" s="4"/>
      <c r="AA43" s="4"/>
      <c r="AB43" s="4"/>
      <c r="AC43" s="4"/>
      <c r="AD43" s="4"/>
      <c r="AE43" s="4"/>
      <c r="AF43" s="4"/>
      <c r="AG43" s="4"/>
      <c r="AH43" s="4"/>
      <c r="AI43" s="4"/>
      <c r="AJ43" s="4"/>
      <c r="AK43" s="4"/>
      <c r="AL43" s="4"/>
      <c r="AP43" s="4"/>
      <c r="AX43" s="4"/>
      <c r="AY43" s="4"/>
      <c r="AZ43" s="4"/>
      <c r="BA43" s="4"/>
      <c r="BB43" s="4"/>
      <c r="BC43" s="4"/>
      <c r="BD43" s="4"/>
      <c r="BE43" s="4"/>
      <c r="BF43" s="4"/>
      <c r="BG43" s="4"/>
      <c r="BI43" s="4"/>
      <c r="BP43" s="4"/>
      <c r="BS43" s="4"/>
      <c r="BW43" s="4"/>
      <c r="BX43" s="4"/>
    </row>
    <row r="44" spans="1:76" ht="12.75" x14ac:dyDescent="0.2">
      <c r="A44" s="4" t="s">
        <v>1321</v>
      </c>
      <c r="B44" s="4" t="s">
        <v>477</v>
      </c>
      <c r="C44" s="4" t="s">
        <v>778</v>
      </c>
      <c r="D44" s="4">
        <v>2511</v>
      </c>
      <c r="E44" s="4" t="s">
        <v>5</v>
      </c>
      <c r="F44" s="4" t="s">
        <v>893</v>
      </c>
      <c r="G44" s="113">
        <v>0.14285714285714285</v>
      </c>
      <c r="H44" t="s">
        <v>1781</v>
      </c>
      <c r="I44" s="4">
        <v>0.31568000000000002</v>
      </c>
      <c r="L44" s="4" t="s">
        <v>1550</v>
      </c>
      <c r="M44" s="4" t="s">
        <v>109</v>
      </c>
      <c r="N44" s="4" t="s">
        <v>6</v>
      </c>
      <c r="O44" s="4"/>
      <c r="P44" s="4" t="s">
        <v>1693</v>
      </c>
      <c r="Q44" t="s">
        <v>109</v>
      </c>
      <c r="R44" s="4"/>
      <c r="S44" s="4"/>
      <c r="U44" s="4"/>
      <c r="Y44" s="4"/>
      <c r="Z44" s="4"/>
      <c r="AA44" s="4"/>
      <c r="AB44" s="4"/>
      <c r="AC44" s="4"/>
      <c r="AD44" s="4"/>
      <c r="AE44" s="4"/>
      <c r="AF44" s="4"/>
      <c r="AG44" s="4"/>
      <c r="AH44" s="4"/>
      <c r="AI44" s="4"/>
      <c r="AJ44" s="4"/>
      <c r="AK44" s="4"/>
      <c r="AL44" s="4"/>
      <c r="AP44" s="4"/>
      <c r="AX44" s="4"/>
      <c r="AY44" s="4"/>
      <c r="AZ44" s="4"/>
      <c r="BA44" s="4"/>
      <c r="BB44" s="4"/>
      <c r="BC44" s="4"/>
      <c r="BD44" s="4"/>
      <c r="BE44" s="4"/>
      <c r="BF44" s="4"/>
      <c r="BG44" s="4"/>
      <c r="BI44" s="4"/>
      <c r="BP44" s="4"/>
      <c r="BS44" s="4"/>
      <c r="BW44" s="4"/>
      <c r="BX44" s="4"/>
    </row>
    <row r="45" spans="1:76" ht="12.75" x14ac:dyDescent="0.2">
      <c r="A45" s="4" t="s">
        <v>1342</v>
      </c>
      <c r="B45" s="4" t="s">
        <v>253</v>
      </c>
      <c r="C45" s="4" t="s">
        <v>111</v>
      </c>
      <c r="D45" s="4">
        <v>2511</v>
      </c>
      <c r="E45" s="4" t="s">
        <v>5</v>
      </c>
      <c r="F45" s="4" t="s">
        <v>893</v>
      </c>
      <c r="G45" s="113">
        <v>0.33333333333333331</v>
      </c>
      <c r="H45" t="s">
        <v>1781</v>
      </c>
      <c r="I45" s="4">
        <v>0.316</v>
      </c>
      <c r="L45" s="4" t="s">
        <v>1535</v>
      </c>
      <c r="M45" s="4" t="s">
        <v>109</v>
      </c>
      <c r="N45" s="4" t="s">
        <v>6</v>
      </c>
      <c r="O45" s="4"/>
      <c r="P45" s="4" t="s">
        <v>1693</v>
      </c>
      <c r="Q45" t="s">
        <v>109</v>
      </c>
      <c r="R45" s="4"/>
      <c r="S45" s="4"/>
      <c r="U45" s="4"/>
      <c r="Y45" s="4"/>
      <c r="Z45" s="4"/>
      <c r="AA45" s="4"/>
      <c r="AB45" s="4"/>
      <c r="AC45" s="4"/>
      <c r="AD45" s="4"/>
      <c r="AE45" s="4"/>
      <c r="AF45" s="4"/>
      <c r="AG45" s="4"/>
      <c r="AH45" s="4"/>
      <c r="AI45" s="4"/>
      <c r="AJ45" s="4"/>
      <c r="AK45" s="4"/>
      <c r="AL45" s="4"/>
      <c r="AP45" s="4"/>
      <c r="AX45" s="4"/>
      <c r="AY45" s="4"/>
      <c r="AZ45" s="4"/>
      <c r="BA45" s="4"/>
      <c r="BB45" s="4"/>
      <c r="BC45" s="4"/>
      <c r="BD45" s="4"/>
      <c r="BE45" s="4"/>
      <c r="BF45" s="4"/>
      <c r="BG45" s="4"/>
      <c r="BI45" s="4"/>
      <c r="BP45" s="4"/>
      <c r="BS45" s="4"/>
      <c r="BW45" s="4"/>
      <c r="BX45" s="4"/>
    </row>
    <row r="46" spans="1:76" ht="12.75" x14ac:dyDescent="0.2">
      <c r="A46" s="4" t="s">
        <v>1324</v>
      </c>
      <c r="B46" s="4" t="s">
        <v>642</v>
      </c>
      <c r="C46" s="4" t="s">
        <v>778</v>
      </c>
      <c r="D46" s="4">
        <v>2511</v>
      </c>
      <c r="E46" s="4" t="s">
        <v>5</v>
      </c>
      <c r="F46" s="4" t="s">
        <v>893</v>
      </c>
      <c r="G46" s="113">
        <v>8.3333333333333329E-2</v>
      </c>
      <c r="H46" t="s">
        <v>1781</v>
      </c>
      <c r="I46" s="4">
        <v>0.32</v>
      </c>
      <c r="L46" s="4" t="s">
        <v>1545</v>
      </c>
      <c r="M46" s="4" t="s">
        <v>109</v>
      </c>
      <c r="N46" s="4" t="s">
        <v>6</v>
      </c>
      <c r="O46" s="4"/>
      <c r="P46" s="4" t="s">
        <v>1693</v>
      </c>
      <c r="Q46" t="s">
        <v>109</v>
      </c>
      <c r="R46" s="4"/>
      <c r="S46" s="4"/>
      <c r="U46" s="4"/>
      <c r="Y46" s="4"/>
      <c r="Z46" s="4"/>
      <c r="AA46" s="4"/>
      <c r="AB46" s="4"/>
      <c r="AC46" s="4"/>
      <c r="AD46" s="4"/>
      <c r="AE46" s="4"/>
      <c r="AF46" s="4"/>
      <c r="AG46" s="4"/>
      <c r="AH46" s="4"/>
      <c r="AI46" s="4"/>
      <c r="AJ46" s="4"/>
      <c r="AK46" s="4"/>
      <c r="AL46" s="4"/>
      <c r="AP46" s="4"/>
      <c r="AX46" s="4"/>
      <c r="AY46" s="4"/>
      <c r="AZ46" s="4"/>
      <c r="BA46" s="4"/>
      <c r="BB46" s="4"/>
      <c r="BC46" s="4"/>
      <c r="BD46" s="4"/>
      <c r="BE46" s="4"/>
      <c r="BF46" s="4"/>
      <c r="BG46" s="4"/>
      <c r="BI46" s="4"/>
      <c r="BP46" s="4"/>
      <c r="BS46" s="4"/>
      <c r="BW46" s="4"/>
      <c r="BX46" s="4"/>
    </row>
    <row r="47" spans="1:76" ht="12.75" x14ac:dyDescent="0.2">
      <c r="A47" s="4" t="s">
        <v>1324</v>
      </c>
      <c r="B47" s="4" t="s">
        <v>642</v>
      </c>
      <c r="C47" s="4" t="s">
        <v>778</v>
      </c>
      <c r="D47" s="4">
        <v>2511</v>
      </c>
      <c r="E47" s="4" t="s">
        <v>5</v>
      </c>
      <c r="F47" s="4" t="s">
        <v>893</v>
      </c>
      <c r="G47" s="113">
        <v>8.3333333333333329E-2</v>
      </c>
      <c r="H47" t="s">
        <v>1781</v>
      </c>
      <c r="I47" s="4">
        <v>0.32</v>
      </c>
      <c r="L47" s="4" t="s">
        <v>1545</v>
      </c>
      <c r="M47" s="4" t="s">
        <v>109</v>
      </c>
      <c r="N47" s="4" t="s">
        <v>6</v>
      </c>
      <c r="O47" s="4"/>
      <c r="P47" s="4" t="s">
        <v>1693</v>
      </c>
      <c r="Q47" t="s">
        <v>109</v>
      </c>
      <c r="R47" s="4"/>
      <c r="S47" s="4"/>
      <c r="U47" s="4"/>
      <c r="Y47" s="4"/>
      <c r="Z47" s="4"/>
      <c r="AA47" s="4"/>
      <c r="AB47" s="4"/>
      <c r="AC47" s="4"/>
      <c r="AD47" s="4"/>
      <c r="AE47" s="4"/>
      <c r="AF47" s="4"/>
      <c r="AG47" s="4"/>
      <c r="AH47" s="4"/>
      <c r="AI47" s="4"/>
      <c r="AJ47" s="4"/>
      <c r="AK47" s="4"/>
      <c r="AL47" s="4"/>
      <c r="AP47" s="4"/>
      <c r="AX47" s="4"/>
      <c r="AY47" s="4"/>
      <c r="AZ47" s="4"/>
      <c r="BA47" s="4"/>
      <c r="BB47" s="4"/>
      <c r="BC47" s="4"/>
      <c r="BD47" s="4"/>
      <c r="BE47" s="4"/>
      <c r="BF47" s="4"/>
      <c r="BG47" s="4"/>
      <c r="BI47" s="4"/>
      <c r="BP47" s="4"/>
      <c r="BS47" s="4"/>
      <c r="BW47" s="4"/>
      <c r="BX47" s="4"/>
    </row>
    <row r="48" spans="1:76" ht="12.75" x14ac:dyDescent="0.2">
      <c r="A48" s="4" t="s">
        <v>1308</v>
      </c>
      <c r="B48" s="4" t="s">
        <v>77</v>
      </c>
      <c r="C48" s="4" t="s">
        <v>111</v>
      </c>
      <c r="D48" s="4">
        <v>2511</v>
      </c>
      <c r="E48" s="4" t="s">
        <v>5</v>
      </c>
      <c r="F48" s="4" t="s">
        <v>893</v>
      </c>
      <c r="G48" s="113">
        <v>0.5</v>
      </c>
      <c r="H48" t="s">
        <v>1781</v>
      </c>
      <c r="I48" s="4">
        <v>0.32300000000000001</v>
      </c>
      <c r="L48" s="4" t="s">
        <v>1555</v>
      </c>
      <c r="M48" s="4" t="s">
        <v>109</v>
      </c>
      <c r="N48" s="4" t="s">
        <v>6</v>
      </c>
      <c r="O48" s="4"/>
      <c r="P48" s="4" t="s">
        <v>1693</v>
      </c>
      <c r="Q48" t="s">
        <v>109</v>
      </c>
      <c r="R48" s="4"/>
      <c r="S48" s="4"/>
      <c r="U48" s="4"/>
      <c r="Y48" s="4"/>
      <c r="Z48" s="4"/>
      <c r="AA48" s="4"/>
      <c r="AB48" s="4"/>
      <c r="AC48" s="4"/>
      <c r="AD48" s="4"/>
      <c r="AE48" s="4"/>
      <c r="AF48" s="4"/>
      <c r="AG48" s="4"/>
      <c r="AH48" s="4"/>
      <c r="AI48" s="4"/>
      <c r="AJ48" s="4"/>
      <c r="AK48" s="4"/>
      <c r="AL48" s="4"/>
      <c r="AP48" s="4"/>
      <c r="AX48" s="4"/>
      <c r="AY48" s="4"/>
      <c r="AZ48" s="4"/>
      <c r="BA48" s="4"/>
      <c r="BB48" s="4"/>
      <c r="BC48" s="4"/>
      <c r="BD48" s="4"/>
      <c r="BE48" s="4"/>
      <c r="BF48" s="4"/>
      <c r="BG48" s="4"/>
      <c r="BI48" s="4"/>
      <c r="BP48" s="4"/>
      <c r="BS48" s="4"/>
      <c r="BW48" s="4"/>
      <c r="BX48" s="4"/>
    </row>
    <row r="49" spans="1:76" ht="12.75" x14ac:dyDescent="0.2">
      <c r="A49" s="4" t="s">
        <v>1321</v>
      </c>
      <c r="B49" s="4" t="s">
        <v>1296</v>
      </c>
      <c r="C49" s="4" t="s">
        <v>778</v>
      </c>
      <c r="D49" s="4">
        <v>2511</v>
      </c>
      <c r="E49" s="4" t="s">
        <v>5</v>
      </c>
      <c r="F49" s="4" t="s">
        <v>893</v>
      </c>
      <c r="G49" s="113">
        <v>3.7037037037037035E-2</v>
      </c>
      <c r="H49" t="s">
        <v>1781</v>
      </c>
      <c r="I49" s="4">
        <v>0.32800000000000001</v>
      </c>
      <c r="L49" s="4" t="s">
        <v>1552</v>
      </c>
      <c r="M49" s="4" t="s">
        <v>109</v>
      </c>
      <c r="N49" s="4" t="s">
        <v>6</v>
      </c>
      <c r="O49" s="4"/>
      <c r="P49" s="4" t="s">
        <v>1693</v>
      </c>
      <c r="Q49" t="s">
        <v>109</v>
      </c>
      <c r="R49" s="4"/>
      <c r="S49" s="4"/>
      <c r="U49" s="4"/>
      <c r="Y49" s="4"/>
      <c r="Z49" s="4"/>
      <c r="AA49" s="4"/>
      <c r="AB49" s="4"/>
      <c r="AC49" s="4"/>
      <c r="AD49" s="4"/>
      <c r="AE49" s="4"/>
      <c r="AF49" s="4"/>
      <c r="AG49" s="4"/>
      <c r="AH49" s="4"/>
      <c r="AI49" s="4"/>
      <c r="AJ49" s="4"/>
      <c r="AK49" s="4"/>
      <c r="AL49" s="4"/>
      <c r="AP49" s="4"/>
      <c r="AX49" s="4"/>
      <c r="AY49" s="4"/>
      <c r="AZ49" s="4"/>
      <c r="BA49" s="4"/>
      <c r="BB49" s="4"/>
      <c r="BC49" s="4"/>
      <c r="BD49" s="4"/>
      <c r="BE49" s="4"/>
      <c r="BF49" s="4"/>
      <c r="BG49" s="4"/>
      <c r="BI49" s="4"/>
      <c r="BP49" s="4"/>
      <c r="BS49" s="4"/>
      <c r="BW49" s="4"/>
      <c r="BX49" s="4"/>
    </row>
    <row r="50" spans="1:76" ht="12.75" x14ac:dyDescent="0.2">
      <c r="A50" s="4" t="s">
        <v>1321</v>
      </c>
      <c r="B50" s="4" t="s">
        <v>1296</v>
      </c>
      <c r="C50" s="4" t="s">
        <v>778</v>
      </c>
      <c r="D50" s="4">
        <v>2511</v>
      </c>
      <c r="E50" s="4" t="s">
        <v>5</v>
      </c>
      <c r="F50" s="4" t="s">
        <v>893</v>
      </c>
      <c r="G50" s="113">
        <v>3.7037037037037035E-2</v>
      </c>
      <c r="H50" t="s">
        <v>1781</v>
      </c>
      <c r="I50" s="4">
        <v>0.33200000000000002</v>
      </c>
      <c r="L50" s="4" t="s">
        <v>1552</v>
      </c>
      <c r="M50" s="4" t="s">
        <v>109</v>
      </c>
      <c r="N50" s="4" t="s">
        <v>6</v>
      </c>
      <c r="O50" s="4"/>
      <c r="P50" s="4" t="s">
        <v>1693</v>
      </c>
      <c r="Q50" t="s">
        <v>109</v>
      </c>
      <c r="R50" s="4"/>
      <c r="S50" s="4"/>
      <c r="U50" s="4"/>
      <c r="Y50" s="4"/>
      <c r="Z50" s="4"/>
      <c r="AA50" s="4"/>
      <c r="AB50" s="4"/>
      <c r="AC50" s="4"/>
      <c r="AD50" s="4"/>
      <c r="AE50" s="4"/>
      <c r="AF50" s="4"/>
      <c r="AG50" s="4"/>
      <c r="AH50" s="4"/>
      <c r="AI50" s="4"/>
      <c r="AJ50" s="4"/>
      <c r="AK50" s="4"/>
      <c r="AL50" s="4"/>
      <c r="AP50" s="4"/>
      <c r="AX50" s="4"/>
      <c r="AY50" s="4"/>
      <c r="AZ50" s="4"/>
      <c r="BA50" s="4"/>
      <c r="BB50" s="4"/>
      <c r="BC50" s="4"/>
      <c r="BD50" s="4"/>
      <c r="BE50" s="4"/>
      <c r="BF50" s="4"/>
      <c r="BG50" s="4"/>
      <c r="BI50" s="4"/>
      <c r="BP50" s="4"/>
      <c r="BS50" s="4"/>
      <c r="BW50" s="4"/>
      <c r="BX50" s="4"/>
    </row>
    <row r="51" spans="1:76" ht="12.75" x14ac:dyDescent="0.2">
      <c r="A51" s="4" t="s">
        <v>1321</v>
      </c>
      <c r="B51" s="4" t="s">
        <v>1296</v>
      </c>
      <c r="C51" s="4" t="s">
        <v>778</v>
      </c>
      <c r="D51" s="4">
        <v>2511</v>
      </c>
      <c r="E51" s="4" t="s">
        <v>5</v>
      </c>
      <c r="F51" s="4" t="s">
        <v>893</v>
      </c>
      <c r="G51" s="113">
        <v>3.7037037037037035E-2</v>
      </c>
      <c r="H51" t="s">
        <v>1781</v>
      </c>
      <c r="I51" s="4">
        <v>0.33200000000000002</v>
      </c>
      <c r="L51" s="4" t="s">
        <v>1552</v>
      </c>
      <c r="M51" s="4" t="s">
        <v>109</v>
      </c>
      <c r="N51" s="4" t="s">
        <v>6</v>
      </c>
      <c r="O51" s="4"/>
      <c r="P51" s="4" t="s">
        <v>1693</v>
      </c>
      <c r="Q51" t="s">
        <v>109</v>
      </c>
      <c r="R51" s="4"/>
      <c r="S51" s="4"/>
      <c r="U51" s="4"/>
      <c r="Y51" s="4"/>
      <c r="Z51" s="4"/>
      <c r="AA51" s="4"/>
      <c r="AB51" s="4"/>
      <c r="AC51" s="4"/>
      <c r="AD51" s="4"/>
      <c r="AE51" s="4"/>
      <c r="AF51" s="4"/>
      <c r="AG51" s="4"/>
      <c r="AH51" s="4"/>
      <c r="AI51" s="4"/>
      <c r="AJ51" s="4"/>
      <c r="AK51" s="4"/>
      <c r="AL51" s="4"/>
      <c r="AP51" s="4"/>
      <c r="AX51" s="4"/>
      <c r="AY51" s="4"/>
      <c r="AZ51" s="4"/>
      <c r="BA51" s="4"/>
      <c r="BB51" s="4"/>
      <c r="BC51" s="4"/>
      <c r="BD51" s="4"/>
      <c r="BE51" s="4"/>
      <c r="BF51" s="4"/>
      <c r="BG51" s="4"/>
      <c r="BI51" s="4"/>
      <c r="BP51" s="4"/>
      <c r="BS51" s="4"/>
      <c r="BW51" s="4"/>
      <c r="BX51" s="4"/>
    </row>
    <row r="52" spans="1:76" ht="12.75" x14ac:dyDescent="0.2">
      <c r="A52" s="4" t="s">
        <v>1320</v>
      </c>
      <c r="B52" s="4" t="s">
        <v>314</v>
      </c>
      <c r="C52" s="4" t="s">
        <v>610</v>
      </c>
      <c r="D52" s="4">
        <v>2511</v>
      </c>
      <c r="E52" s="4" t="s">
        <v>5</v>
      </c>
      <c r="F52" s="4" t="s">
        <v>893</v>
      </c>
      <c r="G52" s="113">
        <v>8.3333333333333329E-2</v>
      </c>
      <c r="H52" t="s">
        <v>1781</v>
      </c>
      <c r="I52" s="4">
        <v>0.33300000000000002</v>
      </c>
      <c r="L52" s="4" t="s">
        <v>1553</v>
      </c>
      <c r="M52" s="4" t="s">
        <v>109</v>
      </c>
      <c r="N52" s="4" t="s">
        <v>6</v>
      </c>
      <c r="O52" s="4"/>
      <c r="P52" s="4" t="s">
        <v>1693</v>
      </c>
      <c r="Q52" t="s">
        <v>109</v>
      </c>
      <c r="R52" s="4"/>
      <c r="S52" s="4"/>
      <c r="U52" s="4"/>
      <c r="Y52" s="4"/>
      <c r="Z52" s="4"/>
      <c r="AA52" s="4"/>
      <c r="AB52" s="4"/>
      <c r="AC52" s="4"/>
      <c r="AD52" s="4"/>
      <c r="AE52" s="4"/>
      <c r="AF52" s="4"/>
      <c r="AG52" s="4"/>
      <c r="AH52" s="4"/>
      <c r="AI52" s="4"/>
      <c r="AJ52" s="4"/>
      <c r="AK52" s="4"/>
      <c r="AL52" s="4"/>
      <c r="AP52" s="4"/>
      <c r="AX52" s="4"/>
      <c r="AY52" s="4"/>
      <c r="AZ52" s="4"/>
      <c r="BA52" s="4"/>
      <c r="BB52" s="4"/>
      <c r="BC52" s="4"/>
      <c r="BD52" s="4"/>
      <c r="BE52" s="4"/>
      <c r="BF52" s="4"/>
      <c r="BG52" s="4"/>
      <c r="BI52" s="4"/>
      <c r="BP52" s="4"/>
      <c r="BS52" s="4"/>
      <c r="BW52" s="4"/>
      <c r="BX52" s="4"/>
    </row>
    <row r="53" spans="1:76" ht="12.75" x14ac:dyDescent="0.2">
      <c r="A53" s="4" t="s">
        <v>1324</v>
      </c>
      <c r="B53" s="4" t="s">
        <v>642</v>
      </c>
      <c r="C53" s="4" t="s">
        <v>778</v>
      </c>
      <c r="D53" s="4">
        <v>2511</v>
      </c>
      <c r="E53" s="4" t="s">
        <v>5</v>
      </c>
      <c r="F53" s="4" t="s">
        <v>893</v>
      </c>
      <c r="G53" s="113">
        <v>8.3333333333333329E-2</v>
      </c>
      <c r="H53" t="s">
        <v>1781</v>
      </c>
      <c r="I53" s="4">
        <v>0.34</v>
      </c>
      <c r="L53" s="4" t="s">
        <v>1545</v>
      </c>
      <c r="M53" s="4" t="s">
        <v>109</v>
      </c>
      <c r="N53" s="4" t="s">
        <v>6</v>
      </c>
      <c r="O53" s="4"/>
      <c r="P53" s="4" t="s">
        <v>1693</v>
      </c>
      <c r="Q53" t="s">
        <v>109</v>
      </c>
      <c r="R53" s="4"/>
      <c r="S53" s="4"/>
      <c r="U53" s="4"/>
      <c r="Y53" s="4"/>
      <c r="Z53" s="4"/>
      <c r="AA53" s="4"/>
      <c r="AB53" s="4"/>
      <c r="AC53" s="4"/>
      <c r="AD53" s="4"/>
      <c r="AE53" s="4"/>
      <c r="AF53" s="4"/>
      <c r="AG53" s="4"/>
      <c r="AH53" s="4"/>
      <c r="AI53" s="4"/>
      <c r="AJ53" s="4"/>
      <c r="AK53" s="4"/>
      <c r="AL53" s="4"/>
      <c r="AP53" s="4"/>
      <c r="AX53" s="4"/>
      <c r="AY53" s="4"/>
      <c r="AZ53" s="4"/>
      <c r="BA53" s="4"/>
      <c r="BB53" s="4"/>
      <c r="BC53" s="4"/>
      <c r="BD53" s="4"/>
      <c r="BE53" s="4"/>
      <c r="BF53" s="4"/>
      <c r="BG53" s="4"/>
      <c r="BI53" s="4"/>
      <c r="BP53" s="4"/>
      <c r="BS53" s="4"/>
      <c r="BW53" s="4"/>
      <c r="BX53" s="4"/>
    </row>
    <row r="54" spans="1:76" ht="12.75" x14ac:dyDescent="0.2">
      <c r="A54" s="4" t="s">
        <v>1324</v>
      </c>
      <c r="B54" s="4" t="s">
        <v>642</v>
      </c>
      <c r="C54" s="4" t="s">
        <v>778</v>
      </c>
      <c r="D54" s="4">
        <v>2511</v>
      </c>
      <c r="E54" s="4" t="s">
        <v>5</v>
      </c>
      <c r="F54" s="4" t="s">
        <v>893</v>
      </c>
      <c r="G54" s="113">
        <v>8.3333333333333329E-2</v>
      </c>
      <c r="H54" t="s">
        <v>1781</v>
      </c>
      <c r="I54" s="4">
        <v>0.34</v>
      </c>
      <c r="L54" s="4" t="s">
        <v>1545</v>
      </c>
      <c r="M54" s="4" t="s">
        <v>109</v>
      </c>
      <c r="N54" s="4" t="s">
        <v>6</v>
      </c>
      <c r="O54" s="4"/>
      <c r="P54" s="4" t="s">
        <v>1693</v>
      </c>
      <c r="Q54" t="s">
        <v>109</v>
      </c>
      <c r="R54" s="4"/>
      <c r="S54" s="4"/>
      <c r="U54" s="4"/>
      <c r="Y54" s="4"/>
      <c r="Z54" s="4"/>
      <c r="AA54" s="4"/>
      <c r="AB54" s="4"/>
      <c r="AC54" s="4"/>
      <c r="AD54" s="4"/>
      <c r="AE54" s="4"/>
      <c r="AF54" s="4"/>
      <c r="AG54" s="4"/>
      <c r="AH54" s="4"/>
      <c r="AI54" s="4"/>
      <c r="AJ54" s="4"/>
      <c r="AK54" s="4"/>
      <c r="AL54" s="4"/>
      <c r="AP54" s="4"/>
      <c r="AX54" s="4"/>
      <c r="AY54" s="4"/>
      <c r="AZ54" s="4"/>
      <c r="BA54" s="4"/>
      <c r="BB54" s="4"/>
      <c r="BC54" s="4"/>
      <c r="BD54" s="4"/>
      <c r="BE54" s="4"/>
      <c r="BF54" s="4"/>
      <c r="BG54" s="4"/>
      <c r="BI54" s="4"/>
      <c r="BP54" s="4"/>
      <c r="BS54" s="4"/>
      <c r="BW54" s="4"/>
      <c r="BX54" s="4"/>
    </row>
    <row r="55" spans="1:76" ht="12.75" x14ac:dyDescent="0.2">
      <c r="A55" s="4" t="s">
        <v>1324</v>
      </c>
      <c r="B55" s="4" t="s">
        <v>642</v>
      </c>
      <c r="C55" s="4" t="s">
        <v>778</v>
      </c>
      <c r="D55" s="4">
        <v>2511</v>
      </c>
      <c r="E55" s="4" t="s">
        <v>5</v>
      </c>
      <c r="F55" s="4" t="s">
        <v>893</v>
      </c>
      <c r="G55" s="113">
        <v>8.3333333333333329E-2</v>
      </c>
      <c r="H55" t="s">
        <v>1781</v>
      </c>
      <c r="I55" s="4">
        <v>0.34</v>
      </c>
      <c r="L55" s="4" t="s">
        <v>1545</v>
      </c>
      <c r="M55" s="4" t="s">
        <v>109</v>
      </c>
      <c r="N55" s="4" t="s">
        <v>6</v>
      </c>
      <c r="O55" s="4"/>
      <c r="P55" s="4" t="s">
        <v>1693</v>
      </c>
      <c r="Q55" t="s">
        <v>109</v>
      </c>
      <c r="R55" s="4"/>
      <c r="S55" s="4"/>
      <c r="U55" s="4"/>
      <c r="Y55" s="4"/>
      <c r="Z55" s="4"/>
      <c r="AA55" s="4"/>
      <c r="AB55" s="4"/>
      <c r="AC55" s="4"/>
      <c r="AD55" s="4"/>
      <c r="AE55" s="4"/>
      <c r="AF55" s="4"/>
      <c r="AG55" s="4"/>
      <c r="AH55" s="4"/>
      <c r="AI55" s="4"/>
      <c r="AJ55" s="4"/>
      <c r="AK55" s="4"/>
      <c r="AL55" s="4"/>
      <c r="AP55" s="4"/>
      <c r="AX55" s="4"/>
      <c r="AY55" s="4"/>
      <c r="AZ55" s="4"/>
      <c r="BA55" s="4"/>
      <c r="BB55" s="4"/>
      <c r="BC55" s="4"/>
      <c r="BD55" s="4"/>
      <c r="BE55" s="4"/>
      <c r="BF55" s="4"/>
      <c r="BG55" s="4"/>
      <c r="BI55" s="4"/>
      <c r="BP55" s="4"/>
      <c r="BS55" s="4"/>
      <c r="BW55" s="4"/>
      <c r="BX55" s="4"/>
    </row>
    <row r="56" spans="1:76" ht="12.75" x14ac:dyDescent="0.2">
      <c r="A56" s="4" t="s">
        <v>630</v>
      </c>
      <c r="B56" s="4" t="s">
        <v>114</v>
      </c>
      <c r="C56" s="4" t="s">
        <v>1349</v>
      </c>
      <c r="D56" s="4">
        <v>2511</v>
      </c>
      <c r="E56" s="4" t="s">
        <v>5</v>
      </c>
      <c r="F56" s="4" t="s">
        <v>893</v>
      </c>
      <c r="G56" s="113">
        <v>1</v>
      </c>
      <c r="H56" t="s">
        <v>1781</v>
      </c>
      <c r="I56" s="4">
        <v>0.34458077709611451</v>
      </c>
      <c r="L56" s="4" t="s">
        <v>1544</v>
      </c>
      <c r="M56" s="4" t="s">
        <v>109</v>
      </c>
      <c r="N56" s="4" t="s">
        <v>6</v>
      </c>
      <c r="O56" s="4"/>
      <c r="P56" s="4" t="s">
        <v>1693</v>
      </c>
      <c r="Q56" t="s">
        <v>109</v>
      </c>
      <c r="R56" s="4"/>
      <c r="S56" s="4"/>
      <c r="U56" s="4"/>
      <c r="Y56" s="4"/>
      <c r="Z56" s="4"/>
      <c r="AA56" s="4"/>
      <c r="AB56" s="4"/>
      <c r="AC56" s="4"/>
      <c r="AD56" s="4"/>
      <c r="AE56" s="4"/>
      <c r="AF56" s="4"/>
      <c r="AG56" s="4"/>
      <c r="AH56" s="4"/>
      <c r="AI56" s="4"/>
      <c r="AJ56" s="4"/>
      <c r="AK56" s="4"/>
      <c r="AL56" s="4"/>
      <c r="AP56" s="4"/>
      <c r="AX56" s="4"/>
      <c r="AY56" s="4"/>
      <c r="AZ56" s="4"/>
      <c r="BA56" s="4"/>
      <c r="BB56" s="4"/>
      <c r="BC56" s="4"/>
      <c r="BD56" s="4"/>
      <c r="BE56" s="4"/>
      <c r="BF56" s="4"/>
      <c r="BG56" s="4"/>
      <c r="BI56" s="4"/>
      <c r="BP56" s="4"/>
      <c r="BS56" s="4"/>
      <c r="BW56" s="4"/>
      <c r="BX56" s="4"/>
    </row>
    <row r="57" spans="1:76" ht="12.75" x14ac:dyDescent="0.2">
      <c r="A57" s="4" t="s">
        <v>1321</v>
      </c>
      <c r="B57" s="4" t="s">
        <v>1296</v>
      </c>
      <c r="C57" s="4" t="s">
        <v>778</v>
      </c>
      <c r="D57" s="4">
        <v>2511</v>
      </c>
      <c r="E57" s="4" t="s">
        <v>5</v>
      </c>
      <c r="F57" s="4" t="s">
        <v>893</v>
      </c>
      <c r="G57" s="113">
        <v>3.7037037037037035E-2</v>
      </c>
      <c r="H57" t="s">
        <v>1781</v>
      </c>
      <c r="I57" s="4">
        <v>0.34700000000000003</v>
      </c>
      <c r="L57" s="4" t="s">
        <v>1552</v>
      </c>
      <c r="M57" s="4" t="s">
        <v>109</v>
      </c>
      <c r="N57" s="4" t="s">
        <v>6</v>
      </c>
      <c r="O57" s="4"/>
      <c r="P57" s="4" t="s">
        <v>1693</v>
      </c>
      <c r="Q57" t="s">
        <v>109</v>
      </c>
      <c r="R57" s="4"/>
      <c r="S57" s="4"/>
      <c r="U57" s="4"/>
      <c r="Y57" s="4"/>
      <c r="Z57" s="4"/>
      <c r="AA57" s="4"/>
      <c r="AB57" s="4"/>
      <c r="AC57" s="4"/>
      <c r="AD57" s="4"/>
      <c r="AE57" s="4"/>
      <c r="AF57" s="4"/>
      <c r="AG57" s="4"/>
      <c r="AH57" s="4"/>
      <c r="AI57" s="4"/>
      <c r="AJ57" s="4"/>
      <c r="AK57" s="4"/>
      <c r="AL57" s="4"/>
      <c r="AP57" s="4"/>
      <c r="AX57" s="4"/>
      <c r="AY57" s="4"/>
      <c r="AZ57" s="4"/>
      <c r="BA57" s="4"/>
      <c r="BB57" s="4"/>
      <c r="BC57" s="4"/>
      <c r="BD57" s="4"/>
      <c r="BE57" s="4"/>
      <c r="BF57" s="4"/>
      <c r="BG57" s="4"/>
      <c r="BI57" s="4"/>
      <c r="BP57" s="4"/>
      <c r="BS57" s="4"/>
      <c r="BW57" s="4"/>
      <c r="BX57" s="4"/>
    </row>
    <row r="58" spans="1:76" ht="12.75" x14ac:dyDescent="0.2">
      <c r="A58" s="4" t="s">
        <v>1324</v>
      </c>
      <c r="B58" s="4" t="s">
        <v>642</v>
      </c>
      <c r="C58" s="4" t="s">
        <v>778</v>
      </c>
      <c r="D58" s="4">
        <v>2511</v>
      </c>
      <c r="E58" s="4" t="s">
        <v>5</v>
      </c>
      <c r="F58" s="4" t="s">
        <v>893</v>
      </c>
      <c r="G58" s="113">
        <v>8.3333333333333329E-2</v>
      </c>
      <c r="H58" t="s">
        <v>1781</v>
      </c>
      <c r="I58" s="4">
        <v>0.35</v>
      </c>
      <c r="L58" s="4" t="s">
        <v>1545</v>
      </c>
      <c r="M58" s="4" t="s">
        <v>109</v>
      </c>
      <c r="N58" s="4" t="s">
        <v>6</v>
      </c>
      <c r="O58" s="4"/>
      <c r="P58" s="4" t="s">
        <v>1693</v>
      </c>
      <c r="Q58" t="s">
        <v>109</v>
      </c>
      <c r="R58" s="4"/>
      <c r="S58" s="4"/>
      <c r="U58" s="4"/>
      <c r="Y58" s="4"/>
      <c r="Z58" s="4"/>
      <c r="AA58" s="4"/>
      <c r="AB58" s="4"/>
      <c r="AC58" s="4"/>
      <c r="AD58" s="4"/>
      <c r="AE58" s="4"/>
      <c r="AF58" s="4"/>
      <c r="AG58" s="4"/>
      <c r="AH58" s="4"/>
      <c r="AI58" s="4"/>
      <c r="AJ58" s="4"/>
      <c r="AK58" s="4"/>
      <c r="AL58" s="4"/>
      <c r="AP58" s="4"/>
      <c r="AX58" s="4"/>
      <c r="AY58" s="4"/>
      <c r="AZ58" s="4"/>
      <c r="BA58" s="4"/>
      <c r="BB58" s="4"/>
      <c r="BC58" s="4"/>
      <c r="BD58" s="4"/>
      <c r="BE58" s="4"/>
      <c r="BF58" s="4"/>
      <c r="BG58" s="4"/>
      <c r="BI58" s="4"/>
      <c r="BP58" s="4"/>
      <c r="BS58" s="4"/>
      <c r="BW58" s="4"/>
      <c r="BX58" s="4"/>
    </row>
    <row r="59" spans="1:76" ht="12.75" x14ac:dyDescent="0.2">
      <c r="A59" s="4" t="s">
        <v>1324</v>
      </c>
      <c r="B59" s="4" t="s">
        <v>642</v>
      </c>
      <c r="C59" s="4" t="s">
        <v>778</v>
      </c>
      <c r="D59" s="4">
        <v>2511</v>
      </c>
      <c r="E59" s="4" t="s">
        <v>5</v>
      </c>
      <c r="F59" s="4" t="s">
        <v>893</v>
      </c>
      <c r="G59" s="113">
        <v>8.3333333333333329E-2</v>
      </c>
      <c r="H59" t="s">
        <v>1781</v>
      </c>
      <c r="I59" s="4">
        <v>0.35</v>
      </c>
      <c r="L59" s="4" t="s">
        <v>1545</v>
      </c>
      <c r="M59" s="4" t="s">
        <v>109</v>
      </c>
      <c r="N59" s="4" t="s">
        <v>6</v>
      </c>
      <c r="O59" s="4"/>
      <c r="P59" s="4" t="s">
        <v>1693</v>
      </c>
      <c r="Q59" t="s">
        <v>109</v>
      </c>
      <c r="R59" s="4"/>
      <c r="S59" s="4"/>
      <c r="U59" s="4"/>
      <c r="Y59" s="4"/>
      <c r="Z59" s="4"/>
      <c r="AA59" s="4"/>
      <c r="AB59" s="4"/>
      <c r="AC59" s="4"/>
      <c r="AD59" s="4"/>
      <c r="AE59" s="4"/>
      <c r="AF59" s="4"/>
      <c r="AG59" s="4"/>
      <c r="AH59" s="4"/>
      <c r="AI59" s="4"/>
      <c r="AJ59" s="4"/>
      <c r="AK59" s="4"/>
      <c r="AL59" s="4"/>
      <c r="AP59" s="4"/>
      <c r="AX59" s="4"/>
      <c r="AY59" s="4"/>
      <c r="AZ59" s="4"/>
      <c r="BA59" s="4"/>
      <c r="BB59" s="4"/>
      <c r="BC59" s="4"/>
      <c r="BD59" s="4"/>
      <c r="BE59" s="4"/>
      <c r="BF59" s="4"/>
      <c r="BG59" s="4"/>
      <c r="BI59" s="4"/>
      <c r="BP59" s="4"/>
      <c r="BS59" s="4"/>
      <c r="BW59" s="4"/>
      <c r="BX59" s="4"/>
    </row>
    <row r="60" spans="1:76" ht="12.75" x14ac:dyDescent="0.2">
      <c r="A60" s="4" t="s">
        <v>1324</v>
      </c>
      <c r="B60" s="4" t="s">
        <v>642</v>
      </c>
      <c r="C60" s="4" t="s">
        <v>778</v>
      </c>
      <c r="D60" s="4">
        <v>2511</v>
      </c>
      <c r="E60" s="4" t="s">
        <v>5</v>
      </c>
      <c r="F60" s="4" t="s">
        <v>893</v>
      </c>
      <c r="G60" s="113">
        <v>8.3333333333333329E-2</v>
      </c>
      <c r="H60" t="s">
        <v>1781</v>
      </c>
      <c r="I60" s="4">
        <v>0.35</v>
      </c>
      <c r="L60" s="4" t="s">
        <v>1545</v>
      </c>
      <c r="M60" s="4" t="s">
        <v>109</v>
      </c>
      <c r="N60" s="4" t="s">
        <v>6</v>
      </c>
      <c r="O60" s="4"/>
      <c r="P60" s="4" t="s">
        <v>1693</v>
      </c>
      <c r="Q60" t="s">
        <v>109</v>
      </c>
      <c r="R60" s="4"/>
      <c r="S60" s="4"/>
      <c r="U60" s="4"/>
      <c r="Y60" s="4"/>
      <c r="Z60" s="4"/>
      <c r="AA60" s="4"/>
      <c r="AB60" s="4"/>
      <c r="AC60" s="4"/>
      <c r="AD60" s="4"/>
      <c r="AE60" s="4"/>
      <c r="AF60" s="4"/>
      <c r="AG60" s="4"/>
      <c r="AH60" s="4"/>
      <c r="AI60" s="4"/>
      <c r="AJ60" s="4"/>
      <c r="AK60" s="4"/>
      <c r="AL60" s="4"/>
      <c r="AP60" s="4"/>
      <c r="AX60" s="4"/>
      <c r="AY60" s="4"/>
      <c r="AZ60" s="4"/>
      <c r="BA60" s="4"/>
      <c r="BB60" s="4"/>
      <c r="BC60" s="4"/>
      <c r="BD60" s="4"/>
      <c r="BE60" s="4"/>
      <c r="BF60" s="4"/>
      <c r="BG60" s="4"/>
      <c r="BI60" s="4"/>
      <c r="BP60" s="4"/>
      <c r="BS60" s="4"/>
      <c r="BW60" s="4"/>
      <c r="BX60" s="4"/>
    </row>
    <row r="61" spans="1:76" ht="12.75" x14ac:dyDescent="0.2">
      <c r="A61" s="4" t="s">
        <v>1321</v>
      </c>
      <c r="B61" s="4" t="s">
        <v>1296</v>
      </c>
      <c r="C61" s="4" t="s">
        <v>778</v>
      </c>
      <c r="D61" s="4">
        <v>2511</v>
      </c>
      <c r="E61" s="4" t="s">
        <v>5</v>
      </c>
      <c r="F61" s="4" t="s">
        <v>893</v>
      </c>
      <c r="G61" s="113">
        <v>3.7037037037037035E-2</v>
      </c>
      <c r="H61" t="s">
        <v>1781</v>
      </c>
      <c r="I61" s="4">
        <v>0.35100000000000003</v>
      </c>
      <c r="L61" s="4" t="s">
        <v>1552</v>
      </c>
      <c r="M61" s="4" t="s">
        <v>109</v>
      </c>
      <c r="N61" s="4" t="s">
        <v>6</v>
      </c>
      <c r="O61" s="4"/>
      <c r="P61" s="4" t="s">
        <v>1693</v>
      </c>
      <c r="Q61" t="s">
        <v>109</v>
      </c>
      <c r="R61" s="4"/>
      <c r="S61" s="4"/>
      <c r="U61" s="4"/>
      <c r="Y61" s="4"/>
      <c r="Z61" s="4"/>
      <c r="AA61" s="4"/>
      <c r="AB61" s="4"/>
      <c r="AC61" s="4"/>
      <c r="AD61" s="4"/>
      <c r="AE61" s="4"/>
      <c r="AF61" s="4"/>
      <c r="AG61" s="4"/>
      <c r="AH61" s="4"/>
      <c r="AI61" s="4"/>
      <c r="AJ61" s="4"/>
      <c r="AK61" s="4"/>
      <c r="AL61" s="4"/>
      <c r="AP61" s="4"/>
      <c r="AX61" s="4"/>
      <c r="AY61" s="4"/>
      <c r="AZ61" s="4"/>
      <c r="BA61" s="4"/>
      <c r="BB61" s="4"/>
      <c r="BC61" s="4"/>
      <c r="BD61" s="4"/>
      <c r="BE61" s="4"/>
      <c r="BF61" s="4"/>
      <c r="BG61" s="4"/>
      <c r="BI61" s="4"/>
      <c r="BP61" s="4"/>
      <c r="BS61" s="4"/>
      <c r="BW61" s="4"/>
      <c r="BX61" s="4"/>
    </row>
    <row r="62" spans="1:76" ht="12.75" x14ac:dyDescent="0.2">
      <c r="A62" s="4" t="s">
        <v>1321</v>
      </c>
      <c r="B62" s="4" t="s">
        <v>1296</v>
      </c>
      <c r="C62" s="4" t="s">
        <v>778</v>
      </c>
      <c r="D62" s="4">
        <v>2511</v>
      </c>
      <c r="E62" s="4" t="s">
        <v>5</v>
      </c>
      <c r="F62" s="4" t="s">
        <v>893</v>
      </c>
      <c r="G62" s="113">
        <v>3.7037037037037035E-2</v>
      </c>
      <c r="H62" t="s">
        <v>1781</v>
      </c>
      <c r="I62" s="4">
        <v>0.35299999999999998</v>
      </c>
      <c r="L62" s="4" t="s">
        <v>1552</v>
      </c>
      <c r="M62" s="4" t="s">
        <v>109</v>
      </c>
      <c r="N62" s="4" t="s">
        <v>6</v>
      </c>
      <c r="O62" s="4"/>
      <c r="P62" s="4" t="s">
        <v>1693</v>
      </c>
      <c r="Q62" t="s">
        <v>109</v>
      </c>
      <c r="R62" s="4"/>
      <c r="S62" s="4"/>
      <c r="U62" s="4"/>
      <c r="Y62" s="4"/>
      <c r="Z62" s="4"/>
      <c r="AA62" s="4"/>
      <c r="AB62" s="4"/>
      <c r="AC62" s="4"/>
      <c r="AD62" s="4"/>
      <c r="AE62" s="4"/>
      <c r="AF62" s="4"/>
      <c r="AG62" s="4"/>
      <c r="AH62" s="4"/>
      <c r="AI62" s="4"/>
      <c r="AJ62" s="4"/>
      <c r="AK62" s="4"/>
      <c r="AL62" s="4"/>
      <c r="AP62" s="4"/>
      <c r="AX62" s="4"/>
      <c r="AY62" s="4"/>
      <c r="AZ62" s="4"/>
      <c r="BA62" s="4"/>
      <c r="BB62" s="4"/>
      <c r="BC62" s="4"/>
      <c r="BD62" s="4"/>
      <c r="BE62" s="4"/>
      <c r="BF62" s="4"/>
      <c r="BG62" s="4"/>
      <c r="BI62" s="4"/>
      <c r="BP62" s="4"/>
      <c r="BS62" s="4"/>
      <c r="BW62" s="4"/>
      <c r="BX62" s="4"/>
    </row>
    <row r="63" spans="1:76" ht="12.75" x14ac:dyDescent="0.2">
      <c r="A63" s="4" t="s">
        <v>1321</v>
      </c>
      <c r="B63" s="4" t="s">
        <v>1296</v>
      </c>
      <c r="C63" s="4" t="s">
        <v>778</v>
      </c>
      <c r="D63" s="4">
        <v>2511</v>
      </c>
      <c r="E63" s="4" t="s">
        <v>5</v>
      </c>
      <c r="F63" s="4" t="s">
        <v>893</v>
      </c>
      <c r="G63" s="113">
        <v>3.7037037037037035E-2</v>
      </c>
      <c r="H63" t="s">
        <v>1781</v>
      </c>
      <c r="I63" s="4">
        <v>0.35899999999999999</v>
      </c>
      <c r="L63" s="4" t="s">
        <v>1552</v>
      </c>
      <c r="M63" s="4" t="s">
        <v>109</v>
      </c>
      <c r="N63" s="4" t="s">
        <v>6</v>
      </c>
      <c r="O63" s="4"/>
      <c r="P63" s="4" t="s">
        <v>1693</v>
      </c>
      <c r="Q63" t="s">
        <v>109</v>
      </c>
      <c r="R63" s="4"/>
      <c r="S63" s="4"/>
      <c r="U63" s="4"/>
      <c r="Y63" s="4"/>
      <c r="Z63" s="4"/>
      <c r="AA63" s="4"/>
      <c r="AB63" s="4"/>
      <c r="AC63" s="4"/>
      <c r="AD63" s="4"/>
      <c r="AE63" s="4"/>
      <c r="AF63" s="4"/>
      <c r="AG63" s="4"/>
      <c r="AH63" s="4"/>
      <c r="AI63" s="4"/>
      <c r="AJ63" s="4"/>
      <c r="AK63" s="4"/>
      <c r="AL63" s="4"/>
      <c r="AP63" s="4"/>
      <c r="AX63" s="4"/>
      <c r="AY63" s="4"/>
      <c r="AZ63" s="4"/>
      <c r="BA63" s="4"/>
      <c r="BB63" s="4"/>
      <c r="BC63" s="4"/>
      <c r="BD63" s="4"/>
      <c r="BE63" s="4"/>
      <c r="BF63" s="4"/>
      <c r="BG63" s="4"/>
      <c r="BI63" s="4"/>
      <c r="BP63" s="4"/>
      <c r="BS63" s="4"/>
      <c r="BW63" s="4"/>
      <c r="BX63" s="4"/>
    </row>
    <row r="64" spans="1:76" ht="12.75" x14ac:dyDescent="0.2">
      <c r="A64" s="4" t="s">
        <v>1324</v>
      </c>
      <c r="B64" s="4" t="s">
        <v>642</v>
      </c>
      <c r="C64" s="4" t="s">
        <v>778</v>
      </c>
      <c r="D64" s="4">
        <v>2511</v>
      </c>
      <c r="E64" s="4" t="s">
        <v>5</v>
      </c>
      <c r="F64" s="4" t="s">
        <v>893</v>
      </c>
      <c r="G64" s="113">
        <v>8.3333333333333329E-2</v>
      </c>
      <c r="H64" t="s">
        <v>1781</v>
      </c>
      <c r="I64" s="4">
        <v>0.36</v>
      </c>
      <c r="L64" s="4" t="s">
        <v>1545</v>
      </c>
      <c r="M64" s="4" t="s">
        <v>109</v>
      </c>
      <c r="N64" s="4" t="s">
        <v>6</v>
      </c>
      <c r="O64" s="4"/>
      <c r="P64" s="4" t="s">
        <v>1693</v>
      </c>
      <c r="Q64" t="s">
        <v>109</v>
      </c>
      <c r="R64" s="4"/>
      <c r="S64" s="4"/>
      <c r="U64" s="4"/>
      <c r="Y64" s="4"/>
      <c r="Z64" s="4"/>
      <c r="AA64" s="4"/>
      <c r="AB64" s="4"/>
      <c r="AC64" s="4"/>
      <c r="AD64" s="4"/>
      <c r="AE64" s="4"/>
      <c r="AF64" s="4"/>
      <c r="AG64" s="4"/>
      <c r="AH64" s="4"/>
      <c r="AI64" s="4"/>
      <c r="AJ64" s="4"/>
      <c r="AK64" s="4"/>
      <c r="AL64" s="4"/>
      <c r="AP64" s="4"/>
      <c r="AX64" s="4"/>
      <c r="AY64" s="4"/>
      <c r="AZ64" s="4"/>
      <c r="BA64" s="4"/>
      <c r="BB64" s="4"/>
      <c r="BC64" s="4"/>
      <c r="BD64" s="4"/>
      <c r="BE64" s="4"/>
      <c r="BF64" s="4"/>
      <c r="BG64" s="4"/>
      <c r="BI64" s="4"/>
      <c r="BP64" s="4"/>
      <c r="BS64" s="4"/>
      <c r="BW64" s="4"/>
      <c r="BX64" s="4"/>
    </row>
    <row r="65" spans="1:76" ht="12.75" x14ac:dyDescent="0.2">
      <c r="A65" s="4" t="s">
        <v>1321</v>
      </c>
      <c r="B65" s="4" t="s">
        <v>1296</v>
      </c>
      <c r="C65" s="4" t="s">
        <v>778</v>
      </c>
      <c r="D65" s="4">
        <v>2511</v>
      </c>
      <c r="E65" s="4" t="s">
        <v>5</v>
      </c>
      <c r="F65" s="4" t="s">
        <v>893</v>
      </c>
      <c r="G65" s="113">
        <v>3.7037037037037035E-2</v>
      </c>
      <c r="H65" t="s">
        <v>1781</v>
      </c>
      <c r="I65" s="4">
        <v>0.36299999999999999</v>
      </c>
      <c r="L65" s="4" t="s">
        <v>1552</v>
      </c>
      <c r="M65" s="4" t="s">
        <v>109</v>
      </c>
      <c r="N65" s="4" t="s">
        <v>6</v>
      </c>
      <c r="O65" s="4"/>
      <c r="P65" s="4" t="s">
        <v>1693</v>
      </c>
      <c r="Q65" t="s">
        <v>109</v>
      </c>
      <c r="R65" s="4"/>
      <c r="S65" s="4"/>
      <c r="U65" s="4"/>
      <c r="Y65" s="4"/>
      <c r="Z65" s="4"/>
      <c r="AA65" s="4"/>
      <c r="AB65" s="4"/>
      <c r="AC65" s="4"/>
      <c r="AD65" s="4"/>
      <c r="AE65" s="4"/>
      <c r="AF65" s="4"/>
      <c r="AG65" s="4"/>
      <c r="AH65" s="4"/>
      <c r="AI65" s="4"/>
      <c r="AJ65" s="4"/>
      <c r="AK65" s="4"/>
      <c r="AL65" s="4"/>
      <c r="AP65" s="4"/>
      <c r="AX65" s="4"/>
      <c r="AY65" s="4"/>
      <c r="AZ65" s="4"/>
      <c r="BA65" s="4"/>
      <c r="BB65" s="4"/>
      <c r="BC65" s="4"/>
      <c r="BD65" s="4"/>
      <c r="BE65" s="4"/>
      <c r="BF65" s="4"/>
      <c r="BG65" s="4"/>
      <c r="BI65" s="4"/>
      <c r="BP65" s="4"/>
      <c r="BS65" s="4"/>
      <c r="BW65" s="4"/>
      <c r="BX65" s="4"/>
    </row>
    <row r="66" spans="1:76" ht="12.75" x14ac:dyDescent="0.2">
      <c r="A66" s="4" t="s">
        <v>1321</v>
      </c>
      <c r="B66" s="4" t="s">
        <v>477</v>
      </c>
      <c r="C66" s="4" t="s">
        <v>101</v>
      </c>
      <c r="D66" s="4">
        <v>2511</v>
      </c>
      <c r="E66" s="4" t="s">
        <v>5</v>
      </c>
      <c r="F66" s="4" t="s">
        <v>893</v>
      </c>
      <c r="G66" s="113">
        <v>0.2</v>
      </c>
      <c r="H66" t="s">
        <v>1781</v>
      </c>
      <c r="I66" s="4">
        <v>0.36558999999999997</v>
      </c>
      <c r="L66" s="4" t="s">
        <v>1536</v>
      </c>
      <c r="M66" s="4" t="s">
        <v>109</v>
      </c>
      <c r="N66" s="4" t="s">
        <v>6</v>
      </c>
      <c r="O66" s="4"/>
      <c r="P66" s="4" t="s">
        <v>1693</v>
      </c>
      <c r="Q66" t="s">
        <v>109</v>
      </c>
      <c r="R66" s="4"/>
      <c r="S66" s="4"/>
      <c r="U66" s="4"/>
      <c r="Y66" s="4"/>
      <c r="Z66" s="4"/>
      <c r="AA66" s="4"/>
      <c r="AB66" s="4"/>
      <c r="AC66" s="4"/>
      <c r="AD66" s="4"/>
      <c r="AE66" s="4"/>
      <c r="AF66" s="4"/>
      <c r="AG66" s="4"/>
      <c r="AH66" s="4"/>
      <c r="AI66" s="4"/>
      <c r="AJ66" s="4"/>
      <c r="AK66" s="4"/>
      <c r="AL66" s="4"/>
      <c r="AP66" s="4"/>
      <c r="AX66" s="4"/>
      <c r="AY66" s="4"/>
      <c r="AZ66" s="4"/>
      <c r="BA66" s="4"/>
      <c r="BB66" s="4"/>
      <c r="BC66" s="4"/>
      <c r="BD66" s="4"/>
      <c r="BE66" s="4"/>
      <c r="BF66" s="4"/>
      <c r="BG66" s="4"/>
      <c r="BI66" s="4"/>
      <c r="BP66" s="4"/>
      <c r="BS66" s="4"/>
      <c r="BW66" s="4"/>
      <c r="BX66" s="4"/>
    </row>
    <row r="67" spans="1:76" ht="12.75" x14ac:dyDescent="0.2">
      <c r="A67" s="4" t="s">
        <v>1321</v>
      </c>
      <c r="B67" s="4" t="s">
        <v>477</v>
      </c>
      <c r="C67" s="4" t="s">
        <v>101</v>
      </c>
      <c r="D67" s="4">
        <v>2511</v>
      </c>
      <c r="E67" s="4" t="s">
        <v>5</v>
      </c>
      <c r="F67" s="4" t="s">
        <v>893</v>
      </c>
      <c r="G67" s="113">
        <v>0.2</v>
      </c>
      <c r="H67" t="s">
        <v>1781</v>
      </c>
      <c r="I67" s="4">
        <v>0.36737999999999998</v>
      </c>
      <c r="L67" s="4" t="s">
        <v>1536</v>
      </c>
      <c r="M67" s="4" t="s">
        <v>109</v>
      </c>
      <c r="N67" s="4" t="s">
        <v>6</v>
      </c>
      <c r="O67" s="4"/>
      <c r="P67" s="4" t="s">
        <v>1693</v>
      </c>
      <c r="Q67" t="s">
        <v>109</v>
      </c>
      <c r="R67" s="4"/>
      <c r="S67" s="4"/>
      <c r="U67" s="4"/>
      <c r="Y67" s="4"/>
      <c r="Z67" s="4"/>
      <c r="AA67" s="4"/>
      <c r="AB67" s="4"/>
      <c r="AC67" s="4"/>
      <c r="AD67" s="4"/>
      <c r="AE67" s="4"/>
      <c r="AF67" s="4"/>
      <c r="AG67" s="4"/>
      <c r="AH67" s="4"/>
      <c r="AI67" s="4"/>
      <c r="AJ67" s="4"/>
      <c r="AK67" s="4"/>
      <c r="AL67" s="4"/>
      <c r="AP67" s="4"/>
      <c r="AX67" s="4"/>
      <c r="AY67" s="4"/>
      <c r="AZ67" s="4"/>
      <c r="BA67" s="4"/>
      <c r="BB67" s="4"/>
      <c r="BC67" s="4"/>
      <c r="BD67" s="4"/>
      <c r="BE67" s="4"/>
      <c r="BF67" s="4"/>
      <c r="BG67" s="4"/>
      <c r="BI67" s="4"/>
      <c r="BP67" s="4"/>
      <c r="BS67" s="4"/>
      <c r="BW67" s="4"/>
      <c r="BX67" s="4"/>
    </row>
    <row r="68" spans="1:76" ht="12.75" x14ac:dyDescent="0.2">
      <c r="A68" s="4" t="s">
        <v>1324</v>
      </c>
      <c r="B68" s="4" t="s">
        <v>642</v>
      </c>
      <c r="C68" s="4" t="s">
        <v>778</v>
      </c>
      <c r="D68" s="4">
        <v>2511</v>
      </c>
      <c r="E68" s="4" t="s">
        <v>5</v>
      </c>
      <c r="F68" s="4" t="s">
        <v>893</v>
      </c>
      <c r="G68" s="113">
        <v>8.3333333333333329E-2</v>
      </c>
      <c r="H68" t="s">
        <v>1781</v>
      </c>
      <c r="I68" s="4">
        <v>0.37</v>
      </c>
      <c r="L68" s="4" t="s">
        <v>1545</v>
      </c>
      <c r="M68" s="4" t="s">
        <v>109</v>
      </c>
      <c r="N68" s="4" t="s">
        <v>6</v>
      </c>
      <c r="O68" s="4"/>
      <c r="P68" s="4" t="s">
        <v>1693</v>
      </c>
      <c r="Q68" t="s">
        <v>109</v>
      </c>
      <c r="R68" s="4"/>
      <c r="S68" s="4"/>
      <c r="U68" s="4"/>
      <c r="Y68" s="4"/>
      <c r="Z68" s="4"/>
      <c r="AA68" s="4"/>
      <c r="AB68" s="4"/>
      <c r="AC68" s="4"/>
      <c r="AD68" s="4"/>
      <c r="AE68" s="4"/>
      <c r="AF68" s="4"/>
      <c r="AG68" s="4"/>
      <c r="AH68" s="4"/>
      <c r="AI68" s="4"/>
      <c r="AJ68" s="4"/>
      <c r="AK68" s="4"/>
      <c r="AL68" s="4"/>
      <c r="AP68" s="4"/>
      <c r="AX68" s="4"/>
      <c r="AY68" s="4"/>
      <c r="AZ68" s="4"/>
      <c r="BA68" s="4"/>
      <c r="BB68" s="4"/>
      <c r="BC68" s="4"/>
      <c r="BD68" s="4"/>
      <c r="BE68" s="4"/>
      <c r="BF68" s="4"/>
      <c r="BG68" s="4"/>
      <c r="BI68" s="4"/>
      <c r="BP68" s="4"/>
      <c r="BS68" s="4"/>
      <c r="BW68" s="4"/>
      <c r="BX68" s="4"/>
    </row>
    <row r="69" spans="1:76" ht="12.75" x14ac:dyDescent="0.2">
      <c r="A69" s="4" t="s">
        <v>1324</v>
      </c>
      <c r="B69" s="4" t="s">
        <v>642</v>
      </c>
      <c r="C69" s="4" t="s">
        <v>778</v>
      </c>
      <c r="D69" s="4">
        <v>2511</v>
      </c>
      <c r="E69" s="4" t="s">
        <v>5</v>
      </c>
      <c r="F69" s="4" t="s">
        <v>893</v>
      </c>
      <c r="G69" s="113">
        <v>8.3333333333333329E-2</v>
      </c>
      <c r="H69" t="s">
        <v>1781</v>
      </c>
      <c r="I69" s="4">
        <v>0.38</v>
      </c>
      <c r="L69" s="4" t="s">
        <v>1545</v>
      </c>
      <c r="M69" s="4" t="s">
        <v>109</v>
      </c>
      <c r="N69" s="4" t="s">
        <v>6</v>
      </c>
      <c r="O69" s="4"/>
      <c r="P69" s="4" t="s">
        <v>1693</v>
      </c>
      <c r="Q69" t="s">
        <v>109</v>
      </c>
      <c r="R69" s="4"/>
      <c r="S69" s="4"/>
      <c r="U69" s="4"/>
      <c r="Y69" s="4"/>
      <c r="Z69" s="4"/>
      <c r="AA69" s="4"/>
      <c r="AB69" s="4"/>
      <c r="AC69" s="4"/>
      <c r="AD69" s="4"/>
      <c r="AE69" s="4"/>
      <c r="AF69" s="4"/>
      <c r="AG69" s="4"/>
      <c r="AH69" s="4"/>
      <c r="AI69" s="4"/>
      <c r="AJ69" s="4"/>
      <c r="AK69" s="4"/>
      <c r="AL69" s="4"/>
      <c r="AP69" s="4"/>
      <c r="AX69" s="4"/>
      <c r="AY69" s="4"/>
      <c r="AZ69" s="4"/>
      <c r="BA69" s="4"/>
      <c r="BB69" s="4"/>
      <c r="BC69" s="4"/>
      <c r="BD69" s="4"/>
      <c r="BE69" s="4"/>
      <c r="BF69" s="4"/>
      <c r="BG69" s="4"/>
      <c r="BI69" s="4"/>
      <c r="BP69" s="4"/>
      <c r="BS69" s="4"/>
      <c r="BW69" s="4"/>
      <c r="BX69" s="4"/>
    </row>
    <row r="70" spans="1:76" ht="12.75" x14ac:dyDescent="0.2">
      <c r="A70" s="4" t="s">
        <v>1321</v>
      </c>
      <c r="B70" s="4" t="s">
        <v>477</v>
      </c>
      <c r="C70" s="4" t="s">
        <v>778</v>
      </c>
      <c r="D70" s="4">
        <v>2511</v>
      </c>
      <c r="E70" s="4" t="s">
        <v>5</v>
      </c>
      <c r="F70" s="4" t="s">
        <v>893</v>
      </c>
      <c r="G70" s="113">
        <v>0.14285714285714285</v>
      </c>
      <c r="H70" t="s">
        <v>1781</v>
      </c>
      <c r="I70" s="4">
        <v>0.38377</v>
      </c>
      <c r="L70" s="4" t="s">
        <v>1550</v>
      </c>
      <c r="M70" s="4" t="s">
        <v>109</v>
      </c>
      <c r="N70" s="4" t="s">
        <v>6</v>
      </c>
      <c r="O70" s="4"/>
      <c r="P70" s="4" t="s">
        <v>1693</v>
      </c>
      <c r="Q70" t="s">
        <v>109</v>
      </c>
      <c r="R70" s="4"/>
      <c r="S70" s="4"/>
      <c r="U70" s="4"/>
      <c r="Y70" s="4"/>
      <c r="Z70" s="4"/>
      <c r="AA70" s="4"/>
      <c r="AB70" s="4"/>
      <c r="AC70" s="4"/>
      <c r="AD70" s="4"/>
      <c r="AE70" s="4"/>
      <c r="AF70" s="4"/>
      <c r="AG70" s="4"/>
      <c r="AH70" s="4"/>
      <c r="AI70" s="4"/>
      <c r="AJ70" s="4"/>
      <c r="AK70" s="4"/>
      <c r="AL70" s="4"/>
      <c r="AP70" s="4"/>
      <c r="AX70" s="4"/>
      <c r="AY70" s="4"/>
      <c r="AZ70" s="4"/>
      <c r="BA70" s="4"/>
      <c r="BB70" s="4"/>
      <c r="BC70" s="4"/>
      <c r="BD70" s="4"/>
      <c r="BE70" s="4"/>
      <c r="BF70" s="4"/>
      <c r="BG70" s="4"/>
      <c r="BI70" s="4"/>
      <c r="BP70" s="4"/>
      <c r="BS70" s="4"/>
      <c r="BW70" s="4"/>
      <c r="BX70" s="4"/>
    </row>
    <row r="71" spans="1:76" ht="12.75" x14ac:dyDescent="0.2">
      <c r="A71" s="4" t="s">
        <v>1321</v>
      </c>
      <c r="B71" s="4" t="s">
        <v>477</v>
      </c>
      <c r="C71" s="4" t="s">
        <v>111</v>
      </c>
      <c r="D71" s="4">
        <v>2511</v>
      </c>
      <c r="E71" s="4" t="s">
        <v>5</v>
      </c>
      <c r="F71" s="4" t="s">
        <v>893</v>
      </c>
      <c r="G71" s="113">
        <v>0.2</v>
      </c>
      <c r="H71" t="s">
        <v>1781</v>
      </c>
      <c r="I71" s="4">
        <v>0.38710000000000006</v>
      </c>
      <c r="L71" s="4" t="s">
        <v>1536</v>
      </c>
      <c r="M71" s="4" t="s">
        <v>109</v>
      </c>
      <c r="N71" s="4" t="s">
        <v>6</v>
      </c>
      <c r="O71" s="4"/>
      <c r="P71" s="4" t="s">
        <v>1693</v>
      </c>
      <c r="Q71" t="s">
        <v>109</v>
      </c>
      <c r="R71" s="4"/>
      <c r="S71" s="4"/>
      <c r="U71" s="4"/>
      <c r="Y71" s="4"/>
      <c r="Z71" s="4"/>
      <c r="AA71" s="4"/>
      <c r="AB71" s="4"/>
      <c r="AC71" s="4"/>
      <c r="AD71" s="4"/>
      <c r="AE71" s="4"/>
      <c r="AF71" s="4"/>
      <c r="AG71" s="4"/>
      <c r="AH71" s="4"/>
      <c r="AI71" s="4"/>
      <c r="AJ71" s="4"/>
      <c r="AK71" s="4"/>
      <c r="AL71" s="4"/>
      <c r="AP71" s="4"/>
      <c r="AX71" s="4"/>
      <c r="AY71" s="4"/>
      <c r="AZ71" s="4"/>
      <c r="BA71" s="4"/>
      <c r="BB71" s="4"/>
      <c r="BC71" s="4"/>
      <c r="BD71" s="4"/>
      <c r="BE71" s="4"/>
      <c r="BF71" s="4"/>
      <c r="BG71" s="4"/>
      <c r="BI71" s="4"/>
      <c r="BP71" s="4"/>
      <c r="BS71" s="4"/>
      <c r="BW71" s="4"/>
      <c r="BX71" s="4"/>
    </row>
    <row r="72" spans="1:76" ht="12.75" x14ac:dyDescent="0.2">
      <c r="A72" s="4" t="s">
        <v>1321</v>
      </c>
      <c r="B72" s="4" t="s">
        <v>1296</v>
      </c>
      <c r="C72" s="4" t="s">
        <v>778</v>
      </c>
      <c r="D72" s="4">
        <v>2511</v>
      </c>
      <c r="E72" s="4" t="s">
        <v>5</v>
      </c>
      <c r="F72" s="4" t="s">
        <v>893</v>
      </c>
      <c r="G72" s="113">
        <v>3.7037037037037035E-2</v>
      </c>
      <c r="H72" t="s">
        <v>1781</v>
      </c>
      <c r="I72" s="4">
        <v>0.38900000000000001</v>
      </c>
      <c r="L72" s="4" t="s">
        <v>1552</v>
      </c>
      <c r="M72" s="4" t="s">
        <v>109</v>
      </c>
      <c r="N72" s="4" t="s">
        <v>6</v>
      </c>
      <c r="O72" s="4"/>
      <c r="P72" s="4" t="s">
        <v>1693</v>
      </c>
      <c r="Q72" t="s">
        <v>109</v>
      </c>
      <c r="R72" s="4"/>
      <c r="S72" s="4"/>
      <c r="U72" s="4"/>
      <c r="Y72" s="4"/>
      <c r="Z72" s="4"/>
      <c r="AA72" s="4"/>
      <c r="AB72" s="4"/>
      <c r="AC72" s="4"/>
      <c r="AD72" s="4"/>
      <c r="AE72" s="4"/>
      <c r="AF72" s="4"/>
      <c r="AG72" s="4"/>
      <c r="AH72" s="4"/>
      <c r="AI72" s="4"/>
      <c r="AJ72" s="4"/>
      <c r="AK72" s="4"/>
      <c r="AL72" s="4"/>
      <c r="AP72" s="4"/>
      <c r="AX72" s="4"/>
      <c r="AY72" s="4"/>
      <c r="AZ72" s="4"/>
      <c r="BA72" s="4"/>
      <c r="BB72" s="4"/>
      <c r="BC72" s="4"/>
      <c r="BD72" s="4"/>
      <c r="BE72" s="4"/>
      <c r="BF72" s="4"/>
      <c r="BG72" s="4"/>
      <c r="BI72" s="4"/>
      <c r="BP72" s="4"/>
      <c r="BS72" s="4"/>
      <c r="BW72" s="4"/>
      <c r="BX72" s="4"/>
    </row>
    <row r="73" spans="1:76" ht="12.75" x14ac:dyDescent="0.2">
      <c r="A73" s="4" t="s">
        <v>1320</v>
      </c>
      <c r="B73" s="4" t="s">
        <v>314</v>
      </c>
      <c r="C73" s="4" t="s">
        <v>205</v>
      </c>
      <c r="D73" s="4">
        <v>2511</v>
      </c>
      <c r="E73" s="4" t="s">
        <v>5</v>
      </c>
      <c r="F73" s="4" t="s">
        <v>893</v>
      </c>
      <c r="G73" s="113">
        <v>8.3333333333333329E-2</v>
      </c>
      <c r="H73" t="s">
        <v>1781</v>
      </c>
      <c r="I73" s="4">
        <v>0.39</v>
      </c>
      <c r="L73" s="4" t="s">
        <v>1553</v>
      </c>
      <c r="M73" s="4" t="s">
        <v>109</v>
      </c>
      <c r="N73" s="4" t="s">
        <v>6</v>
      </c>
      <c r="O73" s="4"/>
      <c r="P73" s="4" t="s">
        <v>1693</v>
      </c>
      <c r="Q73" t="s">
        <v>109</v>
      </c>
      <c r="R73" s="4"/>
      <c r="S73" s="4"/>
      <c r="U73" s="4"/>
      <c r="Y73" s="4"/>
      <c r="Z73" s="4"/>
      <c r="AA73" s="4"/>
      <c r="AB73" s="4"/>
      <c r="AC73" s="4"/>
      <c r="AD73" s="4"/>
      <c r="AE73" s="4"/>
      <c r="AF73" s="4"/>
      <c r="AG73" s="4"/>
      <c r="AH73" s="4"/>
      <c r="AI73" s="4"/>
      <c r="AJ73" s="4"/>
      <c r="AK73" s="4"/>
      <c r="AL73" s="4"/>
      <c r="AP73" s="4"/>
      <c r="AX73" s="4"/>
      <c r="AY73" s="4"/>
      <c r="AZ73" s="4"/>
      <c r="BA73" s="4"/>
      <c r="BB73" s="4"/>
      <c r="BC73" s="4"/>
      <c r="BD73" s="4"/>
      <c r="BE73" s="4"/>
      <c r="BF73" s="4"/>
      <c r="BG73" s="4"/>
      <c r="BI73" s="4"/>
      <c r="BP73" s="4"/>
      <c r="BS73" s="4"/>
      <c r="BW73" s="4"/>
      <c r="BX73" s="4"/>
    </row>
    <row r="74" spans="1:76" ht="12.75" x14ac:dyDescent="0.2">
      <c r="A74" s="4" t="s">
        <v>1321</v>
      </c>
      <c r="B74" s="4" t="s">
        <v>1296</v>
      </c>
      <c r="C74" s="4" t="s">
        <v>778</v>
      </c>
      <c r="D74" s="4">
        <v>2511</v>
      </c>
      <c r="E74" s="4" t="s">
        <v>5</v>
      </c>
      <c r="F74" s="4" t="s">
        <v>893</v>
      </c>
      <c r="G74" s="113">
        <v>3.7037037037037035E-2</v>
      </c>
      <c r="H74" t="s">
        <v>1781</v>
      </c>
      <c r="I74" s="4">
        <v>0.39200000000000002</v>
      </c>
      <c r="L74" s="4" t="s">
        <v>1552</v>
      </c>
      <c r="M74" s="4" t="s">
        <v>109</v>
      </c>
      <c r="N74" s="4" t="s">
        <v>6</v>
      </c>
      <c r="O74" s="4"/>
      <c r="P74" s="4" t="s">
        <v>1693</v>
      </c>
      <c r="Q74" t="s">
        <v>109</v>
      </c>
      <c r="R74" s="4"/>
      <c r="S74" s="4"/>
      <c r="U74" s="4"/>
      <c r="Y74" s="4"/>
      <c r="Z74" s="4"/>
      <c r="AA74" s="4"/>
      <c r="AB74" s="4"/>
      <c r="AC74" s="4"/>
      <c r="AD74" s="4"/>
      <c r="AE74" s="4"/>
      <c r="AF74" s="4"/>
      <c r="AG74" s="4"/>
      <c r="AH74" s="4"/>
      <c r="AI74" s="4"/>
      <c r="AJ74" s="4"/>
      <c r="AK74" s="4"/>
      <c r="AL74" s="4"/>
      <c r="AP74" s="4"/>
      <c r="AX74" s="4"/>
      <c r="AY74" s="4"/>
      <c r="AZ74" s="4"/>
      <c r="BA74" s="4"/>
      <c r="BB74" s="4"/>
      <c r="BC74" s="4"/>
      <c r="BD74" s="4"/>
      <c r="BE74" s="4"/>
      <c r="BF74" s="4"/>
      <c r="BG74" s="4"/>
      <c r="BI74" s="4"/>
      <c r="BP74" s="4"/>
      <c r="BS74" s="4"/>
      <c r="BW74" s="4"/>
      <c r="BX74" s="4"/>
    </row>
    <row r="75" spans="1:76" ht="12.75" x14ac:dyDescent="0.2">
      <c r="A75" s="4" t="s">
        <v>1321</v>
      </c>
      <c r="B75" s="4" t="s">
        <v>180</v>
      </c>
      <c r="C75" s="4" t="s">
        <v>1362</v>
      </c>
      <c r="D75" s="4">
        <v>2511</v>
      </c>
      <c r="E75" s="4" t="s">
        <v>5</v>
      </c>
      <c r="F75" s="4" t="s">
        <v>893</v>
      </c>
      <c r="G75" s="113">
        <v>0.5</v>
      </c>
      <c r="H75" t="s">
        <v>1781</v>
      </c>
      <c r="I75" s="4">
        <v>0.41300000000000003</v>
      </c>
      <c r="L75" s="4" t="s">
        <v>1547</v>
      </c>
      <c r="M75" s="4" t="s">
        <v>109</v>
      </c>
      <c r="N75" s="4" t="s">
        <v>6</v>
      </c>
      <c r="O75" s="4"/>
      <c r="P75" s="4" t="s">
        <v>1693</v>
      </c>
      <c r="Q75" t="s">
        <v>109</v>
      </c>
      <c r="R75" s="4"/>
      <c r="S75" s="4"/>
      <c r="U75" s="4"/>
      <c r="Y75" s="4"/>
      <c r="Z75" s="4"/>
      <c r="AA75" s="4"/>
      <c r="AB75" s="4"/>
      <c r="AC75" s="4"/>
      <c r="AD75" s="4"/>
      <c r="AE75" s="4"/>
      <c r="AF75" s="4"/>
      <c r="AG75" s="4"/>
      <c r="AH75" s="4"/>
      <c r="AI75" s="4"/>
      <c r="AJ75" s="4"/>
      <c r="AK75" s="4"/>
      <c r="AL75" s="4"/>
      <c r="AP75" s="4"/>
      <c r="AX75" s="4"/>
      <c r="AY75" s="4"/>
      <c r="AZ75" s="4"/>
      <c r="BA75" s="4"/>
      <c r="BB75" s="4"/>
      <c r="BC75" s="4"/>
      <c r="BD75" s="4"/>
      <c r="BE75" s="4"/>
      <c r="BF75" s="4"/>
      <c r="BG75" s="4"/>
      <c r="BI75" s="4"/>
      <c r="BP75" s="4"/>
      <c r="BS75" s="4"/>
      <c r="BW75" s="4"/>
      <c r="BX75" s="4"/>
    </row>
    <row r="76" spans="1:76" ht="12.75" x14ac:dyDescent="0.2">
      <c r="A76" s="4" t="s">
        <v>630</v>
      </c>
      <c r="B76" s="4" t="s">
        <v>345</v>
      </c>
      <c r="C76" s="4" t="s">
        <v>101</v>
      </c>
      <c r="D76" s="4">
        <v>2511</v>
      </c>
      <c r="E76" s="4" t="s">
        <v>5</v>
      </c>
      <c r="F76" s="4" t="s">
        <v>893</v>
      </c>
      <c r="G76" s="113">
        <v>0.5</v>
      </c>
      <c r="H76" t="s">
        <v>1781</v>
      </c>
      <c r="I76" s="4">
        <v>0.42299999999999999</v>
      </c>
      <c r="L76" s="4" t="s">
        <v>1542</v>
      </c>
      <c r="M76" s="4" t="s">
        <v>109</v>
      </c>
      <c r="N76" s="4" t="s">
        <v>6</v>
      </c>
      <c r="O76" s="4"/>
      <c r="P76" s="4" t="s">
        <v>1693</v>
      </c>
      <c r="Q76" t="s">
        <v>109</v>
      </c>
      <c r="R76" s="4"/>
      <c r="S76" s="4"/>
      <c r="U76" s="4"/>
      <c r="Y76" s="4"/>
      <c r="Z76" s="4"/>
      <c r="AA76" s="4"/>
      <c r="AB76" s="4"/>
      <c r="AC76" s="4"/>
      <c r="AD76" s="4"/>
      <c r="AE76" s="4"/>
      <c r="AF76" s="4"/>
      <c r="AG76" s="4"/>
      <c r="AH76" s="4"/>
      <c r="AI76" s="4"/>
      <c r="AJ76" s="4"/>
      <c r="AK76" s="4"/>
      <c r="AL76" s="4"/>
      <c r="AP76" s="4"/>
      <c r="AX76" s="4"/>
      <c r="AY76" s="4"/>
      <c r="AZ76" s="4"/>
      <c r="BA76" s="4"/>
      <c r="BB76" s="4"/>
      <c r="BC76" s="4"/>
      <c r="BD76" s="4"/>
      <c r="BE76" s="4"/>
      <c r="BF76" s="4"/>
      <c r="BG76" s="4"/>
      <c r="BI76" s="4"/>
      <c r="BP76" s="4"/>
      <c r="BS76" s="4"/>
      <c r="BW76" s="4"/>
      <c r="BX76" s="4"/>
    </row>
    <row r="77" spans="1:76" ht="12.75" x14ac:dyDescent="0.2">
      <c r="A77" s="4" t="s">
        <v>1321</v>
      </c>
      <c r="B77" s="4" t="s">
        <v>1296</v>
      </c>
      <c r="C77" s="4" t="s">
        <v>778</v>
      </c>
      <c r="D77" s="4">
        <v>2511</v>
      </c>
      <c r="E77" s="4" t="s">
        <v>5</v>
      </c>
      <c r="F77" s="4" t="s">
        <v>893</v>
      </c>
      <c r="G77" s="113">
        <v>3.7037037037037035E-2</v>
      </c>
      <c r="H77" t="s">
        <v>1781</v>
      </c>
      <c r="I77" s="4">
        <v>0.44400000000000001</v>
      </c>
      <c r="L77" s="4" t="s">
        <v>1552</v>
      </c>
      <c r="M77" s="4" t="s">
        <v>109</v>
      </c>
      <c r="N77" s="4" t="s">
        <v>6</v>
      </c>
      <c r="O77" s="4"/>
      <c r="P77" s="4" t="s">
        <v>1693</v>
      </c>
      <c r="Q77" t="s">
        <v>109</v>
      </c>
      <c r="R77" s="4"/>
      <c r="S77" s="4"/>
      <c r="U77" s="4"/>
      <c r="Y77" s="4"/>
      <c r="Z77" s="4"/>
      <c r="AA77" s="4"/>
      <c r="AB77" s="4"/>
      <c r="AC77" s="4"/>
      <c r="AD77" s="4"/>
      <c r="AE77" s="4"/>
      <c r="AF77" s="4"/>
      <c r="AG77" s="4"/>
      <c r="AH77" s="4"/>
      <c r="AI77" s="4"/>
      <c r="AJ77" s="4"/>
      <c r="AK77" s="4"/>
      <c r="AL77" s="4"/>
      <c r="AP77" s="4"/>
      <c r="AX77" s="4"/>
      <c r="AY77" s="4"/>
      <c r="AZ77" s="4"/>
      <c r="BA77" s="4"/>
      <c r="BB77" s="4"/>
      <c r="BC77" s="4"/>
      <c r="BD77" s="4"/>
      <c r="BE77" s="4"/>
      <c r="BF77" s="4"/>
      <c r="BG77" s="4"/>
      <c r="BI77" s="4"/>
      <c r="BP77" s="4"/>
      <c r="BS77" s="4"/>
      <c r="BW77" s="4"/>
      <c r="BX77" s="4"/>
    </row>
    <row r="78" spans="1:76" ht="12.75" x14ac:dyDescent="0.2">
      <c r="A78" s="4" t="s">
        <v>640</v>
      </c>
      <c r="B78" s="4" t="s">
        <v>170</v>
      </c>
      <c r="C78" s="4" t="s">
        <v>1364</v>
      </c>
      <c r="D78" s="4">
        <v>2511</v>
      </c>
      <c r="E78" s="4" t="s">
        <v>5</v>
      </c>
      <c r="F78" s="4" t="s">
        <v>893</v>
      </c>
      <c r="G78" s="113">
        <v>0.1</v>
      </c>
      <c r="H78" t="s">
        <v>1781</v>
      </c>
      <c r="I78" s="4">
        <v>0.45600000000000002</v>
      </c>
      <c r="L78" s="4" t="s">
        <v>1548</v>
      </c>
      <c r="M78" s="4" t="s">
        <v>109</v>
      </c>
      <c r="N78" s="4" t="s">
        <v>6</v>
      </c>
      <c r="O78" s="4"/>
      <c r="P78" s="4" t="s">
        <v>1693</v>
      </c>
      <c r="Q78" t="s">
        <v>109</v>
      </c>
      <c r="R78" s="4"/>
      <c r="S78" s="4"/>
      <c r="U78" s="4"/>
      <c r="Y78" s="4"/>
      <c r="Z78" s="4"/>
      <c r="AA78" s="4"/>
      <c r="AB78" s="4"/>
      <c r="AC78" s="4"/>
      <c r="AD78" s="4"/>
      <c r="AE78" s="4"/>
      <c r="AF78" s="4"/>
      <c r="AG78" s="4"/>
      <c r="AH78" s="4"/>
      <c r="AI78" s="4"/>
      <c r="AJ78" s="4"/>
      <c r="AK78" s="4"/>
      <c r="AL78" s="4"/>
      <c r="AP78" s="4"/>
      <c r="AX78" s="4"/>
      <c r="AY78" s="4"/>
      <c r="AZ78" s="4"/>
      <c r="BA78" s="4"/>
      <c r="BB78" s="4"/>
      <c r="BC78" s="4"/>
      <c r="BD78" s="4"/>
      <c r="BE78" s="4"/>
      <c r="BF78" s="4"/>
      <c r="BG78" s="4"/>
      <c r="BI78" s="4"/>
      <c r="BP78" s="4"/>
      <c r="BS78" s="4"/>
      <c r="BW78" s="4"/>
      <c r="BX78" s="4"/>
    </row>
    <row r="79" spans="1:76" ht="12.75" x14ac:dyDescent="0.2">
      <c r="A79" s="4" t="s">
        <v>1321</v>
      </c>
      <c r="B79" s="4" t="s">
        <v>477</v>
      </c>
      <c r="C79" s="4" t="s">
        <v>778</v>
      </c>
      <c r="D79" s="4">
        <v>2511</v>
      </c>
      <c r="E79" s="4" t="s">
        <v>5</v>
      </c>
      <c r="F79" s="4" t="s">
        <v>893</v>
      </c>
      <c r="G79" s="113">
        <v>0.14285714285714285</v>
      </c>
      <c r="H79" t="s">
        <v>1781</v>
      </c>
      <c r="I79" s="4">
        <v>0.45942000000000005</v>
      </c>
      <c r="L79" s="4" t="s">
        <v>1550</v>
      </c>
      <c r="M79" s="4" t="s">
        <v>109</v>
      </c>
      <c r="N79" s="4" t="s">
        <v>6</v>
      </c>
      <c r="O79" s="4"/>
      <c r="P79" s="4" t="s">
        <v>1693</v>
      </c>
      <c r="Q79" t="s">
        <v>109</v>
      </c>
      <c r="R79" s="4"/>
      <c r="S79" s="4"/>
      <c r="U79" s="4"/>
      <c r="Y79" s="4"/>
      <c r="Z79" s="4"/>
      <c r="AA79" s="4"/>
      <c r="AB79" s="4"/>
      <c r="AC79" s="4"/>
      <c r="AD79" s="4"/>
      <c r="AE79" s="4"/>
      <c r="AF79" s="4"/>
      <c r="AG79" s="4"/>
      <c r="AH79" s="4"/>
      <c r="AI79" s="4"/>
      <c r="AJ79" s="4"/>
      <c r="AK79" s="4"/>
      <c r="AL79" s="4"/>
      <c r="AP79" s="4"/>
      <c r="AX79" s="4"/>
      <c r="AY79" s="4"/>
      <c r="AZ79" s="4"/>
      <c r="BA79" s="4"/>
      <c r="BB79" s="4"/>
      <c r="BC79" s="4"/>
      <c r="BD79" s="4"/>
      <c r="BE79" s="4"/>
      <c r="BF79" s="4"/>
      <c r="BG79" s="4"/>
      <c r="BI79" s="4"/>
      <c r="BP79" s="4"/>
      <c r="BS79" s="4"/>
      <c r="BW79" s="4"/>
      <c r="BX79" s="4"/>
    </row>
    <row r="80" spans="1:76" ht="12.75" x14ac:dyDescent="0.2">
      <c r="A80" s="4" t="s">
        <v>630</v>
      </c>
      <c r="B80" s="4" t="s">
        <v>345</v>
      </c>
      <c r="C80" s="4" t="s">
        <v>111</v>
      </c>
      <c r="D80" s="4">
        <v>2511</v>
      </c>
      <c r="E80" s="4" t="s">
        <v>5</v>
      </c>
      <c r="F80" s="4" t="s">
        <v>893</v>
      </c>
      <c r="G80" s="113">
        <v>0.5</v>
      </c>
      <c r="H80" t="s">
        <v>1781</v>
      </c>
      <c r="I80" s="4">
        <v>0.46</v>
      </c>
      <c r="L80" s="4" t="s">
        <v>1542</v>
      </c>
      <c r="M80" s="4" t="s">
        <v>109</v>
      </c>
      <c r="N80" s="4" t="s">
        <v>6</v>
      </c>
      <c r="O80" s="4"/>
      <c r="P80" s="4" t="s">
        <v>1693</v>
      </c>
      <c r="Q80" t="s">
        <v>109</v>
      </c>
      <c r="R80" s="4"/>
      <c r="S80" s="4"/>
      <c r="U80" s="4"/>
      <c r="Y80" s="4"/>
      <c r="Z80" s="4"/>
      <c r="AA80" s="4"/>
      <c r="AB80" s="4"/>
      <c r="AC80" s="4"/>
      <c r="AD80" s="4"/>
      <c r="AE80" s="4"/>
      <c r="AF80" s="4"/>
      <c r="AG80" s="4"/>
      <c r="AH80" s="4"/>
      <c r="AI80" s="4"/>
      <c r="AJ80" s="4"/>
      <c r="AK80" s="4"/>
      <c r="AL80" s="4"/>
      <c r="AP80" s="4"/>
      <c r="AX80" s="4"/>
      <c r="AY80" s="4"/>
      <c r="AZ80" s="4"/>
      <c r="BA80" s="4"/>
      <c r="BB80" s="4"/>
      <c r="BC80" s="4"/>
      <c r="BD80" s="4"/>
      <c r="BE80" s="4"/>
      <c r="BF80" s="4"/>
      <c r="BG80" s="4"/>
      <c r="BI80" s="4"/>
      <c r="BP80" s="4"/>
      <c r="BS80" s="4"/>
      <c r="BW80" s="4"/>
      <c r="BX80" s="4"/>
    </row>
    <row r="81" spans="1:76" ht="12.75" x14ac:dyDescent="0.2">
      <c r="A81" s="4" t="s">
        <v>630</v>
      </c>
      <c r="B81" s="4" t="s">
        <v>225</v>
      </c>
      <c r="C81" s="4" t="s">
        <v>111</v>
      </c>
      <c r="D81" s="4">
        <v>2511</v>
      </c>
      <c r="E81" s="4" t="s">
        <v>5</v>
      </c>
      <c r="F81" s="4" t="s">
        <v>893</v>
      </c>
      <c r="G81" s="113">
        <v>0.5</v>
      </c>
      <c r="H81" t="s">
        <v>1781</v>
      </c>
      <c r="I81" s="4">
        <v>0.47470000000000001</v>
      </c>
      <c r="L81" s="4" t="s">
        <v>1558</v>
      </c>
      <c r="M81" s="4" t="s">
        <v>109</v>
      </c>
      <c r="N81" s="4" t="s">
        <v>6</v>
      </c>
      <c r="O81" s="4"/>
      <c r="P81" s="4" t="s">
        <v>1693</v>
      </c>
      <c r="Q81" t="s">
        <v>109</v>
      </c>
      <c r="R81" s="4"/>
      <c r="S81" s="4"/>
      <c r="U81" s="4"/>
      <c r="Y81" s="4"/>
      <c r="Z81" s="4"/>
      <c r="AA81" s="4"/>
      <c r="AB81" s="4"/>
      <c r="AC81" s="4"/>
      <c r="AD81" s="4"/>
      <c r="AE81" s="4"/>
      <c r="AF81" s="4"/>
      <c r="AG81" s="4"/>
      <c r="AH81" s="4"/>
      <c r="AI81" s="4"/>
      <c r="AJ81" s="4"/>
      <c r="AK81" s="4"/>
      <c r="AL81" s="4"/>
      <c r="AP81" s="4"/>
      <c r="AX81" s="4"/>
      <c r="AY81" s="4"/>
      <c r="AZ81" s="4"/>
      <c r="BA81" s="4"/>
      <c r="BB81" s="4"/>
      <c r="BC81" s="4"/>
      <c r="BD81" s="4"/>
      <c r="BE81" s="4"/>
      <c r="BF81" s="4"/>
      <c r="BG81" s="4"/>
      <c r="BI81" s="4"/>
      <c r="BP81" s="4"/>
      <c r="BS81" s="4"/>
      <c r="BW81" s="4"/>
      <c r="BX81" s="4"/>
    </row>
    <row r="82" spans="1:76" ht="12.75" x14ac:dyDescent="0.2">
      <c r="A82" s="4" t="s">
        <v>1324</v>
      </c>
      <c r="B82" s="4" t="s">
        <v>186</v>
      </c>
      <c r="C82" s="4" t="s">
        <v>111</v>
      </c>
      <c r="D82" s="4">
        <v>2511</v>
      </c>
      <c r="E82" s="4" t="s">
        <v>5</v>
      </c>
      <c r="F82" s="4" t="s">
        <v>893</v>
      </c>
      <c r="G82" s="113">
        <v>0.5</v>
      </c>
      <c r="H82" t="s">
        <v>1781</v>
      </c>
      <c r="I82" s="4">
        <v>0.5</v>
      </c>
      <c r="L82" s="4" t="s">
        <v>1538</v>
      </c>
      <c r="M82" s="4" t="s">
        <v>109</v>
      </c>
      <c r="N82" s="4" t="s">
        <v>6</v>
      </c>
      <c r="O82" s="4"/>
      <c r="P82" s="4" t="s">
        <v>1693</v>
      </c>
      <c r="Q82" t="s">
        <v>109</v>
      </c>
      <c r="R82" s="4"/>
      <c r="S82" s="4"/>
      <c r="U82" s="4"/>
      <c r="Y82" s="4"/>
      <c r="Z82" s="4"/>
      <c r="AA82" s="4"/>
      <c r="AB82" s="4"/>
      <c r="AC82" s="4"/>
      <c r="AD82" s="4"/>
      <c r="AE82" s="4"/>
      <c r="AF82" s="4"/>
      <c r="AG82" s="4"/>
      <c r="AH82" s="4"/>
      <c r="AI82" s="4"/>
      <c r="AJ82" s="4"/>
      <c r="AK82" s="4"/>
      <c r="AL82" s="4"/>
      <c r="AP82" s="4"/>
      <c r="AX82" s="4"/>
      <c r="AY82" s="4"/>
      <c r="AZ82" s="4"/>
      <c r="BA82" s="4"/>
      <c r="BB82" s="4"/>
      <c r="BC82" s="4"/>
      <c r="BD82" s="4"/>
      <c r="BE82" s="4"/>
      <c r="BF82" s="4"/>
      <c r="BG82" s="4"/>
      <c r="BI82" s="4"/>
      <c r="BP82" s="4"/>
      <c r="BS82" s="4"/>
      <c r="BW82" s="4"/>
      <c r="BX82" s="4"/>
    </row>
    <row r="83" spans="1:76" ht="12.75" x14ac:dyDescent="0.2">
      <c r="A83" s="4" t="s">
        <v>667</v>
      </c>
      <c r="B83" s="4" t="s">
        <v>225</v>
      </c>
      <c r="C83" s="4" t="s">
        <v>111</v>
      </c>
      <c r="D83" s="4">
        <v>2511</v>
      </c>
      <c r="E83" s="4" t="s">
        <v>5</v>
      </c>
      <c r="F83" s="4" t="s">
        <v>893</v>
      </c>
      <c r="G83" s="113">
        <v>0.5</v>
      </c>
      <c r="H83" t="s">
        <v>1781</v>
      </c>
      <c r="I83" s="4">
        <v>0.50829999999999997</v>
      </c>
      <c r="L83" s="4" t="s">
        <v>1558</v>
      </c>
      <c r="M83" s="4" t="s">
        <v>109</v>
      </c>
      <c r="N83" s="4" t="s">
        <v>6</v>
      </c>
      <c r="O83" s="4"/>
      <c r="P83" s="4" t="s">
        <v>1693</v>
      </c>
      <c r="Q83" t="s">
        <v>109</v>
      </c>
      <c r="R83" s="4"/>
      <c r="S83" s="4"/>
      <c r="U83" s="4"/>
      <c r="Y83" s="4"/>
      <c r="Z83" s="4"/>
      <c r="AA83" s="4"/>
      <c r="AB83" s="4"/>
      <c r="AC83" s="4"/>
      <c r="AD83" s="4"/>
      <c r="AE83" s="4"/>
      <c r="AF83" s="4"/>
      <c r="AG83" s="4"/>
      <c r="AH83" s="4"/>
      <c r="AI83" s="4"/>
      <c r="AJ83" s="4"/>
      <c r="AK83" s="4"/>
      <c r="AL83" s="4"/>
      <c r="AP83" s="4"/>
      <c r="AX83" s="4"/>
      <c r="AY83" s="4"/>
      <c r="AZ83" s="4"/>
      <c r="BA83" s="4"/>
      <c r="BB83" s="4"/>
      <c r="BC83" s="4"/>
      <c r="BD83" s="4"/>
      <c r="BE83" s="4"/>
      <c r="BF83" s="4"/>
      <c r="BG83" s="4"/>
      <c r="BI83" s="4"/>
      <c r="BP83" s="4"/>
      <c r="BS83" s="4"/>
      <c r="BW83" s="4"/>
      <c r="BX83" s="4"/>
    </row>
    <row r="84" spans="1:76" ht="12.75" x14ac:dyDescent="0.2">
      <c r="A84" s="4" t="s">
        <v>640</v>
      </c>
      <c r="B84" s="4" t="s">
        <v>170</v>
      </c>
      <c r="C84" s="4" t="s">
        <v>1364</v>
      </c>
      <c r="D84" s="4">
        <v>2511</v>
      </c>
      <c r="E84" s="4" t="s">
        <v>5</v>
      </c>
      <c r="F84" s="4" t="s">
        <v>893</v>
      </c>
      <c r="G84" s="113">
        <v>0.1</v>
      </c>
      <c r="H84" t="s">
        <v>1781</v>
      </c>
      <c r="I84" s="4">
        <v>0.51800000000000002</v>
      </c>
      <c r="L84" s="4" t="s">
        <v>1548</v>
      </c>
      <c r="M84" s="4" t="s">
        <v>109</v>
      </c>
      <c r="N84" s="4" t="s">
        <v>6</v>
      </c>
      <c r="O84" s="4"/>
      <c r="P84" s="4" t="s">
        <v>1693</v>
      </c>
      <c r="Q84" t="s">
        <v>109</v>
      </c>
      <c r="R84" s="4"/>
      <c r="S84" s="4"/>
      <c r="U84" s="4"/>
      <c r="Y84" s="4"/>
      <c r="Z84" s="4"/>
      <c r="AA84" s="4"/>
      <c r="AB84" s="4"/>
      <c r="AC84" s="4"/>
      <c r="AD84" s="4"/>
      <c r="AE84" s="4"/>
      <c r="AF84" s="4"/>
      <c r="AG84" s="4"/>
      <c r="AH84" s="4"/>
      <c r="AI84" s="4"/>
      <c r="AJ84" s="4"/>
      <c r="AK84" s="4"/>
      <c r="AL84" s="4"/>
      <c r="AP84" s="4"/>
      <c r="AX84" s="4"/>
      <c r="AY84" s="4"/>
      <c r="AZ84" s="4"/>
      <c r="BA84" s="4"/>
      <c r="BB84" s="4"/>
      <c r="BC84" s="4"/>
      <c r="BD84" s="4"/>
      <c r="BE84" s="4"/>
      <c r="BF84" s="4"/>
      <c r="BG84" s="4"/>
      <c r="BI84" s="4"/>
      <c r="BP84" s="4"/>
      <c r="BS84" s="4"/>
      <c r="BW84" s="4"/>
      <c r="BX84" s="4"/>
    </row>
    <row r="85" spans="1:76" ht="12.75" x14ac:dyDescent="0.2">
      <c r="A85" s="4" t="s">
        <v>630</v>
      </c>
      <c r="B85" s="4" t="s">
        <v>253</v>
      </c>
      <c r="C85" s="4" t="s">
        <v>111</v>
      </c>
      <c r="D85" s="4">
        <v>2511</v>
      </c>
      <c r="E85" s="4" t="s">
        <v>5</v>
      </c>
      <c r="F85" s="4" t="s">
        <v>893</v>
      </c>
      <c r="G85" s="113">
        <v>0.5</v>
      </c>
      <c r="H85" t="s">
        <v>1781</v>
      </c>
      <c r="I85" s="4">
        <v>0.52</v>
      </c>
      <c r="L85" s="4" t="s">
        <v>1537</v>
      </c>
      <c r="M85" s="4" t="s">
        <v>109</v>
      </c>
      <c r="N85" s="4" t="s">
        <v>6</v>
      </c>
      <c r="O85" s="4"/>
      <c r="P85" s="4" t="s">
        <v>1693</v>
      </c>
      <c r="Q85" t="s">
        <v>109</v>
      </c>
      <c r="R85" s="4"/>
      <c r="S85" s="4"/>
      <c r="U85" s="4"/>
      <c r="Y85" s="4"/>
      <c r="Z85" s="4"/>
      <c r="AA85" s="4"/>
      <c r="AB85" s="4"/>
      <c r="AC85" s="4"/>
      <c r="AD85" s="4"/>
      <c r="AE85" s="4"/>
      <c r="AF85" s="4"/>
      <c r="AG85" s="4"/>
      <c r="AH85" s="4"/>
      <c r="AI85" s="4"/>
      <c r="AJ85" s="4"/>
      <c r="AK85" s="4"/>
      <c r="AL85" s="4"/>
      <c r="AP85" s="4"/>
      <c r="AX85" s="4"/>
      <c r="AY85" s="4"/>
      <c r="AZ85" s="4"/>
      <c r="BA85" s="4"/>
      <c r="BB85" s="4"/>
      <c r="BC85" s="4"/>
      <c r="BD85" s="4"/>
      <c r="BE85" s="4"/>
      <c r="BF85" s="4"/>
      <c r="BG85" s="4"/>
      <c r="BI85" s="4"/>
      <c r="BP85" s="4"/>
      <c r="BS85" s="4"/>
      <c r="BW85" s="4"/>
      <c r="BX85" s="4"/>
    </row>
    <row r="86" spans="1:76" ht="12.75" x14ac:dyDescent="0.2">
      <c r="A86" s="4" t="s">
        <v>630</v>
      </c>
      <c r="B86" s="4" t="s">
        <v>253</v>
      </c>
      <c r="C86" s="4" t="s">
        <v>219</v>
      </c>
      <c r="D86" s="4">
        <v>2511</v>
      </c>
      <c r="E86" s="4" t="s">
        <v>5</v>
      </c>
      <c r="F86" s="4" t="s">
        <v>893</v>
      </c>
      <c r="G86" s="113">
        <v>0.5</v>
      </c>
      <c r="H86" t="s">
        <v>1781</v>
      </c>
      <c r="I86" s="4">
        <v>0.52</v>
      </c>
      <c r="L86" s="4" t="s">
        <v>1537</v>
      </c>
      <c r="M86" s="4" t="s">
        <v>109</v>
      </c>
      <c r="N86" s="4" t="s">
        <v>6</v>
      </c>
      <c r="O86" s="4"/>
      <c r="P86" s="4" t="s">
        <v>1693</v>
      </c>
      <c r="Q86" t="s">
        <v>109</v>
      </c>
      <c r="R86" s="4"/>
      <c r="S86" s="4"/>
      <c r="U86" s="4"/>
      <c r="Y86" s="4"/>
      <c r="Z86" s="4"/>
      <c r="AA86" s="4"/>
      <c r="AB86" s="4"/>
      <c r="AC86" s="4"/>
      <c r="AD86" s="4"/>
      <c r="AE86" s="4"/>
      <c r="AF86" s="4"/>
      <c r="AG86" s="4"/>
      <c r="AH86" s="4"/>
      <c r="AI86" s="4"/>
      <c r="AJ86" s="4"/>
      <c r="AK86" s="4"/>
      <c r="AL86" s="4"/>
      <c r="AP86" s="4"/>
      <c r="AX86" s="4"/>
      <c r="AY86" s="4"/>
      <c r="AZ86" s="4"/>
      <c r="BA86" s="4"/>
      <c r="BB86" s="4"/>
      <c r="BC86" s="4"/>
      <c r="BD86" s="4"/>
      <c r="BE86" s="4"/>
      <c r="BF86" s="4"/>
      <c r="BG86" s="4"/>
      <c r="BI86" s="4"/>
      <c r="BP86" s="4"/>
      <c r="BS86" s="4"/>
      <c r="BW86" s="4"/>
      <c r="BX86" s="4"/>
    </row>
    <row r="87" spans="1:76" ht="12.75" x14ac:dyDescent="0.2">
      <c r="A87" s="4" t="s">
        <v>1321</v>
      </c>
      <c r="B87" s="4" t="s">
        <v>1296</v>
      </c>
      <c r="C87" s="4" t="s">
        <v>778</v>
      </c>
      <c r="D87" s="4">
        <v>2511</v>
      </c>
      <c r="E87" s="4" t="s">
        <v>5</v>
      </c>
      <c r="F87" s="4" t="s">
        <v>893</v>
      </c>
      <c r="G87" s="113">
        <v>3.7037037037037035E-2</v>
      </c>
      <c r="H87" t="s">
        <v>1781</v>
      </c>
      <c r="I87" s="4">
        <v>0.52800000000000002</v>
      </c>
      <c r="L87" s="4" t="s">
        <v>1552</v>
      </c>
      <c r="M87" s="4" t="s">
        <v>109</v>
      </c>
      <c r="N87" s="4" t="s">
        <v>6</v>
      </c>
      <c r="O87" s="4"/>
      <c r="P87" s="4" t="s">
        <v>1693</v>
      </c>
      <c r="Q87" t="s">
        <v>109</v>
      </c>
      <c r="R87" s="4"/>
      <c r="S87" s="4"/>
      <c r="U87" s="4"/>
      <c r="Y87" s="4"/>
      <c r="Z87" s="4"/>
      <c r="AA87" s="4"/>
      <c r="AB87" s="4"/>
      <c r="AC87" s="4"/>
      <c r="AD87" s="4"/>
      <c r="AE87" s="4"/>
      <c r="AF87" s="4"/>
      <c r="AG87" s="4"/>
      <c r="AH87" s="4"/>
      <c r="AI87" s="4"/>
      <c r="AJ87" s="4"/>
      <c r="AK87" s="4"/>
      <c r="AL87" s="4"/>
      <c r="AP87" s="4"/>
      <c r="AX87" s="4"/>
      <c r="AY87" s="4"/>
      <c r="AZ87" s="4"/>
      <c r="BA87" s="4"/>
      <c r="BB87" s="4"/>
      <c r="BC87" s="4"/>
      <c r="BD87" s="4"/>
      <c r="BE87" s="4"/>
      <c r="BF87" s="4"/>
      <c r="BG87" s="4"/>
      <c r="BI87" s="4"/>
      <c r="BP87" s="4"/>
      <c r="BS87" s="4"/>
      <c r="BW87" s="4"/>
      <c r="BX87" s="4"/>
    </row>
    <row r="88" spans="1:76" ht="12.75" x14ac:dyDescent="0.2">
      <c r="A88" s="4" t="s">
        <v>666</v>
      </c>
      <c r="B88" s="4" t="s">
        <v>186</v>
      </c>
      <c r="C88" s="4" t="s">
        <v>111</v>
      </c>
      <c r="D88" s="4">
        <v>2511</v>
      </c>
      <c r="E88" s="4" t="s">
        <v>5</v>
      </c>
      <c r="F88" s="4" t="s">
        <v>893</v>
      </c>
      <c r="G88" s="113">
        <v>1</v>
      </c>
      <c r="H88" t="s">
        <v>1781</v>
      </c>
      <c r="I88" s="4">
        <v>0.53654999999999997</v>
      </c>
      <c r="L88" s="4" t="s">
        <v>1551</v>
      </c>
      <c r="M88" s="4" t="s">
        <v>109</v>
      </c>
      <c r="N88" s="4" t="s">
        <v>6</v>
      </c>
      <c r="O88" s="4"/>
      <c r="P88" s="4" t="s">
        <v>1693</v>
      </c>
      <c r="Q88" t="s">
        <v>109</v>
      </c>
      <c r="R88" s="4"/>
      <c r="S88" s="4"/>
      <c r="U88" s="4"/>
      <c r="Y88" s="4"/>
      <c r="Z88" s="4"/>
      <c r="AA88" s="4"/>
      <c r="AB88" s="4"/>
      <c r="AC88" s="4"/>
      <c r="AD88" s="4"/>
      <c r="AE88" s="4"/>
      <c r="AF88" s="4"/>
      <c r="AG88" s="4"/>
      <c r="AH88" s="4"/>
      <c r="AI88" s="4"/>
      <c r="AJ88" s="4"/>
      <c r="AK88" s="4"/>
      <c r="AL88" s="4"/>
      <c r="AP88" s="4"/>
      <c r="AX88" s="4"/>
      <c r="AY88" s="4"/>
      <c r="AZ88" s="4"/>
      <c r="BA88" s="4"/>
      <c r="BB88" s="4"/>
      <c r="BC88" s="4"/>
      <c r="BD88" s="4"/>
      <c r="BE88" s="4"/>
      <c r="BF88" s="4"/>
      <c r="BG88" s="4"/>
      <c r="BI88" s="4"/>
      <c r="BP88" s="4"/>
      <c r="BS88" s="4"/>
      <c r="BW88" s="4"/>
      <c r="BX88" s="4"/>
    </row>
    <row r="89" spans="1:76" ht="12.75" x14ac:dyDescent="0.2">
      <c r="A89" s="4" t="s">
        <v>1321</v>
      </c>
      <c r="B89" s="4" t="s">
        <v>1296</v>
      </c>
      <c r="C89" s="4" t="s">
        <v>778</v>
      </c>
      <c r="D89" s="4">
        <v>2511</v>
      </c>
      <c r="E89" s="4" t="s">
        <v>5</v>
      </c>
      <c r="F89" s="4" t="s">
        <v>893</v>
      </c>
      <c r="G89" s="113">
        <v>3.7037037037037035E-2</v>
      </c>
      <c r="H89" t="s">
        <v>1781</v>
      </c>
      <c r="I89" s="4">
        <v>0.55100000000000005</v>
      </c>
      <c r="L89" s="4" t="s">
        <v>1552</v>
      </c>
      <c r="M89" s="4" t="s">
        <v>109</v>
      </c>
      <c r="N89" s="4" t="s">
        <v>6</v>
      </c>
      <c r="O89" s="4"/>
      <c r="P89" s="4" t="s">
        <v>1693</v>
      </c>
      <c r="Q89" t="s">
        <v>109</v>
      </c>
      <c r="R89" s="4"/>
      <c r="S89" s="4"/>
      <c r="U89" s="4"/>
      <c r="Y89" s="4"/>
      <c r="Z89" s="4"/>
      <c r="AA89" s="4"/>
      <c r="AB89" s="4"/>
      <c r="AC89" s="4"/>
      <c r="AD89" s="4"/>
      <c r="AE89" s="4"/>
      <c r="AF89" s="4"/>
      <c r="AG89" s="4"/>
      <c r="AH89" s="4"/>
      <c r="AI89" s="4"/>
      <c r="AJ89" s="4"/>
      <c r="AK89" s="4"/>
      <c r="AL89" s="4"/>
      <c r="AP89" s="4"/>
      <c r="AX89" s="4"/>
      <c r="AY89" s="4"/>
      <c r="AZ89" s="4"/>
      <c r="BA89" s="4"/>
      <c r="BB89" s="4"/>
      <c r="BC89" s="4"/>
      <c r="BD89" s="4"/>
      <c r="BE89" s="4"/>
      <c r="BF89" s="4"/>
      <c r="BG89" s="4"/>
      <c r="BI89" s="4"/>
      <c r="BP89" s="4"/>
      <c r="BS89" s="4"/>
      <c r="BW89" s="4"/>
      <c r="BX89" s="4"/>
    </row>
    <row r="90" spans="1:76" ht="12.75" x14ac:dyDescent="0.2">
      <c r="A90" s="4" t="s">
        <v>1321</v>
      </c>
      <c r="B90" s="4" t="s">
        <v>1296</v>
      </c>
      <c r="C90" s="4" t="s">
        <v>778</v>
      </c>
      <c r="D90" s="4">
        <v>2511</v>
      </c>
      <c r="E90" s="4" t="s">
        <v>5</v>
      </c>
      <c r="F90" s="4" t="s">
        <v>893</v>
      </c>
      <c r="G90" s="113">
        <v>3.7037037037037035E-2</v>
      </c>
      <c r="H90" t="s">
        <v>1781</v>
      </c>
      <c r="I90" s="4">
        <v>0.55200000000000005</v>
      </c>
      <c r="L90" s="4" t="s">
        <v>1552</v>
      </c>
      <c r="M90" s="4" t="s">
        <v>109</v>
      </c>
      <c r="N90" s="4" t="s">
        <v>6</v>
      </c>
      <c r="O90" s="4"/>
      <c r="P90" s="4" t="s">
        <v>1693</v>
      </c>
      <c r="Q90" t="s">
        <v>109</v>
      </c>
      <c r="R90" s="4"/>
      <c r="S90" s="4"/>
      <c r="U90" s="4"/>
      <c r="Y90" s="4"/>
      <c r="Z90" s="4"/>
      <c r="AA90" s="4"/>
      <c r="AB90" s="4"/>
      <c r="AC90" s="4"/>
      <c r="AD90" s="4"/>
      <c r="AE90" s="4"/>
      <c r="AF90" s="4"/>
      <c r="AG90" s="4"/>
      <c r="AH90" s="4"/>
      <c r="AI90" s="4"/>
      <c r="AJ90" s="4"/>
      <c r="AK90" s="4"/>
      <c r="AL90" s="4"/>
      <c r="AP90" s="4"/>
      <c r="AX90" s="4"/>
      <c r="AY90" s="4"/>
      <c r="AZ90" s="4"/>
      <c r="BA90" s="4"/>
      <c r="BB90" s="4"/>
      <c r="BC90" s="4"/>
      <c r="BD90" s="4"/>
      <c r="BE90" s="4"/>
      <c r="BF90" s="4"/>
      <c r="BG90" s="4"/>
      <c r="BI90" s="4"/>
      <c r="BP90" s="4"/>
      <c r="BS90" s="4"/>
      <c r="BW90" s="4"/>
      <c r="BX90" s="4"/>
    </row>
    <row r="91" spans="1:76" ht="12.75" x14ac:dyDescent="0.2">
      <c r="A91" s="4" t="s">
        <v>640</v>
      </c>
      <c r="B91" s="4" t="s">
        <v>170</v>
      </c>
      <c r="C91" s="4" t="s">
        <v>1364</v>
      </c>
      <c r="D91" s="4">
        <v>2511</v>
      </c>
      <c r="E91" s="4" t="s">
        <v>5</v>
      </c>
      <c r="F91" s="4" t="s">
        <v>893</v>
      </c>
      <c r="G91" s="113">
        <v>0.1</v>
      </c>
      <c r="H91" t="s">
        <v>1781</v>
      </c>
      <c r="I91" s="4">
        <v>0.55200000000000005</v>
      </c>
      <c r="L91" s="4" t="s">
        <v>1548</v>
      </c>
      <c r="M91" s="4" t="s">
        <v>109</v>
      </c>
      <c r="N91" s="4" t="s">
        <v>6</v>
      </c>
      <c r="O91" s="4"/>
      <c r="P91" s="4" t="s">
        <v>1693</v>
      </c>
      <c r="Q91" t="s">
        <v>109</v>
      </c>
      <c r="R91" s="4"/>
      <c r="S91" s="4"/>
      <c r="U91" s="4"/>
      <c r="Y91" s="4"/>
      <c r="Z91" s="4"/>
      <c r="AA91" s="4"/>
      <c r="AB91" s="4"/>
      <c r="AC91" s="4"/>
      <c r="AD91" s="4"/>
      <c r="AE91" s="4"/>
      <c r="AF91" s="4"/>
      <c r="AG91" s="4"/>
      <c r="AH91" s="4"/>
      <c r="AI91" s="4"/>
      <c r="AJ91" s="4"/>
      <c r="AK91" s="4"/>
      <c r="AL91" s="4"/>
      <c r="AP91" s="4"/>
      <c r="AX91" s="4"/>
      <c r="AY91" s="4"/>
      <c r="AZ91" s="4"/>
      <c r="BA91" s="4"/>
      <c r="BB91" s="4"/>
      <c r="BC91" s="4"/>
      <c r="BD91" s="4"/>
      <c r="BE91" s="4"/>
      <c r="BF91" s="4"/>
      <c r="BG91" s="4"/>
      <c r="BI91" s="4"/>
      <c r="BP91" s="4"/>
      <c r="BS91" s="4"/>
      <c r="BW91" s="4"/>
      <c r="BX91" s="4"/>
    </row>
    <row r="92" spans="1:76" ht="12.75" x14ac:dyDescent="0.2">
      <c r="A92" s="4" t="s">
        <v>630</v>
      </c>
      <c r="B92" s="4" t="s">
        <v>1297</v>
      </c>
      <c r="C92" s="4" t="s">
        <v>111</v>
      </c>
      <c r="D92" s="4">
        <v>2511</v>
      </c>
      <c r="E92" s="4" t="s">
        <v>5</v>
      </c>
      <c r="F92" s="4" t="s">
        <v>893</v>
      </c>
      <c r="G92" s="113">
        <v>0.125</v>
      </c>
      <c r="H92" t="s">
        <v>1781</v>
      </c>
      <c r="I92" s="4">
        <v>0.56000000000000005</v>
      </c>
      <c r="L92" s="4" t="s">
        <v>1554</v>
      </c>
      <c r="M92" s="4" t="s">
        <v>109</v>
      </c>
      <c r="N92" s="4" t="s">
        <v>6</v>
      </c>
      <c r="O92" s="4"/>
      <c r="P92" s="4" t="s">
        <v>1693</v>
      </c>
      <c r="Q92" t="s">
        <v>109</v>
      </c>
      <c r="R92" s="4"/>
      <c r="S92" s="4"/>
      <c r="U92" s="4"/>
      <c r="Y92" s="4"/>
      <c r="Z92" s="4"/>
      <c r="AA92" s="4"/>
      <c r="AB92" s="4"/>
      <c r="AC92" s="4"/>
      <c r="AD92" s="4"/>
      <c r="AE92" s="4"/>
      <c r="AF92" s="4"/>
      <c r="AG92" s="4"/>
      <c r="AH92" s="4"/>
      <c r="AI92" s="4"/>
      <c r="AJ92" s="4"/>
      <c r="AK92" s="4"/>
      <c r="AL92" s="4"/>
      <c r="AP92" s="4"/>
      <c r="AX92" s="4"/>
      <c r="AY92" s="4"/>
      <c r="AZ92" s="4"/>
      <c r="BA92" s="4"/>
      <c r="BB92" s="4"/>
      <c r="BC92" s="4"/>
      <c r="BD92" s="4"/>
      <c r="BE92" s="4"/>
      <c r="BF92" s="4"/>
      <c r="BG92" s="4"/>
      <c r="BI92" s="4"/>
      <c r="BP92" s="4"/>
      <c r="BS92" s="4"/>
      <c r="BW92" s="4"/>
      <c r="BX92" s="4"/>
    </row>
    <row r="93" spans="1:76" ht="12.75" x14ac:dyDescent="0.2">
      <c r="A93" s="4" t="s">
        <v>1321</v>
      </c>
      <c r="B93" s="4" t="s">
        <v>1296</v>
      </c>
      <c r="C93" s="4" t="s">
        <v>778</v>
      </c>
      <c r="D93" s="4">
        <v>2511</v>
      </c>
      <c r="E93" s="4" t="s">
        <v>5</v>
      </c>
      <c r="F93" s="4" t="s">
        <v>893</v>
      </c>
      <c r="G93" s="113">
        <v>3.7037037037037035E-2</v>
      </c>
      <c r="H93" t="s">
        <v>1781</v>
      </c>
      <c r="I93" s="4">
        <v>0.56200000000000006</v>
      </c>
      <c r="L93" s="4" t="s">
        <v>1552</v>
      </c>
      <c r="M93" s="4" t="s">
        <v>109</v>
      </c>
      <c r="N93" s="4" t="s">
        <v>6</v>
      </c>
      <c r="O93" s="4"/>
      <c r="P93" s="4" t="s">
        <v>1693</v>
      </c>
      <c r="Q93" t="s">
        <v>109</v>
      </c>
      <c r="R93" s="4"/>
      <c r="S93" s="4"/>
      <c r="U93" s="4"/>
      <c r="Y93" s="4"/>
      <c r="Z93" s="4"/>
      <c r="AA93" s="4"/>
      <c r="AB93" s="4"/>
      <c r="AC93" s="4"/>
      <c r="AD93" s="4"/>
      <c r="AE93" s="4"/>
      <c r="AF93" s="4"/>
      <c r="AG93" s="4"/>
      <c r="AH93" s="4"/>
      <c r="AI93" s="4"/>
      <c r="AJ93" s="4"/>
      <c r="AK93" s="4"/>
      <c r="AL93" s="4"/>
      <c r="AP93" s="4"/>
      <c r="AX93" s="4"/>
      <c r="AY93" s="4"/>
      <c r="AZ93" s="4"/>
      <c r="BA93" s="4"/>
      <c r="BB93" s="4"/>
      <c r="BC93" s="4"/>
      <c r="BD93" s="4"/>
      <c r="BE93" s="4"/>
      <c r="BF93" s="4"/>
      <c r="BG93" s="4"/>
      <c r="BI93" s="4"/>
      <c r="BP93" s="4"/>
      <c r="BS93" s="4"/>
      <c r="BW93" s="4"/>
      <c r="BX93" s="4"/>
    </row>
    <row r="94" spans="1:76" ht="12.75" x14ac:dyDescent="0.2">
      <c r="A94" s="4" t="s">
        <v>1321</v>
      </c>
      <c r="B94" s="4" t="s">
        <v>1296</v>
      </c>
      <c r="C94" s="4" t="s">
        <v>778</v>
      </c>
      <c r="D94" s="4">
        <v>2511</v>
      </c>
      <c r="E94" s="4" t="s">
        <v>5</v>
      </c>
      <c r="F94" s="4" t="s">
        <v>893</v>
      </c>
      <c r="G94" s="113">
        <v>3.7037037037037035E-2</v>
      </c>
      <c r="H94" t="s">
        <v>1781</v>
      </c>
      <c r="I94" s="4">
        <v>0.56700000000000006</v>
      </c>
      <c r="L94" s="4" t="s">
        <v>1552</v>
      </c>
      <c r="M94" s="4" t="s">
        <v>109</v>
      </c>
      <c r="N94" s="4" t="s">
        <v>6</v>
      </c>
      <c r="O94" s="4"/>
      <c r="P94" s="4" t="s">
        <v>1693</v>
      </c>
      <c r="Q94" t="s">
        <v>109</v>
      </c>
      <c r="R94" s="4"/>
      <c r="S94" s="4"/>
      <c r="U94" s="4"/>
      <c r="Y94" s="4"/>
      <c r="Z94" s="4"/>
      <c r="AA94" s="4"/>
      <c r="AB94" s="4"/>
      <c r="AC94" s="4"/>
      <c r="AD94" s="4"/>
      <c r="AE94" s="4"/>
      <c r="AF94" s="4"/>
      <c r="AG94" s="4"/>
      <c r="AH94" s="4"/>
      <c r="AI94" s="4"/>
      <c r="AJ94" s="4"/>
      <c r="AK94" s="4"/>
      <c r="AL94" s="4"/>
      <c r="AP94" s="4"/>
      <c r="AX94" s="4"/>
      <c r="AY94" s="4"/>
      <c r="AZ94" s="4"/>
      <c r="BA94" s="4"/>
      <c r="BB94" s="4"/>
      <c r="BC94" s="4"/>
      <c r="BD94" s="4"/>
      <c r="BE94" s="4"/>
      <c r="BF94" s="4"/>
      <c r="BG94" s="4"/>
      <c r="BI94" s="4"/>
      <c r="BP94" s="4"/>
      <c r="BS94" s="4"/>
      <c r="BW94" s="4"/>
      <c r="BX94" s="4"/>
    </row>
    <row r="95" spans="1:76" ht="12.75" x14ac:dyDescent="0.2">
      <c r="A95" s="4" t="s">
        <v>630</v>
      </c>
      <c r="B95" s="4" t="s">
        <v>200</v>
      </c>
      <c r="C95" s="4" t="s">
        <v>205</v>
      </c>
      <c r="D95" s="4">
        <v>2511</v>
      </c>
      <c r="E95" s="4" t="s">
        <v>5</v>
      </c>
      <c r="F95" s="4" t="s">
        <v>893</v>
      </c>
      <c r="G95" s="113">
        <v>0.33333333333333331</v>
      </c>
      <c r="H95" t="s">
        <v>1781</v>
      </c>
      <c r="I95" s="4">
        <v>0.56999999999999995</v>
      </c>
      <c r="L95" s="4" t="s">
        <v>1546</v>
      </c>
      <c r="M95" s="4" t="s">
        <v>109</v>
      </c>
      <c r="N95" s="4" t="s">
        <v>6</v>
      </c>
      <c r="O95" s="4"/>
      <c r="P95" s="4" t="s">
        <v>1693</v>
      </c>
      <c r="Q95" t="s">
        <v>109</v>
      </c>
      <c r="R95" s="4"/>
      <c r="S95" s="4"/>
      <c r="U95" s="4"/>
      <c r="Y95" s="4"/>
      <c r="Z95" s="4"/>
      <c r="AA95" s="4"/>
      <c r="AB95" s="4"/>
      <c r="AC95" s="4"/>
      <c r="AD95" s="4"/>
      <c r="AE95" s="4"/>
      <c r="AF95" s="4"/>
      <c r="AG95" s="4"/>
      <c r="AH95" s="4"/>
      <c r="AI95" s="4"/>
      <c r="AJ95" s="4"/>
      <c r="AK95" s="4"/>
      <c r="AL95" s="4"/>
      <c r="AP95" s="4"/>
      <c r="AX95" s="4"/>
      <c r="AY95" s="4"/>
      <c r="AZ95" s="4"/>
      <c r="BA95" s="4"/>
      <c r="BB95" s="4"/>
      <c r="BC95" s="4"/>
      <c r="BD95" s="4"/>
      <c r="BE95" s="4"/>
      <c r="BF95" s="4"/>
      <c r="BG95" s="4"/>
      <c r="BI95" s="4"/>
      <c r="BP95" s="4"/>
      <c r="BS95" s="4"/>
      <c r="BW95" s="4"/>
      <c r="BX95" s="4"/>
    </row>
    <row r="96" spans="1:76" ht="12.75" x14ac:dyDescent="0.2">
      <c r="A96" s="4" t="s">
        <v>630</v>
      </c>
      <c r="B96" s="4" t="s">
        <v>200</v>
      </c>
      <c r="C96" s="4" t="s">
        <v>201</v>
      </c>
      <c r="D96" s="4">
        <v>2511</v>
      </c>
      <c r="E96" s="4" t="s">
        <v>5</v>
      </c>
      <c r="F96" s="4" t="s">
        <v>893</v>
      </c>
      <c r="G96" s="113">
        <v>0.33333333333333331</v>
      </c>
      <c r="H96" t="s">
        <v>1781</v>
      </c>
      <c r="I96" s="4">
        <v>0.56999999999999995</v>
      </c>
      <c r="L96" s="4" t="s">
        <v>1546</v>
      </c>
      <c r="M96" s="4" t="s">
        <v>109</v>
      </c>
      <c r="N96" s="4" t="s">
        <v>6</v>
      </c>
      <c r="O96" s="4"/>
      <c r="P96" s="4" t="s">
        <v>1693</v>
      </c>
      <c r="Q96" t="s">
        <v>109</v>
      </c>
      <c r="R96" s="4"/>
      <c r="S96" s="4"/>
      <c r="U96" s="4"/>
      <c r="Y96" s="4"/>
      <c r="Z96" s="4"/>
      <c r="AA96" s="4"/>
      <c r="AB96" s="4"/>
      <c r="AC96" s="4"/>
      <c r="AD96" s="4"/>
      <c r="AE96" s="4"/>
      <c r="AF96" s="4"/>
      <c r="AG96" s="4"/>
      <c r="AH96" s="4"/>
      <c r="AI96" s="4"/>
      <c r="AJ96" s="4"/>
      <c r="AK96" s="4"/>
      <c r="AL96" s="4"/>
      <c r="AP96" s="4"/>
      <c r="AX96" s="4"/>
      <c r="AY96" s="4"/>
      <c r="AZ96" s="4"/>
      <c r="BA96" s="4"/>
      <c r="BB96" s="4"/>
      <c r="BC96" s="4"/>
      <c r="BD96" s="4"/>
      <c r="BE96" s="4"/>
      <c r="BF96" s="4"/>
      <c r="BG96" s="4"/>
      <c r="BI96" s="4"/>
      <c r="BP96" s="4"/>
      <c r="BS96" s="4"/>
      <c r="BW96" s="4"/>
      <c r="BX96" s="4"/>
    </row>
    <row r="97" spans="1:76" ht="12.75" x14ac:dyDescent="0.2">
      <c r="A97" s="4" t="s">
        <v>1321</v>
      </c>
      <c r="B97" s="4" t="s">
        <v>1296</v>
      </c>
      <c r="C97" s="4" t="s">
        <v>778</v>
      </c>
      <c r="D97" s="4">
        <v>2511</v>
      </c>
      <c r="E97" s="4" t="s">
        <v>5</v>
      </c>
      <c r="F97" s="4" t="s">
        <v>893</v>
      </c>
      <c r="G97" s="113">
        <v>3.7037037037037035E-2</v>
      </c>
      <c r="H97" t="s">
        <v>1781</v>
      </c>
      <c r="I97" s="4">
        <v>0.57200000000000006</v>
      </c>
      <c r="L97" s="4" t="s">
        <v>1552</v>
      </c>
      <c r="M97" s="4" t="s">
        <v>109</v>
      </c>
      <c r="N97" s="4" t="s">
        <v>6</v>
      </c>
      <c r="O97" s="4"/>
      <c r="P97" s="4" t="s">
        <v>1693</v>
      </c>
      <c r="Q97" t="s">
        <v>109</v>
      </c>
      <c r="R97" s="4"/>
      <c r="S97" s="4"/>
      <c r="U97" s="4"/>
      <c r="Y97" s="4"/>
      <c r="Z97" s="4"/>
      <c r="AA97" s="4"/>
      <c r="AB97" s="4"/>
      <c r="AC97" s="4"/>
      <c r="AD97" s="4"/>
      <c r="AE97" s="4"/>
      <c r="AF97" s="4"/>
      <c r="AG97" s="4"/>
      <c r="AH97" s="4"/>
      <c r="AI97" s="4"/>
      <c r="AJ97" s="4"/>
      <c r="AK97" s="4"/>
      <c r="AL97" s="4"/>
      <c r="AP97" s="4"/>
      <c r="AX97" s="4"/>
      <c r="AY97" s="4"/>
      <c r="AZ97" s="4"/>
      <c r="BA97" s="4"/>
      <c r="BB97" s="4"/>
      <c r="BC97" s="4"/>
      <c r="BD97" s="4"/>
      <c r="BE97" s="4"/>
      <c r="BF97" s="4"/>
      <c r="BG97" s="4"/>
      <c r="BI97" s="4"/>
      <c r="BP97" s="4"/>
      <c r="BS97" s="4"/>
      <c r="BW97" s="4"/>
      <c r="BX97" s="4"/>
    </row>
    <row r="98" spans="1:76" ht="12.75" x14ac:dyDescent="0.2">
      <c r="A98" s="4" t="s">
        <v>1321</v>
      </c>
      <c r="B98" s="4" t="s">
        <v>1296</v>
      </c>
      <c r="C98" s="4" t="s">
        <v>778</v>
      </c>
      <c r="D98" s="4">
        <v>2511</v>
      </c>
      <c r="E98" s="4" t="s">
        <v>5</v>
      </c>
      <c r="F98" s="4" t="s">
        <v>893</v>
      </c>
      <c r="G98" s="113">
        <v>3.7037037037037035E-2</v>
      </c>
      <c r="H98" t="s">
        <v>1781</v>
      </c>
      <c r="I98" s="4">
        <v>0.58199999999999996</v>
      </c>
      <c r="L98" s="4" t="s">
        <v>1552</v>
      </c>
      <c r="M98" s="4" t="s">
        <v>109</v>
      </c>
      <c r="N98" s="4" t="s">
        <v>6</v>
      </c>
      <c r="O98" s="4"/>
      <c r="P98" s="4" t="s">
        <v>1693</v>
      </c>
      <c r="Q98" t="s">
        <v>109</v>
      </c>
      <c r="R98" s="4"/>
      <c r="S98" s="4"/>
      <c r="U98" s="4"/>
      <c r="Y98" s="4"/>
      <c r="Z98" s="4"/>
      <c r="AA98" s="4"/>
      <c r="AB98" s="4"/>
      <c r="AC98" s="4"/>
      <c r="AD98" s="4"/>
      <c r="AE98" s="4"/>
      <c r="AF98" s="4"/>
      <c r="AG98" s="4"/>
      <c r="AH98" s="4"/>
      <c r="AI98" s="4"/>
      <c r="AJ98" s="4"/>
      <c r="AK98" s="4"/>
      <c r="AL98" s="4"/>
      <c r="AP98" s="4"/>
      <c r="AX98" s="4"/>
      <c r="AY98" s="4"/>
      <c r="AZ98" s="4"/>
      <c r="BA98" s="4"/>
      <c r="BB98" s="4"/>
      <c r="BC98" s="4"/>
      <c r="BD98" s="4"/>
      <c r="BE98" s="4"/>
      <c r="BF98" s="4"/>
      <c r="BG98" s="4"/>
      <c r="BI98" s="4"/>
      <c r="BP98" s="4"/>
      <c r="BS98" s="4"/>
      <c r="BW98" s="4"/>
      <c r="BX98" s="4"/>
    </row>
    <row r="99" spans="1:76" ht="12.75" x14ac:dyDescent="0.2">
      <c r="A99" s="4" t="s">
        <v>1321</v>
      </c>
      <c r="B99" s="4" t="s">
        <v>1296</v>
      </c>
      <c r="C99" s="4" t="s">
        <v>778</v>
      </c>
      <c r="D99" s="4">
        <v>2511</v>
      </c>
      <c r="E99" s="4" t="s">
        <v>5</v>
      </c>
      <c r="F99" s="4" t="s">
        <v>893</v>
      </c>
      <c r="G99" s="113">
        <v>3.7037037037037035E-2</v>
      </c>
      <c r="H99" t="s">
        <v>1781</v>
      </c>
      <c r="I99" s="4">
        <v>0.58899999999999997</v>
      </c>
      <c r="L99" s="4" t="s">
        <v>1552</v>
      </c>
      <c r="M99" s="4" t="s">
        <v>109</v>
      </c>
      <c r="N99" s="4" t="s">
        <v>6</v>
      </c>
      <c r="O99" s="4"/>
      <c r="P99" s="4" t="s">
        <v>1693</v>
      </c>
      <c r="Q99" t="s">
        <v>109</v>
      </c>
      <c r="R99" s="4"/>
      <c r="S99" s="4"/>
      <c r="U99" s="4"/>
      <c r="Y99" s="4"/>
      <c r="Z99" s="4"/>
      <c r="AA99" s="4"/>
      <c r="AB99" s="4"/>
      <c r="AC99" s="4"/>
      <c r="AD99" s="4"/>
      <c r="AE99" s="4"/>
      <c r="AF99" s="4"/>
      <c r="AG99" s="4"/>
      <c r="AH99" s="4"/>
      <c r="AI99" s="4"/>
      <c r="AJ99" s="4"/>
      <c r="AK99" s="4"/>
      <c r="AL99" s="4"/>
      <c r="AP99" s="4"/>
      <c r="AX99" s="4"/>
      <c r="AY99" s="4"/>
      <c r="AZ99" s="4"/>
      <c r="BA99" s="4"/>
      <c r="BB99" s="4"/>
      <c r="BC99" s="4"/>
      <c r="BD99" s="4"/>
      <c r="BE99" s="4"/>
      <c r="BF99" s="4"/>
      <c r="BG99" s="4"/>
      <c r="BI99" s="4"/>
      <c r="BP99" s="4"/>
      <c r="BS99" s="4"/>
      <c r="BW99" s="4"/>
      <c r="BX99" s="4"/>
    </row>
    <row r="100" spans="1:76" ht="12.75" x14ac:dyDescent="0.2">
      <c r="A100" s="4" t="s">
        <v>630</v>
      </c>
      <c r="B100" s="4" t="s">
        <v>200</v>
      </c>
      <c r="C100" s="4" t="s">
        <v>111</v>
      </c>
      <c r="D100" s="4">
        <v>2511</v>
      </c>
      <c r="E100" s="4" t="s">
        <v>5</v>
      </c>
      <c r="F100" s="4" t="s">
        <v>893</v>
      </c>
      <c r="G100" s="113">
        <v>0.33333333333333331</v>
      </c>
      <c r="H100" t="s">
        <v>1781</v>
      </c>
      <c r="I100" s="4">
        <v>0.59</v>
      </c>
      <c r="L100" s="4" t="s">
        <v>1546</v>
      </c>
      <c r="M100" s="4" t="s">
        <v>109</v>
      </c>
      <c r="N100" s="4" t="s">
        <v>6</v>
      </c>
      <c r="O100" s="4"/>
      <c r="P100" s="4" t="s">
        <v>1693</v>
      </c>
      <c r="Q100" t="s">
        <v>109</v>
      </c>
      <c r="R100" s="4"/>
      <c r="S100" s="4"/>
      <c r="U100" s="4"/>
      <c r="Y100" s="4"/>
      <c r="Z100" s="4"/>
      <c r="AA100" s="4"/>
      <c r="AB100" s="4"/>
      <c r="AC100" s="4"/>
      <c r="AD100" s="4"/>
      <c r="AE100" s="4"/>
      <c r="AF100" s="4"/>
      <c r="AG100" s="4"/>
      <c r="AH100" s="4"/>
      <c r="AI100" s="4"/>
      <c r="AJ100" s="4"/>
      <c r="AK100" s="4"/>
      <c r="AL100" s="4"/>
      <c r="AP100" s="4"/>
      <c r="AX100" s="4"/>
      <c r="AY100" s="4"/>
      <c r="AZ100" s="4"/>
      <c r="BA100" s="4"/>
      <c r="BB100" s="4"/>
      <c r="BC100" s="4"/>
      <c r="BD100" s="4"/>
      <c r="BE100" s="4"/>
      <c r="BF100" s="4"/>
      <c r="BG100" s="4"/>
      <c r="BI100" s="4"/>
      <c r="BP100" s="4"/>
      <c r="BS100" s="4"/>
      <c r="BW100" s="4"/>
      <c r="BX100" s="4"/>
    </row>
    <row r="101" spans="1:76" ht="12.75" x14ac:dyDescent="0.2">
      <c r="A101" s="4" t="s">
        <v>1321</v>
      </c>
      <c r="B101" s="4" t="s">
        <v>186</v>
      </c>
      <c r="C101" s="4" t="s">
        <v>111</v>
      </c>
      <c r="D101" s="4">
        <v>2511</v>
      </c>
      <c r="E101" s="4" t="s">
        <v>5</v>
      </c>
      <c r="F101" s="4" t="s">
        <v>893</v>
      </c>
      <c r="G101" s="113">
        <v>0.5</v>
      </c>
      <c r="H101" t="s">
        <v>1781</v>
      </c>
      <c r="I101" s="4">
        <v>0.59</v>
      </c>
      <c r="L101" s="4" t="s">
        <v>1538</v>
      </c>
      <c r="M101" s="4" t="s">
        <v>109</v>
      </c>
      <c r="N101" s="4" t="s">
        <v>6</v>
      </c>
      <c r="O101" s="4"/>
      <c r="P101" s="4" t="s">
        <v>1693</v>
      </c>
      <c r="Q101" t="s">
        <v>109</v>
      </c>
      <c r="R101" s="4"/>
      <c r="S101" s="4"/>
      <c r="U101" s="4"/>
      <c r="Y101" s="4"/>
      <c r="Z101" s="4"/>
      <c r="AA101" s="4"/>
      <c r="AB101" s="4"/>
      <c r="AC101" s="4"/>
      <c r="AD101" s="4"/>
      <c r="AE101" s="4"/>
      <c r="AF101" s="4"/>
      <c r="AG101" s="4"/>
      <c r="AH101" s="4"/>
      <c r="AI101" s="4"/>
      <c r="AJ101" s="4"/>
      <c r="AK101" s="4"/>
      <c r="AL101" s="4"/>
      <c r="AP101" s="4"/>
      <c r="AX101" s="4"/>
      <c r="AY101" s="4"/>
      <c r="AZ101" s="4"/>
      <c r="BA101" s="4"/>
      <c r="BB101" s="4"/>
      <c r="BC101" s="4"/>
      <c r="BD101" s="4"/>
      <c r="BE101" s="4"/>
      <c r="BF101" s="4"/>
      <c r="BG101" s="4"/>
      <c r="BI101" s="4"/>
      <c r="BP101" s="4"/>
      <c r="BS101" s="4"/>
      <c r="BW101" s="4"/>
      <c r="BX101" s="4"/>
    </row>
    <row r="102" spans="1:76" ht="12.75" x14ac:dyDescent="0.2">
      <c r="A102" s="4" t="s">
        <v>630</v>
      </c>
      <c r="B102" s="4" t="s">
        <v>143</v>
      </c>
      <c r="C102" s="4" t="s">
        <v>111</v>
      </c>
      <c r="D102" s="4">
        <v>2511</v>
      </c>
      <c r="E102" s="4" t="s">
        <v>5</v>
      </c>
      <c r="F102" s="4" t="s">
        <v>893</v>
      </c>
      <c r="G102" s="113">
        <v>0.5</v>
      </c>
      <c r="H102" t="s">
        <v>1781</v>
      </c>
      <c r="I102" s="4">
        <v>0.59</v>
      </c>
      <c r="L102" s="4" t="s">
        <v>1556</v>
      </c>
      <c r="M102" s="4" t="s">
        <v>109</v>
      </c>
      <c r="N102" s="4" t="s">
        <v>6</v>
      </c>
      <c r="O102" s="4"/>
      <c r="P102" s="4" t="s">
        <v>1693</v>
      </c>
      <c r="Q102" t="s">
        <v>109</v>
      </c>
      <c r="R102" s="4"/>
      <c r="S102" s="4"/>
      <c r="U102" s="4"/>
      <c r="Y102" s="4"/>
      <c r="Z102" s="4"/>
      <c r="AA102" s="4"/>
      <c r="AB102" s="4"/>
      <c r="AC102" s="4"/>
      <c r="AD102" s="4"/>
      <c r="AE102" s="4"/>
      <c r="AF102" s="4"/>
      <c r="AG102" s="4"/>
      <c r="AH102" s="4"/>
      <c r="AI102" s="4"/>
      <c r="AJ102" s="4"/>
      <c r="AK102" s="4"/>
      <c r="AL102" s="4"/>
      <c r="AP102" s="4"/>
      <c r="AX102" s="4"/>
      <c r="AY102" s="4"/>
      <c r="AZ102" s="4"/>
      <c r="BA102" s="4"/>
      <c r="BB102" s="4"/>
      <c r="BC102" s="4"/>
      <c r="BD102" s="4"/>
      <c r="BE102" s="4"/>
      <c r="BF102" s="4"/>
      <c r="BG102" s="4"/>
      <c r="BI102" s="4"/>
      <c r="BP102" s="4"/>
      <c r="BS102" s="4"/>
      <c r="BW102" s="4"/>
      <c r="BX102" s="4"/>
    </row>
    <row r="103" spans="1:76" ht="12.75" x14ac:dyDescent="0.2">
      <c r="A103" s="4" t="s">
        <v>1321</v>
      </c>
      <c r="B103" s="4" t="s">
        <v>1296</v>
      </c>
      <c r="C103" s="4" t="s">
        <v>778</v>
      </c>
      <c r="D103" s="4">
        <v>2511</v>
      </c>
      <c r="E103" s="4" t="s">
        <v>5</v>
      </c>
      <c r="F103" s="4" t="s">
        <v>893</v>
      </c>
      <c r="G103" s="113">
        <v>3.7037037037037035E-2</v>
      </c>
      <c r="H103" t="s">
        <v>1781</v>
      </c>
      <c r="I103" s="4">
        <v>0.60599999999999998</v>
      </c>
      <c r="L103" s="4" t="s">
        <v>1552</v>
      </c>
      <c r="M103" s="4" t="s">
        <v>109</v>
      </c>
      <c r="N103" s="4" t="s">
        <v>6</v>
      </c>
      <c r="O103" s="4"/>
      <c r="P103" s="4" t="s">
        <v>1693</v>
      </c>
      <c r="Q103" t="s">
        <v>109</v>
      </c>
      <c r="R103" s="4"/>
      <c r="S103" s="4"/>
      <c r="U103" s="4"/>
      <c r="Y103" s="4"/>
      <c r="Z103" s="4"/>
      <c r="AA103" s="4"/>
      <c r="AB103" s="4"/>
      <c r="AC103" s="4"/>
      <c r="AD103" s="4"/>
      <c r="AE103" s="4"/>
      <c r="AF103" s="4"/>
      <c r="AG103" s="4"/>
      <c r="AH103" s="4"/>
      <c r="AI103" s="4"/>
      <c r="AJ103" s="4"/>
      <c r="AK103" s="4"/>
      <c r="AL103" s="4"/>
      <c r="AP103" s="4"/>
      <c r="AX103" s="4"/>
      <c r="AY103" s="4"/>
      <c r="AZ103" s="4"/>
      <c r="BA103" s="4"/>
      <c r="BB103" s="4"/>
      <c r="BC103" s="4"/>
      <c r="BD103" s="4"/>
      <c r="BE103" s="4"/>
      <c r="BF103" s="4"/>
      <c r="BG103" s="4"/>
      <c r="BI103" s="4"/>
      <c r="BP103" s="4"/>
      <c r="BS103" s="4"/>
      <c r="BW103" s="4"/>
      <c r="BX103" s="4"/>
    </row>
    <row r="104" spans="1:76" ht="12.75" x14ac:dyDescent="0.2">
      <c r="A104" s="4" t="s">
        <v>630</v>
      </c>
      <c r="B104" s="4" t="s">
        <v>1297</v>
      </c>
      <c r="C104" s="4" t="s">
        <v>111</v>
      </c>
      <c r="D104" s="4">
        <v>2511</v>
      </c>
      <c r="E104" s="4" t="s">
        <v>5</v>
      </c>
      <c r="F104" s="4" t="s">
        <v>893</v>
      </c>
      <c r="G104" s="113">
        <v>0.125</v>
      </c>
      <c r="H104" t="s">
        <v>1781</v>
      </c>
      <c r="I104" s="4">
        <v>0.61</v>
      </c>
      <c r="L104" s="4" t="s">
        <v>1554</v>
      </c>
      <c r="M104" s="4" t="s">
        <v>109</v>
      </c>
      <c r="N104" s="4" t="s">
        <v>6</v>
      </c>
      <c r="O104" s="4"/>
      <c r="P104" s="4" t="s">
        <v>1693</v>
      </c>
      <c r="Q104" t="s">
        <v>109</v>
      </c>
      <c r="R104" s="4"/>
      <c r="S104" s="4"/>
      <c r="U104" s="4"/>
      <c r="Y104" s="4"/>
      <c r="Z104" s="4"/>
      <c r="AA104" s="4"/>
      <c r="AB104" s="4"/>
      <c r="AC104" s="4"/>
      <c r="AD104" s="4"/>
      <c r="AE104" s="4"/>
      <c r="AF104" s="4"/>
      <c r="AG104" s="4"/>
      <c r="AH104" s="4"/>
      <c r="AI104" s="4"/>
      <c r="AJ104" s="4"/>
      <c r="AK104" s="4"/>
      <c r="AL104" s="4"/>
      <c r="AP104" s="4"/>
      <c r="AX104" s="4"/>
      <c r="AY104" s="4"/>
      <c r="AZ104" s="4"/>
      <c r="BA104" s="4"/>
      <c r="BB104" s="4"/>
      <c r="BC104" s="4"/>
      <c r="BD104" s="4"/>
      <c r="BE104" s="4"/>
      <c r="BF104" s="4"/>
      <c r="BG104" s="4"/>
      <c r="BI104" s="4"/>
      <c r="BP104" s="4"/>
      <c r="BS104" s="4"/>
      <c r="BW104" s="4"/>
      <c r="BX104" s="4"/>
    </row>
    <row r="105" spans="1:76" ht="12.75" x14ac:dyDescent="0.2">
      <c r="A105" s="4" t="s">
        <v>1321</v>
      </c>
      <c r="B105" s="4" t="s">
        <v>1296</v>
      </c>
      <c r="C105" s="4" t="s">
        <v>778</v>
      </c>
      <c r="D105" s="4">
        <v>2511</v>
      </c>
      <c r="E105" s="4" t="s">
        <v>5</v>
      </c>
      <c r="F105" s="4" t="s">
        <v>893</v>
      </c>
      <c r="G105" s="113">
        <v>3.7037037037037035E-2</v>
      </c>
      <c r="H105" t="s">
        <v>1781</v>
      </c>
      <c r="I105" s="4">
        <v>0.61099999999999999</v>
      </c>
      <c r="L105" s="4" t="s">
        <v>1552</v>
      </c>
      <c r="M105" s="4" t="s">
        <v>109</v>
      </c>
      <c r="N105" s="4" t="s">
        <v>6</v>
      </c>
      <c r="O105" s="4"/>
      <c r="P105" s="4" t="s">
        <v>1693</v>
      </c>
      <c r="Q105" t="s">
        <v>109</v>
      </c>
      <c r="R105" s="4"/>
      <c r="S105" s="4"/>
      <c r="U105" s="4"/>
      <c r="Y105" s="4"/>
      <c r="Z105" s="4"/>
      <c r="AA105" s="4"/>
      <c r="AB105" s="4"/>
      <c r="AC105" s="4"/>
      <c r="AD105" s="4"/>
      <c r="AE105" s="4"/>
      <c r="AF105" s="4"/>
      <c r="AG105" s="4"/>
      <c r="AH105" s="4"/>
      <c r="AI105" s="4"/>
      <c r="AJ105" s="4"/>
      <c r="AK105" s="4"/>
      <c r="AL105" s="4"/>
      <c r="AP105" s="4"/>
      <c r="AX105" s="4"/>
      <c r="AY105" s="4"/>
      <c r="AZ105" s="4"/>
      <c r="BA105" s="4"/>
      <c r="BB105" s="4"/>
      <c r="BC105" s="4"/>
      <c r="BD105" s="4"/>
      <c r="BE105" s="4"/>
      <c r="BF105" s="4"/>
      <c r="BG105" s="4"/>
      <c r="BI105" s="4"/>
      <c r="BP105" s="4"/>
      <c r="BS105" s="4"/>
      <c r="BW105" s="4"/>
      <c r="BX105" s="4"/>
    </row>
    <row r="106" spans="1:76" ht="12.75" x14ac:dyDescent="0.2">
      <c r="A106" s="4" t="s">
        <v>1321</v>
      </c>
      <c r="B106" s="4" t="s">
        <v>1296</v>
      </c>
      <c r="C106" s="4" t="s">
        <v>778</v>
      </c>
      <c r="D106" s="4">
        <v>2511</v>
      </c>
      <c r="E106" s="4" t="s">
        <v>5</v>
      </c>
      <c r="F106" s="4" t="s">
        <v>893</v>
      </c>
      <c r="G106" s="113">
        <v>3.7037037037037035E-2</v>
      </c>
      <c r="H106" t="s">
        <v>1781</v>
      </c>
      <c r="I106" s="4">
        <v>0.62</v>
      </c>
      <c r="L106" s="4" t="s">
        <v>1552</v>
      </c>
      <c r="M106" s="4" t="s">
        <v>109</v>
      </c>
      <c r="N106" s="4" t="s">
        <v>6</v>
      </c>
      <c r="O106" s="4"/>
      <c r="P106" s="4" t="s">
        <v>1693</v>
      </c>
      <c r="Q106" t="s">
        <v>109</v>
      </c>
      <c r="R106" s="4"/>
      <c r="S106" s="4"/>
      <c r="U106" s="4"/>
      <c r="Y106" s="4"/>
      <c r="Z106" s="4"/>
      <c r="AA106" s="4"/>
      <c r="AB106" s="4"/>
      <c r="AC106" s="4"/>
      <c r="AD106" s="4"/>
      <c r="AE106" s="4"/>
      <c r="AF106" s="4"/>
      <c r="AG106" s="4"/>
      <c r="AH106" s="4"/>
      <c r="AI106" s="4"/>
      <c r="AJ106" s="4"/>
      <c r="AK106" s="4"/>
      <c r="AL106" s="4"/>
      <c r="AP106" s="4"/>
      <c r="AX106" s="4"/>
      <c r="AY106" s="4"/>
      <c r="AZ106" s="4"/>
      <c r="BA106" s="4"/>
      <c r="BB106" s="4"/>
      <c r="BC106" s="4"/>
      <c r="BD106" s="4"/>
      <c r="BE106" s="4"/>
      <c r="BF106" s="4"/>
      <c r="BG106" s="4"/>
      <c r="BI106" s="4"/>
      <c r="BP106" s="4"/>
      <c r="BS106" s="4"/>
      <c r="BW106" s="4"/>
      <c r="BX106" s="4"/>
    </row>
    <row r="107" spans="1:76" ht="12.75" x14ac:dyDescent="0.2">
      <c r="A107" s="4" t="s">
        <v>1321</v>
      </c>
      <c r="B107" s="4" t="s">
        <v>1296</v>
      </c>
      <c r="C107" s="4" t="s">
        <v>778</v>
      </c>
      <c r="D107" s="4">
        <v>2511</v>
      </c>
      <c r="E107" s="4" t="s">
        <v>5</v>
      </c>
      <c r="F107" s="4" t="s">
        <v>893</v>
      </c>
      <c r="G107" s="113">
        <v>3.7037037037037035E-2</v>
      </c>
      <c r="H107" t="s">
        <v>1781</v>
      </c>
      <c r="I107" s="4">
        <v>0.63900000000000001</v>
      </c>
      <c r="L107" s="4" t="s">
        <v>1552</v>
      </c>
      <c r="M107" s="4" t="s">
        <v>109</v>
      </c>
      <c r="N107" s="4" t="s">
        <v>6</v>
      </c>
      <c r="O107" s="4"/>
      <c r="P107" s="4" t="s">
        <v>1693</v>
      </c>
      <c r="Q107" t="s">
        <v>109</v>
      </c>
      <c r="R107" s="4"/>
      <c r="S107" s="4"/>
      <c r="U107" s="4"/>
      <c r="Y107" s="4"/>
      <c r="Z107" s="4"/>
      <c r="AA107" s="4"/>
      <c r="AB107" s="4"/>
      <c r="AC107" s="4"/>
      <c r="AD107" s="4"/>
      <c r="AE107" s="4"/>
      <c r="AF107" s="4"/>
      <c r="AG107" s="4"/>
      <c r="AH107" s="4"/>
      <c r="AI107" s="4"/>
      <c r="AJ107" s="4"/>
      <c r="AK107" s="4"/>
      <c r="AL107" s="4"/>
      <c r="AP107" s="4"/>
      <c r="AX107" s="4"/>
      <c r="AY107" s="4"/>
      <c r="AZ107" s="4"/>
      <c r="BA107" s="4"/>
      <c r="BB107" s="4"/>
      <c r="BC107" s="4"/>
      <c r="BD107" s="4"/>
      <c r="BE107" s="4"/>
      <c r="BF107" s="4"/>
      <c r="BG107" s="4"/>
      <c r="BI107" s="4"/>
      <c r="BP107" s="4"/>
      <c r="BS107" s="4"/>
      <c r="BW107" s="4"/>
      <c r="BX107" s="4"/>
    </row>
    <row r="108" spans="1:76" ht="12.75" x14ac:dyDescent="0.2">
      <c r="A108" s="4" t="s">
        <v>630</v>
      </c>
      <c r="B108" s="4" t="s">
        <v>1297</v>
      </c>
      <c r="C108" s="4" t="s">
        <v>111</v>
      </c>
      <c r="D108" s="4">
        <v>2511</v>
      </c>
      <c r="E108" s="4" t="s">
        <v>5</v>
      </c>
      <c r="F108" s="4" t="s">
        <v>893</v>
      </c>
      <c r="G108" s="113">
        <v>0.125</v>
      </c>
      <c r="H108" t="s">
        <v>1781</v>
      </c>
      <c r="I108" s="4">
        <v>0.64</v>
      </c>
      <c r="L108" s="4" t="s">
        <v>1554</v>
      </c>
      <c r="M108" s="4" t="s">
        <v>109</v>
      </c>
      <c r="N108" s="4" t="s">
        <v>6</v>
      </c>
      <c r="O108" s="4"/>
      <c r="P108" s="4" t="s">
        <v>1693</v>
      </c>
      <c r="Q108" t="s">
        <v>109</v>
      </c>
      <c r="R108" s="4"/>
      <c r="S108" s="4"/>
      <c r="U108" s="4"/>
      <c r="Y108" s="4"/>
      <c r="Z108" s="4"/>
      <c r="AA108" s="4"/>
      <c r="AB108" s="4"/>
      <c r="AC108" s="4"/>
      <c r="AD108" s="4"/>
      <c r="AE108" s="4"/>
      <c r="AF108" s="4"/>
      <c r="AG108" s="4"/>
      <c r="AH108" s="4"/>
      <c r="AI108" s="4"/>
      <c r="AJ108" s="4"/>
      <c r="AK108" s="4"/>
      <c r="AL108" s="4"/>
      <c r="AP108" s="4"/>
      <c r="AX108" s="4"/>
      <c r="AY108" s="4"/>
      <c r="AZ108" s="4"/>
      <c r="BA108" s="4"/>
      <c r="BB108" s="4"/>
      <c r="BC108" s="4"/>
      <c r="BD108" s="4"/>
      <c r="BE108" s="4"/>
      <c r="BF108" s="4"/>
      <c r="BG108" s="4"/>
      <c r="BI108" s="4"/>
      <c r="BP108" s="4"/>
      <c r="BS108" s="4"/>
      <c r="BW108" s="4"/>
      <c r="BX108" s="4"/>
    </row>
    <row r="109" spans="1:76" ht="12.75" x14ac:dyDescent="0.2">
      <c r="A109" s="4" t="s">
        <v>630</v>
      </c>
      <c r="B109" s="4" t="s">
        <v>1297</v>
      </c>
      <c r="C109" s="4" t="s">
        <v>111</v>
      </c>
      <c r="D109" s="4">
        <v>2511</v>
      </c>
      <c r="E109" s="4" t="s">
        <v>5</v>
      </c>
      <c r="F109" s="4" t="s">
        <v>893</v>
      </c>
      <c r="G109" s="113">
        <v>0.125</v>
      </c>
      <c r="H109" t="s">
        <v>1781</v>
      </c>
      <c r="I109" s="4">
        <v>0.65</v>
      </c>
      <c r="L109" s="4" t="s">
        <v>1554</v>
      </c>
      <c r="M109" s="4" t="s">
        <v>109</v>
      </c>
      <c r="N109" s="4" t="s">
        <v>6</v>
      </c>
      <c r="O109" s="4"/>
      <c r="P109" s="4" t="s">
        <v>1693</v>
      </c>
      <c r="Q109" t="s">
        <v>109</v>
      </c>
      <c r="R109" s="4"/>
      <c r="S109" s="4"/>
      <c r="U109" s="4"/>
      <c r="Y109" s="4"/>
      <c r="Z109" s="4"/>
      <c r="AA109" s="4"/>
      <c r="AB109" s="4"/>
      <c r="AC109" s="4"/>
      <c r="AD109" s="4"/>
      <c r="AE109" s="4"/>
      <c r="AF109" s="4"/>
      <c r="AG109" s="4"/>
      <c r="AH109" s="4"/>
      <c r="AI109" s="4"/>
      <c r="AJ109" s="4"/>
      <c r="AK109" s="4"/>
      <c r="AL109" s="4"/>
      <c r="AP109" s="4"/>
      <c r="AX109" s="4"/>
      <c r="AY109" s="4"/>
      <c r="AZ109" s="4"/>
      <c r="BA109" s="4"/>
      <c r="BB109" s="4"/>
      <c r="BC109" s="4"/>
      <c r="BD109" s="4"/>
      <c r="BE109" s="4"/>
      <c r="BF109" s="4"/>
      <c r="BG109" s="4"/>
      <c r="BI109" s="4"/>
      <c r="BP109" s="4"/>
      <c r="BS109" s="4"/>
      <c r="BW109" s="4"/>
      <c r="BX109" s="4"/>
    </row>
    <row r="110" spans="1:76" ht="12.75" x14ac:dyDescent="0.2">
      <c r="A110" s="4" t="s">
        <v>1321</v>
      </c>
      <c r="B110" s="4" t="s">
        <v>186</v>
      </c>
      <c r="C110" s="4" t="s">
        <v>111</v>
      </c>
      <c r="D110" s="4">
        <v>2511</v>
      </c>
      <c r="E110" s="4" t="s">
        <v>5</v>
      </c>
      <c r="F110" s="4" t="s">
        <v>893</v>
      </c>
      <c r="G110" s="113">
        <v>0.5</v>
      </c>
      <c r="H110" t="s">
        <v>1781</v>
      </c>
      <c r="I110" s="4">
        <v>0.65</v>
      </c>
      <c r="L110" s="4" t="s">
        <v>1538</v>
      </c>
      <c r="M110" s="4" t="s">
        <v>109</v>
      </c>
      <c r="N110" s="4" t="s">
        <v>6</v>
      </c>
      <c r="O110" s="4"/>
      <c r="P110" s="4" t="s">
        <v>1693</v>
      </c>
      <c r="Q110" t="s">
        <v>109</v>
      </c>
      <c r="R110" s="4"/>
      <c r="S110" s="4"/>
      <c r="U110" s="4"/>
      <c r="Y110" s="4"/>
      <c r="Z110" s="4"/>
      <c r="AA110" s="4"/>
      <c r="AB110" s="4"/>
      <c r="AC110" s="4"/>
      <c r="AD110" s="4"/>
      <c r="AE110" s="4"/>
      <c r="AF110" s="4"/>
      <c r="AG110" s="4"/>
      <c r="AH110" s="4"/>
      <c r="AI110" s="4"/>
      <c r="AJ110" s="4"/>
      <c r="AK110" s="4"/>
      <c r="AL110" s="4"/>
      <c r="AP110" s="4"/>
      <c r="AX110" s="4"/>
      <c r="AY110" s="4"/>
      <c r="AZ110" s="4"/>
      <c r="BA110" s="4"/>
      <c r="BB110" s="4"/>
      <c r="BC110" s="4"/>
      <c r="BD110" s="4"/>
      <c r="BE110" s="4"/>
      <c r="BF110" s="4"/>
      <c r="BG110" s="4"/>
      <c r="BI110" s="4"/>
      <c r="BP110" s="4"/>
      <c r="BS110" s="4"/>
      <c r="BW110" s="4"/>
      <c r="BX110" s="4"/>
    </row>
    <row r="111" spans="1:76" ht="12.75" x14ac:dyDescent="0.2">
      <c r="A111" s="4" t="s">
        <v>1321</v>
      </c>
      <c r="B111" s="4" t="s">
        <v>143</v>
      </c>
      <c r="C111" s="4" t="s">
        <v>111</v>
      </c>
      <c r="D111" s="4">
        <v>2511</v>
      </c>
      <c r="E111" s="4" t="s">
        <v>5</v>
      </c>
      <c r="F111" s="4" t="s">
        <v>893</v>
      </c>
      <c r="G111" s="113">
        <v>1</v>
      </c>
      <c r="H111" t="s">
        <v>1781</v>
      </c>
      <c r="I111" s="4">
        <v>0.66701999999999995</v>
      </c>
      <c r="L111" s="4" t="s">
        <v>1540</v>
      </c>
      <c r="M111" s="4" t="s">
        <v>109</v>
      </c>
      <c r="N111" s="4" t="s">
        <v>6</v>
      </c>
      <c r="O111" s="4"/>
      <c r="P111" s="4" t="s">
        <v>1693</v>
      </c>
      <c r="Q111" t="s">
        <v>109</v>
      </c>
      <c r="R111" s="4"/>
      <c r="S111" s="4"/>
      <c r="U111" s="4"/>
      <c r="Y111" s="4"/>
      <c r="Z111" s="4"/>
      <c r="AA111" s="4"/>
      <c r="AB111" s="4"/>
      <c r="AC111" s="4"/>
      <c r="AD111" s="4"/>
      <c r="AE111" s="4"/>
      <c r="AF111" s="4"/>
      <c r="AG111" s="4"/>
      <c r="AH111" s="4"/>
      <c r="AI111" s="4"/>
      <c r="AJ111" s="4"/>
      <c r="AK111" s="4"/>
      <c r="AL111" s="4"/>
      <c r="AP111" s="4"/>
      <c r="AX111" s="4"/>
      <c r="AY111" s="4"/>
      <c r="AZ111" s="4"/>
      <c r="BA111" s="4"/>
      <c r="BB111" s="4"/>
      <c r="BC111" s="4"/>
      <c r="BD111" s="4"/>
      <c r="BE111" s="4"/>
      <c r="BF111" s="4"/>
      <c r="BG111" s="4"/>
      <c r="BI111" s="4"/>
      <c r="BP111" s="4"/>
      <c r="BS111" s="4"/>
      <c r="BW111" s="4"/>
      <c r="BX111" s="4"/>
    </row>
    <row r="112" spans="1:76" ht="12.75" x14ac:dyDescent="0.2">
      <c r="A112" s="4" t="s">
        <v>640</v>
      </c>
      <c r="B112" s="4" t="s">
        <v>170</v>
      </c>
      <c r="C112" s="4" t="s">
        <v>1364</v>
      </c>
      <c r="D112" s="4">
        <v>2511</v>
      </c>
      <c r="E112" s="4" t="s">
        <v>5</v>
      </c>
      <c r="F112" s="4" t="s">
        <v>893</v>
      </c>
      <c r="G112" s="113">
        <v>0.1</v>
      </c>
      <c r="H112" t="s">
        <v>1781</v>
      </c>
      <c r="I112" s="4">
        <v>0.67900000000000005</v>
      </c>
      <c r="L112" s="4" t="s">
        <v>1548</v>
      </c>
      <c r="M112" s="4" t="s">
        <v>109</v>
      </c>
      <c r="N112" s="4" t="s">
        <v>6</v>
      </c>
      <c r="O112" s="4"/>
      <c r="P112" s="4" t="s">
        <v>1693</v>
      </c>
      <c r="Q112" t="s">
        <v>109</v>
      </c>
      <c r="R112" s="4"/>
      <c r="S112" s="4"/>
      <c r="U112" s="4"/>
      <c r="Y112" s="4"/>
      <c r="Z112" s="4"/>
      <c r="AA112" s="4"/>
      <c r="AB112" s="4"/>
      <c r="AC112" s="4"/>
      <c r="AD112" s="4"/>
      <c r="AE112" s="4"/>
      <c r="AF112" s="4"/>
      <c r="AG112" s="4"/>
      <c r="AH112" s="4"/>
      <c r="AI112" s="4"/>
      <c r="AJ112" s="4"/>
      <c r="AK112" s="4"/>
      <c r="AL112" s="4"/>
      <c r="AP112" s="4"/>
      <c r="AX112" s="4"/>
      <c r="AY112" s="4"/>
      <c r="AZ112" s="4"/>
      <c r="BA112" s="4"/>
      <c r="BB112" s="4"/>
      <c r="BC112" s="4"/>
      <c r="BD112" s="4"/>
      <c r="BE112" s="4"/>
      <c r="BF112" s="4"/>
      <c r="BG112" s="4"/>
      <c r="BI112" s="4"/>
      <c r="BP112" s="4"/>
      <c r="BS112" s="4"/>
      <c r="BW112" s="4"/>
      <c r="BX112" s="4"/>
    </row>
    <row r="113" spans="1:76" ht="12.75" x14ac:dyDescent="0.2">
      <c r="A113" s="4" t="s">
        <v>1321</v>
      </c>
      <c r="B113" s="4" t="s">
        <v>1296</v>
      </c>
      <c r="C113" s="4" t="s">
        <v>778</v>
      </c>
      <c r="D113" s="4">
        <v>2511</v>
      </c>
      <c r="E113" s="4" t="s">
        <v>5</v>
      </c>
      <c r="F113" s="4" t="s">
        <v>893</v>
      </c>
      <c r="G113" s="113">
        <v>3.7037037037037035E-2</v>
      </c>
      <c r="H113" t="s">
        <v>1781</v>
      </c>
      <c r="I113" s="4">
        <v>0.69300000000000006</v>
      </c>
      <c r="L113" s="4" t="s">
        <v>1552</v>
      </c>
      <c r="M113" s="4" t="s">
        <v>109</v>
      </c>
      <c r="N113" s="4" t="s">
        <v>6</v>
      </c>
      <c r="O113" s="4"/>
      <c r="P113" s="4" t="s">
        <v>1693</v>
      </c>
      <c r="Q113" t="s">
        <v>109</v>
      </c>
      <c r="R113" s="4"/>
      <c r="S113" s="4"/>
      <c r="U113" s="4"/>
      <c r="Y113" s="4"/>
      <c r="Z113" s="4"/>
      <c r="AA113" s="4"/>
      <c r="AB113" s="4"/>
      <c r="AC113" s="4"/>
      <c r="AD113" s="4"/>
      <c r="AE113" s="4"/>
      <c r="AF113" s="4"/>
      <c r="AG113" s="4"/>
      <c r="AH113" s="4"/>
      <c r="AI113" s="4"/>
      <c r="AJ113" s="4"/>
      <c r="AK113" s="4"/>
      <c r="AL113" s="4"/>
      <c r="AP113" s="4"/>
      <c r="AX113" s="4"/>
      <c r="AY113" s="4"/>
      <c r="AZ113" s="4"/>
      <c r="BA113" s="4"/>
      <c r="BB113" s="4"/>
      <c r="BC113" s="4"/>
      <c r="BD113" s="4"/>
      <c r="BE113" s="4"/>
      <c r="BF113" s="4"/>
      <c r="BG113" s="4"/>
      <c r="BI113" s="4"/>
      <c r="BP113" s="4"/>
      <c r="BS113" s="4"/>
      <c r="BW113" s="4"/>
      <c r="BX113" s="4"/>
    </row>
    <row r="114" spans="1:76" ht="12.75" x14ac:dyDescent="0.2">
      <c r="A114" s="4" t="s">
        <v>630</v>
      </c>
      <c r="B114" s="4" t="s">
        <v>1297</v>
      </c>
      <c r="C114" s="4" t="s">
        <v>111</v>
      </c>
      <c r="D114" s="4">
        <v>2511</v>
      </c>
      <c r="E114" s="4" t="s">
        <v>5</v>
      </c>
      <c r="F114" s="4" t="s">
        <v>893</v>
      </c>
      <c r="G114" s="113">
        <v>0.125</v>
      </c>
      <c r="H114" t="s">
        <v>1781</v>
      </c>
      <c r="I114" s="4">
        <v>0.7</v>
      </c>
      <c r="L114" s="4" t="s">
        <v>1554</v>
      </c>
      <c r="M114" s="4" t="s">
        <v>109</v>
      </c>
      <c r="N114" s="4" t="s">
        <v>6</v>
      </c>
      <c r="O114" s="4"/>
      <c r="P114" s="4" t="s">
        <v>1693</v>
      </c>
      <c r="Q114" t="s">
        <v>109</v>
      </c>
      <c r="R114" s="4"/>
      <c r="S114" s="4"/>
      <c r="U114" s="4"/>
      <c r="Y114" s="4"/>
      <c r="Z114" s="4"/>
      <c r="AA114" s="4"/>
      <c r="AB114" s="4"/>
      <c r="AC114" s="4"/>
      <c r="AD114" s="4"/>
      <c r="AE114" s="4"/>
      <c r="AF114" s="4"/>
      <c r="AG114" s="4"/>
      <c r="AH114" s="4"/>
      <c r="AI114" s="4"/>
      <c r="AJ114" s="4"/>
      <c r="AK114" s="4"/>
      <c r="AL114" s="4"/>
      <c r="AP114" s="4"/>
      <c r="AX114" s="4"/>
      <c r="AY114" s="4"/>
      <c r="AZ114" s="4"/>
      <c r="BA114" s="4"/>
      <c r="BB114" s="4"/>
      <c r="BC114" s="4"/>
      <c r="BD114" s="4"/>
      <c r="BE114" s="4"/>
      <c r="BF114" s="4"/>
      <c r="BG114" s="4"/>
      <c r="BI114" s="4"/>
      <c r="BP114" s="4"/>
      <c r="BS114" s="4"/>
      <c r="BW114" s="4"/>
      <c r="BX114" s="4"/>
    </row>
    <row r="115" spans="1:76" ht="12.75" x14ac:dyDescent="0.2">
      <c r="A115" s="4" t="s">
        <v>630</v>
      </c>
      <c r="B115" s="4" t="s">
        <v>1297</v>
      </c>
      <c r="C115" s="4" t="s">
        <v>111</v>
      </c>
      <c r="D115" s="4">
        <v>2511</v>
      </c>
      <c r="E115" s="4" t="s">
        <v>5</v>
      </c>
      <c r="F115" s="4" t="s">
        <v>893</v>
      </c>
      <c r="G115" s="113">
        <v>0.125</v>
      </c>
      <c r="H115" t="s">
        <v>1781</v>
      </c>
      <c r="I115" s="4">
        <v>0.7</v>
      </c>
      <c r="L115" s="4" t="s">
        <v>1554</v>
      </c>
      <c r="M115" s="4" t="s">
        <v>109</v>
      </c>
      <c r="N115" s="4" t="s">
        <v>6</v>
      </c>
      <c r="O115" s="4"/>
      <c r="P115" s="4" t="s">
        <v>1693</v>
      </c>
      <c r="Q115" t="s">
        <v>109</v>
      </c>
      <c r="R115" s="4"/>
      <c r="S115" s="4"/>
      <c r="U115" s="4"/>
      <c r="Y115" s="4"/>
      <c r="Z115" s="4"/>
      <c r="AA115" s="4"/>
      <c r="AB115" s="4"/>
      <c r="AC115" s="4"/>
      <c r="AD115" s="4"/>
      <c r="AE115" s="4"/>
      <c r="AF115" s="4"/>
      <c r="AG115" s="4"/>
      <c r="AH115" s="4"/>
      <c r="AI115" s="4"/>
      <c r="AJ115" s="4"/>
      <c r="AK115" s="4"/>
      <c r="AL115" s="4"/>
      <c r="AP115" s="4"/>
      <c r="AX115" s="4"/>
      <c r="AY115" s="4"/>
      <c r="AZ115" s="4"/>
      <c r="BA115" s="4"/>
      <c r="BB115" s="4"/>
      <c r="BC115" s="4"/>
      <c r="BD115" s="4"/>
      <c r="BE115" s="4"/>
      <c r="BF115" s="4"/>
      <c r="BG115" s="4"/>
      <c r="BI115" s="4"/>
      <c r="BP115" s="4"/>
      <c r="BS115" s="4"/>
      <c r="BW115" s="4"/>
      <c r="BX115" s="4"/>
    </row>
    <row r="116" spans="1:76" ht="12.75" x14ac:dyDescent="0.2">
      <c r="A116" s="4" t="s">
        <v>630</v>
      </c>
      <c r="B116" s="4" t="s">
        <v>143</v>
      </c>
      <c r="C116" s="4" t="s">
        <v>111</v>
      </c>
      <c r="D116" s="4">
        <v>2511</v>
      </c>
      <c r="E116" s="4" t="s">
        <v>5</v>
      </c>
      <c r="F116" s="4" t="s">
        <v>893</v>
      </c>
      <c r="G116" s="113">
        <v>0.5</v>
      </c>
      <c r="H116" t="s">
        <v>1781</v>
      </c>
      <c r="I116" s="4">
        <v>0.71</v>
      </c>
      <c r="L116" s="4" t="s">
        <v>1556</v>
      </c>
      <c r="M116" s="4" t="s">
        <v>109</v>
      </c>
      <c r="N116" s="4" t="s">
        <v>6</v>
      </c>
      <c r="O116" s="4"/>
      <c r="P116" s="4" t="s">
        <v>1693</v>
      </c>
      <c r="Q116" t="s">
        <v>109</v>
      </c>
      <c r="R116" s="4"/>
      <c r="S116" s="4"/>
      <c r="U116" s="4"/>
      <c r="Y116" s="4"/>
      <c r="Z116" s="4"/>
      <c r="AA116" s="4"/>
      <c r="AB116" s="4"/>
      <c r="AC116" s="4"/>
      <c r="AD116" s="4"/>
      <c r="AE116" s="4"/>
      <c r="AF116" s="4"/>
      <c r="AG116" s="4"/>
      <c r="AH116" s="4"/>
      <c r="AI116" s="4"/>
      <c r="AJ116" s="4"/>
      <c r="AK116" s="4"/>
      <c r="AL116" s="4"/>
      <c r="AP116" s="4"/>
      <c r="AX116" s="4"/>
      <c r="AY116" s="4"/>
      <c r="AZ116" s="4"/>
      <c r="BA116" s="4"/>
      <c r="BB116" s="4"/>
      <c r="BC116" s="4"/>
      <c r="BD116" s="4"/>
      <c r="BE116" s="4"/>
      <c r="BF116" s="4"/>
      <c r="BG116" s="4"/>
      <c r="BI116" s="4"/>
      <c r="BP116" s="4"/>
      <c r="BS116" s="4"/>
      <c r="BW116" s="4"/>
      <c r="BX116" s="4"/>
    </row>
    <row r="117" spans="1:76" ht="12.75" x14ac:dyDescent="0.2">
      <c r="A117" s="4" t="s">
        <v>1324</v>
      </c>
      <c r="B117" s="4" t="s">
        <v>186</v>
      </c>
      <c r="C117" s="4" t="s">
        <v>111</v>
      </c>
      <c r="D117" s="4">
        <v>2511</v>
      </c>
      <c r="E117" s="4" t="s">
        <v>5</v>
      </c>
      <c r="F117" s="4" t="s">
        <v>893</v>
      </c>
      <c r="G117" s="113">
        <v>0.5</v>
      </c>
      <c r="H117" t="s">
        <v>1781</v>
      </c>
      <c r="I117" s="4">
        <v>0.72</v>
      </c>
      <c r="L117" s="4" t="s">
        <v>1538</v>
      </c>
      <c r="M117" s="4" t="s">
        <v>109</v>
      </c>
      <c r="N117" s="4" t="s">
        <v>6</v>
      </c>
      <c r="O117" s="4"/>
      <c r="P117" s="4" t="s">
        <v>1693</v>
      </c>
      <c r="Q117" t="s">
        <v>109</v>
      </c>
      <c r="R117" s="4"/>
      <c r="S117" s="4"/>
      <c r="U117" s="4"/>
      <c r="Y117" s="4"/>
      <c r="Z117" s="4"/>
      <c r="AA117" s="4"/>
      <c r="AB117" s="4"/>
      <c r="AC117" s="4"/>
      <c r="AD117" s="4"/>
      <c r="AE117" s="4"/>
      <c r="AF117" s="4"/>
      <c r="AG117" s="4"/>
      <c r="AH117" s="4"/>
      <c r="AI117" s="4"/>
      <c r="AJ117" s="4"/>
      <c r="AK117" s="4"/>
      <c r="AL117" s="4"/>
      <c r="AP117" s="4"/>
      <c r="AX117" s="4"/>
      <c r="AY117" s="4"/>
      <c r="AZ117" s="4"/>
      <c r="BA117" s="4"/>
      <c r="BB117" s="4"/>
      <c r="BC117" s="4"/>
      <c r="BD117" s="4"/>
      <c r="BE117" s="4"/>
      <c r="BF117" s="4"/>
      <c r="BG117" s="4"/>
      <c r="BI117" s="4"/>
      <c r="BP117" s="4"/>
      <c r="BS117" s="4"/>
      <c r="BW117" s="4"/>
      <c r="BX117" s="4"/>
    </row>
    <row r="118" spans="1:76" ht="12.75" x14ac:dyDescent="0.2">
      <c r="A118" s="4" t="s">
        <v>630</v>
      </c>
      <c r="B118" s="4" t="s">
        <v>1297</v>
      </c>
      <c r="C118" s="4" t="s">
        <v>111</v>
      </c>
      <c r="D118" s="4">
        <v>2511</v>
      </c>
      <c r="E118" s="4" t="s">
        <v>5</v>
      </c>
      <c r="F118" s="4" t="s">
        <v>893</v>
      </c>
      <c r="G118" s="113">
        <v>0.125</v>
      </c>
      <c r="H118" t="s">
        <v>1781</v>
      </c>
      <c r="I118" s="4">
        <v>0.74</v>
      </c>
      <c r="L118" s="4" t="s">
        <v>1554</v>
      </c>
      <c r="M118" s="4" t="s">
        <v>109</v>
      </c>
      <c r="N118" s="4" t="s">
        <v>6</v>
      </c>
      <c r="O118" s="4"/>
      <c r="P118" s="4" t="s">
        <v>1693</v>
      </c>
      <c r="Q118" t="s">
        <v>109</v>
      </c>
      <c r="R118" s="4"/>
      <c r="S118" s="4"/>
      <c r="U118" s="4"/>
      <c r="Y118" s="4"/>
      <c r="Z118" s="4"/>
      <c r="AA118" s="4"/>
      <c r="AB118" s="4"/>
      <c r="AC118" s="4"/>
      <c r="AD118" s="4"/>
      <c r="AE118" s="4"/>
      <c r="AF118" s="4"/>
      <c r="AG118" s="4"/>
      <c r="AH118" s="4"/>
      <c r="AI118" s="4"/>
      <c r="AJ118" s="4"/>
      <c r="AK118" s="4"/>
      <c r="AL118" s="4"/>
      <c r="AP118" s="4"/>
      <c r="AX118" s="4"/>
      <c r="AY118" s="4"/>
      <c r="AZ118" s="4"/>
      <c r="BA118" s="4"/>
      <c r="BB118" s="4"/>
      <c r="BC118" s="4"/>
      <c r="BD118" s="4"/>
      <c r="BE118" s="4"/>
      <c r="BF118" s="4"/>
      <c r="BG118" s="4"/>
      <c r="BI118" s="4"/>
      <c r="BP118" s="4"/>
      <c r="BS118" s="4"/>
      <c r="BW118" s="4"/>
      <c r="BX118" s="4"/>
    </row>
    <row r="119" spans="1:76" ht="12.75" x14ac:dyDescent="0.2">
      <c r="A119" s="4" t="s">
        <v>630</v>
      </c>
      <c r="B119" s="4" t="s">
        <v>1297</v>
      </c>
      <c r="C119" s="4" t="s">
        <v>101</v>
      </c>
      <c r="D119" s="4">
        <v>2511</v>
      </c>
      <c r="E119" s="4" t="s">
        <v>5</v>
      </c>
      <c r="F119" s="4" t="s">
        <v>893</v>
      </c>
      <c r="G119" s="113">
        <v>0.125</v>
      </c>
      <c r="H119" t="s">
        <v>1781</v>
      </c>
      <c r="I119" s="4">
        <v>0.8</v>
      </c>
      <c r="L119" s="4" t="s">
        <v>1554</v>
      </c>
      <c r="M119" s="4" t="s">
        <v>109</v>
      </c>
      <c r="N119" s="4" t="s">
        <v>6</v>
      </c>
      <c r="O119" s="4"/>
      <c r="P119" s="4" t="s">
        <v>1693</v>
      </c>
      <c r="Q119" t="s">
        <v>109</v>
      </c>
      <c r="R119" s="4"/>
      <c r="S119" s="4"/>
      <c r="U119" s="4"/>
      <c r="Y119" s="4"/>
      <c r="Z119" s="4"/>
      <c r="AA119" s="4"/>
      <c r="AB119" s="4"/>
      <c r="AC119" s="4"/>
      <c r="AD119" s="4"/>
      <c r="AE119" s="4"/>
      <c r="AF119" s="4"/>
      <c r="AG119" s="4"/>
      <c r="AH119" s="4"/>
      <c r="AI119" s="4"/>
      <c r="AJ119" s="4"/>
      <c r="AK119" s="4"/>
      <c r="AL119" s="4"/>
      <c r="AP119" s="4"/>
      <c r="AX119" s="4"/>
      <c r="AY119" s="4"/>
      <c r="AZ119" s="4"/>
      <c r="BA119" s="4"/>
      <c r="BB119" s="4"/>
      <c r="BC119" s="4"/>
      <c r="BD119" s="4"/>
      <c r="BE119" s="4"/>
      <c r="BF119" s="4"/>
      <c r="BG119" s="4"/>
      <c r="BI119" s="4"/>
      <c r="BP119" s="4"/>
      <c r="BS119" s="4"/>
      <c r="BW119" s="4"/>
      <c r="BX119" s="4"/>
    </row>
    <row r="120" spans="1:76" ht="12.75" x14ac:dyDescent="0.2">
      <c r="A120" s="4" t="s">
        <v>640</v>
      </c>
      <c r="B120" s="4" t="s">
        <v>170</v>
      </c>
      <c r="C120" s="4" t="s">
        <v>1364</v>
      </c>
      <c r="D120" s="4">
        <v>2511</v>
      </c>
      <c r="E120" s="4" t="s">
        <v>5</v>
      </c>
      <c r="F120" s="4" t="s">
        <v>893</v>
      </c>
      <c r="G120" s="113">
        <v>0.1</v>
      </c>
      <c r="H120" t="s">
        <v>1781</v>
      </c>
      <c r="I120" s="4">
        <v>0.80500000000000005</v>
      </c>
      <c r="L120" s="4" t="s">
        <v>1548</v>
      </c>
      <c r="M120" s="4" t="s">
        <v>109</v>
      </c>
      <c r="N120" s="4" t="s">
        <v>6</v>
      </c>
      <c r="O120" s="4"/>
      <c r="P120" s="4" t="s">
        <v>1693</v>
      </c>
      <c r="Q120" t="s">
        <v>109</v>
      </c>
      <c r="R120" s="4"/>
      <c r="S120" s="4"/>
      <c r="U120" s="4"/>
      <c r="Y120" s="4"/>
      <c r="Z120" s="4"/>
      <c r="AA120" s="4"/>
      <c r="AB120" s="4"/>
      <c r="AC120" s="4"/>
      <c r="AD120" s="4"/>
      <c r="AE120" s="4"/>
      <c r="AF120" s="4"/>
      <c r="AG120" s="4"/>
      <c r="AH120" s="4"/>
      <c r="AI120" s="4"/>
      <c r="AJ120" s="4"/>
      <c r="AK120" s="4"/>
      <c r="AL120" s="4"/>
      <c r="AP120" s="4"/>
      <c r="AX120" s="4"/>
      <c r="AY120" s="4"/>
      <c r="AZ120" s="4"/>
      <c r="BA120" s="4"/>
      <c r="BB120" s="4"/>
      <c r="BC120" s="4"/>
      <c r="BD120" s="4"/>
      <c r="BE120" s="4"/>
      <c r="BF120" s="4"/>
      <c r="BG120" s="4"/>
      <c r="BI120" s="4"/>
      <c r="BP120" s="4"/>
      <c r="BS120" s="4"/>
      <c r="BW120" s="4"/>
      <c r="BX120" s="4"/>
    </row>
    <row r="121" spans="1:76" ht="12.75" x14ac:dyDescent="0.2">
      <c r="A121" s="4" t="s">
        <v>630</v>
      </c>
      <c r="B121" s="4" t="s">
        <v>170</v>
      </c>
      <c r="C121" s="4" t="s">
        <v>1365</v>
      </c>
      <c r="D121" s="4">
        <v>2511</v>
      </c>
      <c r="E121" s="4" t="s">
        <v>5</v>
      </c>
      <c r="F121" s="4" t="s">
        <v>893</v>
      </c>
      <c r="G121" s="113">
        <v>0.1</v>
      </c>
      <c r="H121" t="s">
        <v>1781</v>
      </c>
      <c r="I121" s="4">
        <v>0.872</v>
      </c>
      <c r="L121" s="4" t="s">
        <v>1548</v>
      </c>
      <c r="M121" s="4" t="s">
        <v>109</v>
      </c>
      <c r="N121" s="4" t="s">
        <v>6</v>
      </c>
      <c r="O121" s="4"/>
      <c r="P121" s="4" t="s">
        <v>1693</v>
      </c>
      <c r="Q121" t="s">
        <v>109</v>
      </c>
      <c r="R121" s="4"/>
      <c r="S121" s="4"/>
      <c r="U121" s="4"/>
      <c r="Y121" s="4"/>
      <c r="Z121" s="4"/>
      <c r="AA121" s="4"/>
      <c r="AB121" s="4"/>
      <c r="AC121" s="4"/>
      <c r="AD121" s="4"/>
      <c r="AE121" s="4"/>
      <c r="AF121" s="4"/>
      <c r="AG121" s="4"/>
      <c r="AH121" s="4"/>
      <c r="AI121" s="4"/>
      <c r="AJ121" s="4"/>
      <c r="AK121" s="4"/>
      <c r="AL121" s="4"/>
      <c r="AP121" s="4"/>
      <c r="AX121" s="4"/>
      <c r="AY121" s="4"/>
      <c r="AZ121" s="4"/>
      <c r="BA121" s="4"/>
      <c r="BB121" s="4"/>
      <c r="BC121" s="4"/>
      <c r="BD121" s="4"/>
      <c r="BE121" s="4"/>
      <c r="BF121" s="4"/>
      <c r="BG121" s="4"/>
      <c r="BI121" s="4"/>
      <c r="BP121" s="4"/>
      <c r="BS121" s="4"/>
      <c r="BW121" s="4"/>
      <c r="BX121" s="4"/>
    </row>
    <row r="122" spans="1:76" ht="12.75" x14ac:dyDescent="0.2">
      <c r="A122" s="4" t="s">
        <v>630</v>
      </c>
      <c r="B122" s="4" t="s">
        <v>170</v>
      </c>
      <c r="C122" s="4" t="s">
        <v>1365</v>
      </c>
      <c r="D122" s="4">
        <v>2511</v>
      </c>
      <c r="E122" s="4" t="s">
        <v>5</v>
      </c>
      <c r="F122" s="4" t="s">
        <v>893</v>
      </c>
      <c r="G122" s="113">
        <v>0.1</v>
      </c>
      <c r="H122" t="s">
        <v>1781</v>
      </c>
      <c r="I122" s="4">
        <v>0.88100000000000001</v>
      </c>
      <c r="L122" s="4" t="s">
        <v>1548</v>
      </c>
      <c r="M122" s="4" t="s">
        <v>109</v>
      </c>
      <c r="N122" s="4" t="s">
        <v>6</v>
      </c>
      <c r="O122" s="4"/>
      <c r="P122" s="4" t="s">
        <v>1693</v>
      </c>
      <c r="Q122" t="s">
        <v>109</v>
      </c>
      <c r="R122" s="4"/>
      <c r="S122" s="4"/>
      <c r="U122" s="4"/>
      <c r="Y122" s="4"/>
      <c r="Z122" s="4"/>
      <c r="AA122" s="4"/>
      <c r="AB122" s="4"/>
      <c r="AC122" s="4"/>
      <c r="AD122" s="4"/>
      <c r="AE122" s="4"/>
      <c r="AF122" s="4"/>
      <c r="AG122" s="4"/>
      <c r="AH122" s="4"/>
      <c r="AI122" s="4"/>
      <c r="AJ122" s="4"/>
      <c r="AK122" s="4"/>
      <c r="AL122" s="4"/>
      <c r="AP122" s="4"/>
      <c r="AX122" s="4"/>
      <c r="AY122" s="4"/>
      <c r="AZ122" s="4"/>
      <c r="BA122" s="4"/>
      <c r="BB122" s="4"/>
      <c r="BC122" s="4"/>
      <c r="BD122" s="4"/>
      <c r="BE122" s="4"/>
      <c r="BF122" s="4"/>
      <c r="BG122" s="4"/>
      <c r="BI122" s="4"/>
      <c r="BP122" s="4"/>
      <c r="BS122" s="4"/>
      <c r="BW122" s="4"/>
      <c r="BX122" s="4"/>
    </row>
    <row r="123" spans="1:76" ht="12.75" x14ac:dyDescent="0.2">
      <c r="A123" s="4" t="s">
        <v>630</v>
      </c>
      <c r="B123" s="4" t="s">
        <v>170</v>
      </c>
      <c r="C123" s="4" t="s">
        <v>1365</v>
      </c>
      <c r="D123" s="4">
        <v>2511</v>
      </c>
      <c r="E123" s="4" t="s">
        <v>5</v>
      </c>
      <c r="F123" s="4" t="s">
        <v>893</v>
      </c>
      <c r="G123" s="113">
        <v>0.1</v>
      </c>
      <c r="H123" t="s">
        <v>1781</v>
      </c>
      <c r="I123" s="4">
        <v>0.88700000000000001</v>
      </c>
      <c r="L123" s="4" t="s">
        <v>1548</v>
      </c>
      <c r="M123" s="4" t="s">
        <v>109</v>
      </c>
      <c r="N123" s="4" t="s">
        <v>6</v>
      </c>
      <c r="O123" s="4"/>
      <c r="P123" s="4" t="s">
        <v>1693</v>
      </c>
      <c r="Q123" t="s">
        <v>109</v>
      </c>
      <c r="R123" s="4"/>
      <c r="S123" s="4"/>
      <c r="U123" s="4"/>
      <c r="Y123" s="4"/>
      <c r="Z123" s="4"/>
      <c r="AA123" s="4"/>
      <c r="AB123" s="4"/>
      <c r="AC123" s="4"/>
      <c r="AD123" s="4"/>
      <c r="AE123" s="4"/>
      <c r="AF123" s="4"/>
      <c r="AG123" s="4"/>
      <c r="AH123" s="4"/>
      <c r="AI123" s="4"/>
      <c r="AJ123" s="4"/>
      <c r="AK123" s="4"/>
      <c r="AL123" s="4"/>
      <c r="AP123" s="4"/>
      <c r="AX123" s="4"/>
      <c r="AY123" s="4"/>
      <c r="AZ123" s="4"/>
      <c r="BA123" s="4"/>
      <c r="BB123" s="4"/>
      <c r="BC123" s="4"/>
      <c r="BD123" s="4"/>
      <c r="BE123" s="4"/>
      <c r="BF123" s="4"/>
      <c r="BG123" s="4"/>
      <c r="BI123" s="4"/>
      <c r="BP123" s="4"/>
      <c r="BS123" s="4"/>
      <c r="BW123" s="4"/>
      <c r="BX123" s="4"/>
    </row>
    <row r="124" spans="1:76" ht="12.75" x14ac:dyDescent="0.2">
      <c r="A124" s="4" t="s">
        <v>630</v>
      </c>
      <c r="B124" s="4" t="s">
        <v>170</v>
      </c>
      <c r="C124" s="4" t="s">
        <v>1365</v>
      </c>
      <c r="D124" s="4">
        <v>2511</v>
      </c>
      <c r="E124" s="4" t="s">
        <v>5</v>
      </c>
      <c r="F124" s="4" t="s">
        <v>893</v>
      </c>
      <c r="G124" s="113">
        <v>0.1</v>
      </c>
      <c r="H124" t="s">
        <v>1781</v>
      </c>
      <c r="I124" s="4">
        <v>0.97199999999999998</v>
      </c>
      <c r="L124" s="4" t="s">
        <v>1548</v>
      </c>
      <c r="M124" s="4" t="s">
        <v>109</v>
      </c>
      <c r="N124" s="4" t="s">
        <v>6</v>
      </c>
      <c r="O124" s="4"/>
      <c r="P124" s="4" t="s">
        <v>1693</v>
      </c>
      <c r="Q124" t="s">
        <v>109</v>
      </c>
      <c r="R124" s="4"/>
      <c r="S124" s="4"/>
      <c r="U124" s="4"/>
      <c r="Y124" s="4"/>
      <c r="Z124" s="4"/>
      <c r="AA124" s="4"/>
      <c r="AB124" s="4"/>
      <c r="AC124" s="4"/>
      <c r="AD124" s="4"/>
      <c r="AE124" s="4"/>
      <c r="AF124" s="4"/>
      <c r="AG124" s="4"/>
      <c r="AH124" s="4"/>
      <c r="AI124" s="4"/>
      <c r="AJ124" s="4"/>
      <c r="AK124" s="4"/>
      <c r="AL124" s="4"/>
      <c r="AP124" s="4"/>
      <c r="AX124" s="4"/>
      <c r="AY124" s="4"/>
      <c r="AZ124" s="4"/>
      <c r="BA124" s="4"/>
      <c r="BB124" s="4"/>
      <c r="BC124" s="4"/>
      <c r="BD124" s="4"/>
      <c r="BE124" s="4"/>
      <c r="BF124" s="4"/>
      <c r="BG124" s="4"/>
      <c r="BI124" s="4"/>
      <c r="BP124" s="4"/>
      <c r="BS124" s="4"/>
      <c r="BW124" s="4"/>
      <c r="BX124" s="4"/>
    </row>
    <row r="125" spans="1:76" ht="12.75" x14ac:dyDescent="0.2">
      <c r="A125" s="4" t="s">
        <v>630</v>
      </c>
      <c r="B125" s="4" t="s">
        <v>170</v>
      </c>
      <c r="C125" s="4" t="s">
        <v>1365</v>
      </c>
      <c r="D125" s="4">
        <v>2511</v>
      </c>
      <c r="E125" s="4" t="s">
        <v>5</v>
      </c>
      <c r="F125" s="4" t="s">
        <v>893</v>
      </c>
      <c r="G125" s="113">
        <v>0.1</v>
      </c>
      <c r="H125" t="s">
        <v>1781</v>
      </c>
      <c r="I125" s="4">
        <v>1.1599999999999999</v>
      </c>
      <c r="L125" s="4" t="s">
        <v>1548</v>
      </c>
      <c r="M125" s="4" t="s">
        <v>109</v>
      </c>
      <c r="N125" s="4" t="s">
        <v>6</v>
      </c>
      <c r="O125" s="4"/>
      <c r="P125" s="4" t="s">
        <v>1693</v>
      </c>
      <c r="Q125" t="s">
        <v>109</v>
      </c>
      <c r="R125" s="4"/>
      <c r="S125" s="4"/>
      <c r="U125" s="4"/>
      <c r="Y125" s="4"/>
      <c r="Z125" s="4"/>
      <c r="AA125" s="4"/>
      <c r="AB125" s="4"/>
      <c r="AC125" s="4"/>
      <c r="AD125" s="4"/>
      <c r="AE125" s="4"/>
      <c r="AF125" s="4"/>
      <c r="AG125" s="4"/>
      <c r="AH125" s="4"/>
      <c r="AI125" s="4"/>
      <c r="AJ125" s="4"/>
      <c r="AK125" s="4"/>
      <c r="AL125" s="4"/>
      <c r="AP125" s="4"/>
      <c r="AX125" s="4"/>
      <c r="AY125" s="4"/>
      <c r="AZ125" s="4"/>
      <c r="BA125" s="4"/>
      <c r="BB125" s="4"/>
      <c r="BC125" s="4"/>
      <c r="BD125" s="4"/>
      <c r="BE125" s="4"/>
      <c r="BF125" s="4"/>
      <c r="BG125" s="4"/>
      <c r="BI125" s="4"/>
      <c r="BP125" s="4"/>
      <c r="BS125" s="4"/>
      <c r="BW125" s="4"/>
      <c r="BX125" s="4"/>
    </row>
    <row r="126" spans="1:76" ht="12.75" x14ac:dyDescent="0.2">
      <c r="A126" s="4" t="s">
        <v>1321</v>
      </c>
      <c r="B126" s="4" t="s">
        <v>143</v>
      </c>
      <c r="C126" s="4" t="s">
        <v>1348</v>
      </c>
      <c r="D126" s="4">
        <v>2511</v>
      </c>
      <c r="E126" s="4" t="s">
        <v>5</v>
      </c>
      <c r="F126" s="4" t="s">
        <v>893</v>
      </c>
      <c r="G126" s="113">
        <v>0.5</v>
      </c>
      <c r="H126" t="s">
        <v>1781</v>
      </c>
      <c r="I126" s="4">
        <v>1.2863541000000001</v>
      </c>
      <c r="L126" s="4" t="s">
        <v>1539</v>
      </c>
      <c r="M126" s="4" t="s">
        <v>109</v>
      </c>
      <c r="N126" s="4" t="s">
        <v>6</v>
      </c>
      <c r="O126" s="4"/>
      <c r="P126" s="4" t="s">
        <v>1693</v>
      </c>
      <c r="Q126" t="s">
        <v>109</v>
      </c>
      <c r="R126" s="4"/>
      <c r="S126" s="4"/>
      <c r="U126" s="4"/>
      <c r="Y126" s="4"/>
      <c r="Z126" s="4"/>
      <c r="AA126" s="4"/>
      <c r="AB126" s="4"/>
      <c r="AC126" s="4"/>
      <c r="AD126" s="4"/>
      <c r="AE126" s="4"/>
      <c r="AF126" s="4"/>
      <c r="AG126" s="4"/>
      <c r="AH126" s="4"/>
      <c r="AI126" s="4"/>
      <c r="AJ126" s="4"/>
      <c r="AK126" s="4"/>
      <c r="AL126" s="4"/>
      <c r="AP126" s="4"/>
      <c r="AX126" s="4"/>
      <c r="AY126" s="4"/>
      <c r="AZ126" s="4"/>
      <c r="BA126" s="4"/>
      <c r="BB126" s="4"/>
      <c r="BC126" s="4"/>
      <c r="BD126" s="4"/>
      <c r="BE126" s="4"/>
      <c r="BF126" s="4"/>
      <c r="BG126" s="4"/>
      <c r="BI126" s="4"/>
      <c r="BP126" s="4"/>
      <c r="BS126" s="4"/>
      <c r="BW126" s="4"/>
      <c r="BX126" s="4"/>
    </row>
    <row r="127" spans="1:76" ht="12.75" x14ac:dyDescent="0.2">
      <c r="A127" s="4" t="s">
        <v>1321</v>
      </c>
      <c r="B127" s="4" t="s">
        <v>143</v>
      </c>
      <c r="C127" s="4" t="s">
        <v>111</v>
      </c>
      <c r="D127" s="4">
        <v>2511</v>
      </c>
      <c r="E127" s="4" t="s">
        <v>5</v>
      </c>
      <c r="F127" s="4" t="s">
        <v>893</v>
      </c>
      <c r="G127" s="113">
        <v>0.5</v>
      </c>
      <c r="H127" t="s">
        <v>1781</v>
      </c>
      <c r="I127" s="4">
        <v>1.4882127000000001</v>
      </c>
      <c r="L127" s="4" t="s">
        <v>1539</v>
      </c>
      <c r="M127" s="4" t="s">
        <v>109</v>
      </c>
      <c r="N127" s="4" t="s">
        <v>6</v>
      </c>
      <c r="O127" s="4"/>
      <c r="P127" s="4" t="s">
        <v>1693</v>
      </c>
      <c r="Q127" t="s">
        <v>109</v>
      </c>
      <c r="R127" s="4"/>
      <c r="S127" s="4"/>
      <c r="U127" s="4"/>
      <c r="Y127" s="4"/>
      <c r="Z127" s="4"/>
      <c r="AA127" s="4"/>
      <c r="AB127" s="4"/>
      <c r="AC127" s="4"/>
      <c r="AD127" s="4"/>
      <c r="AE127" s="4"/>
      <c r="AF127" s="4"/>
      <c r="AG127" s="4"/>
      <c r="AH127" s="4"/>
      <c r="AI127" s="4"/>
      <c r="AJ127" s="4"/>
      <c r="AK127" s="4"/>
      <c r="AL127" s="4"/>
      <c r="AP127" s="4"/>
      <c r="AX127" s="4"/>
      <c r="AY127" s="4"/>
      <c r="AZ127" s="4"/>
      <c r="BA127" s="4"/>
      <c r="BB127" s="4"/>
      <c r="BC127" s="4"/>
      <c r="BD127" s="4"/>
      <c r="BE127" s="4"/>
      <c r="BF127" s="4"/>
      <c r="BG127" s="4"/>
      <c r="BI127" s="4"/>
      <c r="BP127" s="4"/>
      <c r="BS127" s="4"/>
      <c r="BW127" s="4"/>
      <c r="BX127" s="4"/>
    </row>
    <row r="128" spans="1:76" ht="12.75" x14ac:dyDescent="0.2">
      <c r="A128" s="4" t="s">
        <v>630</v>
      </c>
      <c r="B128" s="4" t="s">
        <v>170</v>
      </c>
      <c r="C128" s="4" t="s">
        <v>111</v>
      </c>
      <c r="D128" s="4">
        <v>2511</v>
      </c>
      <c r="E128" s="4" t="s">
        <v>5</v>
      </c>
      <c r="F128" s="4" t="s">
        <v>893</v>
      </c>
      <c r="G128" s="113">
        <v>0.33333333333333331</v>
      </c>
      <c r="H128" t="s">
        <v>1781</v>
      </c>
      <c r="I128" s="4">
        <v>3.1850000000000001</v>
      </c>
      <c r="L128" s="4" t="s">
        <v>1543</v>
      </c>
      <c r="M128" s="4" t="s">
        <v>109</v>
      </c>
      <c r="N128" s="4" t="s">
        <v>6</v>
      </c>
      <c r="O128" s="4"/>
      <c r="P128" s="4" t="s">
        <v>1693</v>
      </c>
      <c r="Q128" t="s">
        <v>109</v>
      </c>
      <c r="R128" s="4"/>
      <c r="S128" s="4"/>
      <c r="U128" s="4"/>
      <c r="Y128" s="4"/>
      <c r="Z128" s="4"/>
      <c r="AA128" s="4"/>
      <c r="AB128" s="4"/>
      <c r="AC128" s="4"/>
      <c r="AD128" s="4"/>
      <c r="AE128" s="4"/>
      <c r="AF128" s="4"/>
      <c r="AG128" s="4"/>
      <c r="AH128" s="4"/>
      <c r="AI128" s="4"/>
      <c r="AJ128" s="4"/>
      <c r="AK128" s="4"/>
      <c r="AL128" s="4"/>
      <c r="AP128" s="4"/>
      <c r="AX128" s="4"/>
      <c r="AY128" s="4"/>
      <c r="AZ128" s="4"/>
      <c r="BA128" s="4"/>
      <c r="BB128" s="4"/>
      <c r="BC128" s="4"/>
      <c r="BD128" s="4"/>
      <c r="BE128" s="4"/>
      <c r="BF128" s="4"/>
      <c r="BG128" s="4"/>
      <c r="BI128" s="4"/>
      <c r="BP128" s="4"/>
      <c r="BS128" s="4"/>
      <c r="BW128" s="4"/>
      <c r="BX128" s="4"/>
    </row>
    <row r="129" spans="1:76" ht="12.75" x14ac:dyDescent="0.2">
      <c r="A129" s="4" t="s">
        <v>630</v>
      </c>
      <c r="B129" s="4" t="s">
        <v>170</v>
      </c>
      <c r="C129" s="4" t="s">
        <v>111</v>
      </c>
      <c r="D129" s="4">
        <v>2511</v>
      </c>
      <c r="E129" s="4" t="s">
        <v>5</v>
      </c>
      <c r="F129" s="4" t="s">
        <v>893</v>
      </c>
      <c r="G129" s="113">
        <v>0.33333333333333331</v>
      </c>
      <c r="H129" t="s">
        <v>1781</v>
      </c>
      <c r="I129" s="4">
        <v>3.4820000000000002</v>
      </c>
      <c r="L129" s="4" t="s">
        <v>1543</v>
      </c>
      <c r="M129" s="4" t="s">
        <v>109</v>
      </c>
      <c r="N129" s="4" t="s">
        <v>6</v>
      </c>
      <c r="O129" s="4"/>
      <c r="P129" s="4" t="s">
        <v>1693</v>
      </c>
      <c r="Q129" t="s">
        <v>109</v>
      </c>
      <c r="R129" s="4"/>
      <c r="S129" s="4"/>
      <c r="U129" s="4"/>
      <c r="Y129" s="4"/>
      <c r="Z129" s="4"/>
      <c r="AA129" s="4"/>
      <c r="AB129" s="4"/>
      <c r="AC129" s="4"/>
      <c r="AD129" s="4"/>
      <c r="AE129" s="4"/>
      <c r="AF129" s="4"/>
      <c r="AG129" s="4"/>
      <c r="AH129" s="4"/>
      <c r="AI129" s="4"/>
      <c r="AJ129" s="4"/>
      <c r="AK129" s="4"/>
      <c r="AL129" s="4"/>
      <c r="AP129" s="4"/>
      <c r="AX129" s="4"/>
      <c r="AY129" s="4"/>
      <c r="AZ129" s="4"/>
      <c r="BA129" s="4"/>
      <c r="BB129" s="4"/>
      <c r="BC129" s="4"/>
      <c r="BD129" s="4"/>
      <c r="BE129" s="4"/>
      <c r="BF129" s="4"/>
      <c r="BG129" s="4"/>
      <c r="BI129" s="4"/>
      <c r="BP129" s="4"/>
      <c r="BS129" s="4"/>
      <c r="BW129" s="4"/>
      <c r="BX129" s="4"/>
    </row>
    <row r="130" spans="1:76" ht="12.75" x14ac:dyDescent="0.2">
      <c r="A130" s="4" t="s">
        <v>630</v>
      </c>
      <c r="B130" s="4" t="s">
        <v>170</v>
      </c>
      <c r="C130" s="4" t="s">
        <v>111</v>
      </c>
      <c r="D130" s="4">
        <v>2511</v>
      </c>
      <c r="E130" s="4" t="s">
        <v>5</v>
      </c>
      <c r="F130" s="4" t="s">
        <v>893</v>
      </c>
      <c r="G130" s="113">
        <v>0.33333333333333331</v>
      </c>
      <c r="H130" t="s">
        <v>1781</v>
      </c>
      <c r="I130" s="4">
        <v>4.3488000000000007</v>
      </c>
      <c r="L130" s="4" t="s">
        <v>1543</v>
      </c>
      <c r="M130" s="4" t="s">
        <v>109</v>
      </c>
      <c r="N130" s="4" t="s">
        <v>6</v>
      </c>
      <c r="O130" s="4"/>
      <c r="P130" s="4" t="s">
        <v>1693</v>
      </c>
      <c r="Q130" t="s">
        <v>109</v>
      </c>
      <c r="R130" s="4"/>
      <c r="S130" s="4"/>
      <c r="U130" s="4"/>
      <c r="Y130" s="4"/>
      <c r="Z130" s="4"/>
      <c r="AA130" s="4"/>
      <c r="AB130" s="4"/>
      <c r="AC130" s="4"/>
      <c r="AD130" s="4"/>
      <c r="AE130" s="4"/>
      <c r="AF130" s="4"/>
      <c r="AG130" s="4"/>
      <c r="AH130" s="4"/>
      <c r="AI130" s="4"/>
      <c r="AJ130" s="4"/>
      <c r="AK130" s="4"/>
      <c r="AL130" s="4"/>
      <c r="AP130" s="4"/>
      <c r="AX130" s="4"/>
      <c r="AY130" s="4"/>
      <c r="AZ130" s="4"/>
      <c r="BA130" s="4"/>
      <c r="BB130" s="4"/>
      <c r="BC130" s="4"/>
      <c r="BD130" s="4"/>
      <c r="BE130" s="4"/>
      <c r="BF130" s="4"/>
      <c r="BG130" s="4"/>
      <c r="BI130" s="4"/>
      <c r="BP130" s="4"/>
      <c r="BS130" s="4"/>
      <c r="BW130" s="4"/>
      <c r="BX130" s="4"/>
    </row>
    <row r="131" spans="1:76" ht="12.75" x14ac:dyDescent="0.2">
      <c r="A131" s="4" t="s">
        <v>161</v>
      </c>
      <c r="B131" s="4" t="s">
        <v>225</v>
      </c>
      <c r="C131" s="4" t="s">
        <v>111</v>
      </c>
      <c r="D131" s="4">
        <v>2513</v>
      </c>
      <c r="E131" s="4" t="s">
        <v>10</v>
      </c>
      <c r="F131" s="4" t="s">
        <v>893</v>
      </c>
      <c r="G131" s="113">
        <v>0.5</v>
      </c>
      <c r="H131" t="s">
        <v>1781</v>
      </c>
      <c r="I131" s="4">
        <v>8.72E-2</v>
      </c>
      <c r="L131" s="4" t="s">
        <v>1558</v>
      </c>
      <c r="M131" s="4" t="s">
        <v>109</v>
      </c>
      <c r="N131" s="4" t="s">
        <v>6</v>
      </c>
      <c r="O131" s="4"/>
      <c r="P131" s="4" t="s">
        <v>1693</v>
      </c>
      <c r="Q131" t="s">
        <v>109</v>
      </c>
      <c r="R131" s="4"/>
      <c r="S131" s="4"/>
      <c r="U131" s="4"/>
      <c r="Y131" s="4"/>
      <c r="Z131" s="4"/>
      <c r="AA131" s="4"/>
      <c r="AB131" s="4"/>
      <c r="AC131" s="4"/>
      <c r="AD131" s="4"/>
      <c r="AE131" s="4"/>
      <c r="AF131" s="4"/>
      <c r="AG131" s="4"/>
      <c r="AH131" s="4"/>
      <c r="AI131" s="4"/>
      <c r="AJ131" s="4"/>
      <c r="AK131" s="4"/>
      <c r="AL131" s="4"/>
      <c r="AP131" s="4"/>
      <c r="AX131" s="4"/>
      <c r="AY131" s="4"/>
      <c r="AZ131" s="4"/>
      <c r="BA131" s="4"/>
      <c r="BB131" s="4"/>
      <c r="BC131" s="4"/>
      <c r="BD131" s="4"/>
      <c r="BE131" s="4"/>
      <c r="BF131" s="4"/>
      <c r="BG131" s="4"/>
      <c r="BI131" s="4"/>
      <c r="BP131" s="4"/>
      <c r="BS131" s="4"/>
      <c r="BW131" s="4"/>
      <c r="BX131" s="4"/>
    </row>
    <row r="132" spans="1:76" ht="12.75" x14ac:dyDescent="0.2">
      <c r="A132" s="4" t="s">
        <v>1308</v>
      </c>
      <c r="B132" s="4" t="s">
        <v>77</v>
      </c>
      <c r="C132" s="4" t="s">
        <v>101</v>
      </c>
      <c r="D132" s="4">
        <v>2513</v>
      </c>
      <c r="E132" s="4" t="s">
        <v>10</v>
      </c>
      <c r="F132" s="4" t="s">
        <v>893</v>
      </c>
      <c r="G132" s="113">
        <v>0.5</v>
      </c>
      <c r="H132" t="s">
        <v>1781</v>
      </c>
      <c r="I132" s="4">
        <v>0.20500000000000002</v>
      </c>
      <c r="L132" s="4" t="s">
        <v>1555</v>
      </c>
      <c r="M132" s="4" t="s">
        <v>109</v>
      </c>
      <c r="N132" s="4" t="s">
        <v>6</v>
      </c>
      <c r="O132" s="4"/>
      <c r="P132" s="4" t="s">
        <v>1693</v>
      </c>
      <c r="Q132" t="s">
        <v>109</v>
      </c>
      <c r="R132" s="4"/>
      <c r="S132" s="4"/>
      <c r="U132" s="4"/>
      <c r="Y132" s="4"/>
      <c r="Z132" s="4"/>
      <c r="AA132" s="4"/>
      <c r="AB132" s="4"/>
      <c r="AC132" s="4"/>
      <c r="AD132" s="4"/>
      <c r="AE132" s="4"/>
      <c r="AF132" s="4"/>
      <c r="AG132" s="4"/>
      <c r="AH132" s="4"/>
      <c r="AI132" s="4"/>
      <c r="AJ132" s="4"/>
      <c r="AK132" s="4"/>
      <c r="AL132" s="4"/>
      <c r="AP132" s="4"/>
      <c r="AX132" s="4"/>
      <c r="AY132" s="4"/>
      <c r="AZ132" s="4"/>
      <c r="BA132" s="4"/>
      <c r="BB132" s="4"/>
      <c r="BC132" s="4"/>
      <c r="BD132" s="4"/>
      <c r="BE132" s="4"/>
      <c r="BF132" s="4"/>
      <c r="BG132" s="4"/>
      <c r="BI132" s="4"/>
      <c r="BP132" s="4"/>
      <c r="BS132" s="4"/>
      <c r="BW132" s="4"/>
      <c r="BX132" s="4"/>
    </row>
    <row r="133" spans="1:76" ht="12.75" x14ac:dyDescent="0.2">
      <c r="A133" s="4" t="s">
        <v>161</v>
      </c>
      <c r="B133" s="4" t="s">
        <v>225</v>
      </c>
      <c r="C133" s="4" t="s">
        <v>1366</v>
      </c>
      <c r="D133" s="4">
        <v>2513</v>
      </c>
      <c r="E133" s="4" t="s">
        <v>10</v>
      </c>
      <c r="F133" s="4" t="s">
        <v>893</v>
      </c>
      <c r="G133" s="113">
        <v>1</v>
      </c>
      <c r="H133" t="s">
        <v>1781</v>
      </c>
      <c r="I133" s="4">
        <v>0.21099999999999999</v>
      </c>
      <c r="L133" s="4" t="s">
        <v>1549</v>
      </c>
      <c r="M133" s="4" t="s">
        <v>109</v>
      </c>
      <c r="N133" s="4" t="s">
        <v>6</v>
      </c>
      <c r="O133" s="4"/>
      <c r="P133" s="4" t="s">
        <v>1693</v>
      </c>
      <c r="Q133" t="s">
        <v>109</v>
      </c>
      <c r="R133" s="4"/>
      <c r="S133" s="4"/>
      <c r="U133" s="4"/>
      <c r="Y133" s="4"/>
      <c r="Z133" s="4"/>
      <c r="AA133" s="4"/>
      <c r="AB133" s="4"/>
      <c r="AC133" s="4"/>
      <c r="AD133" s="4"/>
      <c r="AE133" s="4"/>
      <c r="AF133" s="4"/>
      <c r="AG133" s="4"/>
      <c r="AH133" s="4"/>
      <c r="AI133" s="4"/>
      <c r="AJ133" s="4"/>
      <c r="AK133" s="4"/>
      <c r="AL133" s="4"/>
      <c r="AP133" s="4"/>
      <c r="AX133" s="4"/>
      <c r="AY133" s="4"/>
      <c r="AZ133" s="4"/>
      <c r="BA133" s="4"/>
      <c r="BB133" s="4"/>
      <c r="BC133" s="4"/>
      <c r="BD133" s="4"/>
      <c r="BE133" s="4"/>
      <c r="BF133" s="4"/>
      <c r="BG133" s="4"/>
      <c r="BI133" s="4"/>
      <c r="BP133" s="4"/>
      <c r="BS133" s="4"/>
      <c r="BW133" s="4"/>
      <c r="BX133" s="4"/>
    </row>
    <row r="134" spans="1:76" ht="12.75" x14ac:dyDescent="0.2">
      <c r="A134" s="4" t="s">
        <v>161</v>
      </c>
      <c r="B134" s="4" t="s">
        <v>170</v>
      </c>
      <c r="C134" s="4" t="s">
        <v>1364</v>
      </c>
      <c r="D134" s="4">
        <v>2513</v>
      </c>
      <c r="E134" s="4" t="s">
        <v>10</v>
      </c>
      <c r="F134" s="4" t="s">
        <v>893</v>
      </c>
      <c r="G134" s="113">
        <v>0.1</v>
      </c>
      <c r="H134" t="s">
        <v>1781</v>
      </c>
      <c r="I134" s="4">
        <v>0.254</v>
      </c>
      <c r="L134" s="4" t="s">
        <v>1548</v>
      </c>
      <c r="M134" s="4" t="s">
        <v>109</v>
      </c>
      <c r="N134" s="4" t="s">
        <v>6</v>
      </c>
      <c r="O134" s="4"/>
      <c r="P134" s="4" t="s">
        <v>1693</v>
      </c>
      <c r="Q134" t="s">
        <v>109</v>
      </c>
      <c r="R134" s="4"/>
      <c r="S134" s="4"/>
      <c r="U134" s="4"/>
      <c r="Y134" s="4"/>
      <c r="Z134" s="4"/>
      <c r="AA134" s="4"/>
      <c r="AB134" s="4"/>
      <c r="AC134" s="4"/>
      <c r="AD134" s="4"/>
      <c r="AE134" s="4"/>
      <c r="AF134" s="4"/>
      <c r="AG134" s="4"/>
      <c r="AH134" s="4"/>
      <c r="AI134" s="4"/>
      <c r="AJ134" s="4"/>
      <c r="AK134" s="4"/>
      <c r="AL134" s="4"/>
      <c r="AP134" s="4"/>
      <c r="AX134" s="4"/>
      <c r="AY134" s="4"/>
      <c r="AZ134" s="4"/>
      <c r="BA134" s="4"/>
      <c r="BB134" s="4"/>
      <c r="BC134" s="4"/>
      <c r="BD134" s="4"/>
      <c r="BE134" s="4"/>
      <c r="BF134" s="4"/>
      <c r="BG134" s="4"/>
      <c r="BI134" s="4"/>
      <c r="BP134" s="4"/>
      <c r="BS134" s="4"/>
      <c r="BW134" s="4"/>
      <c r="BX134" s="4"/>
    </row>
    <row r="135" spans="1:76" ht="12.75" x14ac:dyDescent="0.2">
      <c r="A135" s="4" t="s">
        <v>1325</v>
      </c>
      <c r="B135" s="4" t="s">
        <v>180</v>
      </c>
      <c r="C135" s="4" t="s">
        <v>111</v>
      </c>
      <c r="D135" s="4">
        <v>2513</v>
      </c>
      <c r="E135" s="4" t="s">
        <v>10</v>
      </c>
      <c r="F135" s="4" t="s">
        <v>893</v>
      </c>
      <c r="G135" s="113">
        <v>1</v>
      </c>
      <c r="H135" t="s">
        <v>1781</v>
      </c>
      <c r="I135" s="4">
        <v>0.29799999999999999</v>
      </c>
      <c r="L135" s="4" t="s">
        <v>1559</v>
      </c>
      <c r="M135" s="4" t="s">
        <v>109</v>
      </c>
      <c r="N135" s="4" t="s">
        <v>6</v>
      </c>
      <c r="O135" s="4"/>
      <c r="P135" s="4" t="s">
        <v>1693</v>
      </c>
      <c r="Q135" t="s">
        <v>109</v>
      </c>
      <c r="R135" s="4"/>
      <c r="S135" s="4"/>
      <c r="U135" s="4"/>
      <c r="Y135" s="4"/>
      <c r="Z135" s="4"/>
      <c r="AA135" s="4"/>
      <c r="AB135" s="4"/>
      <c r="AC135" s="4"/>
      <c r="AD135" s="4"/>
      <c r="AE135" s="4"/>
      <c r="AF135" s="4"/>
      <c r="AG135" s="4"/>
      <c r="AH135" s="4"/>
      <c r="AI135" s="4"/>
      <c r="AJ135" s="4"/>
      <c r="AK135" s="4"/>
      <c r="AL135" s="4"/>
      <c r="AP135" s="4"/>
      <c r="AX135" s="4"/>
      <c r="AY135" s="4"/>
      <c r="AZ135" s="4"/>
      <c r="BA135" s="4"/>
      <c r="BB135" s="4"/>
      <c r="BC135" s="4"/>
      <c r="BD135" s="4"/>
      <c r="BE135" s="4"/>
      <c r="BF135" s="4"/>
      <c r="BG135" s="4"/>
      <c r="BI135" s="4"/>
      <c r="BP135" s="4"/>
      <c r="BS135" s="4"/>
      <c r="BW135" s="4"/>
      <c r="BX135" s="4"/>
    </row>
    <row r="136" spans="1:76" ht="12.75" x14ac:dyDescent="0.2">
      <c r="A136" s="4" t="s">
        <v>1308</v>
      </c>
      <c r="B136" s="4" t="s">
        <v>77</v>
      </c>
      <c r="C136" s="4" t="s">
        <v>111</v>
      </c>
      <c r="D136" s="4">
        <v>2513</v>
      </c>
      <c r="E136" s="4" t="s">
        <v>10</v>
      </c>
      <c r="F136" s="4" t="s">
        <v>893</v>
      </c>
      <c r="G136" s="113">
        <v>0.5</v>
      </c>
      <c r="H136" t="s">
        <v>1781</v>
      </c>
      <c r="I136" s="4">
        <v>0.32300000000000001</v>
      </c>
      <c r="L136" s="4" t="s">
        <v>1555</v>
      </c>
      <c r="M136" s="4" t="s">
        <v>109</v>
      </c>
      <c r="N136" s="4" t="s">
        <v>6</v>
      </c>
      <c r="O136" s="4"/>
      <c r="P136" s="4" t="s">
        <v>1693</v>
      </c>
      <c r="Q136" t="s">
        <v>109</v>
      </c>
      <c r="R136" s="4"/>
      <c r="S136" s="4"/>
      <c r="U136" s="4"/>
      <c r="Y136" s="4"/>
      <c r="Z136" s="4"/>
      <c r="AA136" s="4"/>
      <c r="AB136" s="4"/>
      <c r="AC136" s="4"/>
      <c r="AD136" s="4"/>
      <c r="AE136" s="4"/>
      <c r="AF136" s="4"/>
      <c r="AG136" s="4"/>
      <c r="AH136" s="4"/>
      <c r="AI136" s="4"/>
      <c r="AJ136" s="4"/>
      <c r="AK136" s="4"/>
      <c r="AL136" s="4"/>
      <c r="AP136" s="4"/>
      <c r="AX136" s="4"/>
      <c r="AY136" s="4"/>
      <c r="AZ136" s="4"/>
      <c r="BA136" s="4"/>
      <c r="BB136" s="4"/>
      <c r="BC136" s="4"/>
      <c r="BD136" s="4"/>
      <c r="BE136" s="4"/>
      <c r="BF136" s="4"/>
      <c r="BG136" s="4"/>
      <c r="BI136" s="4"/>
      <c r="BP136" s="4"/>
      <c r="BS136" s="4"/>
      <c r="BW136" s="4"/>
      <c r="BX136" s="4"/>
    </row>
    <row r="137" spans="1:76" ht="12.75" x14ac:dyDescent="0.2">
      <c r="A137" s="4" t="s">
        <v>161</v>
      </c>
      <c r="B137" s="4" t="s">
        <v>225</v>
      </c>
      <c r="C137" s="4" t="s">
        <v>111</v>
      </c>
      <c r="D137" s="4">
        <v>2513</v>
      </c>
      <c r="E137" s="4" t="s">
        <v>10</v>
      </c>
      <c r="F137" s="4" t="s">
        <v>893</v>
      </c>
      <c r="G137" s="113">
        <v>0.5</v>
      </c>
      <c r="H137" t="s">
        <v>1781</v>
      </c>
      <c r="I137" s="4">
        <v>0.41360000000000002</v>
      </c>
      <c r="L137" s="4" t="s">
        <v>1558</v>
      </c>
      <c r="M137" s="4" t="s">
        <v>109</v>
      </c>
      <c r="N137" s="4" t="s">
        <v>6</v>
      </c>
      <c r="O137" s="4"/>
      <c r="P137" s="4" t="s">
        <v>1693</v>
      </c>
      <c r="Q137" t="s">
        <v>109</v>
      </c>
      <c r="R137" s="4"/>
      <c r="S137" s="4"/>
      <c r="U137" s="4"/>
      <c r="Y137" s="4"/>
      <c r="Z137" s="4"/>
      <c r="AA137" s="4"/>
      <c r="AB137" s="4"/>
      <c r="AC137" s="4"/>
      <c r="AD137" s="4"/>
      <c r="AE137" s="4"/>
      <c r="AF137" s="4"/>
      <c r="AG137" s="4"/>
      <c r="AH137" s="4"/>
      <c r="AI137" s="4"/>
      <c r="AJ137" s="4"/>
      <c r="AK137" s="4"/>
      <c r="AL137" s="4"/>
      <c r="AP137" s="4"/>
      <c r="AX137" s="4"/>
      <c r="AY137" s="4"/>
      <c r="AZ137" s="4"/>
      <c r="BA137" s="4"/>
      <c r="BB137" s="4"/>
      <c r="BC137" s="4"/>
      <c r="BD137" s="4"/>
      <c r="BE137" s="4"/>
      <c r="BF137" s="4"/>
      <c r="BG137" s="4"/>
      <c r="BI137" s="4"/>
      <c r="BP137" s="4"/>
      <c r="BS137" s="4"/>
      <c r="BW137" s="4"/>
      <c r="BX137" s="4"/>
    </row>
    <row r="138" spans="1:76" ht="12.75" x14ac:dyDescent="0.2">
      <c r="A138" s="4" t="s">
        <v>161</v>
      </c>
      <c r="B138" s="4" t="s">
        <v>170</v>
      </c>
      <c r="C138" s="4" t="s">
        <v>1364</v>
      </c>
      <c r="D138" s="4">
        <v>2513</v>
      </c>
      <c r="E138" s="4" t="s">
        <v>10</v>
      </c>
      <c r="F138" s="4" t="s">
        <v>893</v>
      </c>
      <c r="G138" s="113">
        <v>0.1</v>
      </c>
      <c r="H138" t="s">
        <v>1781</v>
      </c>
      <c r="I138" s="4">
        <v>0.436</v>
      </c>
      <c r="L138" s="4" t="s">
        <v>1548</v>
      </c>
      <c r="M138" s="4" t="s">
        <v>109</v>
      </c>
      <c r="N138" s="4" t="s">
        <v>6</v>
      </c>
      <c r="O138" s="4"/>
      <c r="P138" s="4" t="s">
        <v>1693</v>
      </c>
      <c r="Q138" t="s">
        <v>109</v>
      </c>
      <c r="R138" s="4"/>
      <c r="S138" s="4"/>
      <c r="U138" s="4"/>
      <c r="Y138" s="4"/>
      <c r="Z138" s="4"/>
      <c r="AA138" s="4"/>
      <c r="AB138" s="4"/>
      <c r="AC138" s="4"/>
      <c r="AD138" s="4"/>
      <c r="AE138" s="4"/>
      <c r="AF138" s="4"/>
      <c r="AG138" s="4"/>
      <c r="AH138" s="4"/>
      <c r="AI138" s="4"/>
      <c r="AJ138" s="4"/>
      <c r="AK138" s="4"/>
      <c r="AL138" s="4"/>
      <c r="AP138" s="4"/>
      <c r="AX138" s="4"/>
      <c r="AY138" s="4"/>
      <c r="AZ138" s="4"/>
      <c r="BA138" s="4"/>
      <c r="BB138" s="4"/>
      <c r="BC138" s="4"/>
      <c r="BD138" s="4"/>
      <c r="BE138" s="4"/>
      <c r="BF138" s="4"/>
      <c r="BG138" s="4"/>
      <c r="BI138" s="4"/>
      <c r="BP138" s="4"/>
      <c r="BS138" s="4"/>
      <c r="BW138" s="4"/>
      <c r="BX138" s="4"/>
    </row>
    <row r="139" spans="1:76" ht="12.75" x14ac:dyDescent="0.2">
      <c r="A139" s="4" t="s">
        <v>161</v>
      </c>
      <c r="B139" s="4" t="s">
        <v>170</v>
      </c>
      <c r="C139" s="4" t="s">
        <v>1364</v>
      </c>
      <c r="D139" s="4">
        <v>2513</v>
      </c>
      <c r="E139" s="4" t="s">
        <v>10</v>
      </c>
      <c r="F139" s="4" t="s">
        <v>893</v>
      </c>
      <c r="G139" s="113">
        <v>0.1</v>
      </c>
      <c r="H139" t="s">
        <v>1781</v>
      </c>
      <c r="I139" s="4">
        <v>0.48799999999999999</v>
      </c>
      <c r="L139" s="4" t="s">
        <v>1548</v>
      </c>
      <c r="M139" s="4" t="s">
        <v>109</v>
      </c>
      <c r="N139" s="4" t="s">
        <v>6</v>
      </c>
      <c r="O139" s="4"/>
      <c r="P139" s="4" t="s">
        <v>1693</v>
      </c>
      <c r="Q139" t="s">
        <v>109</v>
      </c>
      <c r="R139" s="4"/>
      <c r="S139" s="4"/>
      <c r="U139" s="4"/>
      <c r="Y139" s="4"/>
      <c r="Z139" s="4"/>
      <c r="AA139" s="4"/>
      <c r="AB139" s="4"/>
      <c r="AC139" s="4"/>
      <c r="AD139" s="4"/>
      <c r="AE139" s="4"/>
      <c r="AF139" s="4"/>
      <c r="AG139" s="4"/>
      <c r="AH139" s="4"/>
      <c r="AI139" s="4"/>
      <c r="AJ139" s="4"/>
      <c r="AK139" s="4"/>
      <c r="AL139" s="4"/>
      <c r="AP139" s="4"/>
      <c r="AX139" s="4"/>
      <c r="AY139" s="4"/>
      <c r="AZ139" s="4"/>
      <c r="BA139" s="4"/>
      <c r="BB139" s="4"/>
      <c r="BC139" s="4"/>
      <c r="BD139" s="4"/>
      <c r="BE139" s="4"/>
      <c r="BF139" s="4"/>
      <c r="BG139" s="4"/>
      <c r="BI139" s="4"/>
      <c r="BP139" s="4"/>
      <c r="BS139" s="4"/>
      <c r="BW139" s="4"/>
      <c r="BX139" s="4"/>
    </row>
    <row r="140" spans="1:76" ht="12.75" x14ac:dyDescent="0.2">
      <c r="A140" s="4" t="s">
        <v>161</v>
      </c>
      <c r="B140" s="4" t="s">
        <v>186</v>
      </c>
      <c r="C140" s="4" t="s">
        <v>111</v>
      </c>
      <c r="D140" s="4">
        <v>2513</v>
      </c>
      <c r="E140" s="4" t="s">
        <v>10</v>
      </c>
      <c r="F140" s="4" t="s">
        <v>893</v>
      </c>
      <c r="G140" s="113">
        <v>0.33333333333333331</v>
      </c>
      <c r="H140" t="s">
        <v>1781</v>
      </c>
      <c r="I140" s="4">
        <v>0.54</v>
      </c>
      <c r="L140" s="4" t="s">
        <v>1538</v>
      </c>
      <c r="M140" s="4" t="s">
        <v>109</v>
      </c>
      <c r="N140" s="4" t="s">
        <v>6</v>
      </c>
      <c r="O140" s="4"/>
      <c r="P140" s="4" t="s">
        <v>1693</v>
      </c>
      <c r="Q140" t="s">
        <v>109</v>
      </c>
      <c r="R140" s="4"/>
      <c r="S140" s="4"/>
      <c r="U140" s="4"/>
      <c r="Y140" s="4"/>
      <c r="Z140" s="4"/>
      <c r="AA140" s="4"/>
      <c r="AB140" s="4"/>
      <c r="AC140" s="4"/>
      <c r="AD140" s="4"/>
      <c r="AE140" s="4"/>
      <c r="AF140" s="4"/>
      <c r="AG140" s="4"/>
      <c r="AH140" s="4"/>
      <c r="AI140" s="4"/>
      <c r="AJ140" s="4"/>
      <c r="AK140" s="4"/>
      <c r="AL140" s="4"/>
      <c r="AP140" s="4"/>
      <c r="AX140" s="4"/>
      <c r="AY140" s="4"/>
      <c r="AZ140" s="4"/>
      <c r="BA140" s="4"/>
      <c r="BB140" s="4"/>
      <c r="BC140" s="4"/>
      <c r="BD140" s="4"/>
      <c r="BE140" s="4"/>
      <c r="BF140" s="4"/>
      <c r="BG140" s="4"/>
      <c r="BI140" s="4"/>
      <c r="BP140" s="4"/>
      <c r="BS140" s="4"/>
      <c r="BW140" s="4"/>
      <c r="BX140" s="4"/>
    </row>
    <row r="141" spans="1:76" ht="12.75" x14ac:dyDescent="0.2">
      <c r="A141" s="4" t="s">
        <v>161</v>
      </c>
      <c r="B141" s="4" t="s">
        <v>200</v>
      </c>
      <c r="C141" s="4" t="s">
        <v>201</v>
      </c>
      <c r="D141" s="4">
        <v>2513</v>
      </c>
      <c r="E141" s="4" t="s">
        <v>10</v>
      </c>
      <c r="F141" s="4" t="s">
        <v>893</v>
      </c>
      <c r="G141" s="113">
        <v>0.33333333333333331</v>
      </c>
      <c r="H141" t="s">
        <v>1781</v>
      </c>
      <c r="I141" s="4">
        <v>0.55000000000000004</v>
      </c>
      <c r="L141" s="4" t="s">
        <v>1546</v>
      </c>
      <c r="M141" s="4" t="s">
        <v>109</v>
      </c>
      <c r="N141" s="4" t="s">
        <v>6</v>
      </c>
      <c r="O141" s="4"/>
      <c r="P141" s="4" t="s">
        <v>1693</v>
      </c>
      <c r="Q141" t="s">
        <v>109</v>
      </c>
      <c r="R141" s="4"/>
      <c r="S141" s="4"/>
      <c r="U141" s="4"/>
      <c r="Y141" s="4"/>
      <c r="Z141" s="4"/>
      <c r="AA141" s="4"/>
      <c r="AB141" s="4"/>
      <c r="AC141" s="4"/>
      <c r="AD141" s="4"/>
      <c r="AE141" s="4"/>
      <c r="AF141" s="4"/>
      <c r="AG141" s="4"/>
      <c r="AH141" s="4"/>
      <c r="AI141" s="4"/>
      <c r="AJ141" s="4"/>
      <c r="AK141" s="4"/>
      <c r="AL141" s="4"/>
      <c r="AP141" s="4"/>
      <c r="AX141" s="4"/>
      <c r="AY141" s="4"/>
      <c r="AZ141" s="4"/>
      <c r="BA141" s="4"/>
      <c r="BB141" s="4"/>
      <c r="BC141" s="4"/>
      <c r="BD141" s="4"/>
      <c r="BE141" s="4"/>
      <c r="BF141" s="4"/>
      <c r="BG141" s="4"/>
      <c r="BI141" s="4"/>
      <c r="BP141" s="4"/>
      <c r="BS141" s="4"/>
      <c r="BW141" s="4"/>
      <c r="BX141" s="4"/>
    </row>
    <row r="142" spans="1:76" ht="12.75" x14ac:dyDescent="0.2">
      <c r="A142" s="4" t="s">
        <v>161</v>
      </c>
      <c r="B142" s="4" t="s">
        <v>200</v>
      </c>
      <c r="C142" s="4" t="s">
        <v>205</v>
      </c>
      <c r="D142" s="4">
        <v>2513</v>
      </c>
      <c r="E142" s="4" t="s">
        <v>10</v>
      </c>
      <c r="F142" s="4" t="s">
        <v>893</v>
      </c>
      <c r="G142" s="113">
        <v>0.33333333333333331</v>
      </c>
      <c r="H142" t="s">
        <v>1781</v>
      </c>
      <c r="I142" s="4">
        <v>0.55000000000000004</v>
      </c>
      <c r="L142" s="4" t="s">
        <v>1546</v>
      </c>
      <c r="M142" s="4" t="s">
        <v>109</v>
      </c>
      <c r="N142" s="4" t="s">
        <v>6</v>
      </c>
      <c r="O142" s="4"/>
      <c r="P142" s="4" t="s">
        <v>1693</v>
      </c>
      <c r="Q142" t="s">
        <v>109</v>
      </c>
      <c r="R142" s="4"/>
      <c r="S142" s="4"/>
      <c r="U142" s="4"/>
      <c r="Y142" s="4"/>
      <c r="Z142" s="4"/>
      <c r="AA142" s="4"/>
      <c r="AB142" s="4"/>
      <c r="AC142" s="4"/>
      <c r="AD142" s="4"/>
      <c r="AE142" s="4"/>
      <c r="AF142" s="4"/>
      <c r="AG142" s="4"/>
      <c r="AH142" s="4"/>
      <c r="AI142" s="4"/>
      <c r="AJ142" s="4"/>
      <c r="AK142" s="4"/>
      <c r="AL142" s="4"/>
      <c r="AP142" s="4"/>
      <c r="AX142" s="4"/>
      <c r="AY142" s="4"/>
      <c r="AZ142" s="4"/>
      <c r="BA142" s="4"/>
      <c r="BB142" s="4"/>
      <c r="BC142" s="4"/>
      <c r="BD142" s="4"/>
      <c r="BE142" s="4"/>
      <c r="BF142" s="4"/>
      <c r="BG142" s="4"/>
      <c r="BI142" s="4"/>
      <c r="BP142" s="4"/>
      <c r="BS142" s="4"/>
      <c r="BW142" s="4"/>
      <c r="BX142" s="4"/>
    </row>
    <row r="143" spans="1:76" ht="12.75" x14ac:dyDescent="0.2">
      <c r="A143" s="4" t="s">
        <v>161</v>
      </c>
      <c r="B143" s="4" t="s">
        <v>186</v>
      </c>
      <c r="C143" s="4" t="s">
        <v>111</v>
      </c>
      <c r="D143" s="4">
        <v>2513</v>
      </c>
      <c r="E143" s="4" t="s">
        <v>10</v>
      </c>
      <c r="F143" s="4" t="s">
        <v>893</v>
      </c>
      <c r="G143" s="113">
        <v>1</v>
      </c>
      <c r="H143" t="s">
        <v>1781</v>
      </c>
      <c r="I143" s="4">
        <v>0.55580000000000007</v>
      </c>
      <c r="L143" s="4" t="s">
        <v>1551</v>
      </c>
      <c r="M143" s="4" t="s">
        <v>109</v>
      </c>
      <c r="N143" s="4" t="s">
        <v>6</v>
      </c>
      <c r="O143" s="4"/>
      <c r="P143" s="4" t="s">
        <v>1693</v>
      </c>
      <c r="Q143" t="s">
        <v>109</v>
      </c>
      <c r="R143" s="4"/>
      <c r="S143" s="4"/>
      <c r="U143" s="4"/>
      <c r="Y143" s="4"/>
      <c r="Z143" s="4"/>
      <c r="AA143" s="4"/>
      <c r="AB143" s="4"/>
      <c r="AC143" s="4"/>
      <c r="AD143" s="4"/>
      <c r="AE143" s="4"/>
      <c r="AF143" s="4"/>
      <c r="AG143" s="4"/>
      <c r="AH143" s="4"/>
      <c r="AI143" s="4"/>
      <c r="AJ143" s="4"/>
      <c r="AK143" s="4"/>
      <c r="AL143" s="4"/>
      <c r="AP143" s="4"/>
      <c r="AX143" s="4"/>
      <c r="AY143" s="4"/>
      <c r="AZ143" s="4"/>
      <c r="BA143" s="4"/>
      <c r="BB143" s="4"/>
      <c r="BC143" s="4"/>
      <c r="BD143" s="4"/>
      <c r="BE143" s="4"/>
      <c r="BF143" s="4"/>
      <c r="BG143" s="4"/>
      <c r="BI143" s="4"/>
      <c r="BP143" s="4"/>
      <c r="BS143" s="4"/>
      <c r="BW143" s="4"/>
      <c r="BX143" s="4"/>
    </row>
    <row r="144" spans="1:76" ht="12.75" x14ac:dyDescent="0.2">
      <c r="A144" s="4" t="s">
        <v>161</v>
      </c>
      <c r="B144" s="4" t="s">
        <v>200</v>
      </c>
      <c r="C144" s="4" t="s">
        <v>111</v>
      </c>
      <c r="D144" s="4">
        <v>2513</v>
      </c>
      <c r="E144" s="4" t="s">
        <v>10</v>
      </c>
      <c r="F144" s="4" t="s">
        <v>893</v>
      </c>
      <c r="G144" s="113">
        <v>0.33333333333333331</v>
      </c>
      <c r="H144" t="s">
        <v>1781</v>
      </c>
      <c r="I144" s="4">
        <v>0.56999999999999995</v>
      </c>
      <c r="L144" s="4" t="s">
        <v>1546</v>
      </c>
      <c r="M144" s="4" t="s">
        <v>109</v>
      </c>
      <c r="N144" s="4" t="s">
        <v>6</v>
      </c>
      <c r="O144" s="4"/>
      <c r="P144" s="4" t="s">
        <v>1693</v>
      </c>
      <c r="Q144" t="s">
        <v>109</v>
      </c>
      <c r="R144" s="4"/>
      <c r="S144" s="4"/>
      <c r="U144" s="4"/>
      <c r="Y144" s="4"/>
      <c r="Z144" s="4"/>
      <c r="AA144" s="4"/>
      <c r="AB144" s="4"/>
      <c r="AC144" s="4"/>
      <c r="AD144" s="4"/>
      <c r="AE144" s="4"/>
      <c r="AF144" s="4"/>
      <c r="AG144" s="4"/>
      <c r="AH144" s="4"/>
      <c r="AI144" s="4"/>
      <c r="AJ144" s="4"/>
      <c r="AK144" s="4"/>
      <c r="AL144" s="4"/>
      <c r="AP144" s="4"/>
      <c r="AX144" s="4"/>
      <c r="AY144" s="4"/>
      <c r="AZ144" s="4"/>
      <c r="BA144" s="4"/>
      <c r="BB144" s="4"/>
      <c r="BC144" s="4"/>
      <c r="BD144" s="4"/>
      <c r="BE144" s="4"/>
      <c r="BF144" s="4"/>
      <c r="BG144" s="4"/>
      <c r="BI144" s="4"/>
      <c r="BP144" s="4"/>
      <c r="BS144" s="4"/>
      <c r="BW144" s="4"/>
      <c r="BX144" s="4"/>
    </row>
    <row r="145" spans="1:76" ht="12.75" x14ac:dyDescent="0.2">
      <c r="A145" s="4" t="s">
        <v>161</v>
      </c>
      <c r="B145" s="4" t="s">
        <v>170</v>
      </c>
      <c r="C145" s="4" t="s">
        <v>1364</v>
      </c>
      <c r="D145" s="4">
        <v>2513</v>
      </c>
      <c r="E145" s="4" t="s">
        <v>10</v>
      </c>
      <c r="F145" s="4" t="s">
        <v>893</v>
      </c>
      <c r="G145" s="113">
        <v>0.1</v>
      </c>
      <c r="H145" t="s">
        <v>1781</v>
      </c>
      <c r="I145" s="4">
        <v>0.57899999999999996</v>
      </c>
      <c r="L145" s="4" t="s">
        <v>1548</v>
      </c>
      <c r="M145" s="4" t="s">
        <v>109</v>
      </c>
      <c r="N145" s="4" t="s">
        <v>6</v>
      </c>
      <c r="O145" s="4"/>
      <c r="P145" s="4" t="s">
        <v>1693</v>
      </c>
      <c r="Q145" t="s">
        <v>109</v>
      </c>
      <c r="R145" s="4"/>
      <c r="S145" s="4"/>
      <c r="U145" s="4"/>
      <c r="Y145" s="4"/>
      <c r="Z145" s="4"/>
      <c r="AA145" s="4"/>
      <c r="AB145" s="4"/>
      <c r="AC145" s="4"/>
      <c r="AD145" s="4"/>
      <c r="AE145" s="4"/>
      <c r="AF145" s="4"/>
      <c r="AG145" s="4"/>
      <c r="AH145" s="4"/>
      <c r="AI145" s="4"/>
      <c r="AJ145" s="4"/>
      <c r="AK145" s="4"/>
      <c r="AL145" s="4"/>
      <c r="AP145" s="4"/>
      <c r="AX145" s="4"/>
      <c r="AY145" s="4"/>
      <c r="AZ145" s="4"/>
      <c r="BA145" s="4"/>
      <c r="BB145" s="4"/>
      <c r="BC145" s="4"/>
      <c r="BD145" s="4"/>
      <c r="BE145" s="4"/>
      <c r="BF145" s="4"/>
      <c r="BG145" s="4"/>
      <c r="BI145" s="4"/>
      <c r="BP145" s="4"/>
      <c r="BS145" s="4"/>
      <c r="BW145" s="4"/>
      <c r="BX145" s="4"/>
    </row>
    <row r="146" spans="1:76" ht="12.75" x14ac:dyDescent="0.2">
      <c r="A146" s="4" t="s">
        <v>161</v>
      </c>
      <c r="B146" s="4" t="s">
        <v>170</v>
      </c>
      <c r="C146" s="4" t="s">
        <v>1364</v>
      </c>
      <c r="D146" s="4">
        <v>2513</v>
      </c>
      <c r="E146" s="4" t="s">
        <v>10</v>
      </c>
      <c r="F146" s="4" t="s">
        <v>893</v>
      </c>
      <c r="G146" s="113">
        <v>0.1</v>
      </c>
      <c r="H146" t="s">
        <v>1781</v>
      </c>
      <c r="I146" s="4">
        <v>0.623</v>
      </c>
      <c r="L146" s="4" t="s">
        <v>1548</v>
      </c>
      <c r="M146" s="4" t="s">
        <v>109</v>
      </c>
      <c r="N146" s="4" t="s">
        <v>6</v>
      </c>
      <c r="O146" s="4"/>
      <c r="P146" s="4" t="s">
        <v>1693</v>
      </c>
      <c r="Q146" t="s">
        <v>109</v>
      </c>
      <c r="R146" s="4"/>
      <c r="S146" s="4"/>
      <c r="U146" s="4"/>
      <c r="Y146" s="4"/>
      <c r="Z146" s="4"/>
      <c r="AA146" s="4"/>
      <c r="AB146" s="4"/>
      <c r="AC146" s="4"/>
      <c r="AD146" s="4"/>
      <c r="AE146" s="4"/>
      <c r="AF146" s="4"/>
      <c r="AG146" s="4"/>
      <c r="AH146" s="4"/>
      <c r="AI146" s="4"/>
      <c r="AJ146" s="4"/>
      <c r="AK146" s="4"/>
      <c r="AL146" s="4"/>
      <c r="AP146" s="4"/>
      <c r="AX146" s="4"/>
      <c r="AY146" s="4"/>
      <c r="AZ146" s="4"/>
      <c r="BA146" s="4"/>
      <c r="BB146" s="4"/>
      <c r="BC146" s="4"/>
      <c r="BD146" s="4"/>
      <c r="BE146" s="4"/>
      <c r="BF146" s="4"/>
      <c r="BG146" s="4"/>
      <c r="BI146" s="4"/>
      <c r="BP146" s="4"/>
      <c r="BS146" s="4"/>
      <c r="BW146" s="4"/>
      <c r="BX146" s="4"/>
    </row>
    <row r="147" spans="1:76" ht="12.75" x14ac:dyDescent="0.2">
      <c r="A147" s="4" t="s">
        <v>161</v>
      </c>
      <c r="B147" s="4" t="s">
        <v>186</v>
      </c>
      <c r="C147" s="4" t="s">
        <v>111</v>
      </c>
      <c r="D147" s="4">
        <v>2513</v>
      </c>
      <c r="E147" s="4" t="s">
        <v>10</v>
      </c>
      <c r="F147" s="4" t="s">
        <v>893</v>
      </c>
      <c r="G147" s="113">
        <v>0.33333333333333331</v>
      </c>
      <c r="H147" t="s">
        <v>1781</v>
      </c>
      <c r="I147" s="4">
        <v>0.66</v>
      </c>
      <c r="L147" s="4" t="s">
        <v>1538</v>
      </c>
      <c r="M147" s="4" t="s">
        <v>109</v>
      </c>
      <c r="N147" s="4" t="s">
        <v>6</v>
      </c>
      <c r="O147" s="4"/>
      <c r="P147" s="4" t="s">
        <v>1693</v>
      </c>
      <c r="Q147" t="s">
        <v>109</v>
      </c>
      <c r="R147" s="4"/>
      <c r="S147" s="4"/>
      <c r="U147" s="4"/>
      <c r="Y147" s="4"/>
      <c r="Z147" s="4"/>
      <c r="AA147" s="4"/>
      <c r="AB147" s="4"/>
      <c r="AC147" s="4"/>
      <c r="AD147" s="4"/>
      <c r="AE147" s="4"/>
      <c r="AF147" s="4"/>
      <c r="AG147" s="4"/>
      <c r="AH147" s="4"/>
      <c r="AI147" s="4"/>
      <c r="AJ147" s="4"/>
      <c r="AK147" s="4"/>
      <c r="AL147" s="4"/>
      <c r="AP147" s="4"/>
      <c r="AX147" s="4"/>
      <c r="AY147" s="4"/>
      <c r="AZ147" s="4"/>
      <c r="BA147" s="4"/>
      <c r="BB147" s="4"/>
      <c r="BC147" s="4"/>
      <c r="BD147" s="4"/>
      <c r="BE147" s="4"/>
      <c r="BF147" s="4"/>
      <c r="BG147" s="4"/>
      <c r="BI147" s="4"/>
      <c r="BP147" s="4"/>
      <c r="BS147" s="4"/>
      <c r="BW147" s="4"/>
      <c r="BX147" s="4"/>
    </row>
    <row r="148" spans="1:76" ht="12.75" x14ac:dyDescent="0.2">
      <c r="A148" s="4" t="s">
        <v>161</v>
      </c>
      <c r="B148" s="4" t="s">
        <v>186</v>
      </c>
      <c r="C148" s="4" t="s">
        <v>111</v>
      </c>
      <c r="D148" s="4">
        <v>2513</v>
      </c>
      <c r="E148" s="4" t="s">
        <v>10</v>
      </c>
      <c r="F148" s="4" t="s">
        <v>893</v>
      </c>
      <c r="G148" s="113">
        <v>0.33333333333333331</v>
      </c>
      <c r="H148" t="s">
        <v>1781</v>
      </c>
      <c r="I148" s="4">
        <v>0.75</v>
      </c>
      <c r="L148" s="4" t="s">
        <v>1538</v>
      </c>
      <c r="M148" s="4" t="s">
        <v>109</v>
      </c>
      <c r="N148" s="4" t="s">
        <v>6</v>
      </c>
      <c r="O148" s="4"/>
      <c r="P148" s="4" t="s">
        <v>1693</v>
      </c>
      <c r="Q148" t="s">
        <v>109</v>
      </c>
      <c r="R148" s="4"/>
      <c r="S148" s="4"/>
      <c r="U148" s="4"/>
      <c r="Y148" s="4"/>
      <c r="Z148" s="4"/>
      <c r="AA148" s="4"/>
      <c r="AB148" s="4"/>
      <c r="AC148" s="4"/>
      <c r="AD148" s="4"/>
      <c r="AE148" s="4"/>
      <c r="AF148" s="4"/>
      <c r="AG148" s="4"/>
      <c r="AH148" s="4"/>
      <c r="AI148" s="4"/>
      <c r="AJ148" s="4"/>
      <c r="AK148" s="4"/>
      <c r="AL148" s="4"/>
      <c r="AP148" s="4"/>
      <c r="AX148" s="4"/>
      <c r="AY148" s="4"/>
      <c r="AZ148" s="4"/>
      <c r="BA148" s="4"/>
      <c r="BB148" s="4"/>
      <c r="BC148" s="4"/>
      <c r="BD148" s="4"/>
      <c r="BE148" s="4"/>
      <c r="BF148" s="4"/>
      <c r="BG148" s="4"/>
      <c r="BI148" s="4"/>
      <c r="BP148" s="4"/>
      <c r="BS148" s="4"/>
      <c r="BW148" s="4"/>
      <c r="BX148" s="4"/>
    </row>
    <row r="149" spans="1:76" ht="12.75" x14ac:dyDescent="0.2">
      <c r="A149" s="4" t="s">
        <v>161</v>
      </c>
      <c r="B149" s="4" t="s">
        <v>170</v>
      </c>
      <c r="C149" s="4" t="s">
        <v>1365</v>
      </c>
      <c r="D149" s="4">
        <v>2513</v>
      </c>
      <c r="E149" s="4" t="s">
        <v>10</v>
      </c>
      <c r="F149" s="4" t="s">
        <v>893</v>
      </c>
      <c r="G149" s="113">
        <v>0.1</v>
      </c>
      <c r="H149" t="s">
        <v>1781</v>
      </c>
      <c r="I149" s="4">
        <v>0.84099999999999997</v>
      </c>
      <c r="L149" s="4" t="s">
        <v>1548</v>
      </c>
      <c r="M149" s="4" t="s">
        <v>109</v>
      </c>
      <c r="N149" s="4" t="s">
        <v>6</v>
      </c>
      <c r="O149" s="4"/>
      <c r="P149" s="4" t="s">
        <v>1693</v>
      </c>
      <c r="Q149" t="s">
        <v>109</v>
      </c>
      <c r="R149" s="4"/>
      <c r="S149" s="4"/>
      <c r="U149" s="4"/>
      <c r="Y149" s="4"/>
      <c r="Z149" s="4"/>
      <c r="AA149" s="4"/>
      <c r="AB149" s="4"/>
      <c r="AC149" s="4"/>
      <c r="AD149" s="4"/>
      <c r="AE149" s="4"/>
      <c r="AF149" s="4"/>
      <c r="AG149" s="4"/>
      <c r="AH149" s="4"/>
      <c r="AI149" s="4"/>
      <c r="AJ149" s="4"/>
      <c r="AK149" s="4"/>
      <c r="AL149" s="4"/>
      <c r="AP149" s="4"/>
      <c r="AX149" s="4"/>
      <c r="AY149" s="4"/>
      <c r="AZ149" s="4"/>
      <c r="BA149" s="4"/>
      <c r="BB149" s="4"/>
      <c r="BC149" s="4"/>
      <c r="BD149" s="4"/>
      <c r="BE149" s="4"/>
      <c r="BF149" s="4"/>
      <c r="BG149" s="4"/>
      <c r="BI149" s="4"/>
      <c r="BP149" s="4"/>
      <c r="BS149" s="4"/>
      <c r="BW149" s="4"/>
      <c r="BX149" s="4"/>
    </row>
    <row r="150" spans="1:76" ht="12.75" x14ac:dyDescent="0.2">
      <c r="A150" s="4" t="s">
        <v>161</v>
      </c>
      <c r="B150" s="4" t="s">
        <v>170</v>
      </c>
      <c r="C150" s="4" t="s">
        <v>1365</v>
      </c>
      <c r="D150" s="4">
        <v>2513</v>
      </c>
      <c r="E150" s="4" t="s">
        <v>10</v>
      </c>
      <c r="F150" s="4" t="s">
        <v>893</v>
      </c>
      <c r="G150" s="113">
        <v>0.1</v>
      </c>
      <c r="H150" t="s">
        <v>1781</v>
      </c>
      <c r="I150" s="4">
        <v>0.85499999999999998</v>
      </c>
      <c r="L150" s="4" t="s">
        <v>1548</v>
      </c>
      <c r="M150" s="4" t="s">
        <v>109</v>
      </c>
      <c r="N150" s="4" t="s">
        <v>6</v>
      </c>
      <c r="O150" s="4"/>
      <c r="P150" s="4" t="s">
        <v>1693</v>
      </c>
      <c r="Q150" t="s">
        <v>109</v>
      </c>
      <c r="R150" s="4"/>
      <c r="S150" s="4"/>
      <c r="U150" s="4"/>
      <c r="Y150" s="4"/>
      <c r="Z150" s="4"/>
      <c r="AA150" s="4"/>
      <c r="AB150" s="4"/>
      <c r="AC150" s="4"/>
      <c r="AD150" s="4"/>
      <c r="AE150" s="4"/>
      <c r="AF150" s="4"/>
      <c r="AG150" s="4"/>
      <c r="AH150" s="4"/>
      <c r="AI150" s="4"/>
      <c r="AJ150" s="4"/>
      <c r="AK150" s="4"/>
      <c r="AL150" s="4"/>
      <c r="AP150" s="4"/>
      <c r="AX150" s="4"/>
      <c r="AY150" s="4"/>
      <c r="AZ150" s="4"/>
      <c r="BA150" s="4"/>
      <c r="BB150" s="4"/>
      <c r="BC150" s="4"/>
      <c r="BD150" s="4"/>
      <c r="BE150" s="4"/>
      <c r="BF150" s="4"/>
      <c r="BG150" s="4"/>
      <c r="BI150" s="4"/>
      <c r="BP150" s="4"/>
      <c r="BS150" s="4"/>
      <c r="BW150" s="4"/>
      <c r="BX150" s="4"/>
    </row>
    <row r="151" spans="1:76" ht="12.75" x14ac:dyDescent="0.2">
      <c r="A151" s="4" t="s">
        <v>161</v>
      </c>
      <c r="B151" s="4" t="s">
        <v>170</v>
      </c>
      <c r="C151" s="4" t="s">
        <v>1365</v>
      </c>
      <c r="D151" s="4">
        <v>2513</v>
      </c>
      <c r="E151" s="4" t="s">
        <v>10</v>
      </c>
      <c r="F151" s="4" t="s">
        <v>893</v>
      </c>
      <c r="G151" s="113">
        <v>0.1</v>
      </c>
      <c r="H151" t="s">
        <v>1781</v>
      </c>
      <c r="I151" s="4">
        <v>0.85799999999999998</v>
      </c>
      <c r="L151" s="4" t="s">
        <v>1548</v>
      </c>
      <c r="M151" s="4" t="s">
        <v>109</v>
      </c>
      <c r="N151" s="4" t="s">
        <v>6</v>
      </c>
      <c r="O151" s="4"/>
      <c r="P151" s="4" t="s">
        <v>1693</v>
      </c>
      <c r="Q151" t="s">
        <v>109</v>
      </c>
      <c r="R151" s="4"/>
      <c r="S151" s="4"/>
      <c r="U151" s="4"/>
      <c r="Y151" s="4"/>
      <c r="Z151" s="4"/>
      <c r="AA151" s="4"/>
      <c r="AB151" s="4"/>
      <c r="AC151" s="4"/>
      <c r="AD151" s="4"/>
      <c r="AE151" s="4"/>
      <c r="AF151" s="4"/>
      <c r="AG151" s="4"/>
      <c r="AH151" s="4"/>
      <c r="AI151" s="4"/>
      <c r="AJ151" s="4"/>
      <c r="AK151" s="4"/>
      <c r="AL151" s="4"/>
      <c r="AP151" s="4"/>
      <c r="AX151" s="4"/>
      <c r="AY151" s="4"/>
      <c r="AZ151" s="4"/>
      <c r="BA151" s="4"/>
      <c r="BB151" s="4"/>
      <c r="BC151" s="4"/>
      <c r="BD151" s="4"/>
      <c r="BE151" s="4"/>
      <c r="BF151" s="4"/>
      <c r="BG151" s="4"/>
      <c r="BI151" s="4"/>
      <c r="BP151" s="4"/>
      <c r="BS151" s="4"/>
      <c r="BW151" s="4"/>
      <c r="BX151" s="4"/>
    </row>
    <row r="152" spans="1:76" ht="12.75" x14ac:dyDescent="0.2">
      <c r="A152" s="4" t="s">
        <v>161</v>
      </c>
      <c r="B152" s="4" t="s">
        <v>170</v>
      </c>
      <c r="C152" s="4" t="s">
        <v>1365</v>
      </c>
      <c r="D152" s="4">
        <v>2513</v>
      </c>
      <c r="E152" s="4" t="s">
        <v>10</v>
      </c>
      <c r="F152" s="4" t="s">
        <v>893</v>
      </c>
      <c r="G152" s="113">
        <v>0.1</v>
      </c>
      <c r="H152" t="s">
        <v>1781</v>
      </c>
      <c r="I152" s="4">
        <v>0.86899999999999999</v>
      </c>
      <c r="L152" s="4" t="s">
        <v>1548</v>
      </c>
      <c r="M152" s="4" t="s">
        <v>109</v>
      </c>
      <c r="N152" s="4" t="s">
        <v>6</v>
      </c>
      <c r="O152" s="4"/>
      <c r="P152" s="4" t="s">
        <v>1693</v>
      </c>
      <c r="Q152" t="s">
        <v>109</v>
      </c>
      <c r="R152" s="4"/>
      <c r="S152" s="4"/>
      <c r="U152" s="4"/>
      <c r="Y152" s="4"/>
      <c r="Z152" s="4"/>
      <c r="AA152" s="4"/>
      <c r="AB152" s="4"/>
      <c r="AC152" s="4"/>
      <c r="AD152" s="4"/>
      <c r="AE152" s="4"/>
      <c r="AF152" s="4"/>
      <c r="AG152" s="4"/>
      <c r="AH152" s="4"/>
      <c r="AI152" s="4"/>
      <c r="AJ152" s="4"/>
      <c r="AK152" s="4"/>
      <c r="AL152" s="4"/>
      <c r="AP152" s="4"/>
      <c r="AX152" s="4"/>
      <c r="AY152" s="4"/>
      <c r="AZ152" s="4"/>
      <c r="BA152" s="4"/>
      <c r="BB152" s="4"/>
      <c r="BC152" s="4"/>
      <c r="BD152" s="4"/>
      <c r="BE152" s="4"/>
      <c r="BF152" s="4"/>
      <c r="BG152" s="4"/>
      <c r="BI152" s="4"/>
      <c r="BP152" s="4"/>
      <c r="BS152" s="4"/>
      <c r="BW152" s="4"/>
      <c r="BX152" s="4"/>
    </row>
    <row r="153" spans="1:76" ht="12.75" x14ac:dyDescent="0.2">
      <c r="A153" s="4" t="s">
        <v>161</v>
      </c>
      <c r="B153" s="4" t="s">
        <v>170</v>
      </c>
      <c r="C153" s="4" t="s">
        <v>1365</v>
      </c>
      <c r="D153" s="4">
        <v>2513</v>
      </c>
      <c r="E153" s="4" t="s">
        <v>10</v>
      </c>
      <c r="F153" s="4" t="s">
        <v>893</v>
      </c>
      <c r="G153" s="113">
        <v>0.1</v>
      </c>
      <c r="H153" t="s">
        <v>1781</v>
      </c>
      <c r="I153" s="4">
        <v>0.94200000000000006</v>
      </c>
      <c r="L153" s="4" t="s">
        <v>1548</v>
      </c>
      <c r="M153" s="4" t="s">
        <v>109</v>
      </c>
      <c r="N153" s="4" t="s">
        <v>6</v>
      </c>
      <c r="O153" s="4"/>
      <c r="P153" s="4" t="s">
        <v>1693</v>
      </c>
      <c r="Q153" t="s">
        <v>109</v>
      </c>
      <c r="R153" s="4"/>
      <c r="S153" s="4"/>
      <c r="U153" s="4"/>
      <c r="Y153" s="4"/>
      <c r="Z153" s="4"/>
      <c r="AA153" s="4"/>
      <c r="AB153" s="4"/>
      <c r="AC153" s="4"/>
      <c r="AD153" s="4"/>
      <c r="AE153" s="4"/>
      <c r="AF153" s="4"/>
      <c r="AG153" s="4"/>
      <c r="AH153" s="4"/>
      <c r="AI153" s="4"/>
      <c r="AJ153" s="4"/>
      <c r="AK153" s="4"/>
      <c r="AL153" s="4"/>
      <c r="AP153" s="4"/>
      <c r="AX153" s="4"/>
      <c r="AY153" s="4"/>
      <c r="AZ153" s="4"/>
      <c r="BA153" s="4"/>
      <c r="BB153" s="4"/>
      <c r="BC153" s="4"/>
      <c r="BD153" s="4"/>
      <c r="BE153" s="4"/>
      <c r="BF153" s="4"/>
      <c r="BG153" s="4"/>
      <c r="BI153" s="4"/>
      <c r="BP153" s="4"/>
      <c r="BS153" s="4"/>
      <c r="BW153" s="4"/>
      <c r="BX153" s="4"/>
    </row>
    <row r="154" spans="1:76" ht="12.75" x14ac:dyDescent="0.2">
      <c r="A154" s="4" t="s">
        <v>271</v>
      </c>
      <c r="B154" s="4" t="s">
        <v>253</v>
      </c>
      <c r="C154" s="4" t="s">
        <v>1668</v>
      </c>
      <c r="D154" s="4">
        <v>2514</v>
      </c>
      <c r="E154" s="4" t="s">
        <v>13</v>
      </c>
      <c r="F154" s="4" t="s">
        <v>893</v>
      </c>
      <c r="G154" s="113">
        <v>0.125</v>
      </c>
      <c r="H154" t="s">
        <v>1781</v>
      </c>
      <c r="I154" s="4">
        <v>0.19530000000000003</v>
      </c>
      <c r="L154" s="4" t="s">
        <v>1560</v>
      </c>
      <c r="M154" s="4" t="s">
        <v>109</v>
      </c>
      <c r="N154" s="4" t="s">
        <v>6</v>
      </c>
      <c r="O154" s="4"/>
      <c r="P154" s="4" t="s">
        <v>1693</v>
      </c>
      <c r="Q154" t="s">
        <v>109</v>
      </c>
      <c r="R154" s="4"/>
      <c r="S154" s="4"/>
      <c r="U154" s="4"/>
      <c r="Y154" s="4"/>
      <c r="Z154" s="4"/>
      <c r="AA154" s="4"/>
      <c r="AB154" s="4"/>
      <c r="AC154" s="4"/>
      <c r="AD154" s="4"/>
      <c r="AE154" s="4"/>
      <c r="AF154" s="4"/>
      <c r="AG154" s="4"/>
      <c r="AH154" s="4"/>
      <c r="AI154" s="4"/>
      <c r="AJ154" s="4"/>
      <c r="AK154" s="4"/>
      <c r="AL154" s="4"/>
      <c r="AP154" s="4"/>
      <c r="AX154" s="4"/>
      <c r="AY154" s="4"/>
      <c r="AZ154" s="4"/>
      <c r="BA154" s="4"/>
      <c r="BB154" s="4"/>
      <c r="BC154" s="4"/>
      <c r="BD154" s="4"/>
      <c r="BE154" s="4"/>
      <c r="BF154" s="4"/>
      <c r="BG154" s="4"/>
      <c r="BI154" s="4"/>
      <c r="BP154" s="4"/>
      <c r="BS154" s="4"/>
      <c r="BW154" s="4"/>
      <c r="BX154" s="4"/>
    </row>
    <row r="155" spans="1:76" ht="12.75" x14ac:dyDescent="0.2">
      <c r="A155" s="4" t="s">
        <v>271</v>
      </c>
      <c r="B155" s="4" t="s">
        <v>253</v>
      </c>
      <c r="C155" s="4" t="s">
        <v>1668</v>
      </c>
      <c r="D155" s="4">
        <v>2514</v>
      </c>
      <c r="E155" s="4" t="s">
        <v>13</v>
      </c>
      <c r="F155" s="4" t="s">
        <v>893</v>
      </c>
      <c r="G155" s="113">
        <v>0.125</v>
      </c>
      <c r="H155" t="s">
        <v>1781</v>
      </c>
      <c r="I155" s="4">
        <v>0.20951</v>
      </c>
      <c r="L155" s="4" t="s">
        <v>1560</v>
      </c>
      <c r="M155" s="4" t="s">
        <v>109</v>
      </c>
      <c r="N155" s="4" t="s">
        <v>6</v>
      </c>
      <c r="O155" s="4"/>
      <c r="P155" s="4" t="s">
        <v>1693</v>
      </c>
      <c r="Q155" t="s">
        <v>109</v>
      </c>
      <c r="R155" s="4"/>
      <c r="S155" s="4"/>
      <c r="U155" s="4"/>
      <c r="Y155" s="4"/>
      <c r="Z155" s="4"/>
      <c r="AA155" s="4"/>
      <c r="AB155" s="4"/>
      <c r="AC155" s="4"/>
      <c r="AD155" s="4"/>
      <c r="AE155" s="4"/>
      <c r="AF155" s="4"/>
      <c r="AG155" s="4"/>
      <c r="AH155" s="4"/>
      <c r="AI155" s="4"/>
      <c r="AJ155" s="4"/>
      <c r="AK155" s="4"/>
      <c r="AL155" s="4"/>
      <c r="AP155" s="4"/>
      <c r="AX155" s="4"/>
      <c r="AY155" s="4"/>
      <c r="AZ155" s="4"/>
      <c r="BA155" s="4"/>
      <c r="BB155" s="4"/>
      <c r="BC155" s="4"/>
      <c r="BD155" s="4"/>
      <c r="BE155" s="4"/>
      <c r="BF155" s="4"/>
      <c r="BG155" s="4"/>
      <c r="BI155" s="4"/>
      <c r="BP155" s="4"/>
      <c r="BS155" s="4"/>
      <c r="BW155" s="4"/>
      <c r="BX155" s="4"/>
    </row>
    <row r="156" spans="1:76" ht="12.75" x14ac:dyDescent="0.2">
      <c r="A156" s="4" t="s">
        <v>271</v>
      </c>
      <c r="B156" s="4" t="s">
        <v>253</v>
      </c>
      <c r="C156" s="4" t="s">
        <v>1668</v>
      </c>
      <c r="D156" s="4">
        <v>2514</v>
      </c>
      <c r="E156" s="4" t="s">
        <v>13</v>
      </c>
      <c r="F156" s="4" t="s">
        <v>893</v>
      </c>
      <c r="G156" s="113">
        <v>0.125</v>
      </c>
      <c r="H156" t="s">
        <v>1781</v>
      </c>
      <c r="I156" s="4">
        <v>0.21168999999999999</v>
      </c>
      <c r="L156" s="4" t="s">
        <v>1560</v>
      </c>
      <c r="M156" s="4" t="s">
        <v>109</v>
      </c>
      <c r="N156" s="4" t="s">
        <v>6</v>
      </c>
      <c r="O156" s="4"/>
      <c r="P156" s="4" t="s">
        <v>1693</v>
      </c>
      <c r="Q156" t="s">
        <v>109</v>
      </c>
      <c r="R156" s="4"/>
      <c r="S156" s="4"/>
      <c r="U156" s="4"/>
      <c r="Y156" s="4"/>
      <c r="Z156" s="4"/>
      <c r="AA156" s="4"/>
      <c r="AB156" s="4"/>
      <c r="AC156" s="4"/>
      <c r="AD156" s="4"/>
      <c r="AE156" s="4"/>
      <c r="AF156" s="4"/>
      <c r="AG156" s="4"/>
      <c r="AH156" s="4"/>
      <c r="AI156" s="4"/>
      <c r="AJ156" s="4"/>
      <c r="AK156" s="4"/>
      <c r="AL156" s="4"/>
      <c r="AP156" s="4"/>
      <c r="AX156" s="4"/>
      <c r="AY156" s="4"/>
      <c r="AZ156" s="4"/>
      <c r="BA156" s="4"/>
      <c r="BB156" s="4"/>
      <c r="BC156" s="4"/>
      <c r="BD156" s="4"/>
      <c r="BE156" s="4"/>
      <c r="BF156" s="4"/>
      <c r="BG156" s="4"/>
      <c r="BI156" s="4"/>
      <c r="BP156" s="4"/>
      <c r="BS156" s="4"/>
      <c r="BW156" s="4"/>
      <c r="BX156" s="4"/>
    </row>
    <row r="157" spans="1:76" ht="12.75" x14ac:dyDescent="0.2">
      <c r="A157" s="4" t="s">
        <v>271</v>
      </c>
      <c r="B157" s="4" t="s">
        <v>253</v>
      </c>
      <c r="C157" s="4" t="s">
        <v>1668</v>
      </c>
      <c r="D157" s="4">
        <v>2514</v>
      </c>
      <c r="E157" s="4" t="s">
        <v>13</v>
      </c>
      <c r="F157" s="4" t="s">
        <v>893</v>
      </c>
      <c r="G157" s="113">
        <v>0.125</v>
      </c>
      <c r="H157" t="s">
        <v>1781</v>
      </c>
      <c r="I157" s="4">
        <v>0.21333000000000002</v>
      </c>
      <c r="L157" s="4" t="s">
        <v>1560</v>
      </c>
      <c r="M157" s="4" t="s">
        <v>109</v>
      </c>
      <c r="N157" s="4" t="s">
        <v>6</v>
      </c>
      <c r="O157" s="4"/>
      <c r="P157" s="4" t="s">
        <v>1693</v>
      </c>
      <c r="Q157" t="s">
        <v>109</v>
      </c>
      <c r="R157" s="4"/>
      <c r="S157" s="4"/>
      <c r="U157" s="4"/>
      <c r="Y157" s="4"/>
      <c r="Z157" s="4"/>
      <c r="AA157" s="4"/>
      <c r="AB157" s="4"/>
      <c r="AC157" s="4"/>
      <c r="AD157" s="4"/>
      <c r="AE157" s="4"/>
      <c r="AF157" s="4"/>
      <c r="AG157" s="4"/>
      <c r="AH157" s="4"/>
      <c r="AI157" s="4"/>
      <c r="AJ157" s="4"/>
      <c r="AK157" s="4"/>
      <c r="AL157" s="4"/>
      <c r="AP157" s="4"/>
      <c r="AX157" s="4"/>
      <c r="AY157" s="4"/>
      <c r="AZ157" s="4"/>
      <c r="BA157" s="4"/>
      <c r="BB157" s="4"/>
      <c r="BC157" s="4"/>
      <c r="BD157" s="4"/>
      <c r="BE157" s="4"/>
      <c r="BF157" s="4"/>
      <c r="BG157" s="4"/>
      <c r="BI157" s="4"/>
      <c r="BP157" s="4"/>
      <c r="BS157" s="4"/>
      <c r="BW157" s="4"/>
      <c r="BX157" s="4"/>
    </row>
    <row r="158" spans="1:76" ht="12.75" x14ac:dyDescent="0.2">
      <c r="A158" s="4" t="s">
        <v>271</v>
      </c>
      <c r="B158" s="4" t="s">
        <v>253</v>
      </c>
      <c r="C158" s="4" t="s">
        <v>1668</v>
      </c>
      <c r="D158" s="4">
        <v>2514</v>
      </c>
      <c r="E158" s="4" t="s">
        <v>13</v>
      </c>
      <c r="F158" s="4" t="s">
        <v>893</v>
      </c>
      <c r="G158" s="113">
        <v>0.125</v>
      </c>
      <c r="H158" t="s">
        <v>1781</v>
      </c>
      <c r="I158" s="4">
        <v>0.22590000000000002</v>
      </c>
      <c r="L158" s="4" t="s">
        <v>1560</v>
      </c>
      <c r="M158" s="4" t="s">
        <v>109</v>
      </c>
      <c r="N158" s="4" t="s">
        <v>6</v>
      </c>
      <c r="O158" s="4"/>
      <c r="P158" s="4" t="s">
        <v>1693</v>
      </c>
      <c r="Q158" t="s">
        <v>109</v>
      </c>
      <c r="R158" s="4"/>
      <c r="S158" s="4"/>
      <c r="U158" s="4"/>
      <c r="Y158" s="4"/>
      <c r="Z158" s="4"/>
      <c r="AA158" s="4"/>
      <c r="AB158" s="4"/>
      <c r="AC158" s="4"/>
      <c r="AD158" s="4"/>
      <c r="AE158" s="4"/>
      <c r="AF158" s="4"/>
      <c r="AG158" s="4"/>
      <c r="AH158" s="4"/>
      <c r="AI158" s="4"/>
      <c r="AJ158" s="4"/>
      <c r="AK158" s="4"/>
      <c r="AL158" s="4"/>
      <c r="AP158" s="4"/>
      <c r="AX158" s="4"/>
      <c r="AY158" s="4"/>
      <c r="AZ158" s="4"/>
      <c r="BA158" s="4"/>
      <c r="BB158" s="4"/>
      <c r="BC158" s="4"/>
      <c r="BD158" s="4"/>
      <c r="BE158" s="4"/>
      <c r="BF158" s="4"/>
      <c r="BG158" s="4"/>
      <c r="BI158" s="4"/>
      <c r="BP158" s="4"/>
      <c r="BS158" s="4"/>
      <c r="BW158" s="4"/>
      <c r="BX158" s="4"/>
    </row>
    <row r="159" spans="1:76" ht="12.75" x14ac:dyDescent="0.2">
      <c r="A159" s="4" t="s">
        <v>271</v>
      </c>
      <c r="B159" s="4" t="s">
        <v>253</v>
      </c>
      <c r="C159" s="4" t="s">
        <v>1668</v>
      </c>
      <c r="D159" s="4">
        <v>2514</v>
      </c>
      <c r="E159" s="4" t="s">
        <v>13</v>
      </c>
      <c r="F159" s="4" t="s">
        <v>893</v>
      </c>
      <c r="G159" s="113">
        <v>0.125</v>
      </c>
      <c r="H159" t="s">
        <v>1781</v>
      </c>
      <c r="I159" s="4">
        <v>0.2341</v>
      </c>
      <c r="L159" s="4" t="s">
        <v>1560</v>
      </c>
      <c r="M159" s="4" t="s">
        <v>109</v>
      </c>
      <c r="N159" s="4" t="s">
        <v>6</v>
      </c>
      <c r="O159" s="4"/>
      <c r="P159" s="4" t="s">
        <v>1693</v>
      </c>
      <c r="Q159" t="s">
        <v>109</v>
      </c>
      <c r="R159" s="4"/>
      <c r="S159" s="4"/>
      <c r="U159" s="4"/>
      <c r="Y159" s="4"/>
      <c r="Z159" s="4"/>
      <c r="AA159" s="4"/>
      <c r="AB159" s="4"/>
      <c r="AC159" s="4"/>
      <c r="AD159" s="4"/>
      <c r="AE159" s="4"/>
      <c r="AF159" s="4"/>
      <c r="AG159" s="4"/>
      <c r="AH159" s="4"/>
      <c r="AI159" s="4"/>
      <c r="AJ159" s="4"/>
      <c r="AK159" s="4"/>
      <c r="AL159" s="4"/>
      <c r="AP159" s="4"/>
      <c r="AX159" s="4"/>
      <c r="AY159" s="4"/>
      <c r="AZ159" s="4"/>
      <c r="BA159" s="4"/>
      <c r="BB159" s="4"/>
      <c r="BC159" s="4"/>
      <c r="BD159" s="4"/>
      <c r="BE159" s="4"/>
      <c r="BF159" s="4"/>
      <c r="BG159" s="4"/>
      <c r="BI159" s="4"/>
      <c r="BP159" s="4"/>
      <c r="BS159" s="4"/>
      <c r="BW159" s="4"/>
      <c r="BX159" s="4"/>
    </row>
    <row r="160" spans="1:76" ht="12.75" x14ac:dyDescent="0.2">
      <c r="A160" s="4" t="s">
        <v>271</v>
      </c>
      <c r="B160" s="4" t="s">
        <v>253</v>
      </c>
      <c r="C160" s="4" t="s">
        <v>1668</v>
      </c>
      <c r="D160" s="4">
        <v>2514</v>
      </c>
      <c r="E160" s="4" t="s">
        <v>13</v>
      </c>
      <c r="F160" s="4" t="s">
        <v>893</v>
      </c>
      <c r="G160" s="113">
        <v>0.125</v>
      </c>
      <c r="H160" t="s">
        <v>1781</v>
      </c>
      <c r="I160" s="4">
        <v>0.25158000000000003</v>
      </c>
      <c r="L160" s="4" t="s">
        <v>1560</v>
      </c>
      <c r="M160" s="4" t="s">
        <v>109</v>
      </c>
      <c r="N160" s="4" t="s">
        <v>6</v>
      </c>
      <c r="O160" s="4"/>
      <c r="P160" s="4" t="s">
        <v>1693</v>
      </c>
      <c r="Q160" t="s">
        <v>109</v>
      </c>
      <c r="R160" s="4"/>
      <c r="S160" s="4"/>
      <c r="U160" s="4"/>
      <c r="Y160" s="4"/>
      <c r="Z160" s="4"/>
      <c r="AA160" s="4"/>
      <c r="AB160" s="4"/>
      <c r="AC160" s="4"/>
      <c r="AD160" s="4"/>
      <c r="AE160" s="4"/>
      <c r="AF160" s="4"/>
      <c r="AG160" s="4"/>
      <c r="AH160" s="4"/>
      <c r="AI160" s="4"/>
      <c r="AJ160" s="4"/>
      <c r="AK160" s="4"/>
      <c r="AL160" s="4"/>
      <c r="AP160" s="4"/>
      <c r="AX160" s="4"/>
      <c r="AY160" s="4"/>
      <c r="AZ160" s="4"/>
      <c r="BA160" s="4"/>
      <c r="BB160" s="4"/>
      <c r="BC160" s="4"/>
      <c r="BD160" s="4"/>
      <c r="BE160" s="4"/>
      <c r="BF160" s="4"/>
      <c r="BG160" s="4"/>
      <c r="BI160" s="4"/>
      <c r="BP160" s="4"/>
      <c r="BS160" s="4"/>
      <c r="BW160" s="4"/>
      <c r="BX160" s="4"/>
    </row>
    <row r="161" spans="1:76" ht="12.75" x14ac:dyDescent="0.2">
      <c r="A161" s="4" t="s">
        <v>271</v>
      </c>
      <c r="B161" s="4" t="s">
        <v>253</v>
      </c>
      <c r="C161" s="4" t="s">
        <v>1668</v>
      </c>
      <c r="D161" s="4">
        <v>2514</v>
      </c>
      <c r="E161" s="4" t="s">
        <v>13</v>
      </c>
      <c r="F161" s="4" t="s">
        <v>893</v>
      </c>
      <c r="G161" s="113">
        <v>0.125</v>
      </c>
      <c r="H161" t="s">
        <v>1781</v>
      </c>
      <c r="I161" s="4">
        <v>0.25868999999999998</v>
      </c>
      <c r="L161" s="4" t="s">
        <v>1560</v>
      </c>
      <c r="M161" s="4" t="s">
        <v>109</v>
      </c>
      <c r="N161" s="4" t="s">
        <v>6</v>
      </c>
      <c r="O161" s="4"/>
      <c r="P161" s="4" t="s">
        <v>1693</v>
      </c>
      <c r="Q161" t="s">
        <v>109</v>
      </c>
      <c r="R161" s="4"/>
      <c r="S161" s="4"/>
      <c r="U161" s="4"/>
      <c r="Y161" s="4"/>
      <c r="Z161" s="4"/>
      <c r="AA161" s="4"/>
      <c r="AB161" s="4"/>
      <c r="AC161" s="4"/>
      <c r="AD161" s="4"/>
      <c r="AE161" s="4"/>
      <c r="AF161" s="4"/>
      <c r="AG161" s="4"/>
      <c r="AH161" s="4"/>
      <c r="AI161" s="4"/>
      <c r="AJ161" s="4"/>
      <c r="AK161" s="4"/>
      <c r="AL161" s="4"/>
      <c r="AP161" s="4"/>
      <c r="AX161" s="4"/>
      <c r="AY161" s="4"/>
      <c r="AZ161" s="4"/>
      <c r="BA161" s="4"/>
      <c r="BB161" s="4"/>
      <c r="BC161" s="4"/>
      <c r="BD161" s="4"/>
      <c r="BE161" s="4"/>
      <c r="BF161" s="4"/>
      <c r="BG161" s="4"/>
      <c r="BI161" s="4"/>
      <c r="BP161" s="4"/>
      <c r="BS161" s="4"/>
      <c r="BW161" s="4"/>
      <c r="BX161" s="4"/>
    </row>
    <row r="162" spans="1:76" ht="12.75" x14ac:dyDescent="0.2">
      <c r="A162" s="4" t="s">
        <v>271</v>
      </c>
      <c r="B162" s="4" t="s">
        <v>143</v>
      </c>
      <c r="C162" s="4" t="s">
        <v>111</v>
      </c>
      <c r="D162" s="4">
        <v>2514</v>
      </c>
      <c r="E162" s="4" t="s">
        <v>13</v>
      </c>
      <c r="F162" s="4" t="s">
        <v>893</v>
      </c>
      <c r="G162" s="113">
        <v>0.5</v>
      </c>
      <c r="H162" t="s">
        <v>1781</v>
      </c>
      <c r="I162" s="4">
        <v>0.28000000000000003</v>
      </c>
      <c r="L162" s="4" t="s">
        <v>1556</v>
      </c>
      <c r="M162" s="4" t="s">
        <v>109</v>
      </c>
      <c r="N162" s="4" t="s">
        <v>6</v>
      </c>
      <c r="O162" s="4"/>
      <c r="P162" s="4" t="s">
        <v>1693</v>
      </c>
      <c r="Q162" t="s">
        <v>109</v>
      </c>
      <c r="R162" s="4"/>
      <c r="S162" s="4"/>
      <c r="U162" s="4"/>
      <c r="Y162" s="4"/>
      <c r="Z162" s="4"/>
      <c r="AA162" s="4"/>
      <c r="AB162" s="4"/>
      <c r="AC162" s="4"/>
      <c r="AD162" s="4"/>
      <c r="AE162" s="4"/>
      <c r="AF162" s="4"/>
      <c r="AG162" s="4"/>
      <c r="AH162" s="4"/>
      <c r="AI162" s="4"/>
      <c r="AJ162" s="4"/>
      <c r="AK162" s="4"/>
      <c r="AL162" s="4"/>
      <c r="AP162" s="4"/>
      <c r="AX162" s="4"/>
      <c r="AY162" s="4"/>
      <c r="AZ162" s="4"/>
      <c r="BA162" s="4"/>
      <c r="BB162" s="4"/>
      <c r="BC162" s="4"/>
      <c r="BD162" s="4"/>
      <c r="BE162" s="4"/>
      <c r="BF162" s="4"/>
      <c r="BG162" s="4"/>
      <c r="BI162" s="4"/>
      <c r="BP162" s="4"/>
      <c r="BS162" s="4"/>
      <c r="BW162" s="4"/>
      <c r="BX162" s="4"/>
    </row>
    <row r="163" spans="1:76" ht="12.75" x14ac:dyDescent="0.2">
      <c r="A163" s="4" t="s">
        <v>271</v>
      </c>
      <c r="B163" s="4" t="s">
        <v>143</v>
      </c>
      <c r="C163" s="4" t="s">
        <v>111</v>
      </c>
      <c r="D163" s="4">
        <v>2514</v>
      </c>
      <c r="E163" s="4" t="s">
        <v>13</v>
      </c>
      <c r="F163" s="4" t="s">
        <v>893</v>
      </c>
      <c r="G163" s="113">
        <v>0.5</v>
      </c>
      <c r="H163" t="s">
        <v>1781</v>
      </c>
      <c r="I163" s="4">
        <v>0.39</v>
      </c>
      <c r="L163" s="4" t="s">
        <v>1556</v>
      </c>
      <c r="M163" s="4" t="s">
        <v>109</v>
      </c>
      <c r="N163" s="4" t="s">
        <v>6</v>
      </c>
      <c r="O163" s="4"/>
      <c r="P163" s="4" t="s">
        <v>1693</v>
      </c>
      <c r="Q163" t="s">
        <v>109</v>
      </c>
      <c r="R163" s="4"/>
      <c r="S163" s="4"/>
      <c r="U163" s="4"/>
      <c r="Y163" s="4"/>
      <c r="Z163" s="4"/>
      <c r="AA163" s="4"/>
      <c r="AB163" s="4"/>
      <c r="AC163" s="4"/>
      <c r="AD163" s="4"/>
      <c r="AE163" s="4"/>
      <c r="AF163" s="4"/>
      <c r="AG163" s="4"/>
      <c r="AH163" s="4"/>
      <c r="AI163" s="4"/>
      <c r="AJ163" s="4"/>
      <c r="AK163" s="4"/>
      <c r="AL163" s="4"/>
      <c r="AP163" s="4"/>
      <c r="AX163" s="4"/>
      <c r="AY163" s="4"/>
      <c r="AZ163" s="4"/>
      <c r="BA163" s="4"/>
      <c r="BB163" s="4"/>
      <c r="BC163" s="4"/>
      <c r="BD163" s="4"/>
      <c r="BE163" s="4"/>
      <c r="BF163" s="4"/>
      <c r="BG163" s="4"/>
      <c r="BI163" s="4"/>
      <c r="BP163" s="4"/>
      <c r="BS163" s="4"/>
      <c r="BW163" s="4"/>
      <c r="BX163" s="4"/>
    </row>
    <row r="164" spans="1:76" ht="12.75" x14ac:dyDescent="0.2">
      <c r="A164" s="4" t="s">
        <v>1347</v>
      </c>
      <c r="B164" s="4" t="s">
        <v>143</v>
      </c>
      <c r="C164" s="4" t="s">
        <v>111</v>
      </c>
      <c r="D164" s="4">
        <v>2514</v>
      </c>
      <c r="E164" s="4" t="s">
        <v>13</v>
      </c>
      <c r="F164" s="4" t="s">
        <v>893</v>
      </c>
      <c r="G164" s="113">
        <v>1</v>
      </c>
      <c r="H164" t="s">
        <v>1781</v>
      </c>
      <c r="I164" s="4">
        <v>0.39386000000000004</v>
      </c>
      <c r="L164" s="4" t="s">
        <v>1540</v>
      </c>
      <c r="M164" s="4" t="s">
        <v>109</v>
      </c>
      <c r="N164" s="4" t="s">
        <v>6</v>
      </c>
      <c r="O164" s="4"/>
      <c r="P164" s="4" t="s">
        <v>1693</v>
      </c>
      <c r="Q164" t="s">
        <v>109</v>
      </c>
      <c r="R164" s="4"/>
      <c r="S164" s="4"/>
      <c r="U164" s="4"/>
      <c r="Y164" s="4"/>
      <c r="Z164" s="4"/>
      <c r="AA164" s="4"/>
      <c r="AB164" s="4"/>
      <c r="AC164" s="4"/>
      <c r="AD164" s="4"/>
      <c r="AE164" s="4"/>
      <c r="AF164" s="4"/>
      <c r="AG164" s="4"/>
      <c r="AH164" s="4"/>
      <c r="AI164" s="4"/>
      <c r="AJ164" s="4"/>
      <c r="AK164" s="4"/>
      <c r="AL164" s="4"/>
      <c r="AP164" s="4"/>
      <c r="AX164" s="4"/>
      <c r="AY164" s="4"/>
      <c r="AZ164" s="4"/>
      <c r="BA164" s="4"/>
      <c r="BB164" s="4"/>
      <c r="BC164" s="4"/>
      <c r="BD164" s="4"/>
      <c r="BE164" s="4"/>
      <c r="BF164" s="4"/>
      <c r="BG164" s="4"/>
      <c r="BI164" s="4"/>
      <c r="BP164" s="4"/>
      <c r="BS164" s="4"/>
      <c r="BW164" s="4"/>
      <c r="BX164" s="4"/>
    </row>
    <row r="165" spans="1:76" ht="12.75" x14ac:dyDescent="0.2">
      <c r="A165" s="4" t="s">
        <v>284</v>
      </c>
      <c r="B165" s="4" t="s">
        <v>120</v>
      </c>
      <c r="C165" s="4" t="s">
        <v>111</v>
      </c>
      <c r="D165" s="4">
        <v>2514</v>
      </c>
      <c r="E165" s="4" t="s">
        <v>13</v>
      </c>
      <c r="F165" s="4" t="s">
        <v>893</v>
      </c>
      <c r="G165" s="113">
        <v>1</v>
      </c>
      <c r="H165" t="s">
        <v>1781</v>
      </c>
      <c r="I165" s="4">
        <v>0.46700000000000003</v>
      </c>
      <c r="L165" s="4" t="s">
        <v>1561</v>
      </c>
      <c r="M165" s="4" t="s">
        <v>109</v>
      </c>
      <c r="N165" s="4" t="s">
        <v>6</v>
      </c>
      <c r="O165" s="4"/>
      <c r="P165" s="4" t="s">
        <v>1693</v>
      </c>
      <c r="Q165" t="s">
        <v>109</v>
      </c>
      <c r="R165" s="4"/>
      <c r="S165" s="4"/>
      <c r="U165" s="4"/>
      <c r="Y165" s="4"/>
      <c r="Z165" s="4"/>
      <c r="AA165" s="4"/>
      <c r="AB165" s="4"/>
      <c r="AC165" s="4"/>
      <c r="AD165" s="4"/>
      <c r="AE165" s="4"/>
      <c r="AF165" s="4"/>
      <c r="AG165" s="4"/>
      <c r="AH165" s="4"/>
      <c r="AI165" s="4"/>
      <c r="AJ165" s="4"/>
      <c r="AK165" s="4"/>
      <c r="AL165" s="4"/>
      <c r="AP165" s="4"/>
      <c r="AX165" s="4"/>
      <c r="AY165" s="4"/>
      <c r="AZ165" s="4"/>
      <c r="BA165" s="4"/>
      <c r="BB165" s="4"/>
      <c r="BC165" s="4"/>
      <c r="BD165" s="4"/>
      <c r="BE165" s="4"/>
      <c r="BF165" s="4"/>
      <c r="BG165" s="4"/>
      <c r="BI165" s="4"/>
      <c r="BP165" s="4"/>
      <c r="BS165" s="4"/>
      <c r="BW165" s="4"/>
      <c r="BX165" s="4"/>
    </row>
    <row r="166" spans="1:76" ht="12.75" x14ac:dyDescent="0.2">
      <c r="A166" s="4" t="s">
        <v>1347</v>
      </c>
      <c r="B166" s="4" t="s">
        <v>143</v>
      </c>
      <c r="C166" s="4" t="s">
        <v>1348</v>
      </c>
      <c r="D166" s="4">
        <v>2514</v>
      </c>
      <c r="E166" s="4" t="s">
        <v>13</v>
      </c>
      <c r="F166" s="4" t="s">
        <v>893</v>
      </c>
      <c r="G166" s="113">
        <v>0.5</v>
      </c>
      <c r="H166" t="s">
        <v>1781</v>
      </c>
      <c r="I166" s="4">
        <v>0.48730600000000002</v>
      </c>
      <c r="L166" s="4" t="s">
        <v>1539</v>
      </c>
      <c r="M166" s="4" t="s">
        <v>109</v>
      </c>
      <c r="N166" s="4" t="s">
        <v>6</v>
      </c>
      <c r="O166" s="4"/>
      <c r="P166" s="4" t="s">
        <v>1693</v>
      </c>
      <c r="Q166" t="s">
        <v>109</v>
      </c>
      <c r="R166" s="4"/>
      <c r="S166" s="4"/>
      <c r="U166" s="4"/>
      <c r="Y166" s="4"/>
      <c r="Z166" s="4"/>
      <c r="AA166" s="4"/>
      <c r="AB166" s="4"/>
      <c r="AC166" s="4"/>
      <c r="AD166" s="4"/>
      <c r="AE166" s="4"/>
      <c r="AF166" s="4"/>
      <c r="AG166" s="4"/>
      <c r="AH166" s="4"/>
      <c r="AI166" s="4"/>
      <c r="AJ166" s="4"/>
      <c r="AK166" s="4"/>
      <c r="AL166" s="4"/>
      <c r="AP166" s="4"/>
      <c r="AX166" s="4"/>
      <c r="AY166" s="4"/>
      <c r="AZ166" s="4"/>
      <c r="BA166" s="4"/>
      <c r="BB166" s="4"/>
      <c r="BC166" s="4"/>
      <c r="BD166" s="4"/>
      <c r="BE166" s="4"/>
      <c r="BF166" s="4"/>
      <c r="BG166" s="4"/>
      <c r="BI166" s="4"/>
      <c r="BP166" s="4"/>
      <c r="BS166" s="4"/>
      <c r="BW166" s="4"/>
      <c r="BX166" s="4"/>
    </row>
    <row r="167" spans="1:76" ht="12.75" x14ac:dyDescent="0.2">
      <c r="A167" s="4" t="s">
        <v>271</v>
      </c>
      <c r="B167" s="4" t="s">
        <v>253</v>
      </c>
      <c r="C167" s="4" t="s">
        <v>1351</v>
      </c>
      <c r="D167" s="4">
        <v>2514</v>
      </c>
      <c r="E167" s="4" t="s">
        <v>13</v>
      </c>
      <c r="F167" s="4" t="s">
        <v>893</v>
      </c>
      <c r="G167" s="113">
        <v>0.25</v>
      </c>
      <c r="H167" t="s">
        <v>1781</v>
      </c>
      <c r="I167" s="4">
        <v>0.5</v>
      </c>
      <c r="L167" s="4" t="s">
        <v>1537</v>
      </c>
      <c r="M167" s="4" t="s">
        <v>109</v>
      </c>
      <c r="N167" s="4" t="s">
        <v>6</v>
      </c>
      <c r="O167" s="4"/>
      <c r="P167" s="4" t="s">
        <v>1693</v>
      </c>
      <c r="Q167" t="s">
        <v>109</v>
      </c>
      <c r="R167" s="4"/>
      <c r="S167" s="4"/>
      <c r="U167" s="4"/>
      <c r="Y167" s="4"/>
      <c r="Z167" s="4"/>
      <c r="AA167" s="4"/>
      <c r="AB167" s="4"/>
      <c r="AC167" s="4"/>
      <c r="AD167" s="4"/>
      <c r="AE167" s="4"/>
      <c r="AF167" s="4"/>
      <c r="AG167" s="4"/>
      <c r="AH167" s="4"/>
      <c r="AI167" s="4"/>
      <c r="AJ167" s="4"/>
      <c r="AK167" s="4"/>
      <c r="AL167" s="4"/>
      <c r="AP167" s="4"/>
      <c r="AX167" s="4"/>
      <c r="AY167" s="4"/>
      <c r="AZ167" s="4"/>
      <c r="BA167" s="4"/>
      <c r="BB167" s="4"/>
      <c r="BC167" s="4"/>
      <c r="BD167" s="4"/>
      <c r="BE167" s="4"/>
      <c r="BF167" s="4"/>
      <c r="BG167" s="4"/>
      <c r="BI167" s="4"/>
      <c r="BP167" s="4"/>
      <c r="BS167" s="4"/>
      <c r="BW167" s="4"/>
      <c r="BX167" s="4"/>
    </row>
    <row r="168" spans="1:76" ht="12.75" x14ac:dyDescent="0.2">
      <c r="A168" s="4" t="s">
        <v>271</v>
      </c>
      <c r="B168" s="4" t="s">
        <v>253</v>
      </c>
      <c r="C168" s="4" t="s">
        <v>1350</v>
      </c>
      <c r="D168" s="4">
        <v>2514</v>
      </c>
      <c r="E168" s="4" t="s">
        <v>13</v>
      </c>
      <c r="F168" s="4" t="s">
        <v>893</v>
      </c>
      <c r="G168" s="113">
        <v>0.25</v>
      </c>
      <c r="H168" t="s">
        <v>1781</v>
      </c>
      <c r="I168" s="4">
        <v>0.5</v>
      </c>
      <c r="L168" s="4" t="s">
        <v>1537</v>
      </c>
      <c r="M168" s="4" t="s">
        <v>109</v>
      </c>
      <c r="N168" s="4" t="s">
        <v>6</v>
      </c>
      <c r="O168" s="4"/>
      <c r="P168" s="4" t="s">
        <v>1693</v>
      </c>
      <c r="Q168" t="s">
        <v>109</v>
      </c>
      <c r="R168" s="4"/>
      <c r="S168" s="4"/>
      <c r="U168" s="4"/>
      <c r="Y168" s="4"/>
      <c r="Z168" s="4"/>
      <c r="AA168" s="4"/>
      <c r="AB168" s="4"/>
      <c r="AC168" s="4"/>
      <c r="AD168" s="4"/>
      <c r="AE168" s="4"/>
      <c r="AF168" s="4"/>
      <c r="AG168" s="4"/>
      <c r="AH168" s="4"/>
      <c r="AI168" s="4"/>
      <c r="AJ168" s="4"/>
      <c r="AK168" s="4"/>
      <c r="AL168" s="4"/>
      <c r="AP168" s="4"/>
      <c r="AX168" s="4"/>
      <c r="AY168" s="4"/>
      <c r="AZ168" s="4"/>
      <c r="BA168" s="4"/>
      <c r="BB168" s="4"/>
      <c r="BC168" s="4"/>
      <c r="BD168" s="4"/>
      <c r="BE168" s="4"/>
      <c r="BF168" s="4"/>
      <c r="BG168" s="4"/>
      <c r="BI168" s="4"/>
      <c r="BP168" s="4"/>
      <c r="BS168" s="4"/>
      <c r="BW168" s="4"/>
      <c r="BX168" s="4"/>
    </row>
    <row r="169" spans="1:76" ht="12.75" x14ac:dyDescent="0.2">
      <c r="A169" s="4" t="s">
        <v>271</v>
      </c>
      <c r="B169" s="4" t="s">
        <v>253</v>
      </c>
      <c r="C169" s="4" t="s">
        <v>1350</v>
      </c>
      <c r="D169" s="4">
        <v>2514</v>
      </c>
      <c r="E169" s="4" t="s">
        <v>13</v>
      </c>
      <c r="F169" s="4" t="s">
        <v>893</v>
      </c>
      <c r="G169" s="113">
        <v>0.25</v>
      </c>
      <c r="H169" t="s">
        <v>1781</v>
      </c>
      <c r="I169" s="4">
        <v>0.5</v>
      </c>
      <c r="L169" s="4" t="s">
        <v>1537</v>
      </c>
      <c r="M169" s="4" t="s">
        <v>109</v>
      </c>
      <c r="N169" s="4" t="s">
        <v>6</v>
      </c>
      <c r="O169" s="4"/>
      <c r="P169" s="4" t="s">
        <v>1693</v>
      </c>
      <c r="Q169" t="s">
        <v>109</v>
      </c>
      <c r="R169" s="4"/>
      <c r="S169" s="4"/>
      <c r="U169" s="4"/>
      <c r="Y169" s="4"/>
      <c r="Z169" s="4"/>
      <c r="AA169" s="4"/>
      <c r="AB169" s="4"/>
      <c r="AC169" s="4"/>
      <c r="AD169" s="4"/>
      <c r="AE169" s="4"/>
      <c r="AF169" s="4"/>
      <c r="AG169" s="4"/>
      <c r="AH169" s="4"/>
      <c r="AI169" s="4"/>
      <c r="AJ169" s="4"/>
      <c r="AK169" s="4"/>
      <c r="AL169" s="4"/>
      <c r="AP169" s="4"/>
      <c r="AX169" s="4"/>
      <c r="AY169" s="4"/>
      <c r="AZ169" s="4"/>
      <c r="BA169" s="4"/>
      <c r="BB169" s="4"/>
      <c r="BC169" s="4"/>
      <c r="BD169" s="4"/>
      <c r="BE169" s="4"/>
      <c r="BF169" s="4"/>
      <c r="BG169" s="4"/>
      <c r="BI169" s="4"/>
      <c r="BP169" s="4"/>
      <c r="BS169" s="4"/>
      <c r="BW169" s="4"/>
      <c r="BX169" s="4"/>
    </row>
    <row r="170" spans="1:76" ht="12.75" x14ac:dyDescent="0.2">
      <c r="A170" s="4" t="s">
        <v>271</v>
      </c>
      <c r="B170" s="4" t="s">
        <v>253</v>
      </c>
      <c r="C170" s="4" t="s">
        <v>1350</v>
      </c>
      <c r="D170" s="4">
        <v>2514</v>
      </c>
      <c r="E170" s="4" t="s">
        <v>13</v>
      </c>
      <c r="F170" s="4" t="s">
        <v>893</v>
      </c>
      <c r="G170" s="113">
        <v>0.25</v>
      </c>
      <c r="H170" t="s">
        <v>1781</v>
      </c>
      <c r="I170" s="4">
        <v>0.5</v>
      </c>
      <c r="L170" s="4" t="s">
        <v>1537</v>
      </c>
      <c r="M170" s="4" t="s">
        <v>109</v>
      </c>
      <c r="N170" s="4" t="s">
        <v>6</v>
      </c>
      <c r="O170" s="4"/>
      <c r="P170" s="4" t="s">
        <v>1693</v>
      </c>
      <c r="Q170" t="s">
        <v>109</v>
      </c>
      <c r="R170" s="4"/>
      <c r="S170" s="4"/>
      <c r="U170" s="4"/>
      <c r="Y170" s="4"/>
      <c r="Z170" s="4"/>
      <c r="AA170" s="4"/>
      <c r="AB170" s="4"/>
      <c r="AC170" s="4"/>
      <c r="AD170" s="4"/>
      <c r="AE170" s="4"/>
      <c r="AF170" s="4"/>
      <c r="AG170" s="4"/>
      <c r="AH170" s="4"/>
      <c r="AI170" s="4"/>
      <c r="AJ170" s="4"/>
      <c r="AK170" s="4"/>
      <c r="AL170" s="4"/>
      <c r="AP170" s="4"/>
      <c r="AX170" s="4"/>
      <c r="AY170" s="4"/>
      <c r="AZ170" s="4"/>
      <c r="BA170" s="4"/>
      <c r="BB170" s="4"/>
      <c r="BC170" s="4"/>
      <c r="BD170" s="4"/>
      <c r="BE170" s="4"/>
      <c r="BF170" s="4"/>
      <c r="BG170" s="4"/>
      <c r="BI170" s="4"/>
      <c r="BP170" s="4"/>
      <c r="BS170" s="4"/>
      <c r="BW170" s="4"/>
      <c r="BX170" s="4"/>
    </row>
    <row r="171" spans="1:76" ht="12.75" x14ac:dyDescent="0.2">
      <c r="A171" s="4" t="s">
        <v>271</v>
      </c>
      <c r="B171" s="4" t="s">
        <v>114</v>
      </c>
      <c r="C171" s="4" t="s">
        <v>1349</v>
      </c>
      <c r="D171" s="4">
        <v>2514</v>
      </c>
      <c r="E171" s="4" t="s">
        <v>13</v>
      </c>
      <c r="F171" s="4" t="s">
        <v>893</v>
      </c>
      <c r="G171" s="113">
        <v>1</v>
      </c>
      <c r="H171" t="s">
        <v>1781</v>
      </c>
      <c r="I171" s="4">
        <v>0.50931677018633548</v>
      </c>
      <c r="L171" s="4" t="s">
        <v>1544</v>
      </c>
      <c r="M171" s="4" t="s">
        <v>109</v>
      </c>
      <c r="N171" s="4" t="s">
        <v>6</v>
      </c>
      <c r="O171" s="4"/>
      <c r="P171" s="4" t="s">
        <v>1693</v>
      </c>
      <c r="Q171" t="s">
        <v>109</v>
      </c>
      <c r="R171" s="4"/>
      <c r="S171" s="4"/>
      <c r="U171" s="4"/>
      <c r="Y171" s="4"/>
      <c r="Z171" s="4"/>
      <c r="AA171" s="4"/>
      <c r="AB171" s="4"/>
      <c r="AC171" s="4"/>
      <c r="AD171" s="4"/>
      <c r="AE171" s="4"/>
      <c r="AF171" s="4"/>
      <c r="AG171" s="4"/>
      <c r="AH171" s="4"/>
      <c r="AI171" s="4"/>
      <c r="AJ171" s="4"/>
      <c r="AK171" s="4"/>
      <c r="AL171" s="4"/>
      <c r="AP171" s="4"/>
      <c r="AX171" s="4"/>
      <c r="AY171" s="4"/>
      <c r="AZ171" s="4"/>
      <c r="BA171" s="4"/>
      <c r="BB171" s="4"/>
      <c r="BC171" s="4"/>
      <c r="BD171" s="4"/>
      <c r="BE171" s="4"/>
      <c r="BF171" s="4"/>
      <c r="BG171" s="4"/>
      <c r="BI171" s="4"/>
      <c r="BP171" s="4"/>
      <c r="BS171" s="4"/>
      <c r="BW171" s="4"/>
      <c r="BX171" s="4"/>
    </row>
    <row r="172" spans="1:76" ht="12.75" x14ac:dyDescent="0.2">
      <c r="A172" s="4" t="s">
        <v>1347</v>
      </c>
      <c r="B172" s="4" t="s">
        <v>143</v>
      </c>
      <c r="C172" s="4" t="s">
        <v>111</v>
      </c>
      <c r="D172" s="4">
        <v>2514</v>
      </c>
      <c r="E172" s="4" t="s">
        <v>13</v>
      </c>
      <c r="F172" s="4" t="s">
        <v>893</v>
      </c>
      <c r="G172" s="113">
        <v>0.5</v>
      </c>
      <c r="H172" t="s">
        <v>1781</v>
      </c>
      <c r="I172" s="4">
        <v>0.56152449999999998</v>
      </c>
      <c r="L172" s="4" t="s">
        <v>1539</v>
      </c>
      <c r="M172" s="4" t="s">
        <v>109</v>
      </c>
      <c r="N172" s="4" t="s">
        <v>6</v>
      </c>
      <c r="O172" s="4"/>
      <c r="P172" s="4" t="s">
        <v>1693</v>
      </c>
      <c r="Q172" t="s">
        <v>109</v>
      </c>
      <c r="R172" s="4"/>
      <c r="S172" s="4"/>
      <c r="U172" s="4"/>
      <c r="Y172" s="4"/>
      <c r="Z172" s="4"/>
      <c r="AA172" s="4"/>
      <c r="AB172" s="4"/>
      <c r="AC172" s="4"/>
      <c r="AD172" s="4"/>
      <c r="AE172" s="4"/>
      <c r="AF172" s="4"/>
      <c r="AG172" s="4"/>
      <c r="AH172" s="4"/>
      <c r="AI172" s="4"/>
      <c r="AJ172" s="4"/>
      <c r="AK172" s="4"/>
      <c r="AL172" s="4"/>
      <c r="AP172" s="4"/>
      <c r="AX172" s="4"/>
      <c r="AY172" s="4"/>
      <c r="AZ172" s="4"/>
      <c r="BA172" s="4"/>
      <c r="BB172" s="4"/>
      <c r="BC172" s="4"/>
      <c r="BD172" s="4"/>
      <c r="BE172" s="4"/>
      <c r="BF172" s="4"/>
      <c r="BG172" s="4"/>
      <c r="BI172" s="4"/>
      <c r="BP172" s="4"/>
      <c r="BS172" s="4"/>
      <c r="BW172" s="4"/>
      <c r="BX172" s="4"/>
    </row>
    <row r="173" spans="1:76" ht="12.75" x14ac:dyDescent="0.2">
      <c r="A173" s="4" t="s">
        <v>450</v>
      </c>
      <c r="B173" s="4" t="s">
        <v>180</v>
      </c>
      <c r="C173" s="4" t="s">
        <v>111</v>
      </c>
      <c r="D173" s="4">
        <v>2515</v>
      </c>
      <c r="E173" s="4" t="s">
        <v>19</v>
      </c>
      <c r="F173" s="4" t="s">
        <v>893</v>
      </c>
      <c r="G173" s="113">
        <v>1</v>
      </c>
      <c r="H173" t="s">
        <v>1781</v>
      </c>
      <c r="I173" s="4">
        <v>0.223</v>
      </c>
      <c r="L173" s="4" t="s">
        <v>1559</v>
      </c>
      <c r="M173" s="4" t="s">
        <v>109</v>
      </c>
      <c r="N173" s="4" t="s">
        <v>6</v>
      </c>
      <c r="O173" s="4"/>
      <c r="P173" s="4" t="s">
        <v>1693</v>
      </c>
      <c r="Q173" t="s">
        <v>109</v>
      </c>
      <c r="R173" s="4"/>
      <c r="S173" s="4"/>
      <c r="U173" s="4"/>
      <c r="Y173" s="4"/>
      <c r="Z173" s="4"/>
      <c r="AA173" s="4"/>
      <c r="AB173" s="4"/>
      <c r="AC173" s="4"/>
      <c r="AD173" s="4"/>
      <c r="AE173" s="4"/>
      <c r="AF173" s="4"/>
      <c r="AG173" s="4"/>
      <c r="AH173" s="4"/>
      <c r="AI173" s="4"/>
      <c r="AJ173" s="4"/>
      <c r="AK173" s="4"/>
      <c r="AL173" s="4"/>
      <c r="AP173" s="4"/>
      <c r="AX173" s="4"/>
      <c r="AY173" s="4"/>
      <c r="AZ173" s="4"/>
      <c r="BA173" s="4"/>
      <c r="BB173" s="4"/>
      <c r="BC173" s="4"/>
      <c r="BD173" s="4"/>
      <c r="BE173" s="4"/>
      <c r="BF173" s="4"/>
      <c r="BG173" s="4"/>
      <c r="BI173" s="4"/>
      <c r="BP173" s="4"/>
      <c r="BS173" s="4"/>
      <c r="BW173" s="4"/>
      <c r="BX173" s="4"/>
    </row>
    <row r="174" spans="1:76" ht="12.75" x14ac:dyDescent="0.2">
      <c r="A174" s="4" t="s">
        <v>450</v>
      </c>
      <c r="B174" s="4" t="s">
        <v>345</v>
      </c>
      <c r="C174" s="4" t="s">
        <v>101</v>
      </c>
      <c r="D174" s="4">
        <v>2515</v>
      </c>
      <c r="E174" s="4" t="s">
        <v>19</v>
      </c>
      <c r="F174" s="4" t="s">
        <v>893</v>
      </c>
      <c r="G174" s="113">
        <v>0.5</v>
      </c>
      <c r="H174" t="s">
        <v>1781</v>
      </c>
      <c r="I174" s="4">
        <v>0.29799999999999999</v>
      </c>
      <c r="L174" s="4" t="s">
        <v>1542</v>
      </c>
      <c r="M174" s="4" t="s">
        <v>109</v>
      </c>
      <c r="N174" s="4" t="s">
        <v>6</v>
      </c>
      <c r="O174" s="4"/>
      <c r="P174" s="4" t="s">
        <v>1693</v>
      </c>
      <c r="Q174" t="s">
        <v>109</v>
      </c>
      <c r="R174" s="4"/>
      <c r="S174" s="4"/>
      <c r="U174" s="4"/>
      <c r="Y174" s="4"/>
      <c r="Z174" s="4"/>
      <c r="AA174" s="4"/>
      <c r="AB174" s="4"/>
      <c r="AC174" s="4"/>
      <c r="AD174" s="4"/>
      <c r="AE174" s="4"/>
      <c r="AF174" s="4"/>
      <c r="AG174" s="4"/>
      <c r="AH174" s="4"/>
      <c r="AI174" s="4"/>
      <c r="AJ174" s="4"/>
      <c r="AK174" s="4"/>
      <c r="AL174" s="4"/>
      <c r="AP174" s="4"/>
      <c r="AX174" s="4"/>
      <c r="AY174" s="4"/>
      <c r="AZ174" s="4"/>
      <c r="BA174" s="4"/>
      <c r="BB174" s="4"/>
      <c r="BC174" s="4"/>
      <c r="BD174" s="4"/>
      <c r="BE174" s="4"/>
      <c r="BF174" s="4"/>
      <c r="BG174" s="4"/>
      <c r="BI174" s="4"/>
      <c r="BP174" s="4"/>
      <c r="BS174" s="4"/>
      <c r="BW174" s="4"/>
      <c r="BX174" s="4"/>
    </row>
    <row r="175" spans="1:76" ht="12.75" x14ac:dyDescent="0.2">
      <c r="A175" s="4" t="s">
        <v>450</v>
      </c>
      <c r="B175" s="4" t="s">
        <v>345</v>
      </c>
      <c r="C175" s="4" t="s">
        <v>111</v>
      </c>
      <c r="D175" s="4">
        <v>2515</v>
      </c>
      <c r="E175" s="4" t="s">
        <v>19</v>
      </c>
      <c r="F175" s="4" t="s">
        <v>893</v>
      </c>
      <c r="G175" s="113">
        <v>0.5</v>
      </c>
      <c r="H175" t="s">
        <v>1781</v>
      </c>
      <c r="I175" s="4">
        <v>0.53700000000000003</v>
      </c>
      <c r="L175" s="4" t="s">
        <v>1542</v>
      </c>
      <c r="M175" s="4" t="s">
        <v>109</v>
      </c>
      <c r="N175" s="4" t="s">
        <v>6</v>
      </c>
      <c r="O175" s="4"/>
      <c r="P175" s="4" t="s">
        <v>1693</v>
      </c>
      <c r="Q175" t="s">
        <v>109</v>
      </c>
      <c r="R175" s="4"/>
      <c r="S175" s="4"/>
      <c r="U175" s="4"/>
      <c r="Y175" s="4"/>
      <c r="Z175" s="4"/>
      <c r="AA175" s="4"/>
      <c r="AB175" s="4"/>
      <c r="AC175" s="4"/>
      <c r="AD175" s="4"/>
      <c r="AE175" s="4"/>
      <c r="AF175" s="4"/>
      <c r="AG175" s="4"/>
      <c r="AH175" s="4"/>
      <c r="AI175" s="4"/>
      <c r="AJ175" s="4"/>
      <c r="AK175" s="4"/>
      <c r="AL175" s="4"/>
      <c r="AP175" s="4"/>
      <c r="AX175" s="4"/>
      <c r="AY175" s="4"/>
      <c r="AZ175" s="4"/>
      <c r="BA175" s="4"/>
      <c r="BB175" s="4"/>
      <c r="BC175" s="4"/>
      <c r="BD175" s="4"/>
      <c r="BE175" s="4"/>
      <c r="BF175" s="4"/>
      <c r="BG175" s="4"/>
      <c r="BI175" s="4"/>
      <c r="BP175" s="4"/>
      <c r="BS175" s="4"/>
      <c r="BW175" s="4"/>
      <c r="BX175" s="4"/>
    </row>
    <row r="176" spans="1:76" ht="12.75" x14ac:dyDescent="0.2">
      <c r="A176" s="4" t="s">
        <v>450</v>
      </c>
      <c r="B176" s="4" t="s">
        <v>200</v>
      </c>
      <c r="C176" s="4" t="s">
        <v>205</v>
      </c>
      <c r="D176" s="4">
        <v>2515</v>
      </c>
      <c r="E176" s="4" t="s">
        <v>19</v>
      </c>
      <c r="F176" s="4" t="s">
        <v>893</v>
      </c>
      <c r="G176" s="113">
        <v>0.33333333333333331</v>
      </c>
      <c r="H176" t="s">
        <v>1781</v>
      </c>
      <c r="I176" s="4">
        <v>0.84</v>
      </c>
      <c r="L176" s="4" t="s">
        <v>1546</v>
      </c>
      <c r="M176" s="4" t="s">
        <v>109</v>
      </c>
      <c r="N176" s="4" t="s">
        <v>6</v>
      </c>
      <c r="O176" s="4"/>
      <c r="P176" s="4" t="s">
        <v>1693</v>
      </c>
      <c r="Q176" t="s">
        <v>109</v>
      </c>
      <c r="R176" s="4"/>
      <c r="S176" s="4"/>
      <c r="U176" s="4"/>
      <c r="Y176" s="4"/>
      <c r="Z176" s="4"/>
      <c r="AA176" s="4"/>
      <c r="AB176" s="4"/>
      <c r="AC176" s="4"/>
      <c r="AD176" s="4"/>
      <c r="AE176" s="4"/>
      <c r="AF176" s="4"/>
      <c r="AG176" s="4"/>
      <c r="AH176" s="4"/>
      <c r="AI176" s="4"/>
      <c r="AJ176" s="4"/>
      <c r="AK176" s="4"/>
      <c r="AL176" s="4"/>
      <c r="AP176" s="4"/>
      <c r="AX176" s="4"/>
      <c r="AY176" s="4"/>
      <c r="AZ176" s="4"/>
      <c r="BA176" s="4"/>
      <c r="BB176" s="4"/>
      <c r="BC176" s="4"/>
      <c r="BD176" s="4"/>
      <c r="BE176" s="4"/>
      <c r="BF176" s="4"/>
      <c r="BG176" s="4"/>
      <c r="BI176" s="4"/>
      <c r="BP176" s="4"/>
      <c r="BS176" s="4"/>
      <c r="BW176" s="4"/>
      <c r="BX176" s="4"/>
    </row>
    <row r="177" spans="1:76" ht="12.75" x14ac:dyDescent="0.2">
      <c r="A177" s="4" t="s">
        <v>450</v>
      </c>
      <c r="B177" s="4" t="s">
        <v>200</v>
      </c>
      <c r="C177" s="4" t="s">
        <v>201</v>
      </c>
      <c r="D177" s="4">
        <v>2515</v>
      </c>
      <c r="E177" s="4" t="s">
        <v>19</v>
      </c>
      <c r="F177" s="4" t="s">
        <v>893</v>
      </c>
      <c r="G177" s="113">
        <v>0.33333333333333331</v>
      </c>
      <c r="H177" t="s">
        <v>1781</v>
      </c>
      <c r="I177" s="4">
        <v>0.84</v>
      </c>
      <c r="L177" s="4" t="s">
        <v>1546</v>
      </c>
      <c r="M177" s="4" t="s">
        <v>109</v>
      </c>
      <c r="N177" s="4" t="s">
        <v>6</v>
      </c>
      <c r="O177" s="4"/>
      <c r="P177" s="4" t="s">
        <v>1693</v>
      </c>
      <c r="Q177" t="s">
        <v>109</v>
      </c>
      <c r="R177" s="4"/>
      <c r="S177" s="4"/>
      <c r="U177" s="4"/>
      <c r="Y177" s="4"/>
      <c r="Z177" s="4"/>
      <c r="AA177" s="4"/>
      <c r="AB177" s="4"/>
      <c r="AC177" s="4"/>
      <c r="AD177" s="4"/>
      <c r="AE177" s="4"/>
      <c r="AF177" s="4"/>
      <c r="AG177" s="4"/>
      <c r="AH177" s="4"/>
      <c r="AI177" s="4"/>
      <c r="AJ177" s="4"/>
      <c r="AK177" s="4"/>
      <c r="AL177" s="4"/>
      <c r="AP177" s="4"/>
      <c r="AX177" s="4"/>
      <c r="AY177" s="4"/>
      <c r="AZ177" s="4"/>
      <c r="BA177" s="4"/>
      <c r="BB177" s="4"/>
      <c r="BC177" s="4"/>
      <c r="BD177" s="4"/>
      <c r="BE177" s="4"/>
      <c r="BF177" s="4"/>
      <c r="BG177" s="4"/>
      <c r="BI177" s="4"/>
      <c r="BP177" s="4"/>
      <c r="BS177" s="4"/>
      <c r="BW177" s="4"/>
      <c r="BX177" s="4"/>
    </row>
    <row r="178" spans="1:76" ht="12.75" x14ac:dyDescent="0.2">
      <c r="A178" s="4" t="s">
        <v>450</v>
      </c>
      <c r="B178" s="4" t="s">
        <v>200</v>
      </c>
      <c r="C178" s="4" t="s">
        <v>111</v>
      </c>
      <c r="D178" s="4">
        <v>2515</v>
      </c>
      <c r="E178" s="4" t="s">
        <v>19</v>
      </c>
      <c r="F178" s="4" t="s">
        <v>893</v>
      </c>
      <c r="G178" s="113">
        <v>0.33333333333333331</v>
      </c>
      <c r="H178" t="s">
        <v>1781</v>
      </c>
      <c r="I178" s="4">
        <v>0.87</v>
      </c>
      <c r="L178" s="4" t="s">
        <v>1546</v>
      </c>
      <c r="M178" s="4" t="s">
        <v>109</v>
      </c>
      <c r="N178" s="4" t="s">
        <v>6</v>
      </c>
      <c r="O178" s="4"/>
      <c r="P178" s="4" t="s">
        <v>1693</v>
      </c>
      <c r="Q178" t="s">
        <v>109</v>
      </c>
      <c r="R178" s="4"/>
      <c r="S178" s="4"/>
      <c r="U178" s="4"/>
      <c r="Y178" s="4"/>
      <c r="Z178" s="4"/>
      <c r="AA178" s="4"/>
      <c r="AB178" s="4"/>
      <c r="AC178" s="4"/>
      <c r="AD178" s="4"/>
      <c r="AE178" s="4"/>
      <c r="AF178" s="4"/>
      <c r="AG178" s="4"/>
      <c r="AH178" s="4"/>
      <c r="AI178" s="4"/>
      <c r="AJ178" s="4"/>
      <c r="AK178" s="4"/>
      <c r="AL178" s="4"/>
      <c r="AP178" s="4"/>
      <c r="AX178" s="4"/>
      <c r="AY178" s="4"/>
      <c r="AZ178" s="4"/>
      <c r="BA178" s="4"/>
      <c r="BB178" s="4"/>
      <c r="BC178" s="4"/>
      <c r="BD178" s="4"/>
      <c r="BE178" s="4"/>
      <c r="BF178" s="4"/>
      <c r="BG178" s="4"/>
      <c r="BI178" s="4"/>
      <c r="BP178" s="4"/>
      <c r="BS178" s="4"/>
      <c r="BW178" s="4"/>
      <c r="BX178" s="4"/>
    </row>
    <row r="179" spans="1:76" ht="12.75" x14ac:dyDescent="0.2">
      <c r="A179" s="4" t="s">
        <v>1308</v>
      </c>
      <c r="B179" s="4" t="s">
        <v>77</v>
      </c>
      <c r="C179" s="4" t="s">
        <v>101</v>
      </c>
      <c r="D179" s="4">
        <v>2516</v>
      </c>
      <c r="E179" s="4" t="s">
        <v>14</v>
      </c>
      <c r="F179" s="4" t="s">
        <v>893</v>
      </c>
      <c r="G179" s="113">
        <v>0.5</v>
      </c>
      <c r="H179" t="s">
        <v>1781</v>
      </c>
      <c r="I179" s="4">
        <v>0.20500000000000002</v>
      </c>
      <c r="L179" s="4" t="s">
        <v>1555</v>
      </c>
      <c r="M179" s="4" t="s">
        <v>109</v>
      </c>
      <c r="N179" s="4" t="s">
        <v>6</v>
      </c>
      <c r="O179" s="4"/>
      <c r="P179" s="4" t="s">
        <v>1693</v>
      </c>
      <c r="Q179" t="s">
        <v>109</v>
      </c>
      <c r="R179" s="4"/>
      <c r="S179" s="4"/>
      <c r="U179" s="4"/>
      <c r="Y179" s="4"/>
      <c r="Z179" s="4"/>
      <c r="AA179" s="4"/>
      <c r="AB179" s="4"/>
      <c r="AC179" s="4"/>
      <c r="AD179" s="4"/>
      <c r="AE179" s="4"/>
      <c r="AF179" s="4"/>
      <c r="AG179" s="4"/>
      <c r="AH179" s="4"/>
      <c r="AI179" s="4"/>
      <c r="AJ179" s="4"/>
      <c r="AK179" s="4"/>
      <c r="AL179" s="4"/>
      <c r="AP179" s="4"/>
      <c r="AX179" s="4"/>
      <c r="AY179" s="4"/>
      <c r="AZ179" s="4"/>
      <c r="BA179" s="4"/>
      <c r="BB179" s="4"/>
      <c r="BC179" s="4"/>
      <c r="BD179" s="4"/>
      <c r="BE179" s="4"/>
      <c r="BF179" s="4"/>
      <c r="BG179" s="4"/>
      <c r="BI179" s="4"/>
      <c r="BP179" s="4"/>
      <c r="BS179" s="4"/>
      <c r="BW179" s="4"/>
      <c r="BX179" s="4"/>
    </row>
    <row r="180" spans="1:76" ht="12.75" x14ac:dyDescent="0.2">
      <c r="A180" s="4" t="s">
        <v>303</v>
      </c>
      <c r="B180" s="4" t="s">
        <v>225</v>
      </c>
      <c r="C180" s="4" t="s">
        <v>1366</v>
      </c>
      <c r="D180" s="4">
        <v>2516</v>
      </c>
      <c r="E180" s="4" t="s">
        <v>14</v>
      </c>
      <c r="F180" s="4" t="s">
        <v>893</v>
      </c>
      <c r="G180" s="113">
        <v>1</v>
      </c>
      <c r="H180" t="s">
        <v>1781</v>
      </c>
      <c r="I180" s="4">
        <v>0.219</v>
      </c>
      <c r="L180" s="4" t="s">
        <v>1549</v>
      </c>
      <c r="M180" s="4" t="s">
        <v>109</v>
      </c>
      <c r="N180" s="4" t="s">
        <v>6</v>
      </c>
      <c r="O180" s="4"/>
      <c r="P180" s="4" t="s">
        <v>1693</v>
      </c>
      <c r="Q180" t="s">
        <v>109</v>
      </c>
      <c r="R180" s="4"/>
      <c r="S180" s="4"/>
      <c r="U180" s="4"/>
      <c r="Y180" s="4"/>
      <c r="Z180" s="4"/>
      <c r="AA180" s="4"/>
      <c r="AB180" s="4"/>
      <c r="AC180" s="4"/>
      <c r="AD180" s="4"/>
      <c r="AE180" s="4"/>
      <c r="AF180" s="4"/>
      <c r="AG180" s="4"/>
      <c r="AH180" s="4"/>
      <c r="AI180" s="4"/>
      <c r="AJ180" s="4"/>
      <c r="AK180" s="4"/>
      <c r="AL180" s="4"/>
      <c r="AP180" s="4"/>
      <c r="AX180" s="4"/>
      <c r="AY180" s="4"/>
      <c r="AZ180" s="4"/>
      <c r="BA180" s="4"/>
      <c r="BB180" s="4"/>
      <c r="BC180" s="4"/>
      <c r="BD180" s="4"/>
      <c r="BE180" s="4"/>
      <c r="BF180" s="4"/>
      <c r="BG180" s="4"/>
      <c r="BI180" s="4"/>
      <c r="BP180" s="4"/>
      <c r="BS180" s="4"/>
      <c r="BW180" s="4"/>
      <c r="BX180" s="4"/>
    </row>
    <row r="181" spans="1:76" ht="12.75" x14ac:dyDescent="0.2">
      <c r="A181" s="4" t="s">
        <v>1308</v>
      </c>
      <c r="B181" s="4" t="s">
        <v>77</v>
      </c>
      <c r="C181" s="4" t="s">
        <v>111</v>
      </c>
      <c r="D181" s="4">
        <v>2516</v>
      </c>
      <c r="E181" s="4" t="s">
        <v>14</v>
      </c>
      <c r="F181" s="4" t="s">
        <v>893</v>
      </c>
      <c r="G181" s="113">
        <v>0.5</v>
      </c>
      <c r="H181" t="s">
        <v>1781</v>
      </c>
      <c r="I181" s="4">
        <v>0.32300000000000001</v>
      </c>
      <c r="L181" s="4" t="s">
        <v>1555</v>
      </c>
      <c r="M181" s="4" t="s">
        <v>109</v>
      </c>
      <c r="N181" s="4" t="s">
        <v>6</v>
      </c>
      <c r="O181" s="4"/>
      <c r="P181" s="4" t="s">
        <v>1693</v>
      </c>
      <c r="Q181" t="s">
        <v>109</v>
      </c>
      <c r="R181" s="4"/>
      <c r="S181" s="4"/>
      <c r="U181" s="4"/>
      <c r="Y181" s="4"/>
      <c r="Z181" s="4"/>
      <c r="AA181" s="4"/>
      <c r="AB181" s="4"/>
      <c r="AC181" s="4"/>
      <c r="AD181" s="4"/>
      <c r="AE181" s="4"/>
      <c r="AF181" s="4"/>
      <c r="AG181" s="4"/>
      <c r="AH181" s="4"/>
      <c r="AI181" s="4"/>
      <c r="AJ181" s="4"/>
      <c r="AK181" s="4"/>
      <c r="AL181" s="4"/>
      <c r="AP181" s="4"/>
      <c r="AX181" s="4"/>
      <c r="AY181" s="4"/>
      <c r="AZ181" s="4"/>
      <c r="BA181" s="4"/>
      <c r="BB181" s="4"/>
      <c r="BC181" s="4"/>
      <c r="BD181" s="4"/>
      <c r="BE181" s="4"/>
      <c r="BF181" s="4"/>
      <c r="BG181" s="4"/>
      <c r="BI181" s="4"/>
      <c r="BP181" s="4"/>
      <c r="BS181" s="4"/>
      <c r="BW181" s="4"/>
      <c r="BX181" s="4"/>
    </row>
    <row r="182" spans="1:76" ht="12.75" x14ac:dyDescent="0.2">
      <c r="A182" s="4" t="s">
        <v>304</v>
      </c>
      <c r="B182" s="4" t="s">
        <v>186</v>
      </c>
      <c r="C182" s="4" t="s">
        <v>111</v>
      </c>
      <c r="D182" s="4">
        <v>2516</v>
      </c>
      <c r="E182" s="4" t="s">
        <v>14</v>
      </c>
      <c r="F182" s="4" t="s">
        <v>893</v>
      </c>
      <c r="G182" s="113">
        <v>0.5</v>
      </c>
      <c r="H182" t="s">
        <v>1781</v>
      </c>
      <c r="I182" s="4">
        <v>0.51</v>
      </c>
      <c r="L182" s="4" t="s">
        <v>1538</v>
      </c>
      <c r="M182" s="4" t="s">
        <v>109</v>
      </c>
      <c r="N182" s="4" t="s">
        <v>6</v>
      </c>
      <c r="O182" s="4"/>
      <c r="P182" s="4" t="s">
        <v>1693</v>
      </c>
      <c r="Q182" t="s">
        <v>109</v>
      </c>
      <c r="R182" s="4"/>
      <c r="S182" s="4"/>
      <c r="U182" s="4"/>
      <c r="Y182" s="4"/>
      <c r="Z182" s="4"/>
      <c r="AA182" s="4"/>
      <c r="AB182" s="4"/>
      <c r="AC182" s="4"/>
      <c r="AD182" s="4"/>
      <c r="AE182" s="4"/>
      <c r="AF182" s="4"/>
      <c r="AG182" s="4"/>
      <c r="AH182" s="4"/>
      <c r="AI182" s="4"/>
      <c r="AJ182" s="4"/>
      <c r="AK182" s="4"/>
      <c r="AL182" s="4"/>
      <c r="AP182" s="4"/>
      <c r="AX182" s="4"/>
      <c r="AY182" s="4"/>
      <c r="AZ182" s="4"/>
      <c r="BA182" s="4"/>
      <c r="BB182" s="4"/>
      <c r="BC182" s="4"/>
      <c r="BD182" s="4"/>
      <c r="BE182" s="4"/>
      <c r="BF182" s="4"/>
      <c r="BG182" s="4"/>
      <c r="BI182" s="4"/>
      <c r="BP182" s="4"/>
      <c r="BS182" s="4"/>
      <c r="BW182" s="4"/>
      <c r="BX182" s="4"/>
    </row>
    <row r="183" spans="1:76" ht="12.75" x14ac:dyDescent="0.2">
      <c r="A183" s="4" t="s">
        <v>303</v>
      </c>
      <c r="B183" s="4" t="s">
        <v>186</v>
      </c>
      <c r="C183" s="4" t="s">
        <v>111</v>
      </c>
      <c r="D183" s="4">
        <v>2516</v>
      </c>
      <c r="E183" s="4" t="s">
        <v>14</v>
      </c>
      <c r="F183" s="4" t="s">
        <v>893</v>
      </c>
      <c r="G183" s="113">
        <v>1</v>
      </c>
      <c r="H183" t="s">
        <v>1781</v>
      </c>
      <c r="I183" s="4">
        <v>0.53550000000000009</v>
      </c>
      <c r="L183" s="4" t="s">
        <v>1551</v>
      </c>
      <c r="M183" s="4" t="s">
        <v>109</v>
      </c>
      <c r="N183" s="4" t="s">
        <v>6</v>
      </c>
      <c r="O183" s="4"/>
      <c r="P183" s="4" t="s">
        <v>1693</v>
      </c>
      <c r="Q183" t="s">
        <v>109</v>
      </c>
      <c r="R183" s="4"/>
      <c r="S183" s="4"/>
      <c r="U183" s="4"/>
      <c r="Y183" s="4"/>
      <c r="Z183" s="4"/>
      <c r="AA183" s="4"/>
      <c r="AB183" s="4"/>
      <c r="AC183" s="4"/>
      <c r="AD183" s="4"/>
      <c r="AE183" s="4"/>
      <c r="AF183" s="4"/>
      <c r="AG183" s="4"/>
      <c r="AH183" s="4"/>
      <c r="AI183" s="4"/>
      <c r="AJ183" s="4"/>
      <c r="AK183" s="4"/>
      <c r="AL183" s="4"/>
      <c r="AP183" s="4"/>
      <c r="AX183" s="4"/>
      <c r="AY183" s="4"/>
      <c r="AZ183" s="4"/>
      <c r="BA183" s="4"/>
      <c r="BB183" s="4"/>
      <c r="BC183" s="4"/>
      <c r="BD183" s="4"/>
      <c r="BE183" s="4"/>
      <c r="BF183" s="4"/>
      <c r="BG183" s="4"/>
      <c r="BI183" s="4"/>
      <c r="BP183" s="4"/>
      <c r="BS183" s="4"/>
      <c r="BW183" s="4"/>
      <c r="BX183" s="4"/>
    </row>
    <row r="184" spans="1:76" ht="12.75" x14ac:dyDescent="0.2">
      <c r="A184" s="4" t="s">
        <v>303</v>
      </c>
      <c r="B184" s="4" t="s">
        <v>200</v>
      </c>
      <c r="C184" s="4" t="s">
        <v>201</v>
      </c>
      <c r="D184" s="4">
        <v>2516</v>
      </c>
      <c r="E184" s="4" t="s">
        <v>14</v>
      </c>
      <c r="F184" s="4" t="s">
        <v>893</v>
      </c>
      <c r="G184" s="113">
        <v>0.33333333333333331</v>
      </c>
      <c r="H184" t="s">
        <v>1781</v>
      </c>
      <c r="I184" s="4">
        <v>0.54</v>
      </c>
      <c r="L184" s="4" t="s">
        <v>1546</v>
      </c>
      <c r="M184" s="4" t="s">
        <v>109</v>
      </c>
      <c r="N184" s="4" t="s">
        <v>6</v>
      </c>
      <c r="O184" s="4"/>
      <c r="P184" s="4" t="s">
        <v>1693</v>
      </c>
      <c r="Q184" t="s">
        <v>109</v>
      </c>
      <c r="R184" s="4"/>
      <c r="S184" s="4"/>
      <c r="U184" s="4"/>
      <c r="Y184" s="4"/>
      <c r="Z184" s="4"/>
      <c r="AA184" s="4"/>
      <c r="AB184" s="4"/>
      <c r="AC184" s="4"/>
      <c r="AD184" s="4"/>
      <c r="AE184" s="4"/>
      <c r="AF184" s="4"/>
      <c r="AG184" s="4"/>
      <c r="AH184" s="4"/>
      <c r="AI184" s="4"/>
      <c r="AJ184" s="4"/>
      <c r="AK184" s="4"/>
      <c r="AL184" s="4"/>
      <c r="AP184" s="4"/>
      <c r="AX184" s="4"/>
      <c r="AY184" s="4"/>
      <c r="AZ184" s="4"/>
      <c r="BA184" s="4"/>
      <c r="BB184" s="4"/>
      <c r="BC184" s="4"/>
      <c r="BD184" s="4"/>
      <c r="BE184" s="4"/>
      <c r="BF184" s="4"/>
      <c r="BG184" s="4"/>
      <c r="BI184" s="4"/>
      <c r="BP184" s="4"/>
      <c r="BS184" s="4"/>
      <c r="BW184" s="4"/>
      <c r="BX184" s="4"/>
    </row>
    <row r="185" spans="1:76" ht="12.75" x14ac:dyDescent="0.2">
      <c r="A185" s="4" t="s">
        <v>303</v>
      </c>
      <c r="B185" s="4" t="s">
        <v>200</v>
      </c>
      <c r="C185" s="4" t="s">
        <v>205</v>
      </c>
      <c r="D185" s="4">
        <v>2516</v>
      </c>
      <c r="E185" s="4" t="s">
        <v>14</v>
      </c>
      <c r="F185" s="4" t="s">
        <v>893</v>
      </c>
      <c r="G185" s="113">
        <v>0.33333333333333331</v>
      </c>
      <c r="H185" t="s">
        <v>1781</v>
      </c>
      <c r="I185" s="4">
        <v>0.54</v>
      </c>
      <c r="L185" s="4" t="s">
        <v>1546</v>
      </c>
      <c r="M185" s="4" t="s">
        <v>109</v>
      </c>
      <c r="N185" s="4" t="s">
        <v>6</v>
      </c>
      <c r="O185" s="4"/>
      <c r="P185" s="4" t="s">
        <v>1693</v>
      </c>
      <c r="Q185" t="s">
        <v>109</v>
      </c>
      <c r="R185" s="4"/>
      <c r="S185" s="4"/>
      <c r="U185" s="4"/>
      <c r="Y185" s="4"/>
      <c r="Z185" s="4"/>
      <c r="AA185" s="4"/>
      <c r="AB185" s="4"/>
      <c r="AC185" s="4"/>
      <c r="AD185" s="4"/>
      <c r="AE185" s="4"/>
      <c r="AF185" s="4"/>
      <c r="AG185" s="4"/>
      <c r="AH185" s="4"/>
      <c r="AI185" s="4"/>
      <c r="AJ185" s="4"/>
      <c r="AK185" s="4"/>
      <c r="AL185" s="4"/>
      <c r="AP185" s="4"/>
      <c r="AX185" s="4"/>
      <c r="AY185" s="4"/>
      <c r="AZ185" s="4"/>
      <c r="BA185" s="4"/>
      <c r="BB185" s="4"/>
      <c r="BC185" s="4"/>
      <c r="BD185" s="4"/>
      <c r="BE185" s="4"/>
      <c r="BF185" s="4"/>
      <c r="BG185" s="4"/>
      <c r="BI185" s="4"/>
      <c r="BP185" s="4"/>
      <c r="BS185" s="4"/>
      <c r="BW185" s="4"/>
      <c r="BX185" s="4"/>
    </row>
    <row r="186" spans="1:76" ht="12.75" x14ac:dyDescent="0.2">
      <c r="A186" s="4" t="s">
        <v>303</v>
      </c>
      <c r="B186" s="4" t="s">
        <v>200</v>
      </c>
      <c r="C186" s="4" t="s">
        <v>111</v>
      </c>
      <c r="D186" s="4">
        <v>2516</v>
      </c>
      <c r="E186" s="4" t="s">
        <v>14</v>
      </c>
      <c r="F186" s="4" t="s">
        <v>893</v>
      </c>
      <c r="G186" s="113">
        <v>0.33333333333333331</v>
      </c>
      <c r="H186" t="s">
        <v>1781</v>
      </c>
      <c r="I186" s="4">
        <v>0.56999999999999995</v>
      </c>
      <c r="L186" s="4" t="s">
        <v>1546</v>
      </c>
      <c r="M186" s="4" t="s">
        <v>109</v>
      </c>
      <c r="N186" s="4" t="s">
        <v>6</v>
      </c>
      <c r="O186" s="4"/>
      <c r="P186" s="4" t="s">
        <v>1693</v>
      </c>
      <c r="Q186" t="s">
        <v>109</v>
      </c>
      <c r="R186" s="4"/>
      <c r="S186" s="4"/>
      <c r="U186" s="4"/>
      <c r="Y186" s="4"/>
      <c r="Z186" s="4"/>
      <c r="AA186" s="4"/>
      <c r="AB186" s="4"/>
      <c r="AC186" s="4"/>
      <c r="AD186" s="4"/>
      <c r="AE186" s="4"/>
      <c r="AF186" s="4"/>
      <c r="AG186" s="4"/>
      <c r="AH186" s="4"/>
      <c r="AI186" s="4"/>
      <c r="AJ186" s="4"/>
      <c r="AK186" s="4"/>
      <c r="AL186" s="4"/>
      <c r="AP186" s="4"/>
      <c r="AX186" s="4"/>
      <c r="AY186" s="4"/>
      <c r="AZ186" s="4"/>
      <c r="BA186" s="4"/>
      <c r="BB186" s="4"/>
      <c r="BC186" s="4"/>
      <c r="BD186" s="4"/>
      <c r="BE186" s="4"/>
      <c r="BF186" s="4"/>
      <c r="BG186" s="4"/>
      <c r="BI186" s="4"/>
      <c r="BP186" s="4"/>
      <c r="BS186" s="4"/>
      <c r="BW186" s="4"/>
      <c r="BX186" s="4"/>
    </row>
    <row r="187" spans="1:76" ht="12.75" x14ac:dyDescent="0.2">
      <c r="A187" s="4" t="s">
        <v>303</v>
      </c>
      <c r="B187" s="4" t="s">
        <v>186</v>
      </c>
      <c r="C187" s="4" t="s">
        <v>111</v>
      </c>
      <c r="D187" s="4">
        <v>2516</v>
      </c>
      <c r="E187" s="4" t="s">
        <v>14</v>
      </c>
      <c r="F187" s="4" t="s">
        <v>893</v>
      </c>
      <c r="G187" s="113">
        <v>0.5</v>
      </c>
      <c r="H187" t="s">
        <v>1781</v>
      </c>
      <c r="I187" s="4">
        <v>0.57999999999999996</v>
      </c>
      <c r="L187" s="4" t="s">
        <v>1538</v>
      </c>
      <c r="M187" s="4" t="s">
        <v>109</v>
      </c>
      <c r="N187" s="4" t="s">
        <v>6</v>
      </c>
      <c r="O187" s="4"/>
      <c r="P187" s="4" t="s">
        <v>1693</v>
      </c>
      <c r="Q187" t="s">
        <v>109</v>
      </c>
      <c r="R187" s="4"/>
      <c r="S187" s="4"/>
      <c r="U187" s="4"/>
      <c r="Y187" s="4"/>
      <c r="Z187" s="4"/>
      <c r="AA187" s="4"/>
      <c r="AB187" s="4"/>
      <c r="AC187" s="4"/>
      <c r="AD187" s="4"/>
      <c r="AE187" s="4"/>
      <c r="AF187" s="4"/>
      <c r="AG187" s="4"/>
      <c r="AH187" s="4"/>
      <c r="AI187" s="4"/>
      <c r="AJ187" s="4"/>
      <c r="AK187" s="4"/>
      <c r="AL187" s="4"/>
      <c r="AP187" s="4"/>
      <c r="AX187" s="4"/>
      <c r="AY187" s="4"/>
      <c r="AZ187" s="4"/>
      <c r="BA187" s="4"/>
      <c r="BB187" s="4"/>
      <c r="BC187" s="4"/>
      <c r="BD187" s="4"/>
      <c r="BE187" s="4"/>
      <c r="BF187" s="4"/>
      <c r="BG187" s="4"/>
      <c r="BI187" s="4"/>
      <c r="BP187" s="4"/>
      <c r="BS187" s="4"/>
      <c r="BW187" s="4"/>
      <c r="BX187" s="4"/>
    </row>
    <row r="188" spans="1:76" ht="12.75" x14ac:dyDescent="0.2">
      <c r="A188" s="4" t="s">
        <v>376</v>
      </c>
      <c r="B188" s="4" t="s">
        <v>170</v>
      </c>
      <c r="C188" s="4" t="s">
        <v>111</v>
      </c>
      <c r="D188" s="4">
        <v>2531</v>
      </c>
      <c r="E188" s="4" t="s">
        <v>16</v>
      </c>
      <c r="F188" s="4" t="s">
        <v>1244</v>
      </c>
      <c r="G188" s="113">
        <v>1</v>
      </c>
      <c r="H188" t="s">
        <v>1781</v>
      </c>
      <c r="I188" s="4">
        <v>4.7280000000000003E-2</v>
      </c>
      <c r="L188" s="4" t="s">
        <v>1564</v>
      </c>
      <c r="M188" s="4" t="s">
        <v>109</v>
      </c>
      <c r="N188" s="4" t="s">
        <v>17</v>
      </c>
      <c r="O188" s="4"/>
      <c r="P188" s="4" t="s">
        <v>1693</v>
      </c>
      <c r="Q188" t="s">
        <v>109</v>
      </c>
      <c r="R188" s="4"/>
      <c r="S188" s="4"/>
      <c r="U188" s="4"/>
      <c r="Y188" s="4"/>
      <c r="Z188" s="4"/>
      <c r="AA188" s="4"/>
      <c r="AB188" s="4"/>
      <c r="AC188" s="4"/>
      <c r="AD188" s="4"/>
      <c r="AE188" s="4"/>
      <c r="AF188" s="4"/>
      <c r="AG188" s="4"/>
      <c r="AH188" s="4"/>
      <c r="AI188" s="4"/>
      <c r="AJ188" s="4"/>
      <c r="AK188" s="4"/>
      <c r="AL188" s="4"/>
      <c r="AP188" s="4"/>
      <c r="AX188" s="4"/>
      <c r="AY188" s="4"/>
      <c r="AZ188" s="4"/>
      <c r="BA188" s="4"/>
      <c r="BB188" s="4"/>
      <c r="BC188" s="4"/>
      <c r="BD188" s="4"/>
      <c r="BE188" s="4"/>
      <c r="BF188" s="4"/>
      <c r="BG188" s="4"/>
      <c r="BI188" s="4"/>
      <c r="BP188" s="4"/>
      <c r="BS188" s="4"/>
      <c r="BW188" s="4"/>
      <c r="BX188" s="4"/>
    </row>
    <row r="189" spans="1:76" ht="12.75" x14ac:dyDescent="0.2">
      <c r="A189" s="4" t="s">
        <v>376</v>
      </c>
      <c r="B189" s="4" t="s">
        <v>170</v>
      </c>
      <c r="C189" s="4" t="s">
        <v>1357</v>
      </c>
      <c r="D189" s="4">
        <v>2531</v>
      </c>
      <c r="E189" s="4" t="s">
        <v>16</v>
      </c>
      <c r="F189" s="4" t="s">
        <v>1244</v>
      </c>
      <c r="G189" s="113">
        <v>0.33333333333333331</v>
      </c>
      <c r="H189" t="s">
        <v>1781</v>
      </c>
      <c r="I189" s="4">
        <v>7.8100000000000003E-2</v>
      </c>
      <c r="L189" s="4" t="s">
        <v>1562</v>
      </c>
      <c r="M189" s="4" t="s">
        <v>109</v>
      </c>
      <c r="N189" s="4" t="s">
        <v>17</v>
      </c>
      <c r="O189" s="4"/>
      <c r="P189" s="4" t="s">
        <v>1693</v>
      </c>
      <c r="Q189" t="s">
        <v>109</v>
      </c>
      <c r="R189" s="4"/>
      <c r="S189" s="4"/>
      <c r="U189" s="4"/>
      <c r="Y189" s="4"/>
      <c r="Z189" s="4"/>
      <c r="AA189" s="4"/>
      <c r="AB189" s="4"/>
      <c r="AC189" s="4"/>
      <c r="AD189" s="4"/>
      <c r="AE189" s="4"/>
      <c r="AF189" s="4"/>
      <c r="AG189" s="4"/>
      <c r="AH189" s="4"/>
      <c r="AI189" s="4"/>
      <c r="AJ189" s="4"/>
      <c r="AK189" s="4"/>
      <c r="AL189" s="4"/>
      <c r="AP189" s="4"/>
      <c r="AX189" s="4"/>
      <c r="AY189" s="4"/>
      <c r="AZ189" s="4"/>
      <c r="BA189" s="4"/>
      <c r="BB189" s="4"/>
      <c r="BC189" s="4"/>
      <c r="BD189" s="4"/>
      <c r="BE189" s="4"/>
      <c r="BF189" s="4"/>
      <c r="BG189" s="4"/>
      <c r="BI189" s="4"/>
      <c r="BP189" s="4"/>
      <c r="BS189" s="4"/>
      <c r="BW189" s="4"/>
      <c r="BX189" s="4"/>
    </row>
    <row r="190" spans="1:76" ht="12.75" x14ac:dyDescent="0.2">
      <c r="A190" s="4" t="s">
        <v>376</v>
      </c>
      <c r="B190" s="4" t="s">
        <v>170</v>
      </c>
      <c r="C190" s="4" t="s">
        <v>1359</v>
      </c>
      <c r="D190" s="4">
        <v>2531</v>
      </c>
      <c r="E190" s="4" t="s">
        <v>16</v>
      </c>
      <c r="F190" s="4" t="s">
        <v>1244</v>
      </c>
      <c r="G190" s="113">
        <v>0.33333333333333331</v>
      </c>
      <c r="H190" t="s">
        <v>1781</v>
      </c>
      <c r="I190" s="4">
        <v>0.1221</v>
      </c>
      <c r="L190" s="4" t="s">
        <v>1562</v>
      </c>
      <c r="M190" s="4" t="s">
        <v>109</v>
      </c>
      <c r="N190" s="4" t="s">
        <v>17</v>
      </c>
      <c r="O190" s="4"/>
      <c r="P190" s="4" t="s">
        <v>1693</v>
      </c>
      <c r="Q190" t="s">
        <v>109</v>
      </c>
      <c r="R190" s="4"/>
      <c r="S190" s="4"/>
      <c r="U190" s="4"/>
      <c r="Y190" s="4"/>
      <c r="Z190" s="4"/>
      <c r="AA190" s="4"/>
      <c r="AB190" s="4"/>
      <c r="AC190" s="4"/>
      <c r="AD190" s="4"/>
      <c r="AE190" s="4"/>
      <c r="AF190" s="4"/>
      <c r="AG190" s="4"/>
      <c r="AH190" s="4"/>
      <c r="AI190" s="4"/>
      <c r="AJ190" s="4"/>
      <c r="AK190" s="4"/>
      <c r="AL190" s="4"/>
      <c r="AP190" s="4"/>
      <c r="AX190" s="4"/>
      <c r="AY190" s="4"/>
      <c r="AZ190" s="4"/>
      <c r="BA190" s="4"/>
      <c r="BB190" s="4"/>
      <c r="BC190" s="4"/>
      <c r="BD190" s="4"/>
      <c r="BE190" s="4"/>
      <c r="BF190" s="4"/>
      <c r="BG190" s="4"/>
      <c r="BI190" s="4"/>
      <c r="BP190" s="4"/>
      <c r="BS190" s="4"/>
      <c r="BW190" s="4"/>
      <c r="BX190" s="4"/>
    </row>
    <row r="191" spans="1:76" ht="12.75" x14ac:dyDescent="0.2">
      <c r="A191" s="4" t="s">
        <v>376</v>
      </c>
      <c r="B191" s="4" t="s">
        <v>345</v>
      </c>
      <c r="C191" s="4" t="s">
        <v>101</v>
      </c>
      <c r="D191" s="4">
        <v>2531</v>
      </c>
      <c r="E191" s="4" t="s">
        <v>16</v>
      </c>
      <c r="F191" s="4" t="s">
        <v>1244</v>
      </c>
      <c r="G191" s="113">
        <v>0.5</v>
      </c>
      <c r="H191" t="s">
        <v>1781</v>
      </c>
      <c r="I191" s="4">
        <v>0.125</v>
      </c>
      <c r="L191" s="4" t="s">
        <v>1542</v>
      </c>
      <c r="M191" s="4" t="s">
        <v>109</v>
      </c>
      <c r="N191" s="4" t="s">
        <v>17</v>
      </c>
      <c r="O191" s="4"/>
      <c r="P191" s="4" t="s">
        <v>1693</v>
      </c>
      <c r="Q191" t="s">
        <v>109</v>
      </c>
      <c r="R191" s="4"/>
      <c r="S191" s="4"/>
      <c r="U191" s="4"/>
      <c r="Y191" s="4"/>
      <c r="Z191" s="4"/>
      <c r="AA191" s="4"/>
      <c r="AB191" s="4"/>
      <c r="AC191" s="4"/>
      <c r="AD191" s="4"/>
      <c r="AE191" s="4"/>
      <c r="AF191" s="4"/>
      <c r="AG191" s="4"/>
      <c r="AH191" s="4"/>
      <c r="AI191" s="4"/>
      <c r="AJ191" s="4"/>
      <c r="AK191" s="4"/>
      <c r="AL191" s="4"/>
      <c r="AP191" s="4"/>
      <c r="AX191" s="4"/>
      <c r="AY191" s="4"/>
      <c r="AZ191" s="4"/>
      <c r="BA191" s="4"/>
      <c r="BB191" s="4"/>
      <c r="BC191" s="4"/>
      <c r="BD191" s="4"/>
      <c r="BE191" s="4"/>
      <c r="BF191" s="4"/>
      <c r="BG191" s="4"/>
      <c r="BI191" s="4"/>
      <c r="BP191" s="4"/>
      <c r="BS191" s="4"/>
      <c r="BW191" s="4"/>
      <c r="BX191" s="4"/>
    </row>
    <row r="192" spans="1:76" ht="12.75" x14ac:dyDescent="0.2">
      <c r="A192" s="4" t="s">
        <v>376</v>
      </c>
      <c r="B192" s="4" t="s">
        <v>1297</v>
      </c>
      <c r="C192" s="4" t="s">
        <v>138</v>
      </c>
      <c r="D192" s="4">
        <v>2531</v>
      </c>
      <c r="E192" s="4" t="s">
        <v>16</v>
      </c>
      <c r="F192" s="4" t="s">
        <v>1244</v>
      </c>
      <c r="G192" s="113">
        <v>0.25</v>
      </c>
      <c r="H192" t="s">
        <v>1781</v>
      </c>
      <c r="I192" s="4">
        <v>0.13</v>
      </c>
      <c r="L192" s="4" t="s">
        <v>1554</v>
      </c>
      <c r="M192" s="4" t="s">
        <v>109</v>
      </c>
      <c r="N192" s="4" t="s">
        <v>17</v>
      </c>
      <c r="O192" s="4"/>
      <c r="P192" s="4" t="s">
        <v>1693</v>
      </c>
      <c r="Q192" t="s">
        <v>109</v>
      </c>
      <c r="R192" s="4"/>
      <c r="S192" s="4"/>
      <c r="U192" s="4"/>
      <c r="Y192" s="4"/>
      <c r="Z192" s="4"/>
      <c r="AA192" s="4"/>
      <c r="AB192" s="4"/>
      <c r="AC192" s="4"/>
      <c r="AD192" s="4"/>
      <c r="AE192" s="4"/>
      <c r="AF192" s="4"/>
      <c r="AG192" s="4"/>
      <c r="AH192" s="4"/>
      <c r="AI192" s="4"/>
      <c r="AJ192" s="4"/>
      <c r="AK192" s="4"/>
      <c r="AL192" s="4"/>
      <c r="AP192" s="4"/>
      <c r="AX192" s="4"/>
      <c r="AY192" s="4"/>
      <c r="AZ192" s="4"/>
      <c r="BA192" s="4"/>
      <c r="BB192" s="4"/>
      <c r="BC192" s="4"/>
      <c r="BD192" s="4"/>
      <c r="BE192" s="4"/>
      <c r="BF192" s="4"/>
      <c r="BG192" s="4"/>
      <c r="BI192" s="4"/>
      <c r="BP192" s="4"/>
      <c r="BS192" s="4"/>
      <c r="BW192" s="4"/>
      <c r="BX192" s="4"/>
    </row>
    <row r="193" spans="1:76" ht="12.75" x14ac:dyDescent="0.2">
      <c r="A193" s="4" t="s">
        <v>376</v>
      </c>
      <c r="B193" s="4" t="s">
        <v>345</v>
      </c>
      <c r="C193" s="4" t="s">
        <v>111</v>
      </c>
      <c r="D193" s="4">
        <v>2531</v>
      </c>
      <c r="E193" s="4" t="s">
        <v>16</v>
      </c>
      <c r="F193" s="4" t="s">
        <v>1244</v>
      </c>
      <c r="G193" s="113">
        <v>0.5</v>
      </c>
      <c r="H193" t="s">
        <v>1781</v>
      </c>
      <c r="I193" s="4">
        <v>0.14499999999999999</v>
      </c>
      <c r="L193" s="4" t="s">
        <v>1542</v>
      </c>
      <c r="M193" s="4" t="s">
        <v>109</v>
      </c>
      <c r="N193" s="4" t="s">
        <v>17</v>
      </c>
      <c r="O193" s="4"/>
      <c r="P193" s="4" t="s">
        <v>1693</v>
      </c>
      <c r="Q193" t="s">
        <v>109</v>
      </c>
      <c r="R193" s="4"/>
      <c r="S193" s="4"/>
      <c r="U193" s="4"/>
      <c r="Y193" s="4"/>
      <c r="Z193" s="4"/>
      <c r="AA193" s="4"/>
      <c r="AB193" s="4"/>
      <c r="AC193" s="4"/>
      <c r="AD193" s="4"/>
      <c r="AE193" s="4"/>
      <c r="AF193" s="4"/>
      <c r="AG193" s="4"/>
      <c r="AH193" s="4"/>
      <c r="AI193" s="4"/>
      <c r="AJ193" s="4"/>
      <c r="AK193" s="4"/>
      <c r="AL193" s="4"/>
      <c r="AP193" s="4"/>
      <c r="AX193" s="4"/>
      <c r="AY193" s="4"/>
      <c r="AZ193" s="4"/>
      <c r="BA193" s="4"/>
      <c r="BB193" s="4"/>
      <c r="BC193" s="4"/>
      <c r="BD193" s="4"/>
      <c r="BE193" s="4"/>
      <c r="BF193" s="4"/>
      <c r="BG193" s="4"/>
      <c r="BI193" s="4"/>
      <c r="BP193" s="4"/>
      <c r="BS193" s="4"/>
      <c r="BW193" s="4"/>
      <c r="BX193" s="4"/>
    </row>
    <row r="194" spans="1:76" ht="12.75" x14ac:dyDescent="0.2">
      <c r="A194" s="4" t="s">
        <v>376</v>
      </c>
      <c r="B194" s="4" t="s">
        <v>1297</v>
      </c>
      <c r="C194" s="4" t="s">
        <v>111</v>
      </c>
      <c r="D194" s="4">
        <v>2531</v>
      </c>
      <c r="E194" s="4" t="s">
        <v>16</v>
      </c>
      <c r="F194" s="4" t="s">
        <v>1244</v>
      </c>
      <c r="G194" s="113">
        <v>0.25</v>
      </c>
      <c r="H194" t="s">
        <v>1781</v>
      </c>
      <c r="I194" s="4">
        <v>0.17</v>
      </c>
      <c r="L194" s="4" t="s">
        <v>1554</v>
      </c>
      <c r="M194" s="4" t="s">
        <v>109</v>
      </c>
      <c r="N194" s="4" t="s">
        <v>17</v>
      </c>
      <c r="O194" s="4"/>
      <c r="P194" s="4" t="s">
        <v>1693</v>
      </c>
      <c r="Q194" t="s">
        <v>109</v>
      </c>
      <c r="R194" s="4"/>
      <c r="S194" s="4"/>
      <c r="U194" s="4"/>
      <c r="Y194" s="4"/>
      <c r="Z194" s="4"/>
      <c r="AA194" s="4"/>
      <c r="AB194" s="4"/>
      <c r="AC194" s="4"/>
      <c r="AD194" s="4"/>
      <c r="AE194" s="4"/>
      <c r="AF194" s="4"/>
      <c r="AG194" s="4"/>
      <c r="AH194" s="4"/>
      <c r="AI194" s="4"/>
      <c r="AJ194" s="4"/>
      <c r="AK194" s="4"/>
      <c r="AL194" s="4"/>
      <c r="AP194" s="4"/>
      <c r="AX194" s="4"/>
      <c r="AY194" s="4"/>
      <c r="AZ194" s="4"/>
      <c r="BA194" s="4"/>
      <c r="BB194" s="4"/>
      <c r="BC194" s="4"/>
      <c r="BD194" s="4"/>
      <c r="BE194" s="4"/>
      <c r="BF194" s="4"/>
      <c r="BG194" s="4"/>
      <c r="BI194" s="4"/>
      <c r="BP194" s="4"/>
      <c r="BS194" s="4"/>
      <c r="BW194" s="4"/>
      <c r="BX194" s="4"/>
    </row>
    <row r="195" spans="1:76" ht="12.75" x14ac:dyDescent="0.2">
      <c r="A195" s="4" t="s">
        <v>376</v>
      </c>
      <c r="B195" s="4" t="s">
        <v>170</v>
      </c>
      <c r="C195" s="4" t="s">
        <v>1358</v>
      </c>
      <c r="D195" s="4">
        <v>2531</v>
      </c>
      <c r="E195" s="4" t="s">
        <v>16</v>
      </c>
      <c r="F195" s="4" t="s">
        <v>1244</v>
      </c>
      <c r="G195" s="113">
        <v>0.33333333333333331</v>
      </c>
      <c r="H195" t="s">
        <v>1781</v>
      </c>
      <c r="I195" s="4">
        <v>0.17147999999999999</v>
      </c>
      <c r="L195" s="4" t="s">
        <v>1562</v>
      </c>
      <c r="M195" s="4" t="s">
        <v>109</v>
      </c>
      <c r="N195" s="4" t="s">
        <v>17</v>
      </c>
      <c r="O195" s="4"/>
      <c r="P195" s="4" t="s">
        <v>1693</v>
      </c>
      <c r="Q195" t="s">
        <v>109</v>
      </c>
      <c r="R195" s="4"/>
      <c r="S195" s="4"/>
      <c r="U195" s="4"/>
      <c r="Y195" s="4"/>
      <c r="Z195" s="4"/>
      <c r="AA195" s="4"/>
      <c r="AB195" s="4"/>
      <c r="AC195" s="4"/>
      <c r="AD195" s="4"/>
      <c r="AE195" s="4"/>
      <c r="AF195" s="4"/>
      <c r="AG195" s="4"/>
      <c r="AH195" s="4"/>
      <c r="AI195" s="4"/>
      <c r="AJ195" s="4"/>
      <c r="AK195" s="4"/>
      <c r="AL195" s="4"/>
      <c r="AP195" s="4"/>
      <c r="AX195" s="4"/>
      <c r="AY195" s="4"/>
      <c r="AZ195" s="4"/>
      <c r="BA195" s="4"/>
      <c r="BB195" s="4"/>
      <c r="BC195" s="4"/>
      <c r="BD195" s="4"/>
      <c r="BE195" s="4"/>
      <c r="BF195" s="4"/>
      <c r="BG195" s="4"/>
      <c r="BI195" s="4"/>
      <c r="BP195" s="4"/>
      <c r="BS195" s="4"/>
      <c r="BW195" s="4"/>
      <c r="BX195" s="4"/>
    </row>
    <row r="196" spans="1:76" ht="12.75" x14ac:dyDescent="0.2">
      <c r="A196" s="4" t="s">
        <v>376</v>
      </c>
      <c r="B196" s="4" t="s">
        <v>1297</v>
      </c>
      <c r="C196" s="4" t="s">
        <v>101</v>
      </c>
      <c r="D196" s="4">
        <v>2531</v>
      </c>
      <c r="E196" s="4" t="s">
        <v>16</v>
      </c>
      <c r="F196" s="4" t="s">
        <v>1244</v>
      </c>
      <c r="G196" s="113">
        <v>0.25</v>
      </c>
      <c r="H196" t="s">
        <v>1781</v>
      </c>
      <c r="I196" s="4">
        <v>0.2</v>
      </c>
      <c r="L196" s="4" t="s">
        <v>1554</v>
      </c>
      <c r="M196" s="4" t="s">
        <v>109</v>
      </c>
      <c r="N196" s="4" t="s">
        <v>17</v>
      </c>
      <c r="O196" s="4"/>
      <c r="P196" s="4" t="s">
        <v>1693</v>
      </c>
      <c r="Q196" t="s">
        <v>109</v>
      </c>
      <c r="R196" s="4"/>
      <c r="S196" s="4"/>
      <c r="U196" s="4"/>
      <c r="Y196" s="4"/>
      <c r="Z196" s="4"/>
      <c r="AA196" s="4"/>
      <c r="AB196" s="4"/>
      <c r="AC196" s="4"/>
      <c r="AD196" s="4"/>
      <c r="AE196" s="4"/>
      <c r="AF196" s="4"/>
      <c r="AG196" s="4"/>
      <c r="AH196" s="4"/>
      <c r="AI196" s="4"/>
      <c r="AJ196" s="4"/>
      <c r="AK196" s="4"/>
      <c r="AL196" s="4"/>
      <c r="AP196" s="4"/>
      <c r="AX196" s="4"/>
      <c r="AY196" s="4"/>
      <c r="AZ196" s="4"/>
      <c r="BA196" s="4"/>
      <c r="BB196" s="4"/>
      <c r="BC196" s="4"/>
      <c r="BD196" s="4"/>
      <c r="BE196" s="4"/>
      <c r="BF196" s="4"/>
      <c r="BG196" s="4"/>
      <c r="BI196" s="4"/>
      <c r="BP196" s="4"/>
      <c r="BS196" s="4"/>
      <c r="BW196" s="4"/>
      <c r="BX196" s="4"/>
    </row>
    <row r="197" spans="1:76" ht="12.75" x14ac:dyDescent="0.2">
      <c r="A197" s="4" t="s">
        <v>376</v>
      </c>
      <c r="B197" s="4" t="s">
        <v>225</v>
      </c>
      <c r="C197" s="4" t="s">
        <v>111</v>
      </c>
      <c r="D197" s="4">
        <v>2531</v>
      </c>
      <c r="E197" s="4" t="s">
        <v>16</v>
      </c>
      <c r="F197" s="4" t="s">
        <v>1244</v>
      </c>
      <c r="G197" s="113">
        <v>1</v>
      </c>
      <c r="H197" t="s">
        <v>1781</v>
      </c>
      <c r="I197" s="4">
        <v>0.27</v>
      </c>
      <c r="L197" s="4" t="s">
        <v>1563</v>
      </c>
      <c r="M197" s="4" t="s">
        <v>109</v>
      </c>
      <c r="N197" s="4" t="s">
        <v>17</v>
      </c>
      <c r="O197" s="4"/>
      <c r="P197" s="4" t="s">
        <v>1693</v>
      </c>
      <c r="Q197" t="s">
        <v>109</v>
      </c>
      <c r="R197" s="4"/>
      <c r="S197" s="4"/>
      <c r="U197" s="4"/>
      <c r="Y197" s="4"/>
      <c r="Z197" s="4"/>
      <c r="AA197" s="4"/>
      <c r="AB197" s="4"/>
      <c r="AC197" s="4"/>
      <c r="AD197" s="4"/>
      <c r="AE197" s="4"/>
      <c r="AF197" s="4"/>
      <c r="AG197" s="4"/>
      <c r="AH197" s="4"/>
      <c r="AI197" s="4"/>
      <c r="AJ197" s="4"/>
      <c r="AK197" s="4"/>
      <c r="AL197" s="4"/>
      <c r="AP197" s="4"/>
      <c r="AX197" s="4"/>
      <c r="AY197" s="4"/>
      <c r="AZ197" s="4"/>
      <c r="BA197" s="4"/>
      <c r="BB197" s="4"/>
      <c r="BC197" s="4"/>
      <c r="BD197" s="4"/>
      <c r="BE197" s="4"/>
      <c r="BF197" s="4"/>
      <c r="BG197" s="4"/>
      <c r="BI197" s="4"/>
      <c r="BP197" s="4"/>
      <c r="BS197" s="4"/>
      <c r="BW197" s="4"/>
      <c r="BX197" s="4"/>
    </row>
    <row r="198" spans="1:76" ht="12.75" x14ac:dyDescent="0.2">
      <c r="A198" s="4" t="s">
        <v>376</v>
      </c>
      <c r="B198" s="4" t="s">
        <v>1297</v>
      </c>
      <c r="C198" s="4" t="s">
        <v>138</v>
      </c>
      <c r="D198" s="4">
        <v>2531</v>
      </c>
      <c r="E198" s="4" t="s">
        <v>16</v>
      </c>
      <c r="F198" s="4" t="s">
        <v>1244</v>
      </c>
      <c r="G198" s="113">
        <v>0.25</v>
      </c>
      <c r="H198" t="s">
        <v>1781</v>
      </c>
      <c r="I198" s="4">
        <v>0.28999999999999998</v>
      </c>
      <c r="L198" s="4" t="s">
        <v>1554</v>
      </c>
      <c r="M198" s="4" t="s">
        <v>109</v>
      </c>
      <c r="N198" s="4" t="s">
        <v>17</v>
      </c>
      <c r="O198" s="4"/>
      <c r="P198" s="4" t="s">
        <v>1693</v>
      </c>
      <c r="Q198" t="s">
        <v>109</v>
      </c>
      <c r="R198" s="4"/>
      <c r="S198" s="4"/>
      <c r="U198" s="4"/>
      <c r="Y198" s="4"/>
      <c r="Z198" s="4"/>
      <c r="AA198" s="4"/>
      <c r="AB198" s="4"/>
      <c r="AC198" s="4"/>
      <c r="AD198" s="4"/>
      <c r="AE198" s="4"/>
      <c r="AF198" s="4"/>
      <c r="AG198" s="4"/>
      <c r="AH198" s="4"/>
      <c r="AI198" s="4"/>
      <c r="AJ198" s="4"/>
      <c r="AK198" s="4"/>
      <c r="AL198" s="4"/>
      <c r="AP198" s="4"/>
      <c r="AX198" s="4"/>
      <c r="AY198" s="4"/>
      <c r="AZ198" s="4"/>
      <c r="BA198" s="4"/>
      <c r="BB198" s="4"/>
      <c r="BC198" s="4"/>
      <c r="BD198" s="4"/>
      <c r="BE198" s="4"/>
      <c r="BF198" s="4"/>
      <c r="BG198" s="4"/>
      <c r="BI198" s="4"/>
      <c r="BP198" s="4"/>
      <c r="BS198" s="4"/>
      <c r="BW198" s="4"/>
      <c r="BX198" s="4"/>
    </row>
    <row r="199" spans="1:76" ht="12.75" x14ac:dyDescent="0.2">
      <c r="A199" s="4" t="s">
        <v>384</v>
      </c>
      <c r="B199" s="4" t="s">
        <v>114</v>
      </c>
      <c r="C199" s="4" t="s">
        <v>1349</v>
      </c>
      <c r="D199" s="4">
        <v>2531</v>
      </c>
      <c r="E199" s="4" t="s">
        <v>16</v>
      </c>
      <c r="F199" s="4" t="s">
        <v>1244</v>
      </c>
      <c r="G199" s="113">
        <v>1</v>
      </c>
      <c r="H199" t="s">
        <v>1781</v>
      </c>
      <c r="I199" s="4">
        <v>0.41200000000000003</v>
      </c>
      <c r="L199" s="4" t="s">
        <v>1544</v>
      </c>
      <c r="M199" s="4" t="s">
        <v>109</v>
      </c>
      <c r="N199" s="4" t="s">
        <v>17</v>
      </c>
      <c r="O199" s="4"/>
      <c r="P199" s="4" t="s">
        <v>1693</v>
      </c>
      <c r="Q199" t="s">
        <v>109</v>
      </c>
      <c r="R199" s="4"/>
      <c r="S199" s="4"/>
      <c r="U199" s="4"/>
      <c r="Y199" s="4"/>
      <c r="Z199" s="4"/>
      <c r="AA199" s="4"/>
      <c r="AB199" s="4"/>
      <c r="AC199" s="4"/>
      <c r="AD199" s="4"/>
      <c r="AE199" s="4"/>
      <c r="AF199" s="4"/>
      <c r="AG199" s="4"/>
      <c r="AH199" s="4"/>
      <c r="AI199" s="4"/>
      <c r="AJ199" s="4"/>
      <c r="AK199" s="4"/>
      <c r="AL199" s="4"/>
      <c r="AP199" s="4"/>
      <c r="AX199" s="4"/>
      <c r="AY199" s="4"/>
      <c r="AZ199" s="4"/>
      <c r="BA199" s="4"/>
      <c r="BB199" s="4"/>
      <c r="BC199" s="4"/>
      <c r="BD199" s="4"/>
      <c r="BE199" s="4"/>
      <c r="BF199" s="4"/>
      <c r="BG199" s="4"/>
      <c r="BI199" s="4"/>
      <c r="BP199" s="4"/>
      <c r="BS199" s="4"/>
      <c r="BW199" s="4"/>
      <c r="BX199" s="4"/>
    </row>
    <row r="200" spans="1:76" ht="12.75" x14ac:dyDescent="0.2">
      <c r="A200" s="4" t="s">
        <v>376</v>
      </c>
      <c r="B200" s="4" t="s">
        <v>120</v>
      </c>
      <c r="C200" s="4" t="s">
        <v>111</v>
      </c>
      <c r="D200" s="4">
        <v>2531</v>
      </c>
      <c r="E200" s="4" t="s">
        <v>16</v>
      </c>
      <c r="F200" s="4" t="s">
        <v>1244</v>
      </c>
      <c r="G200" s="113">
        <v>1</v>
      </c>
      <c r="H200" t="s">
        <v>1781</v>
      </c>
      <c r="I200" s="4">
        <v>0.442</v>
      </c>
      <c r="L200" s="4" t="s">
        <v>1561</v>
      </c>
      <c r="M200" s="4" t="s">
        <v>109</v>
      </c>
      <c r="N200" s="4" t="s">
        <v>17</v>
      </c>
      <c r="O200" s="4"/>
      <c r="P200" s="4" t="s">
        <v>1693</v>
      </c>
      <c r="Q200" t="s">
        <v>109</v>
      </c>
      <c r="R200" s="4"/>
      <c r="S200" s="4"/>
      <c r="U200" s="4"/>
      <c r="Y200" s="4"/>
      <c r="Z200" s="4"/>
      <c r="AA200" s="4"/>
      <c r="AB200" s="4"/>
      <c r="AC200" s="4"/>
      <c r="AD200" s="4"/>
      <c r="AE200" s="4"/>
      <c r="AF200" s="4"/>
      <c r="AG200" s="4"/>
      <c r="AH200" s="4"/>
      <c r="AI200" s="4"/>
      <c r="AJ200" s="4"/>
      <c r="AK200" s="4"/>
      <c r="AL200" s="4"/>
      <c r="AP200" s="4"/>
      <c r="AX200" s="4"/>
      <c r="AY200" s="4"/>
      <c r="AZ200" s="4"/>
      <c r="BA200" s="4"/>
      <c r="BB200" s="4"/>
      <c r="BC200" s="4"/>
      <c r="BD200" s="4"/>
      <c r="BE200" s="4"/>
      <c r="BF200" s="4"/>
      <c r="BG200" s="4"/>
      <c r="BI200" s="4"/>
      <c r="BP200" s="4"/>
      <c r="BS200" s="4"/>
      <c r="BW200" s="4"/>
      <c r="BX200" s="4"/>
    </row>
    <row r="201" spans="1:76" ht="12.75" x14ac:dyDescent="0.2">
      <c r="A201" s="4" t="s">
        <v>490</v>
      </c>
      <c r="B201" s="4" t="s">
        <v>491</v>
      </c>
      <c r="C201" s="4" t="s">
        <v>111</v>
      </c>
      <c r="D201" s="4">
        <v>2536</v>
      </c>
      <c r="E201" s="4" t="s">
        <v>35</v>
      </c>
      <c r="F201" s="4" t="s">
        <v>894</v>
      </c>
      <c r="G201" s="113">
        <v>1</v>
      </c>
      <c r="H201" t="s">
        <v>1781</v>
      </c>
      <c r="I201" s="4">
        <v>8.2015999999999992E-2</v>
      </c>
      <c r="L201" s="4" t="s">
        <v>1566</v>
      </c>
      <c r="M201" s="4" t="s">
        <v>109</v>
      </c>
      <c r="N201" s="4" t="s">
        <v>48</v>
      </c>
      <c r="O201" s="4"/>
      <c r="P201" s="4" t="s">
        <v>1693</v>
      </c>
      <c r="Q201" t="s">
        <v>109</v>
      </c>
      <c r="R201" s="4"/>
      <c r="S201" s="4"/>
      <c r="U201" s="4"/>
      <c r="Y201" s="4"/>
      <c r="Z201" s="4"/>
      <c r="AA201" s="4"/>
      <c r="AB201" s="4"/>
      <c r="AC201" s="4"/>
      <c r="AD201" s="4"/>
      <c r="AE201" s="4"/>
      <c r="AF201" s="4"/>
      <c r="AG201" s="4"/>
      <c r="AH201" s="4"/>
      <c r="AI201" s="4"/>
      <c r="AJ201" s="4"/>
      <c r="AK201" s="4"/>
      <c r="AL201" s="4"/>
      <c r="AP201" s="4"/>
      <c r="AX201" s="4"/>
      <c r="AY201" s="4"/>
      <c r="AZ201" s="4"/>
      <c r="BA201" s="4"/>
      <c r="BB201" s="4"/>
      <c r="BC201" s="4"/>
      <c r="BD201" s="4"/>
      <c r="BE201" s="4"/>
      <c r="BF201" s="4"/>
      <c r="BG201" s="4"/>
      <c r="BI201" s="4"/>
      <c r="BP201" s="4"/>
      <c r="BS201" s="4"/>
      <c r="BW201" s="4"/>
      <c r="BX201" s="4"/>
    </row>
    <row r="202" spans="1:76" ht="12.75" x14ac:dyDescent="0.2">
      <c r="A202" s="4" t="s">
        <v>490</v>
      </c>
      <c r="B202" s="4" t="s">
        <v>496</v>
      </c>
      <c r="C202" s="4" t="s">
        <v>138</v>
      </c>
      <c r="D202" s="4">
        <v>2536</v>
      </c>
      <c r="E202" s="4" t="s">
        <v>35</v>
      </c>
      <c r="F202" s="4" t="s">
        <v>894</v>
      </c>
      <c r="G202" s="113">
        <v>0.33333333333333331</v>
      </c>
      <c r="H202" t="s">
        <v>1781</v>
      </c>
      <c r="I202" s="4">
        <v>0.35299999999999998</v>
      </c>
      <c r="L202" s="4" t="s">
        <v>1565</v>
      </c>
      <c r="M202" s="4" t="s">
        <v>109</v>
      </c>
      <c r="N202" s="4" t="s">
        <v>48</v>
      </c>
      <c r="O202" s="4"/>
      <c r="P202" s="4" t="s">
        <v>1693</v>
      </c>
      <c r="Q202" t="s">
        <v>109</v>
      </c>
      <c r="R202" s="4"/>
      <c r="S202" s="4"/>
      <c r="U202" s="4"/>
      <c r="Y202" s="4"/>
      <c r="Z202" s="4"/>
      <c r="AA202" s="4"/>
      <c r="AB202" s="4"/>
      <c r="AC202" s="4"/>
      <c r="AD202" s="4"/>
      <c r="AE202" s="4"/>
      <c r="AF202" s="4"/>
      <c r="AG202" s="4"/>
      <c r="AH202" s="4"/>
      <c r="AI202" s="4"/>
      <c r="AJ202" s="4"/>
      <c r="AK202" s="4"/>
      <c r="AL202" s="4"/>
      <c r="AP202" s="4"/>
      <c r="AX202" s="4"/>
      <c r="AY202" s="4"/>
      <c r="AZ202" s="4"/>
      <c r="BA202" s="4"/>
      <c r="BB202" s="4"/>
      <c r="BC202" s="4"/>
      <c r="BD202" s="4"/>
      <c r="BE202" s="4"/>
      <c r="BF202" s="4"/>
      <c r="BG202" s="4"/>
      <c r="BI202" s="4"/>
      <c r="BP202" s="4"/>
      <c r="BS202" s="4"/>
      <c r="BW202" s="4"/>
      <c r="BX202" s="4"/>
    </row>
    <row r="203" spans="1:76" ht="12.75" x14ac:dyDescent="0.2">
      <c r="A203" s="4" t="s">
        <v>490</v>
      </c>
      <c r="B203" s="4" t="s">
        <v>496</v>
      </c>
      <c r="C203" s="4" t="s">
        <v>138</v>
      </c>
      <c r="D203" s="4">
        <v>2536</v>
      </c>
      <c r="E203" s="4" t="s">
        <v>35</v>
      </c>
      <c r="F203" s="4" t="s">
        <v>894</v>
      </c>
      <c r="G203" s="113">
        <v>0.33333333333333331</v>
      </c>
      <c r="H203" t="s">
        <v>1781</v>
      </c>
      <c r="I203" s="4">
        <v>0.42099999999999999</v>
      </c>
      <c r="L203" s="4" t="s">
        <v>1565</v>
      </c>
      <c r="M203" s="4" t="s">
        <v>109</v>
      </c>
      <c r="N203" s="4" t="s">
        <v>48</v>
      </c>
      <c r="O203" s="4"/>
      <c r="P203" s="4" t="s">
        <v>1693</v>
      </c>
      <c r="Q203" t="s">
        <v>109</v>
      </c>
      <c r="R203" s="4"/>
      <c r="S203" s="4"/>
      <c r="U203" s="4"/>
      <c r="Y203" s="4"/>
      <c r="Z203" s="4"/>
      <c r="AA203" s="4"/>
      <c r="AB203" s="4"/>
      <c r="AC203" s="4"/>
      <c r="AD203" s="4"/>
      <c r="AE203" s="4"/>
      <c r="AF203" s="4"/>
      <c r="AG203" s="4"/>
      <c r="AH203" s="4"/>
      <c r="AI203" s="4"/>
      <c r="AJ203" s="4"/>
      <c r="AK203" s="4"/>
      <c r="AL203" s="4"/>
      <c r="AP203" s="4"/>
      <c r="AX203" s="4"/>
      <c r="AY203" s="4"/>
      <c r="AZ203" s="4"/>
      <c r="BA203" s="4"/>
      <c r="BB203" s="4"/>
      <c r="BC203" s="4"/>
      <c r="BD203" s="4"/>
      <c r="BE203" s="4"/>
      <c r="BF203" s="4"/>
      <c r="BG203" s="4"/>
      <c r="BI203" s="4"/>
      <c r="BP203" s="4"/>
      <c r="BS203" s="4"/>
      <c r="BW203" s="4"/>
      <c r="BX203" s="4"/>
    </row>
    <row r="204" spans="1:76" ht="12.75" x14ac:dyDescent="0.2">
      <c r="A204" s="4" t="s">
        <v>490</v>
      </c>
      <c r="B204" s="4" t="s">
        <v>496</v>
      </c>
      <c r="C204" s="4" t="s">
        <v>138</v>
      </c>
      <c r="D204" s="4">
        <v>2536</v>
      </c>
      <c r="E204" s="4" t="s">
        <v>35</v>
      </c>
      <c r="F204" s="4" t="s">
        <v>894</v>
      </c>
      <c r="G204" s="113">
        <v>0.33333333333333331</v>
      </c>
      <c r="H204" t="s">
        <v>1781</v>
      </c>
      <c r="I204" s="4">
        <v>0.46800000000000003</v>
      </c>
      <c r="L204" s="4" t="s">
        <v>1565</v>
      </c>
      <c r="M204" s="4" t="s">
        <v>109</v>
      </c>
      <c r="N204" s="4" t="s">
        <v>48</v>
      </c>
      <c r="O204" s="4"/>
      <c r="P204" s="4" t="s">
        <v>1693</v>
      </c>
      <c r="Q204" t="s">
        <v>109</v>
      </c>
      <c r="R204" s="4"/>
      <c r="S204" s="4"/>
      <c r="U204" s="4"/>
      <c r="Y204" s="4"/>
      <c r="Z204" s="4"/>
      <c r="AA204" s="4"/>
      <c r="AB204" s="4"/>
      <c r="AC204" s="4"/>
      <c r="AD204" s="4"/>
      <c r="AE204" s="4"/>
      <c r="AF204" s="4"/>
      <c r="AG204" s="4"/>
      <c r="AH204" s="4"/>
      <c r="AI204" s="4"/>
      <c r="AJ204" s="4"/>
      <c r="AK204" s="4"/>
      <c r="AL204" s="4"/>
      <c r="AP204" s="4"/>
      <c r="AX204" s="4"/>
      <c r="AY204" s="4"/>
      <c r="AZ204" s="4"/>
      <c r="BA204" s="4"/>
      <c r="BB204" s="4"/>
      <c r="BC204" s="4"/>
      <c r="BD204" s="4"/>
      <c r="BE204" s="4"/>
      <c r="BF204" s="4"/>
      <c r="BG204" s="4"/>
      <c r="BI204" s="4"/>
      <c r="BP204" s="4"/>
      <c r="BS204" s="4"/>
      <c r="BW204" s="4"/>
      <c r="BX204" s="4"/>
    </row>
    <row r="205" spans="1:76" ht="12.75" x14ac:dyDescent="0.2">
      <c r="A205" s="4" t="s">
        <v>476</v>
      </c>
      <c r="B205" s="4" t="s">
        <v>477</v>
      </c>
      <c r="C205" s="4" t="s">
        <v>111</v>
      </c>
      <c r="D205" s="4">
        <v>2537</v>
      </c>
      <c r="E205" s="4" t="s">
        <v>36</v>
      </c>
      <c r="F205" s="4" t="s">
        <v>894</v>
      </c>
      <c r="G205" s="113">
        <v>7.6923076923076927E-2</v>
      </c>
      <c r="H205" t="s">
        <v>1781</v>
      </c>
      <c r="I205" s="4">
        <v>1.4999999999999999E-2</v>
      </c>
      <c r="L205" s="4" t="s">
        <v>1567</v>
      </c>
      <c r="M205" s="4" t="s">
        <v>109</v>
      </c>
      <c r="N205" s="4" t="s">
        <v>48</v>
      </c>
      <c r="O205" s="4"/>
      <c r="P205" s="4" t="s">
        <v>1693</v>
      </c>
      <c r="Q205" t="s">
        <v>109</v>
      </c>
      <c r="R205" s="4"/>
      <c r="S205" s="4"/>
      <c r="U205" s="4"/>
      <c r="Y205" s="4"/>
      <c r="Z205" s="4"/>
      <c r="AA205" s="4"/>
      <c r="AB205" s="4"/>
      <c r="AC205" s="4"/>
      <c r="AD205" s="4"/>
      <c r="AE205" s="4"/>
      <c r="AF205" s="4"/>
      <c r="AG205" s="4"/>
      <c r="AH205" s="4"/>
      <c r="AI205" s="4"/>
      <c r="AJ205" s="4"/>
      <c r="AK205" s="4"/>
      <c r="AL205" s="4"/>
      <c r="AP205" s="4"/>
      <c r="AX205" s="4"/>
      <c r="AY205" s="4"/>
      <c r="AZ205" s="4"/>
      <c r="BA205" s="4"/>
      <c r="BB205" s="4"/>
      <c r="BC205" s="4"/>
      <c r="BD205" s="4"/>
      <c r="BE205" s="4"/>
      <c r="BF205" s="4"/>
      <c r="BG205" s="4"/>
      <c r="BI205" s="4"/>
      <c r="BP205" s="4"/>
      <c r="BS205" s="4"/>
      <c r="BW205" s="4"/>
      <c r="BX205" s="4"/>
    </row>
    <row r="206" spans="1:76" ht="12.75" x14ac:dyDescent="0.2">
      <c r="A206" s="4" t="s">
        <v>476</v>
      </c>
      <c r="B206" s="4" t="s">
        <v>477</v>
      </c>
      <c r="C206" s="4" t="s">
        <v>111</v>
      </c>
      <c r="D206" s="4">
        <v>2537</v>
      </c>
      <c r="E206" s="4" t="s">
        <v>36</v>
      </c>
      <c r="F206" s="4" t="s">
        <v>894</v>
      </c>
      <c r="G206" s="113">
        <v>7.6923076923076927E-2</v>
      </c>
      <c r="H206" t="s">
        <v>1781</v>
      </c>
      <c r="I206" s="4">
        <v>1.6E-2</v>
      </c>
      <c r="L206" s="4" t="s">
        <v>1567</v>
      </c>
      <c r="M206" s="4" t="s">
        <v>109</v>
      </c>
      <c r="N206" s="4" t="s">
        <v>48</v>
      </c>
      <c r="O206" s="4"/>
      <c r="P206" s="4" t="s">
        <v>1693</v>
      </c>
      <c r="Q206" t="s">
        <v>109</v>
      </c>
      <c r="R206" s="4"/>
      <c r="S206" s="4"/>
      <c r="U206" s="4"/>
      <c r="Y206" s="4"/>
      <c r="Z206" s="4"/>
      <c r="AA206" s="4"/>
      <c r="AB206" s="4"/>
      <c r="AC206" s="4"/>
      <c r="AD206" s="4"/>
      <c r="AE206" s="4"/>
      <c r="AF206" s="4"/>
      <c r="AG206" s="4"/>
      <c r="AH206" s="4"/>
      <c r="AI206" s="4"/>
      <c r="AJ206" s="4"/>
      <c r="AK206" s="4"/>
      <c r="AL206" s="4"/>
      <c r="AP206" s="4"/>
      <c r="AX206" s="4"/>
      <c r="AY206" s="4"/>
      <c r="AZ206" s="4"/>
      <c r="BA206" s="4"/>
      <c r="BB206" s="4"/>
      <c r="BC206" s="4"/>
      <c r="BD206" s="4"/>
      <c r="BE206" s="4"/>
      <c r="BF206" s="4"/>
      <c r="BG206" s="4"/>
      <c r="BI206" s="4"/>
      <c r="BP206" s="4"/>
      <c r="BS206" s="4"/>
      <c r="BW206" s="4"/>
      <c r="BX206" s="4"/>
    </row>
    <row r="207" spans="1:76" ht="12.75" x14ac:dyDescent="0.2">
      <c r="A207" s="4" t="s">
        <v>476</v>
      </c>
      <c r="B207" s="4" t="s">
        <v>477</v>
      </c>
      <c r="C207" s="4" t="s">
        <v>111</v>
      </c>
      <c r="D207" s="4">
        <v>2537</v>
      </c>
      <c r="E207" s="4" t="s">
        <v>36</v>
      </c>
      <c r="F207" s="4" t="s">
        <v>894</v>
      </c>
      <c r="G207" s="113">
        <v>7.6923076923076927E-2</v>
      </c>
      <c r="H207" t="s">
        <v>1781</v>
      </c>
      <c r="I207" s="4">
        <v>1.7999999999999999E-2</v>
      </c>
      <c r="L207" s="4" t="s">
        <v>1567</v>
      </c>
      <c r="M207" s="4" t="s">
        <v>109</v>
      </c>
      <c r="N207" s="4" t="s">
        <v>48</v>
      </c>
      <c r="O207" s="4"/>
      <c r="P207" s="4" t="s">
        <v>1693</v>
      </c>
      <c r="Q207" t="s">
        <v>109</v>
      </c>
      <c r="R207" s="4"/>
      <c r="S207" s="4"/>
      <c r="U207" s="4"/>
      <c r="Y207" s="4"/>
      <c r="Z207" s="4"/>
      <c r="AA207" s="4"/>
      <c r="AB207" s="4"/>
      <c r="AC207" s="4"/>
      <c r="AD207" s="4"/>
      <c r="AE207" s="4"/>
      <c r="AF207" s="4"/>
      <c r="AG207" s="4"/>
      <c r="AH207" s="4"/>
      <c r="AI207" s="4"/>
      <c r="AJ207" s="4"/>
      <c r="AK207" s="4"/>
      <c r="AL207" s="4"/>
      <c r="AP207" s="4"/>
      <c r="AX207" s="4"/>
      <c r="AY207" s="4"/>
      <c r="AZ207" s="4"/>
      <c r="BA207" s="4"/>
      <c r="BB207" s="4"/>
      <c r="BC207" s="4"/>
      <c r="BD207" s="4"/>
      <c r="BE207" s="4"/>
      <c r="BF207" s="4"/>
      <c r="BG207" s="4"/>
      <c r="BI207" s="4"/>
      <c r="BP207" s="4"/>
      <c r="BS207" s="4"/>
      <c r="BW207" s="4"/>
      <c r="BX207" s="4"/>
    </row>
    <row r="208" spans="1:76" ht="12.75" x14ac:dyDescent="0.2">
      <c r="A208" s="4" t="s">
        <v>476</v>
      </c>
      <c r="B208" s="4" t="s">
        <v>477</v>
      </c>
      <c r="C208" s="4" t="s">
        <v>111</v>
      </c>
      <c r="D208" s="4">
        <v>2537</v>
      </c>
      <c r="E208" s="4" t="s">
        <v>36</v>
      </c>
      <c r="F208" s="4" t="s">
        <v>894</v>
      </c>
      <c r="G208" s="113">
        <v>7.6923076923076927E-2</v>
      </c>
      <c r="H208" t="s">
        <v>1781</v>
      </c>
      <c r="I208" s="4">
        <v>2.1999999999999999E-2</v>
      </c>
      <c r="L208" s="4" t="s">
        <v>1567</v>
      </c>
      <c r="M208" s="4" t="s">
        <v>109</v>
      </c>
      <c r="N208" s="4" t="s">
        <v>48</v>
      </c>
      <c r="O208" s="4"/>
      <c r="P208" s="4" t="s">
        <v>1693</v>
      </c>
      <c r="Q208" t="s">
        <v>109</v>
      </c>
      <c r="R208" s="4"/>
      <c r="S208" s="4"/>
      <c r="U208" s="4"/>
      <c r="Y208" s="4"/>
      <c r="Z208" s="4"/>
      <c r="AA208" s="4"/>
      <c r="AB208" s="4"/>
      <c r="AC208" s="4"/>
      <c r="AD208" s="4"/>
      <c r="AE208" s="4"/>
      <c r="AF208" s="4"/>
      <c r="AG208" s="4"/>
      <c r="AH208" s="4"/>
      <c r="AI208" s="4"/>
      <c r="AJ208" s="4"/>
      <c r="AK208" s="4"/>
      <c r="AL208" s="4"/>
      <c r="AP208" s="4"/>
      <c r="AX208" s="4"/>
      <c r="AY208" s="4"/>
      <c r="AZ208" s="4"/>
      <c r="BA208" s="4"/>
      <c r="BB208" s="4"/>
      <c r="BC208" s="4"/>
      <c r="BD208" s="4"/>
      <c r="BE208" s="4"/>
      <c r="BF208" s="4"/>
      <c r="BG208" s="4"/>
      <c r="BI208" s="4"/>
      <c r="BP208" s="4"/>
      <c r="BS208" s="4"/>
      <c r="BW208" s="4"/>
      <c r="BX208" s="4"/>
    </row>
    <row r="209" spans="1:76" ht="12.75" x14ac:dyDescent="0.2">
      <c r="A209" s="4" t="s">
        <v>476</v>
      </c>
      <c r="B209" s="4" t="s">
        <v>477</v>
      </c>
      <c r="C209" s="4" t="s">
        <v>111</v>
      </c>
      <c r="D209" s="4">
        <v>2537</v>
      </c>
      <c r="E209" s="4" t="s">
        <v>36</v>
      </c>
      <c r="F209" s="4" t="s">
        <v>894</v>
      </c>
      <c r="G209" s="113">
        <v>7.6923076923076927E-2</v>
      </c>
      <c r="H209" t="s">
        <v>1781</v>
      </c>
      <c r="I209" s="4">
        <v>2.3E-2</v>
      </c>
      <c r="L209" s="4" t="s">
        <v>1567</v>
      </c>
      <c r="M209" s="4" t="s">
        <v>109</v>
      </c>
      <c r="N209" s="4" t="s">
        <v>48</v>
      </c>
      <c r="O209" s="4"/>
      <c r="P209" s="4" t="s">
        <v>1693</v>
      </c>
      <c r="Q209" t="s">
        <v>109</v>
      </c>
      <c r="R209" s="4"/>
      <c r="S209" s="4"/>
      <c r="U209" s="4"/>
      <c r="Y209" s="4"/>
      <c r="Z209" s="4"/>
      <c r="AA209" s="4"/>
      <c r="AB209" s="4"/>
      <c r="AC209" s="4"/>
      <c r="AD209" s="4"/>
      <c r="AE209" s="4"/>
      <c r="AF209" s="4"/>
      <c r="AG209" s="4"/>
      <c r="AH209" s="4"/>
      <c r="AI209" s="4"/>
      <c r="AJ209" s="4"/>
      <c r="AK209" s="4"/>
      <c r="AL209" s="4"/>
      <c r="AP209" s="4"/>
      <c r="AX209" s="4"/>
      <c r="AY209" s="4"/>
      <c r="AZ209" s="4"/>
      <c r="BA209" s="4"/>
      <c r="BB209" s="4"/>
      <c r="BC209" s="4"/>
      <c r="BD209" s="4"/>
      <c r="BE209" s="4"/>
      <c r="BF209" s="4"/>
      <c r="BG209" s="4"/>
      <c r="BI209" s="4"/>
      <c r="BP209" s="4"/>
      <c r="BS209" s="4"/>
      <c r="BW209" s="4"/>
      <c r="BX209" s="4"/>
    </row>
    <row r="210" spans="1:76" ht="12.75" x14ac:dyDescent="0.2">
      <c r="A210" s="4" t="s">
        <v>476</v>
      </c>
      <c r="B210" s="4" t="s">
        <v>477</v>
      </c>
      <c r="C210" s="4" t="s">
        <v>111</v>
      </c>
      <c r="D210" s="4">
        <v>2537</v>
      </c>
      <c r="E210" s="4" t="s">
        <v>36</v>
      </c>
      <c r="F210" s="4" t="s">
        <v>894</v>
      </c>
      <c r="G210" s="113">
        <v>7.6923076923076927E-2</v>
      </c>
      <c r="H210" t="s">
        <v>1781</v>
      </c>
      <c r="I210" s="4">
        <v>2.7E-2</v>
      </c>
      <c r="L210" s="4" t="s">
        <v>1567</v>
      </c>
      <c r="M210" s="4" t="s">
        <v>109</v>
      </c>
      <c r="N210" s="4" t="s">
        <v>48</v>
      </c>
      <c r="O210" s="4"/>
      <c r="P210" s="4" t="s">
        <v>1693</v>
      </c>
      <c r="Q210" t="s">
        <v>109</v>
      </c>
      <c r="R210" s="4"/>
      <c r="S210" s="4"/>
      <c r="U210" s="4"/>
      <c r="Y210" s="4"/>
      <c r="Z210" s="4"/>
      <c r="AA210" s="4"/>
      <c r="AB210" s="4"/>
      <c r="AC210" s="4"/>
      <c r="AD210" s="4"/>
      <c r="AE210" s="4"/>
      <c r="AF210" s="4"/>
      <c r="AG210" s="4"/>
      <c r="AH210" s="4"/>
      <c r="AI210" s="4"/>
      <c r="AJ210" s="4"/>
      <c r="AK210" s="4"/>
      <c r="AL210" s="4"/>
      <c r="AP210" s="4"/>
      <c r="AX210" s="4"/>
      <c r="AY210" s="4"/>
      <c r="AZ210" s="4"/>
      <c r="BA210" s="4"/>
      <c r="BB210" s="4"/>
      <c r="BC210" s="4"/>
      <c r="BD210" s="4"/>
      <c r="BE210" s="4"/>
      <c r="BF210" s="4"/>
      <c r="BG210" s="4"/>
      <c r="BI210" s="4"/>
      <c r="BP210" s="4"/>
      <c r="BS210" s="4"/>
      <c r="BW210" s="4"/>
      <c r="BX210" s="4"/>
    </row>
    <row r="211" spans="1:76" ht="12.75" x14ac:dyDescent="0.2">
      <c r="A211" s="4" t="s">
        <v>476</v>
      </c>
      <c r="B211" s="4" t="s">
        <v>477</v>
      </c>
      <c r="C211" s="4" t="s">
        <v>111</v>
      </c>
      <c r="D211" s="4">
        <v>2537</v>
      </c>
      <c r="E211" s="4" t="s">
        <v>36</v>
      </c>
      <c r="F211" s="4" t="s">
        <v>894</v>
      </c>
      <c r="G211" s="113">
        <v>7.6923076923076927E-2</v>
      </c>
      <c r="H211" t="s">
        <v>1781</v>
      </c>
      <c r="I211" s="4">
        <v>2.8000000000000001E-2</v>
      </c>
      <c r="L211" s="4" t="s">
        <v>1567</v>
      </c>
      <c r="M211" s="4" t="s">
        <v>109</v>
      </c>
      <c r="N211" s="4" t="s">
        <v>48</v>
      </c>
      <c r="O211" s="4"/>
      <c r="P211" s="4" t="s">
        <v>1693</v>
      </c>
      <c r="Q211" t="s">
        <v>109</v>
      </c>
      <c r="R211" s="4"/>
      <c r="S211" s="4"/>
      <c r="U211" s="4"/>
      <c r="Y211" s="4"/>
      <c r="Z211" s="4"/>
      <c r="AA211" s="4"/>
      <c r="AB211" s="4"/>
      <c r="AC211" s="4"/>
      <c r="AD211" s="4"/>
      <c r="AE211" s="4"/>
      <c r="AF211" s="4"/>
      <c r="AG211" s="4"/>
      <c r="AH211" s="4"/>
      <c r="AI211" s="4"/>
      <c r="AJ211" s="4"/>
      <c r="AK211" s="4"/>
      <c r="AL211" s="4"/>
      <c r="AP211" s="4"/>
      <c r="AX211" s="4"/>
      <c r="AY211" s="4"/>
      <c r="AZ211" s="4"/>
      <c r="BA211" s="4"/>
      <c r="BB211" s="4"/>
      <c r="BC211" s="4"/>
      <c r="BD211" s="4"/>
      <c r="BE211" s="4"/>
      <c r="BF211" s="4"/>
      <c r="BG211" s="4"/>
      <c r="BI211" s="4"/>
      <c r="BP211" s="4"/>
      <c r="BS211" s="4"/>
      <c r="BW211" s="4"/>
      <c r="BX211" s="4"/>
    </row>
    <row r="212" spans="1:76" ht="12.75" x14ac:dyDescent="0.2">
      <c r="A212" s="4" t="s">
        <v>476</v>
      </c>
      <c r="B212" s="4" t="s">
        <v>477</v>
      </c>
      <c r="C212" s="4" t="s">
        <v>111</v>
      </c>
      <c r="D212" s="4">
        <v>2537</v>
      </c>
      <c r="E212" s="4" t="s">
        <v>36</v>
      </c>
      <c r="F212" s="4" t="s">
        <v>894</v>
      </c>
      <c r="G212" s="113">
        <v>7.6923076923076927E-2</v>
      </c>
      <c r="H212" t="s">
        <v>1781</v>
      </c>
      <c r="I212" s="4">
        <v>2.8000000000000001E-2</v>
      </c>
      <c r="L212" s="4" t="s">
        <v>1567</v>
      </c>
      <c r="M212" s="4" t="s">
        <v>109</v>
      </c>
      <c r="N212" s="4" t="s">
        <v>48</v>
      </c>
      <c r="O212" s="4"/>
      <c r="P212" s="4" t="s">
        <v>1693</v>
      </c>
      <c r="Q212" t="s">
        <v>109</v>
      </c>
      <c r="R212" s="4"/>
      <c r="S212" s="4"/>
      <c r="U212" s="4"/>
      <c r="Y212" s="4"/>
      <c r="Z212" s="4"/>
      <c r="AA212" s="4"/>
      <c r="AB212" s="4"/>
      <c r="AC212" s="4"/>
      <c r="AD212" s="4"/>
      <c r="AE212" s="4"/>
      <c r="AF212" s="4"/>
      <c r="AG212" s="4"/>
      <c r="AH212" s="4"/>
      <c r="AI212" s="4"/>
      <c r="AJ212" s="4"/>
      <c r="AK212" s="4"/>
      <c r="AL212" s="4"/>
      <c r="AP212" s="4"/>
      <c r="AX212" s="4"/>
      <c r="AY212" s="4"/>
      <c r="AZ212" s="4"/>
      <c r="BA212" s="4"/>
      <c r="BB212" s="4"/>
      <c r="BC212" s="4"/>
      <c r="BD212" s="4"/>
      <c r="BE212" s="4"/>
      <c r="BF212" s="4"/>
      <c r="BG212" s="4"/>
      <c r="BI212" s="4"/>
      <c r="BP212" s="4"/>
      <c r="BS212" s="4"/>
      <c r="BW212" s="4"/>
      <c r="BX212" s="4"/>
    </row>
    <row r="213" spans="1:76" ht="12.75" x14ac:dyDescent="0.2">
      <c r="A213" s="4" t="s">
        <v>476</v>
      </c>
      <c r="B213" s="4" t="s">
        <v>477</v>
      </c>
      <c r="C213" s="4" t="s">
        <v>111</v>
      </c>
      <c r="D213" s="4">
        <v>2537</v>
      </c>
      <c r="E213" s="4" t="s">
        <v>36</v>
      </c>
      <c r="F213" s="4" t="s">
        <v>894</v>
      </c>
      <c r="G213" s="113">
        <v>7.6923076923076927E-2</v>
      </c>
      <c r="H213" t="s">
        <v>1781</v>
      </c>
      <c r="I213" s="4">
        <v>2.8000000000000001E-2</v>
      </c>
      <c r="L213" s="4" t="s">
        <v>1567</v>
      </c>
      <c r="M213" s="4" t="s">
        <v>109</v>
      </c>
      <c r="N213" s="4" t="s">
        <v>48</v>
      </c>
      <c r="O213" s="4"/>
      <c r="P213" s="4" t="s">
        <v>1693</v>
      </c>
      <c r="Q213" t="s">
        <v>109</v>
      </c>
      <c r="R213" s="4"/>
      <c r="S213" s="4"/>
      <c r="U213" s="4"/>
      <c r="Y213" s="4"/>
      <c r="Z213" s="4"/>
      <c r="AA213" s="4"/>
      <c r="AB213" s="4"/>
      <c r="AC213" s="4"/>
      <c r="AD213" s="4"/>
      <c r="AE213" s="4"/>
      <c r="AF213" s="4"/>
      <c r="AG213" s="4"/>
      <c r="AH213" s="4"/>
      <c r="AI213" s="4"/>
      <c r="AJ213" s="4"/>
      <c r="AK213" s="4"/>
      <c r="AL213" s="4"/>
      <c r="AP213" s="4"/>
      <c r="AX213" s="4"/>
      <c r="AY213" s="4"/>
      <c r="AZ213" s="4"/>
      <c r="BA213" s="4"/>
      <c r="BB213" s="4"/>
      <c r="BC213" s="4"/>
      <c r="BD213" s="4"/>
      <c r="BE213" s="4"/>
      <c r="BF213" s="4"/>
      <c r="BG213" s="4"/>
      <c r="BI213" s="4"/>
      <c r="BP213" s="4"/>
      <c r="BS213" s="4"/>
      <c r="BW213" s="4"/>
      <c r="BX213" s="4"/>
    </row>
    <row r="214" spans="1:76" ht="12.75" x14ac:dyDescent="0.2">
      <c r="A214" s="4" t="s">
        <v>476</v>
      </c>
      <c r="B214" s="4" t="s">
        <v>477</v>
      </c>
      <c r="C214" s="4" t="s">
        <v>111</v>
      </c>
      <c r="D214" s="4">
        <v>2537</v>
      </c>
      <c r="E214" s="4" t="s">
        <v>36</v>
      </c>
      <c r="F214" s="4" t="s">
        <v>894</v>
      </c>
      <c r="G214" s="113">
        <v>7.6923076923076927E-2</v>
      </c>
      <c r="H214" t="s">
        <v>1781</v>
      </c>
      <c r="I214" s="4">
        <v>2.9000000000000001E-2</v>
      </c>
      <c r="L214" s="4" t="s">
        <v>1567</v>
      </c>
      <c r="M214" s="4" t="s">
        <v>109</v>
      </c>
      <c r="N214" s="4" t="s">
        <v>48</v>
      </c>
      <c r="O214" s="4"/>
      <c r="P214" s="4" t="s">
        <v>1693</v>
      </c>
      <c r="Q214" t="s">
        <v>109</v>
      </c>
      <c r="R214" s="4"/>
      <c r="S214" s="4"/>
      <c r="U214" s="4"/>
      <c r="Y214" s="4"/>
      <c r="Z214" s="4"/>
      <c r="AA214" s="4"/>
      <c r="AB214" s="4"/>
      <c r="AC214" s="4"/>
      <c r="AD214" s="4"/>
      <c r="AE214" s="4"/>
      <c r="AF214" s="4"/>
      <c r="AG214" s="4"/>
      <c r="AH214" s="4"/>
      <c r="AI214" s="4"/>
      <c r="AJ214" s="4"/>
      <c r="AK214" s="4"/>
      <c r="AL214" s="4"/>
      <c r="AP214" s="4"/>
      <c r="AX214" s="4"/>
      <c r="AY214" s="4"/>
      <c r="AZ214" s="4"/>
      <c r="BA214" s="4"/>
      <c r="BB214" s="4"/>
      <c r="BC214" s="4"/>
      <c r="BD214" s="4"/>
      <c r="BE214" s="4"/>
      <c r="BF214" s="4"/>
      <c r="BG214" s="4"/>
      <c r="BI214" s="4"/>
      <c r="BP214" s="4"/>
      <c r="BS214" s="4"/>
      <c r="BW214" s="4"/>
      <c r="BX214" s="4"/>
    </row>
    <row r="215" spans="1:76" ht="12.75" x14ac:dyDescent="0.2">
      <c r="A215" s="4" t="s">
        <v>476</v>
      </c>
      <c r="B215" s="4" t="s">
        <v>477</v>
      </c>
      <c r="C215" s="4" t="s">
        <v>111</v>
      </c>
      <c r="D215" s="4">
        <v>2537</v>
      </c>
      <c r="E215" s="4" t="s">
        <v>36</v>
      </c>
      <c r="F215" s="4" t="s">
        <v>894</v>
      </c>
      <c r="G215" s="113">
        <v>7.6923076923076927E-2</v>
      </c>
      <c r="H215" t="s">
        <v>1781</v>
      </c>
      <c r="I215" s="4">
        <v>0.03</v>
      </c>
      <c r="L215" s="4" t="s">
        <v>1567</v>
      </c>
      <c r="M215" s="4" t="s">
        <v>109</v>
      </c>
      <c r="N215" s="4" t="s">
        <v>48</v>
      </c>
      <c r="O215" s="4"/>
      <c r="P215" s="4" t="s">
        <v>1693</v>
      </c>
      <c r="Q215" t="s">
        <v>109</v>
      </c>
      <c r="R215" s="4"/>
      <c r="S215" s="4"/>
      <c r="U215" s="4"/>
      <c r="Y215" s="4"/>
      <c r="Z215" s="4"/>
      <c r="AA215" s="4"/>
      <c r="AB215" s="4"/>
      <c r="AC215" s="4"/>
      <c r="AD215" s="4"/>
      <c r="AE215" s="4"/>
      <c r="AF215" s="4"/>
      <c r="AG215" s="4"/>
      <c r="AH215" s="4"/>
      <c r="AI215" s="4"/>
      <c r="AJ215" s="4"/>
      <c r="AK215" s="4"/>
      <c r="AL215" s="4"/>
      <c r="AP215" s="4"/>
      <c r="AX215" s="4"/>
      <c r="AY215" s="4"/>
      <c r="AZ215" s="4"/>
      <c r="BA215" s="4"/>
      <c r="BB215" s="4"/>
      <c r="BC215" s="4"/>
      <c r="BD215" s="4"/>
      <c r="BE215" s="4"/>
      <c r="BF215" s="4"/>
      <c r="BG215" s="4"/>
      <c r="BI215" s="4"/>
      <c r="BP215" s="4"/>
      <c r="BS215" s="4"/>
      <c r="BW215" s="4"/>
      <c r="BX215" s="4"/>
    </row>
    <row r="216" spans="1:76" ht="12.75" x14ac:dyDescent="0.2">
      <c r="A216" s="4" t="s">
        <v>476</v>
      </c>
      <c r="B216" s="4" t="s">
        <v>477</v>
      </c>
      <c r="C216" s="4" t="s">
        <v>111</v>
      </c>
      <c r="D216" s="4">
        <v>2537</v>
      </c>
      <c r="E216" s="4" t="s">
        <v>36</v>
      </c>
      <c r="F216" s="4" t="s">
        <v>894</v>
      </c>
      <c r="G216" s="113">
        <v>7.6923076923076927E-2</v>
      </c>
      <c r="H216" t="s">
        <v>1781</v>
      </c>
      <c r="I216" s="4">
        <v>3.1E-2</v>
      </c>
      <c r="L216" s="4" t="s">
        <v>1567</v>
      </c>
      <c r="M216" s="4" t="s">
        <v>109</v>
      </c>
      <c r="N216" s="4" t="s">
        <v>48</v>
      </c>
      <c r="O216" s="4"/>
      <c r="P216" s="4" t="s">
        <v>1693</v>
      </c>
      <c r="Q216" t="s">
        <v>109</v>
      </c>
      <c r="R216" s="4"/>
      <c r="S216" s="4"/>
      <c r="U216" s="4"/>
      <c r="Y216" s="4"/>
      <c r="Z216" s="4"/>
      <c r="AA216" s="4"/>
      <c r="AB216" s="4"/>
      <c r="AC216" s="4"/>
      <c r="AD216" s="4"/>
      <c r="AE216" s="4"/>
      <c r="AF216" s="4"/>
      <c r="AG216" s="4"/>
      <c r="AH216" s="4"/>
      <c r="AI216" s="4"/>
      <c r="AJ216" s="4"/>
      <c r="AK216" s="4"/>
      <c r="AL216" s="4"/>
      <c r="AP216" s="4"/>
      <c r="AX216" s="4"/>
      <c r="AY216" s="4"/>
      <c r="AZ216" s="4"/>
      <c r="BA216" s="4"/>
      <c r="BB216" s="4"/>
      <c r="BC216" s="4"/>
      <c r="BD216" s="4"/>
      <c r="BE216" s="4"/>
      <c r="BF216" s="4"/>
      <c r="BG216" s="4"/>
      <c r="BI216" s="4"/>
      <c r="BP216" s="4"/>
      <c r="BS216" s="4"/>
      <c r="BW216" s="4"/>
      <c r="BX216" s="4"/>
    </row>
    <row r="217" spans="1:76" ht="12.75" x14ac:dyDescent="0.2">
      <c r="A217" s="4" t="s">
        <v>476</v>
      </c>
      <c r="B217" s="4" t="s">
        <v>477</v>
      </c>
      <c r="C217" s="4" t="s">
        <v>101</v>
      </c>
      <c r="D217" s="4">
        <v>2537</v>
      </c>
      <c r="E217" s="4" t="s">
        <v>36</v>
      </c>
      <c r="F217" s="4" t="s">
        <v>894</v>
      </c>
      <c r="G217" s="113">
        <v>7.6923076923076927E-2</v>
      </c>
      <c r="H217" t="s">
        <v>1781</v>
      </c>
      <c r="I217" s="4">
        <v>3.4000000000000002E-2</v>
      </c>
      <c r="L217" s="4" t="s">
        <v>1567</v>
      </c>
      <c r="M217" s="4" t="s">
        <v>109</v>
      </c>
      <c r="N217" s="4" t="s">
        <v>48</v>
      </c>
      <c r="O217" s="4"/>
      <c r="P217" s="4" t="s">
        <v>1693</v>
      </c>
      <c r="Q217" t="s">
        <v>109</v>
      </c>
      <c r="R217" s="4"/>
      <c r="S217" s="4"/>
      <c r="U217" s="4"/>
      <c r="Y217" s="4"/>
      <c r="Z217" s="4"/>
      <c r="AA217" s="4"/>
      <c r="AB217" s="4"/>
      <c r="AC217" s="4"/>
      <c r="AD217" s="4"/>
      <c r="AE217" s="4"/>
      <c r="AF217" s="4"/>
      <c r="AG217" s="4"/>
      <c r="AH217" s="4"/>
      <c r="AI217" s="4"/>
      <c r="AJ217" s="4"/>
      <c r="AK217" s="4"/>
      <c r="AL217" s="4"/>
      <c r="AP217" s="4"/>
      <c r="AX217" s="4"/>
      <c r="AY217" s="4"/>
      <c r="AZ217" s="4"/>
      <c r="BA217" s="4"/>
      <c r="BB217" s="4"/>
      <c r="BC217" s="4"/>
      <c r="BD217" s="4"/>
      <c r="BE217" s="4"/>
      <c r="BF217" s="4"/>
      <c r="BG217" s="4"/>
      <c r="BI217" s="4"/>
      <c r="BP217" s="4"/>
      <c r="BS217" s="4"/>
      <c r="BW217" s="4"/>
      <c r="BX217" s="4"/>
    </row>
    <row r="218" spans="1:76" ht="12.75" x14ac:dyDescent="0.2">
      <c r="A218" s="4" t="s">
        <v>1327</v>
      </c>
      <c r="B218" s="4" t="s">
        <v>225</v>
      </c>
      <c r="C218" s="4" t="s">
        <v>111</v>
      </c>
      <c r="D218" s="4">
        <v>2537</v>
      </c>
      <c r="E218" s="4" t="s">
        <v>36</v>
      </c>
      <c r="F218" s="4" t="s">
        <v>894</v>
      </c>
      <c r="G218" s="113">
        <v>1</v>
      </c>
      <c r="H218" t="s">
        <v>1781</v>
      </c>
      <c r="I218" s="4">
        <v>0.24</v>
      </c>
      <c r="L218" s="4" t="s">
        <v>1563</v>
      </c>
      <c r="M218" s="4" t="s">
        <v>109</v>
      </c>
      <c r="N218" s="4" t="s">
        <v>48</v>
      </c>
      <c r="O218" s="4"/>
      <c r="P218" s="4" t="s">
        <v>1693</v>
      </c>
      <c r="Q218" t="s">
        <v>109</v>
      </c>
      <c r="R218" s="4"/>
      <c r="S218" s="4"/>
      <c r="U218" s="4"/>
      <c r="Y218" s="4"/>
      <c r="Z218" s="4"/>
      <c r="AA218" s="4"/>
      <c r="AB218" s="4"/>
      <c r="AC218" s="4"/>
      <c r="AD218" s="4"/>
      <c r="AE218" s="4"/>
      <c r="AF218" s="4"/>
      <c r="AG218" s="4"/>
      <c r="AH218" s="4"/>
      <c r="AI218" s="4"/>
      <c r="AJ218" s="4"/>
      <c r="AK218" s="4"/>
      <c r="AL218" s="4"/>
      <c r="AP218" s="4"/>
      <c r="AX218" s="4"/>
      <c r="AY218" s="4"/>
      <c r="AZ218" s="4"/>
      <c r="BA218" s="4"/>
      <c r="BB218" s="4"/>
      <c r="BC218" s="4"/>
      <c r="BD218" s="4"/>
      <c r="BE218" s="4"/>
      <c r="BF218" s="4"/>
      <c r="BG218" s="4"/>
      <c r="BI218" s="4"/>
      <c r="BP218" s="4"/>
      <c r="BS218" s="4"/>
      <c r="BW218" s="4"/>
      <c r="BX218" s="4"/>
    </row>
    <row r="219" spans="1:76" ht="12.75" x14ac:dyDescent="0.2">
      <c r="A219" s="4" t="s">
        <v>476</v>
      </c>
      <c r="B219" s="4" t="s">
        <v>114</v>
      </c>
      <c r="C219" s="4" t="s">
        <v>1349</v>
      </c>
      <c r="D219" s="4">
        <v>2537</v>
      </c>
      <c r="E219" s="4" t="s">
        <v>36</v>
      </c>
      <c r="F219" s="4" t="s">
        <v>894</v>
      </c>
      <c r="G219" s="113">
        <v>1</v>
      </c>
      <c r="H219" t="s">
        <v>1781</v>
      </c>
      <c r="I219" s="4">
        <v>0.42461005199306762</v>
      </c>
      <c r="L219" s="4" t="s">
        <v>1544</v>
      </c>
      <c r="M219" s="4" t="s">
        <v>109</v>
      </c>
      <c r="N219" s="4" t="s">
        <v>48</v>
      </c>
      <c r="O219" s="4"/>
      <c r="P219" s="4" t="s">
        <v>1693</v>
      </c>
      <c r="Q219" t="s">
        <v>109</v>
      </c>
      <c r="R219" s="4"/>
      <c r="S219" s="4"/>
      <c r="U219" s="4"/>
      <c r="Y219" s="4"/>
      <c r="Z219" s="4"/>
      <c r="AA219" s="4"/>
      <c r="AB219" s="4"/>
      <c r="AC219" s="4"/>
      <c r="AD219" s="4"/>
      <c r="AE219" s="4"/>
      <c r="AF219" s="4"/>
      <c r="AG219" s="4"/>
      <c r="AH219" s="4"/>
      <c r="AI219" s="4"/>
      <c r="AJ219" s="4"/>
      <c r="AK219" s="4"/>
      <c r="AL219" s="4"/>
      <c r="AP219" s="4"/>
      <c r="AX219" s="4"/>
      <c r="AY219" s="4"/>
      <c r="AZ219" s="4"/>
      <c r="BA219" s="4"/>
      <c r="BB219" s="4"/>
      <c r="BC219" s="4"/>
      <c r="BD219" s="4"/>
      <c r="BE219" s="4"/>
      <c r="BF219" s="4"/>
      <c r="BG219" s="4"/>
      <c r="BI219" s="4"/>
      <c r="BP219" s="4"/>
      <c r="BS219" s="4"/>
      <c r="BW219" s="4"/>
      <c r="BX219" s="4"/>
    </row>
    <row r="220" spans="1:76" ht="12.75" x14ac:dyDescent="0.2">
      <c r="A220" s="4" t="s">
        <v>476</v>
      </c>
      <c r="B220" s="4" t="s">
        <v>477</v>
      </c>
      <c r="C220" s="4" t="s">
        <v>111</v>
      </c>
      <c r="D220" s="4">
        <v>2542</v>
      </c>
      <c r="E220" s="4" t="s">
        <v>37</v>
      </c>
      <c r="F220" s="4" t="s">
        <v>894</v>
      </c>
      <c r="G220" s="113">
        <v>7.6923076923076927E-2</v>
      </c>
      <c r="H220" t="s">
        <v>1781</v>
      </c>
      <c r="I220" s="4">
        <v>9.857142857142856E-2</v>
      </c>
      <c r="J220">
        <v>0.14000000000000001</v>
      </c>
      <c r="K220">
        <v>0.92</v>
      </c>
      <c r="L220" s="4" t="s">
        <v>1567</v>
      </c>
      <c r="M220" s="4" t="s">
        <v>109</v>
      </c>
      <c r="N220" s="4" t="s">
        <v>49</v>
      </c>
      <c r="O220" s="4"/>
      <c r="P220" s="4" t="s">
        <v>1693</v>
      </c>
      <c r="Q220" t="s">
        <v>109</v>
      </c>
      <c r="R220" s="4"/>
      <c r="S220" s="4"/>
      <c r="U220" s="4"/>
      <c r="Y220" s="4"/>
      <c r="Z220" s="4"/>
      <c r="AA220" s="4"/>
      <c r="AB220" s="4"/>
      <c r="AC220" s="4"/>
      <c r="AD220" s="4"/>
      <c r="AE220" s="4"/>
      <c r="AF220" s="4"/>
      <c r="AG220" s="4"/>
      <c r="AH220" s="4"/>
      <c r="AI220" s="4"/>
      <c r="AJ220" s="4"/>
      <c r="AK220" s="4"/>
      <c r="AL220" s="4"/>
      <c r="AP220" s="4"/>
      <c r="AX220" s="4"/>
      <c r="AY220" s="4"/>
      <c r="AZ220" s="4"/>
      <c r="BA220" s="4"/>
      <c r="BB220" s="4"/>
      <c r="BC220" s="4"/>
      <c r="BD220" s="4"/>
      <c r="BE220" s="4"/>
      <c r="BF220" s="4"/>
      <c r="BG220" s="4"/>
      <c r="BI220" s="4"/>
      <c r="BP220" s="4"/>
      <c r="BS220" s="4"/>
      <c r="BW220" s="4"/>
      <c r="BX220" s="4"/>
    </row>
    <row r="221" spans="1:76" ht="12.75" x14ac:dyDescent="0.2">
      <c r="A221" s="4" t="s">
        <v>476</v>
      </c>
      <c r="B221" s="4" t="s">
        <v>477</v>
      </c>
      <c r="C221" s="4" t="s">
        <v>111</v>
      </c>
      <c r="D221" s="4">
        <v>2542</v>
      </c>
      <c r="E221" s="4" t="s">
        <v>37</v>
      </c>
      <c r="F221" s="4" t="s">
        <v>894</v>
      </c>
      <c r="G221" s="113">
        <v>7.6923076923076927E-2</v>
      </c>
      <c r="H221" t="s">
        <v>1781</v>
      </c>
      <c r="I221" s="4">
        <v>0.10514285714285715</v>
      </c>
      <c r="J221">
        <v>0.14000000000000001</v>
      </c>
      <c r="K221">
        <v>0.92</v>
      </c>
      <c r="L221" s="4" t="s">
        <v>1567</v>
      </c>
      <c r="M221" s="4" t="s">
        <v>109</v>
      </c>
      <c r="N221" s="4" t="s">
        <v>49</v>
      </c>
      <c r="O221" s="4"/>
      <c r="P221" s="4" t="s">
        <v>1693</v>
      </c>
      <c r="Q221" t="s">
        <v>109</v>
      </c>
      <c r="R221" s="4"/>
      <c r="S221" s="4"/>
      <c r="U221" s="4"/>
      <c r="Y221" s="4"/>
      <c r="Z221" s="4"/>
      <c r="AA221" s="4"/>
      <c r="AB221" s="4"/>
      <c r="AC221" s="4"/>
      <c r="AD221" s="4"/>
      <c r="AE221" s="4"/>
      <c r="AF221" s="4"/>
      <c r="AG221" s="4"/>
      <c r="AH221" s="4"/>
      <c r="AI221" s="4"/>
      <c r="AJ221" s="4"/>
      <c r="AK221" s="4"/>
      <c r="AL221" s="4"/>
      <c r="AP221" s="4"/>
      <c r="AX221" s="4"/>
      <c r="AY221" s="4"/>
      <c r="AZ221" s="4"/>
      <c r="BA221" s="4"/>
      <c r="BB221" s="4"/>
      <c r="BC221" s="4"/>
      <c r="BD221" s="4"/>
      <c r="BE221" s="4"/>
      <c r="BF221" s="4"/>
      <c r="BG221" s="4"/>
      <c r="BI221" s="4"/>
      <c r="BP221" s="4"/>
      <c r="BS221" s="4"/>
      <c r="BW221" s="4"/>
      <c r="BX221" s="4"/>
    </row>
    <row r="222" spans="1:76" ht="12.75" x14ac:dyDescent="0.2">
      <c r="A222" s="4" t="s">
        <v>476</v>
      </c>
      <c r="B222" s="4" t="s">
        <v>477</v>
      </c>
      <c r="C222" s="4" t="s">
        <v>111</v>
      </c>
      <c r="D222" s="4">
        <v>2542</v>
      </c>
      <c r="E222" s="4" t="s">
        <v>37</v>
      </c>
      <c r="F222" s="4" t="s">
        <v>894</v>
      </c>
      <c r="G222" s="113">
        <v>7.6923076923076927E-2</v>
      </c>
      <c r="H222" t="s">
        <v>1781</v>
      </c>
      <c r="I222" s="4">
        <v>0.11828571428571429</v>
      </c>
      <c r="J222">
        <v>0.14000000000000001</v>
      </c>
      <c r="K222">
        <v>0.92</v>
      </c>
      <c r="L222" s="4" t="s">
        <v>1567</v>
      </c>
      <c r="M222" s="4" t="s">
        <v>109</v>
      </c>
      <c r="N222" s="4" t="s">
        <v>49</v>
      </c>
      <c r="O222" s="4"/>
      <c r="P222" s="4" t="s">
        <v>1693</v>
      </c>
      <c r="Q222" t="s">
        <v>109</v>
      </c>
      <c r="R222" s="4"/>
      <c r="S222" s="4"/>
      <c r="U222" s="4"/>
      <c r="Y222" s="4"/>
      <c r="Z222" s="4"/>
      <c r="AA222" s="4"/>
      <c r="AB222" s="4"/>
      <c r="AC222" s="4"/>
      <c r="AD222" s="4"/>
      <c r="AE222" s="4"/>
      <c r="AF222" s="4"/>
      <c r="AG222" s="4"/>
      <c r="AH222" s="4"/>
      <c r="AI222" s="4"/>
      <c r="AJ222" s="4"/>
      <c r="AK222" s="4"/>
      <c r="AL222" s="4"/>
      <c r="AP222" s="4"/>
      <c r="AX222" s="4"/>
      <c r="AY222" s="4"/>
      <c r="AZ222" s="4"/>
      <c r="BA222" s="4"/>
      <c r="BB222" s="4"/>
      <c r="BC222" s="4"/>
      <c r="BD222" s="4"/>
      <c r="BE222" s="4"/>
      <c r="BF222" s="4"/>
      <c r="BG222" s="4"/>
      <c r="BI222" s="4"/>
      <c r="BP222" s="4"/>
      <c r="BS222" s="4"/>
      <c r="BW222" s="4"/>
      <c r="BX222" s="4"/>
    </row>
    <row r="223" spans="1:76" ht="12.75" x14ac:dyDescent="0.2">
      <c r="A223" s="4" t="s">
        <v>476</v>
      </c>
      <c r="B223" s="4" t="s">
        <v>477</v>
      </c>
      <c r="C223" s="4" t="s">
        <v>111</v>
      </c>
      <c r="D223" s="4">
        <v>2542</v>
      </c>
      <c r="E223" s="4" t="s">
        <v>37</v>
      </c>
      <c r="F223" s="4" t="s">
        <v>894</v>
      </c>
      <c r="G223" s="113">
        <v>7.6923076923076927E-2</v>
      </c>
      <c r="H223" t="s">
        <v>1781</v>
      </c>
      <c r="I223" s="4">
        <v>0.14457142857142855</v>
      </c>
      <c r="J223">
        <v>0.14000000000000001</v>
      </c>
      <c r="K223">
        <v>0.92</v>
      </c>
      <c r="L223" s="4" t="s">
        <v>1567</v>
      </c>
      <c r="M223" s="4" t="s">
        <v>109</v>
      </c>
      <c r="N223" s="4" t="s">
        <v>49</v>
      </c>
      <c r="O223" s="4"/>
      <c r="P223" s="4" t="s">
        <v>1693</v>
      </c>
      <c r="Q223" t="s">
        <v>109</v>
      </c>
      <c r="R223" s="4"/>
      <c r="S223" s="4"/>
      <c r="U223" s="4"/>
      <c r="Y223" s="4"/>
      <c r="Z223" s="4"/>
      <c r="AA223" s="4"/>
      <c r="AB223" s="4"/>
      <c r="AC223" s="4"/>
      <c r="AD223" s="4"/>
      <c r="AE223" s="4"/>
      <c r="AF223" s="4"/>
      <c r="AG223" s="4"/>
      <c r="AH223" s="4"/>
      <c r="AI223" s="4"/>
      <c r="AJ223" s="4"/>
      <c r="AK223" s="4"/>
      <c r="AL223" s="4"/>
      <c r="AP223" s="4"/>
      <c r="AX223" s="4"/>
      <c r="AY223" s="4"/>
      <c r="AZ223" s="4"/>
      <c r="BA223" s="4"/>
      <c r="BB223" s="4"/>
      <c r="BC223" s="4"/>
      <c r="BD223" s="4"/>
      <c r="BE223" s="4"/>
      <c r="BF223" s="4"/>
      <c r="BG223" s="4"/>
      <c r="BI223" s="4"/>
      <c r="BP223" s="4"/>
      <c r="BS223" s="4"/>
      <c r="BW223" s="4"/>
      <c r="BX223" s="4"/>
    </row>
    <row r="224" spans="1:76" ht="12.75" x14ac:dyDescent="0.2">
      <c r="A224" s="4" t="s">
        <v>476</v>
      </c>
      <c r="B224" s="4" t="s">
        <v>477</v>
      </c>
      <c r="C224" s="4" t="s">
        <v>111</v>
      </c>
      <c r="D224" s="4">
        <v>2542</v>
      </c>
      <c r="E224" s="4" t="s">
        <v>37</v>
      </c>
      <c r="F224" s="4" t="s">
        <v>894</v>
      </c>
      <c r="G224" s="113">
        <v>7.6923076923076927E-2</v>
      </c>
      <c r="H224" t="s">
        <v>1781</v>
      </c>
      <c r="I224" s="4">
        <v>0.15114285714285713</v>
      </c>
      <c r="J224">
        <v>0.14000000000000001</v>
      </c>
      <c r="K224">
        <v>0.92</v>
      </c>
      <c r="L224" s="4" t="s">
        <v>1567</v>
      </c>
      <c r="M224" s="4" t="s">
        <v>109</v>
      </c>
      <c r="N224" s="4" t="s">
        <v>49</v>
      </c>
      <c r="O224" s="4"/>
      <c r="P224" s="4" t="s">
        <v>1693</v>
      </c>
      <c r="Q224" t="s">
        <v>109</v>
      </c>
      <c r="R224" s="4"/>
      <c r="S224" s="4"/>
      <c r="U224" s="4"/>
      <c r="Y224" s="4"/>
      <c r="Z224" s="4"/>
      <c r="AA224" s="4"/>
      <c r="AB224" s="4"/>
      <c r="AC224" s="4"/>
      <c r="AD224" s="4"/>
      <c r="AE224" s="4"/>
      <c r="AF224" s="4"/>
      <c r="AG224" s="4"/>
      <c r="AH224" s="4"/>
      <c r="AI224" s="4"/>
      <c r="AJ224" s="4"/>
      <c r="AK224" s="4"/>
      <c r="AL224" s="4"/>
      <c r="AP224" s="4"/>
      <c r="AX224" s="4"/>
      <c r="AY224" s="4"/>
      <c r="AZ224" s="4"/>
      <c r="BA224" s="4"/>
      <c r="BB224" s="4"/>
      <c r="BC224" s="4"/>
      <c r="BD224" s="4"/>
      <c r="BE224" s="4"/>
      <c r="BF224" s="4"/>
      <c r="BG224" s="4"/>
      <c r="BI224" s="4"/>
      <c r="BP224" s="4"/>
      <c r="BS224" s="4"/>
      <c r="BW224" s="4"/>
      <c r="BX224" s="4"/>
    </row>
    <row r="225" spans="1:76" ht="12.75" x14ac:dyDescent="0.2">
      <c r="A225" s="4" t="s">
        <v>476</v>
      </c>
      <c r="B225" s="4" t="s">
        <v>477</v>
      </c>
      <c r="C225" s="4" t="s">
        <v>111</v>
      </c>
      <c r="D225" s="4">
        <v>2542</v>
      </c>
      <c r="E225" s="4" t="s">
        <v>37</v>
      </c>
      <c r="F225" s="4" t="s">
        <v>894</v>
      </c>
      <c r="G225" s="113">
        <v>7.6923076923076927E-2</v>
      </c>
      <c r="H225" t="s">
        <v>1781</v>
      </c>
      <c r="I225" s="4">
        <v>0.17742857142857141</v>
      </c>
      <c r="J225">
        <v>0.14000000000000001</v>
      </c>
      <c r="K225">
        <v>0.92</v>
      </c>
      <c r="L225" s="4" t="s">
        <v>1567</v>
      </c>
      <c r="M225" s="4" t="s">
        <v>109</v>
      </c>
      <c r="N225" s="4" t="s">
        <v>49</v>
      </c>
      <c r="O225" s="4"/>
      <c r="P225" s="4" t="s">
        <v>1693</v>
      </c>
      <c r="Q225" t="s">
        <v>109</v>
      </c>
      <c r="R225" s="4"/>
      <c r="S225" s="4"/>
      <c r="U225" s="4"/>
      <c r="Y225" s="4"/>
      <c r="Z225" s="4"/>
      <c r="AA225" s="4"/>
      <c r="AB225" s="4"/>
      <c r="AC225" s="4"/>
      <c r="AD225" s="4"/>
      <c r="AE225" s="4"/>
      <c r="AF225" s="4"/>
      <c r="AG225" s="4"/>
      <c r="AH225" s="4"/>
      <c r="AI225" s="4"/>
      <c r="AJ225" s="4"/>
      <c r="AK225" s="4"/>
      <c r="AL225" s="4"/>
      <c r="AP225" s="4"/>
      <c r="AX225" s="4"/>
      <c r="AY225" s="4"/>
      <c r="AZ225" s="4"/>
      <c r="BA225" s="4"/>
      <c r="BB225" s="4"/>
      <c r="BC225" s="4"/>
      <c r="BD225" s="4"/>
      <c r="BE225" s="4"/>
      <c r="BF225" s="4"/>
      <c r="BG225" s="4"/>
      <c r="BI225" s="4"/>
      <c r="BP225" s="4"/>
      <c r="BS225" s="4"/>
      <c r="BW225" s="4"/>
      <c r="BX225" s="4"/>
    </row>
    <row r="226" spans="1:76" ht="12.75" x14ac:dyDescent="0.2">
      <c r="A226" s="4" t="s">
        <v>476</v>
      </c>
      <c r="B226" s="4" t="s">
        <v>477</v>
      </c>
      <c r="C226" s="4" t="s">
        <v>111</v>
      </c>
      <c r="D226" s="4">
        <v>2542</v>
      </c>
      <c r="E226" s="4" t="s">
        <v>37</v>
      </c>
      <c r="F226" s="4" t="s">
        <v>894</v>
      </c>
      <c r="G226" s="113">
        <v>7.6923076923076927E-2</v>
      </c>
      <c r="H226" t="s">
        <v>1781</v>
      </c>
      <c r="I226" s="4">
        <v>0.184</v>
      </c>
      <c r="J226">
        <v>0.14000000000000001</v>
      </c>
      <c r="K226">
        <v>0.92</v>
      </c>
      <c r="L226" s="4" t="s">
        <v>1567</v>
      </c>
      <c r="M226" s="4" t="s">
        <v>109</v>
      </c>
      <c r="N226" s="4" t="s">
        <v>49</v>
      </c>
      <c r="O226" s="4"/>
      <c r="P226" s="4" t="s">
        <v>1693</v>
      </c>
      <c r="Q226" t="s">
        <v>109</v>
      </c>
      <c r="R226" s="4"/>
      <c r="S226" s="4"/>
      <c r="U226" s="4"/>
      <c r="Y226" s="4"/>
      <c r="Z226" s="4"/>
      <c r="AA226" s="4"/>
      <c r="AB226" s="4"/>
      <c r="AC226" s="4"/>
      <c r="AD226" s="4"/>
      <c r="AE226" s="4"/>
      <c r="AF226" s="4"/>
      <c r="AG226" s="4"/>
      <c r="AH226" s="4"/>
      <c r="AI226" s="4"/>
      <c r="AJ226" s="4"/>
      <c r="AK226" s="4"/>
      <c r="AL226" s="4"/>
      <c r="AP226" s="4"/>
      <c r="AX226" s="4"/>
      <c r="AY226" s="4"/>
      <c r="AZ226" s="4"/>
      <c r="BA226" s="4"/>
      <c r="BB226" s="4"/>
      <c r="BC226" s="4"/>
      <c r="BD226" s="4"/>
      <c r="BE226" s="4"/>
      <c r="BF226" s="4"/>
      <c r="BG226" s="4"/>
      <c r="BI226" s="4"/>
      <c r="BP226" s="4"/>
      <c r="BS226" s="4"/>
      <c r="BW226" s="4"/>
      <c r="BX226" s="4"/>
    </row>
    <row r="227" spans="1:76" ht="12.75" x14ac:dyDescent="0.2">
      <c r="A227" s="4" t="s">
        <v>476</v>
      </c>
      <c r="B227" s="4" t="s">
        <v>477</v>
      </c>
      <c r="C227" s="4" t="s">
        <v>111</v>
      </c>
      <c r="D227" s="4">
        <v>2542</v>
      </c>
      <c r="E227" s="4" t="s">
        <v>37</v>
      </c>
      <c r="F227" s="4" t="s">
        <v>894</v>
      </c>
      <c r="G227" s="113">
        <v>7.6923076923076927E-2</v>
      </c>
      <c r="H227" t="s">
        <v>1781</v>
      </c>
      <c r="I227" s="4">
        <v>0.184</v>
      </c>
      <c r="J227">
        <v>0.14000000000000001</v>
      </c>
      <c r="K227">
        <v>0.92</v>
      </c>
      <c r="L227" s="4" t="s">
        <v>1567</v>
      </c>
      <c r="M227" s="4" t="s">
        <v>109</v>
      </c>
      <c r="N227" s="4" t="s">
        <v>49</v>
      </c>
      <c r="O227" s="4"/>
      <c r="P227" s="4" t="s">
        <v>1693</v>
      </c>
      <c r="Q227" t="s">
        <v>109</v>
      </c>
      <c r="R227" s="4"/>
      <c r="S227" s="4"/>
      <c r="U227" s="4"/>
      <c r="Y227" s="4"/>
      <c r="Z227" s="4"/>
      <c r="AA227" s="4"/>
      <c r="AB227" s="4"/>
      <c r="AC227" s="4"/>
      <c r="AD227" s="4"/>
      <c r="AE227" s="4"/>
      <c r="AF227" s="4"/>
      <c r="AG227" s="4"/>
      <c r="AH227" s="4"/>
      <c r="AI227" s="4"/>
      <c r="AJ227" s="4"/>
      <c r="AK227" s="4"/>
      <c r="AL227" s="4"/>
      <c r="AP227" s="4"/>
      <c r="AX227" s="4"/>
      <c r="AY227" s="4"/>
      <c r="AZ227" s="4"/>
      <c r="BA227" s="4"/>
      <c r="BB227" s="4"/>
      <c r="BC227" s="4"/>
      <c r="BD227" s="4"/>
      <c r="BE227" s="4"/>
      <c r="BF227" s="4"/>
      <c r="BG227" s="4"/>
      <c r="BI227" s="4"/>
      <c r="BP227" s="4"/>
      <c r="BS227" s="4"/>
      <c r="BW227" s="4"/>
      <c r="BX227" s="4"/>
    </row>
    <row r="228" spans="1:76" ht="12.75" x14ac:dyDescent="0.2">
      <c r="A228" s="4" t="s">
        <v>476</v>
      </c>
      <c r="B228" s="4" t="s">
        <v>477</v>
      </c>
      <c r="C228" s="4" t="s">
        <v>111</v>
      </c>
      <c r="D228" s="4">
        <v>2542</v>
      </c>
      <c r="E228" s="4" t="s">
        <v>37</v>
      </c>
      <c r="F228" s="4" t="s">
        <v>894</v>
      </c>
      <c r="G228" s="113">
        <v>7.6923076923076927E-2</v>
      </c>
      <c r="H228" t="s">
        <v>1781</v>
      </c>
      <c r="I228" s="4">
        <v>0.184</v>
      </c>
      <c r="J228">
        <v>0.14000000000000001</v>
      </c>
      <c r="K228">
        <v>0.92</v>
      </c>
      <c r="L228" s="4" t="s">
        <v>1567</v>
      </c>
      <c r="M228" s="4" t="s">
        <v>109</v>
      </c>
      <c r="N228" s="4" t="s">
        <v>49</v>
      </c>
      <c r="O228" s="4"/>
      <c r="P228" s="4" t="s">
        <v>1693</v>
      </c>
      <c r="Q228" t="s">
        <v>109</v>
      </c>
      <c r="R228" s="4"/>
      <c r="S228" s="4"/>
      <c r="U228" s="4"/>
      <c r="Y228" s="4"/>
      <c r="Z228" s="4"/>
      <c r="AA228" s="4"/>
      <c r="AB228" s="4"/>
      <c r="AC228" s="4"/>
      <c r="AD228" s="4"/>
      <c r="AE228" s="4"/>
      <c r="AF228" s="4"/>
      <c r="AG228" s="4"/>
      <c r="AH228" s="4"/>
      <c r="AI228" s="4"/>
      <c r="AJ228" s="4"/>
      <c r="AK228" s="4"/>
      <c r="AL228" s="4"/>
      <c r="AP228" s="4"/>
      <c r="AX228" s="4"/>
      <c r="AY228" s="4"/>
      <c r="AZ228" s="4"/>
      <c r="BA228" s="4"/>
      <c r="BB228" s="4"/>
      <c r="BC228" s="4"/>
      <c r="BD228" s="4"/>
      <c r="BE228" s="4"/>
      <c r="BF228" s="4"/>
      <c r="BG228" s="4"/>
      <c r="BI228" s="4"/>
      <c r="BP228" s="4"/>
      <c r="BS228" s="4"/>
      <c r="BW228" s="4"/>
      <c r="BX228" s="4"/>
    </row>
    <row r="229" spans="1:76" ht="12.75" x14ac:dyDescent="0.2">
      <c r="A229" s="4" t="s">
        <v>476</v>
      </c>
      <c r="B229" s="4" t="s">
        <v>477</v>
      </c>
      <c r="C229" s="4" t="s">
        <v>111</v>
      </c>
      <c r="D229" s="4">
        <v>2542</v>
      </c>
      <c r="E229" s="4" t="s">
        <v>37</v>
      </c>
      <c r="F229" s="4" t="s">
        <v>894</v>
      </c>
      <c r="G229" s="113">
        <v>7.6923076923076927E-2</v>
      </c>
      <c r="H229" t="s">
        <v>1781</v>
      </c>
      <c r="I229" s="4">
        <v>0.19057142857142856</v>
      </c>
      <c r="J229">
        <v>0.14000000000000001</v>
      </c>
      <c r="K229">
        <v>0.92</v>
      </c>
      <c r="L229" s="4" t="s">
        <v>1567</v>
      </c>
      <c r="M229" s="4" t="s">
        <v>109</v>
      </c>
      <c r="N229" s="4" t="s">
        <v>49</v>
      </c>
      <c r="O229" s="4"/>
      <c r="P229" s="4" t="s">
        <v>1693</v>
      </c>
      <c r="Q229" t="s">
        <v>109</v>
      </c>
      <c r="R229" s="4"/>
      <c r="S229" s="4"/>
      <c r="U229" s="4"/>
      <c r="Y229" s="4"/>
      <c r="Z229" s="4"/>
      <c r="AA229" s="4"/>
      <c r="AB229" s="4"/>
      <c r="AC229" s="4"/>
      <c r="AD229" s="4"/>
      <c r="AE229" s="4"/>
      <c r="AF229" s="4"/>
      <c r="AG229" s="4"/>
      <c r="AH229" s="4"/>
      <c r="AI229" s="4"/>
      <c r="AJ229" s="4"/>
      <c r="AK229" s="4"/>
      <c r="AL229" s="4"/>
      <c r="AP229" s="4"/>
      <c r="AX229" s="4"/>
      <c r="AY229" s="4"/>
      <c r="AZ229" s="4"/>
      <c r="BA229" s="4"/>
      <c r="BB229" s="4"/>
      <c r="BC229" s="4"/>
      <c r="BD229" s="4"/>
      <c r="BE229" s="4"/>
      <c r="BF229" s="4"/>
      <c r="BG229" s="4"/>
      <c r="BI229" s="4"/>
      <c r="BP229" s="4"/>
      <c r="BS229" s="4"/>
      <c r="BW229" s="4"/>
      <c r="BX229" s="4"/>
    </row>
    <row r="230" spans="1:76" ht="12.75" x14ac:dyDescent="0.2">
      <c r="A230" s="4" t="s">
        <v>476</v>
      </c>
      <c r="B230" s="4" t="s">
        <v>477</v>
      </c>
      <c r="C230" s="4" t="s">
        <v>111</v>
      </c>
      <c r="D230" s="4">
        <v>2542</v>
      </c>
      <c r="E230" s="4" t="s">
        <v>37</v>
      </c>
      <c r="F230" s="4" t="s">
        <v>894</v>
      </c>
      <c r="G230" s="113">
        <v>7.6923076923076927E-2</v>
      </c>
      <c r="H230" t="s">
        <v>1781</v>
      </c>
      <c r="I230" s="4">
        <v>0.19714285714285712</v>
      </c>
      <c r="J230">
        <v>0.14000000000000001</v>
      </c>
      <c r="K230">
        <v>0.92</v>
      </c>
      <c r="L230" s="4" t="s">
        <v>1567</v>
      </c>
      <c r="M230" s="4" t="s">
        <v>109</v>
      </c>
      <c r="N230" s="4" t="s">
        <v>49</v>
      </c>
      <c r="O230" s="4"/>
      <c r="P230" s="4" t="s">
        <v>1693</v>
      </c>
      <c r="Q230" t="s">
        <v>109</v>
      </c>
      <c r="R230" s="4"/>
      <c r="S230" s="4"/>
      <c r="U230" s="4"/>
      <c r="Y230" s="4"/>
      <c r="Z230" s="4"/>
      <c r="AA230" s="4"/>
      <c r="AB230" s="4"/>
      <c r="AC230" s="4"/>
      <c r="AD230" s="4"/>
      <c r="AE230" s="4"/>
      <c r="AF230" s="4"/>
      <c r="AG230" s="4"/>
      <c r="AH230" s="4"/>
      <c r="AI230" s="4"/>
      <c r="AJ230" s="4"/>
      <c r="AK230" s="4"/>
      <c r="AL230" s="4"/>
      <c r="AP230" s="4"/>
      <c r="AX230" s="4"/>
      <c r="AY230" s="4"/>
      <c r="AZ230" s="4"/>
      <c r="BA230" s="4"/>
      <c r="BB230" s="4"/>
      <c r="BC230" s="4"/>
      <c r="BD230" s="4"/>
      <c r="BE230" s="4"/>
      <c r="BF230" s="4"/>
      <c r="BG230" s="4"/>
      <c r="BI230" s="4"/>
      <c r="BP230" s="4"/>
      <c r="BS230" s="4"/>
      <c r="BW230" s="4"/>
      <c r="BX230" s="4"/>
    </row>
    <row r="231" spans="1:76" ht="12.75" x14ac:dyDescent="0.2">
      <c r="A231" s="4" t="s">
        <v>476</v>
      </c>
      <c r="B231" s="4" t="s">
        <v>477</v>
      </c>
      <c r="C231" s="4" t="s">
        <v>111</v>
      </c>
      <c r="D231" s="4">
        <v>2542</v>
      </c>
      <c r="E231" s="4" t="s">
        <v>37</v>
      </c>
      <c r="F231" s="4" t="s">
        <v>894</v>
      </c>
      <c r="G231" s="113">
        <v>7.6923076923076927E-2</v>
      </c>
      <c r="H231" t="s">
        <v>1781</v>
      </c>
      <c r="I231" s="4">
        <v>0.20371428571428571</v>
      </c>
      <c r="J231">
        <v>0.14000000000000001</v>
      </c>
      <c r="K231">
        <v>0.92</v>
      </c>
      <c r="L231" s="4" t="s">
        <v>1567</v>
      </c>
      <c r="M231" s="4" t="s">
        <v>109</v>
      </c>
      <c r="N231" s="4" t="s">
        <v>49</v>
      </c>
      <c r="O231" s="4"/>
      <c r="P231" s="4" t="s">
        <v>1693</v>
      </c>
      <c r="Q231" t="s">
        <v>109</v>
      </c>
      <c r="R231" s="4"/>
      <c r="S231" s="4"/>
      <c r="U231" s="4"/>
      <c r="Y231" s="4"/>
      <c r="Z231" s="4"/>
      <c r="AA231" s="4"/>
      <c r="AB231" s="4"/>
      <c r="AC231" s="4"/>
      <c r="AD231" s="4"/>
      <c r="AE231" s="4"/>
      <c r="AF231" s="4"/>
      <c r="AG231" s="4"/>
      <c r="AH231" s="4"/>
      <c r="AI231" s="4"/>
      <c r="AJ231" s="4"/>
      <c r="AK231" s="4"/>
      <c r="AL231" s="4"/>
      <c r="AP231" s="4"/>
      <c r="AX231" s="4"/>
      <c r="AY231" s="4"/>
      <c r="AZ231" s="4"/>
      <c r="BA231" s="4"/>
      <c r="BB231" s="4"/>
      <c r="BC231" s="4"/>
      <c r="BD231" s="4"/>
      <c r="BE231" s="4"/>
      <c r="BF231" s="4"/>
      <c r="BG231" s="4"/>
      <c r="BI231" s="4"/>
      <c r="BP231" s="4"/>
      <c r="BS231" s="4"/>
      <c r="BW231" s="4"/>
      <c r="BX231" s="4"/>
    </row>
    <row r="232" spans="1:76" ht="12.75" x14ac:dyDescent="0.2">
      <c r="A232" s="4" t="s">
        <v>476</v>
      </c>
      <c r="B232" s="4" t="s">
        <v>477</v>
      </c>
      <c r="C232" s="4" t="s">
        <v>101</v>
      </c>
      <c r="D232" s="4">
        <v>2542</v>
      </c>
      <c r="E232" s="4" t="s">
        <v>37</v>
      </c>
      <c r="F232" s="4" t="s">
        <v>894</v>
      </c>
      <c r="G232" s="113">
        <v>7.6923076923076927E-2</v>
      </c>
      <c r="H232" t="s">
        <v>1781</v>
      </c>
      <c r="I232" s="4">
        <v>0.22342857142857145</v>
      </c>
      <c r="J232">
        <v>0.14000000000000001</v>
      </c>
      <c r="K232">
        <v>0.92</v>
      </c>
      <c r="L232" s="4" t="s">
        <v>1567</v>
      </c>
      <c r="M232" s="4" t="s">
        <v>109</v>
      </c>
      <c r="N232" s="4" t="s">
        <v>49</v>
      </c>
      <c r="O232" s="4"/>
      <c r="P232" s="4" t="s">
        <v>1693</v>
      </c>
      <c r="Q232" t="s">
        <v>109</v>
      </c>
      <c r="R232" s="4"/>
      <c r="S232" s="4"/>
      <c r="U232" s="4"/>
      <c r="Y232" s="4"/>
      <c r="Z232" s="4"/>
      <c r="AA232" s="4"/>
      <c r="AB232" s="4"/>
      <c r="AC232" s="4"/>
      <c r="AD232" s="4"/>
      <c r="AE232" s="4"/>
      <c r="AF232" s="4"/>
      <c r="AG232" s="4"/>
      <c r="AH232" s="4"/>
      <c r="AI232" s="4"/>
      <c r="AJ232" s="4"/>
      <c r="AK232" s="4"/>
      <c r="AL232" s="4"/>
      <c r="AP232" s="4"/>
      <c r="AX232" s="4"/>
      <c r="AY232" s="4"/>
      <c r="AZ232" s="4"/>
      <c r="BA232" s="4"/>
      <c r="BB232" s="4"/>
      <c r="BC232" s="4"/>
      <c r="BD232" s="4"/>
      <c r="BE232" s="4"/>
      <c r="BF232" s="4"/>
      <c r="BG232" s="4"/>
      <c r="BI232" s="4"/>
      <c r="BP232" s="4"/>
      <c r="BS232" s="4"/>
      <c r="BW232" s="4"/>
      <c r="BX232" s="4"/>
    </row>
    <row r="233" spans="1:76" ht="12.75" x14ac:dyDescent="0.2">
      <c r="A233" s="4" t="s">
        <v>490</v>
      </c>
      <c r="B233" s="4" t="s">
        <v>491</v>
      </c>
      <c r="C233" s="4" t="s">
        <v>111</v>
      </c>
      <c r="D233" s="4">
        <v>2542</v>
      </c>
      <c r="E233" s="4" t="s">
        <v>37</v>
      </c>
      <c r="F233" s="4" t="s">
        <v>894</v>
      </c>
      <c r="G233" s="113">
        <v>1</v>
      </c>
      <c r="H233" t="s">
        <v>1781</v>
      </c>
      <c r="I233" s="4">
        <v>0.64867199999999992</v>
      </c>
      <c r="J233">
        <v>0.11</v>
      </c>
      <c r="K233">
        <v>0.87</v>
      </c>
      <c r="L233" s="4" t="s">
        <v>1566</v>
      </c>
      <c r="M233" s="4" t="s">
        <v>109</v>
      </c>
      <c r="N233" s="4" t="s">
        <v>49</v>
      </c>
      <c r="O233" s="4"/>
      <c r="P233" s="4" t="s">
        <v>1693</v>
      </c>
      <c r="Q233" t="s">
        <v>109</v>
      </c>
      <c r="R233" s="4"/>
      <c r="S233" s="4"/>
      <c r="U233" s="4"/>
      <c r="Y233" s="4"/>
      <c r="Z233" s="4"/>
      <c r="AA233" s="4"/>
      <c r="AB233" s="4"/>
      <c r="AC233" s="4"/>
      <c r="AD233" s="4"/>
      <c r="AE233" s="4"/>
      <c r="AF233" s="4"/>
      <c r="AG233" s="4"/>
      <c r="AH233" s="4"/>
      <c r="AI233" s="4"/>
      <c r="AJ233" s="4"/>
      <c r="AK233" s="4"/>
      <c r="AL233" s="4"/>
      <c r="AP233" s="4"/>
      <c r="AX233" s="4"/>
      <c r="AY233" s="4"/>
      <c r="AZ233" s="4"/>
      <c r="BA233" s="4"/>
      <c r="BB233" s="4"/>
      <c r="BC233" s="4"/>
      <c r="BD233" s="4"/>
      <c r="BE233" s="4"/>
      <c r="BF233" s="4"/>
      <c r="BG233" s="4"/>
      <c r="BI233" s="4"/>
      <c r="BP233" s="4"/>
      <c r="BS233" s="4"/>
      <c r="BW233" s="4"/>
      <c r="BX233" s="4"/>
    </row>
    <row r="234" spans="1:76" ht="12.75" x14ac:dyDescent="0.2">
      <c r="A234" s="4" t="s">
        <v>1327</v>
      </c>
      <c r="B234" s="4" t="s">
        <v>225</v>
      </c>
      <c r="C234" s="4" t="s">
        <v>111</v>
      </c>
      <c r="D234" s="4">
        <v>2542</v>
      </c>
      <c r="E234" s="4" t="s">
        <v>37</v>
      </c>
      <c r="F234" s="4" t="s">
        <v>894</v>
      </c>
      <c r="G234" s="113">
        <v>1</v>
      </c>
      <c r="H234" t="s">
        <v>1781</v>
      </c>
      <c r="I234" s="4">
        <v>1.577142857142857</v>
      </c>
      <c r="J234">
        <v>0.14000000000000001</v>
      </c>
      <c r="K234">
        <v>0.92</v>
      </c>
      <c r="L234" s="4" t="s">
        <v>1563</v>
      </c>
      <c r="M234" s="4" t="s">
        <v>109</v>
      </c>
      <c r="N234" s="4" t="s">
        <v>49</v>
      </c>
      <c r="O234" s="4"/>
      <c r="P234" s="4" t="s">
        <v>1693</v>
      </c>
      <c r="Q234" t="s">
        <v>109</v>
      </c>
      <c r="R234" s="4"/>
      <c r="S234" s="4"/>
      <c r="U234" s="4"/>
      <c r="Y234" s="4"/>
      <c r="Z234" s="4"/>
      <c r="AA234" s="4"/>
      <c r="AB234" s="4"/>
      <c r="AC234" s="4"/>
      <c r="AD234" s="4"/>
      <c r="AE234" s="4"/>
      <c r="AF234" s="4"/>
      <c r="AG234" s="4"/>
      <c r="AH234" s="4"/>
      <c r="AI234" s="4"/>
      <c r="AJ234" s="4"/>
      <c r="AK234" s="4"/>
      <c r="AL234" s="4"/>
      <c r="AP234" s="4"/>
      <c r="AX234" s="4"/>
      <c r="AY234" s="4"/>
      <c r="AZ234" s="4"/>
      <c r="BA234" s="4"/>
      <c r="BB234" s="4"/>
      <c r="BC234" s="4"/>
      <c r="BD234" s="4"/>
      <c r="BE234" s="4"/>
      <c r="BF234" s="4"/>
      <c r="BG234" s="4"/>
      <c r="BI234" s="4"/>
      <c r="BP234" s="4"/>
      <c r="BS234" s="4"/>
      <c r="BW234" s="4"/>
      <c r="BX234" s="4"/>
    </row>
    <row r="235" spans="1:76" ht="12.75" x14ac:dyDescent="0.2">
      <c r="A235" s="4" t="s">
        <v>476</v>
      </c>
      <c r="B235" s="4" t="s">
        <v>114</v>
      </c>
      <c r="C235" s="4" t="s">
        <v>1349</v>
      </c>
      <c r="D235" s="4">
        <v>2542</v>
      </c>
      <c r="E235" s="4" t="s">
        <v>37</v>
      </c>
      <c r="F235" s="4" t="s">
        <v>894</v>
      </c>
      <c r="G235" s="113">
        <v>1</v>
      </c>
      <c r="H235" t="s">
        <v>1781</v>
      </c>
      <c r="I235" s="4">
        <v>2.7902946273830156</v>
      </c>
      <c r="J235">
        <v>0.14000000000000001</v>
      </c>
      <c r="K235">
        <v>0.92</v>
      </c>
      <c r="L235" s="4" t="s">
        <v>1544</v>
      </c>
      <c r="M235" s="4" t="s">
        <v>109</v>
      </c>
      <c r="N235" s="4" t="s">
        <v>49</v>
      </c>
      <c r="O235" s="4"/>
      <c r="P235" s="4" t="s">
        <v>1693</v>
      </c>
      <c r="Q235" t="s">
        <v>109</v>
      </c>
      <c r="R235" s="4"/>
      <c r="S235" s="4"/>
      <c r="U235" s="4"/>
      <c r="Y235" s="4"/>
      <c r="Z235" s="4"/>
      <c r="AA235" s="4"/>
      <c r="AB235" s="4"/>
      <c r="AC235" s="4"/>
      <c r="AD235" s="4"/>
      <c r="AE235" s="4"/>
      <c r="AF235" s="4"/>
      <c r="AG235" s="4"/>
      <c r="AH235" s="4"/>
      <c r="AI235" s="4"/>
      <c r="AJ235" s="4"/>
      <c r="AK235" s="4"/>
      <c r="AL235" s="4"/>
      <c r="AP235" s="4"/>
      <c r="AX235" s="4"/>
      <c r="AY235" s="4"/>
      <c r="AZ235" s="4"/>
      <c r="BA235" s="4"/>
      <c r="BB235" s="4"/>
      <c r="BC235" s="4"/>
      <c r="BD235" s="4"/>
      <c r="BE235" s="4"/>
      <c r="BF235" s="4"/>
      <c r="BG235" s="4"/>
      <c r="BI235" s="4"/>
      <c r="BP235" s="4"/>
      <c r="BS235" s="4"/>
      <c r="BW235" s="4"/>
      <c r="BX235" s="4"/>
    </row>
    <row r="236" spans="1:76" ht="12.75" x14ac:dyDescent="0.2">
      <c r="A236" s="4" t="s">
        <v>490</v>
      </c>
      <c r="B236" s="4" t="s">
        <v>496</v>
      </c>
      <c r="C236" s="4" t="s">
        <v>138</v>
      </c>
      <c r="D236" s="4">
        <v>2542</v>
      </c>
      <c r="E236" s="4" t="s">
        <v>37</v>
      </c>
      <c r="F236" s="4" t="s">
        <v>894</v>
      </c>
      <c r="G236" s="113">
        <v>0.33333333333333331</v>
      </c>
      <c r="H236" t="s">
        <v>1781</v>
      </c>
      <c r="I236" s="4">
        <v>2.7919090909090909</v>
      </c>
      <c r="J236">
        <v>0.11</v>
      </c>
      <c r="K236">
        <v>0.87</v>
      </c>
      <c r="L236" s="4" t="s">
        <v>1565</v>
      </c>
      <c r="M236" s="4" t="s">
        <v>109</v>
      </c>
      <c r="N236" s="4" t="s">
        <v>49</v>
      </c>
      <c r="O236" s="4"/>
      <c r="P236" s="4" t="s">
        <v>1693</v>
      </c>
      <c r="Q236" t="s">
        <v>109</v>
      </c>
      <c r="R236" s="4"/>
      <c r="S236" s="4"/>
      <c r="U236" s="4"/>
      <c r="Y236" s="4"/>
      <c r="Z236" s="4"/>
      <c r="AA236" s="4"/>
      <c r="AB236" s="4"/>
      <c r="AC236" s="4"/>
      <c r="AD236" s="4"/>
      <c r="AE236" s="4"/>
      <c r="AF236" s="4"/>
      <c r="AG236" s="4"/>
      <c r="AH236" s="4"/>
      <c r="AI236" s="4"/>
      <c r="AJ236" s="4"/>
      <c r="AK236" s="4"/>
      <c r="AL236" s="4"/>
      <c r="AP236" s="4"/>
      <c r="AX236" s="4"/>
      <c r="AY236" s="4"/>
      <c r="AZ236" s="4"/>
      <c r="BA236" s="4"/>
      <c r="BB236" s="4"/>
      <c r="BC236" s="4"/>
      <c r="BD236" s="4"/>
      <c r="BE236" s="4"/>
      <c r="BF236" s="4"/>
      <c r="BG236" s="4"/>
      <c r="BI236" s="4"/>
      <c r="BP236" s="4"/>
      <c r="BS236" s="4"/>
      <c r="BW236" s="4"/>
      <c r="BX236" s="4"/>
    </row>
    <row r="237" spans="1:76" ht="12.75" x14ac:dyDescent="0.2">
      <c r="A237" s="4" t="s">
        <v>490</v>
      </c>
      <c r="B237" s="4" t="s">
        <v>496</v>
      </c>
      <c r="C237" s="4" t="s">
        <v>138</v>
      </c>
      <c r="D237" s="4">
        <v>2542</v>
      </c>
      <c r="E237" s="4" t="s">
        <v>37</v>
      </c>
      <c r="F237" s="4" t="s">
        <v>894</v>
      </c>
      <c r="G237" s="113">
        <v>0.33333333333333331</v>
      </c>
      <c r="H237" t="s">
        <v>1781</v>
      </c>
      <c r="I237" s="4">
        <v>3.3297272727272724</v>
      </c>
      <c r="J237">
        <v>0.11</v>
      </c>
      <c r="K237">
        <v>0.87</v>
      </c>
      <c r="L237" s="4" t="s">
        <v>1565</v>
      </c>
      <c r="M237" s="4" t="s">
        <v>109</v>
      </c>
      <c r="N237" s="4" t="s">
        <v>49</v>
      </c>
      <c r="O237" s="4"/>
      <c r="P237" s="4" t="s">
        <v>1693</v>
      </c>
      <c r="Q237" t="s">
        <v>109</v>
      </c>
      <c r="R237" s="4"/>
      <c r="S237" s="4"/>
      <c r="U237" s="4"/>
      <c r="Y237" s="4"/>
      <c r="Z237" s="4"/>
      <c r="AA237" s="4"/>
      <c r="AB237" s="4"/>
      <c r="AC237" s="4"/>
      <c r="AD237" s="4"/>
      <c r="AE237" s="4"/>
      <c r="AF237" s="4"/>
      <c r="AG237" s="4"/>
      <c r="AH237" s="4"/>
      <c r="AI237" s="4"/>
      <c r="AJ237" s="4"/>
      <c r="AK237" s="4"/>
      <c r="AL237" s="4"/>
      <c r="AP237" s="4"/>
      <c r="AX237" s="4"/>
      <c r="AY237" s="4"/>
      <c r="AZ237" s="4"/>
      <c r="BA237" s="4"/>
      <c r="BB237" s="4"/>
      <c r="BC237" s="4"/>
      <c r="BD237" s="4"/>
      <c r="BE237" s="4"/>
      <c r="BF237" s="4"/>
      <c r="BG237" s="4"/>
      <c r="BI237" s="4"/>
      <c r="BP237" s="4"/>
      <c r="BS237" s="4"/>
      <c r="BW237" s="4"/>
      <c r="BX237" s="4"/>
    </row>
    <row r="238" spans="1:76" ht="12.75" x14ac:dyDescent="0.2">
      <c r="A238" s="4" t="s">
        <v>490</v>
      </c>
      <c r="B238" s="4" t="s">
        <v>496</v>
      </c>
      <c r="C238" s="4" t="s">
        <v>138</v>
      </c>
      <c r="D238" s="4">
        <v>2542</v>
      </c>
      <c r="E238" s="4" t="s">
        <v>37</v>
      </c>
      <c r="F238" s="4" t="s">
        <v>894</v>
      </c>
      <c r="G238" s="113">
        <v>0.33333333333333331</v>
      </c>
      <c r="H238" t="s">
        <v>1781</v>
      </c>
      <c r="I238" s="4">
        <v>3.7014545454545456</v>
      </c>
      <c r="J238">
        <v>0.11</v>
      </c>
      <c r="K238">
        <v>0.87</v>
      </c>
      <c r="L238" s="4" t="s">
        <v>1565</v>
      </c>
      <c r="M238" s="4" t="s">
        <v>109</v>
      </c>
      <c r="N238" s="4" t="s">
        <v>49</v>
      </c>
      <c r="O238" s="4"/>
      <c r="P238" s="4" t="s">
        <v>1693</v>
      </c>
      <c r="Q238" t="s">
        <v>109</v>
      </c>
      <c r="R238" s="4"/>
      <c r="S238" s="4"/>
      <c r="U238" s="4"/>
      <c r="Y238" s="4"/>
      <c r="Z238" s="4"/>
      <c r="AA238" s="4"/>
      <c r="AB238" s="4"/>
      <c r="AC238" s="4"/>
      <c r="AD238" s="4"/>
      <c r="AE238" s="4"/>
      <c r="AF238" s="4"/>
      <c r="AG238" s="4"/>
      <c r="AH238" s="4"/>
      <c r="AI238" s="4"/>
      <c r="AJ238" s="4"/>
      <c r="AK238" s="4"/>
      <c r="AL238" s="4"/>
      <c r="AP238" s="4"/>
      <c r="AX238" s="4"/>
      <c r="AY238" s="4"/>
      <c r="AZ238" s="4"/>
      <c r="BA238" s="4"/>
      <c r="BB238" s="4"/>
      <c r="BC238" s="4"/>
      <c r="BD238" s="4"/>
      <c r="BE238" s="4"/>
      <c r="BF238" s="4"/>
      <c r="BG238" s="4"/>
      <c r="BI238" s="4"/>
      <c r="BP238" s="4"/>
      <c r="BS238" s="4"/>
      <c r="BW238" s="4"/>
      <c r="BX238" s="4"/>
    </row>
    <row r="239" spans="1:76" ht="12.75" x14ac:dyDescent="0.2">
      <c r="A239" s="4" t="s">
        <v>1305</v>
      </c>
      <c r="B239" s="4" t="s">
        <v>210</v>
      </c>
      <c r="C239" s="4" t="s">
        <v>690</v>
      </c>
      <c r="D239" s="4">
        <v>2546</v>
      </c>
      <c r="E239" s="4" t="s">
        <v>11</v>
      </c>
      <c r="F239" s="4" t="s">
        <v>1245</v>
      </c>
      <c r="G239" s="113">
        <v>1</v>
      </c>
      <c r="H239" t="s">
        <v>1781</v>
      </c>
      <c r="I239" s="4">
        <v>8.6599999999999996E-2</v>
      </c>
      <c r="L239" s="4" t="s">
        <v>1568</v>
      </c>
      <c r="M239" s="4" t="s">
        <v>109</v>
      </c>
      <c r="N239" s="4" t="s">
        <v>1</v>
      </c>
      <c r="O239" s="4"/>
      <c r="P239" s="4" t="s">
        <v>1693</v>
      </c>
      <c r="Q239" t="s">
        <v>109</v>
      </c>
      <c r="R239" s="4"/>
      <c r="S239" s="4"/>
      <c r="U239" s="4"/>
      <c r="Y239" s="4"/>
      <c r="Z239" s="4"/>
      <c r="AA239" s="4"/>
      <c r="AB239" s="4"/>
      <c r="AC239" s="4"/>
      <c r="AD239" s="4"/>
      <c r="AE239" s="4"/>
      <c r="AF239" s="4"/>
      <c r="AG239" s="4"/>
      <c r="AH239" s="4"/>
      <c r="AI239" s="4"/>
      <c r="AJ239" s="4"/>
      <c r="AK239" s="4"/>
      <c r="AL239" s="4"/>
      <c r="AP239" s="4"/>
      <c r="AX239" s="4"/>
      <c r="AY239" s="4"/>
      <c r="AZ239" s="4"/>
      <c r="BA239" s="4"/>
      <c r="BB239" s="4"/>
      <c r="BC239" s="4"/>
      <c r="BD239" s="4"/>
      <c r="BE239" s="4"/>
      <c r="BF239" s="4"/>
      <c r="BG239" s="4"/>
      <c r="BI239" s="4"/>
      <c r="BP239" s="4"/>
      <c r="BS239" s="4"/>
      <c r="BW239" s="4"/>
      <c r="BX239" s="4"/>
    </row>
    <row r="240" spans="1:76" ht="12.75" x14ac:dyDescent="0.2">
      <c r="A240" s="4" t="s">
        <v>1307</v>
      </c>
      <c r="B240" s="4" t="s">
        <v>210</v>
      </c>
      <c r="C240" s="4" t="s">
        <v>690</v>
      </c>
      <c r="D240" s="4">
        <v>2546</v>
      </c>
      <c r="E240" s="4" t="s">
        <v>11</v>
      </c>
      <c r="F240" s="4" t="s">
        <v>1245</v>
      </c>
      <c r="G240" s="113">
        <v>0.33333333333333331</v>
      </c>
      <c r="H240" t="s">
        <v>1781</v>
      </c>
      <c r="I240" s="4">
        <v>0.11799999999999999</v>
      </c>
      <c r="L240" s="4" t="s">
        <v>1568</v>
      </c>
      <c r="M240" s="4" t="s">
        <v>109</v>
      </c>
      <c r="N240" s="4" t="s">
        <v>1</v>
      </c>
      <c r="O240" s="4"/>
      <c r="P240" s="4" t="s">
        <v>1693</v>
      </c>
      <c r="Q240" t="s">
        <v>109</v>
      </c>
      <c r="R240" s="4"/>
      <c r="S240" s="4"/>
      <c r="U240" s="4"/>
      <c r="Y240" s="4"/>
      <c r="Z240" s="4"/>
      <c r="AA240" s="4"/>
      <c r="AB240" s="4"/>
      <c r="AC240" s="4"/>
      <c r="AD240" s="4"/>
      <c r="AE240" s="4"/>
      <c r="AF240" s="4"/>
      <c r="AG240" s="4"/>
      <c r="AH240" s="4"/>
      <c r="AI240" s="4"/>
      <c r="AJ240" s="4"/>
      <c r="AK240" s="4"/>
      <c r="AL240" s="4"/>
      <c r="AP240" s="4"/>
      <c r="AX240" s="4"/>
      <c r="AY240" s="4"/>
      <c r="AZ240" s="4"/>
      <c r="BA240" s="4"/>
      <c r="BB240" s="4"/>
      <c r="BC240" s="4"/>
      <c r="BD240" s="4"/>
      <c r="BE240" s="4"/>
      <c r="BF240" s="4"/>
      <c r="BG240" s="4"/>
      <c r="BI240" s="4"/>
      <c r="BP240" s="4"/>
      <c r="BS240" s="4"/>
      <c r="BW240" s="4"/>
      <c r="BX240" s="4"/>
    </row>
    <row r="241" spans="1:76" ht="12.75" x14ac:dyDescent="0.2">
      <c r="A241" s="4" t="s">
        <v>1306</v>
      </c>
      <c r="B241" s="4" t="s">
        <v>210</v>
      </c>
      <c r="C241" s="4" t="s">
        <v>690</v>
      </c>
      <c r="D241" s="4">
        <v>2546</v>
      </c>
      <c r="E241" s="4" t="s">
        <v>11</v>
      </c>
      <c r="F241" s="4" t="s">
        <v>1245</v>
      </c>
      <c r="G241" s="113">
        <v>0.33333333333333331</v>
      </c>
      <c r="H241" t="s">
        <v>1781</v>
      </c>
      <c r="I241" s="4">
        <v>0.127</v>
      </c>
      <c r="L241" s="4" t="s">
        <v>1568</v>
      </c>
      <c r="M241" s="4" t="s">
        <v>109</v>
      </c>
      <c r="N241" s="4" t="s">
        <v>1</v>
      </c>
      <c r="O241" s="4"/>
      <c r="P241" s="4" t="s">
        <v>1693</v>
      </c>
      <c r="Q241" t="s">
        <v>109</v>
      </c>
      <c r="R241" s="4"/>
      <c r="S241" s="4"/>
      <c r="U241" s="4"/>
      <c r="Y241" s="4"/>
      <c r="Z241" s="4"/>
      <c r="AA241" s="4"/>
      <c r="AB241" s="4"/>
      <c r="AC241" s="4"/>
      <c r="AD241" s="4"/>
      <c r="AE241" s="4"/>
      <c r="AF241" s="4"/>
      <c r="AG241" s="4"/>
      <c r="AH241" s="4"/>
      <c r="AI241" s="4"/>
      <c r="AJ241" s="4"/>
      <c r="AK241" s="4"/>
      <c r="AL241" s="4"/>
      <c r="AP241" s="4"/>
      <c r="AX241" s="4"/>
      <c r="AY241" s="4"/>
      <c r="AZ241" s="4"/>
      <c r="BA241" s="4"/>
      <c r="BB241" s="4"/>
      <c r="BC241" s="4"/>
      <c r="BD241" s="4"/>
      <c r="BE241" s="4"/>
      <c r="BF241" s="4"/>
      <c r="BG241" s="4"/>
      <c r="BI241" s="4"/>
      <c r="BP241" s="4"/>
      <c r="BS241" s="4"/>
      <c r="BW241" s="4"/>
      <c r="BX241" s="4"/>
    </row>
    <row r="242" spans="1:76" ht="12.75" x14ac:dyDescent="0.2">
      <c r="A242" s="4" t="s">
        <v>1306</v>
      </c>
      <c r="B242" s="4" t="s">
        <v>210</v>
      </c>
      <c r="C242" s="4" t="s">
        <v>111</v>
      </c>
      <c r="D242" s="4">
        <v>2546</v>
      </c>
      <c r="E242" s="4" t="s">
        <v>11</v>
      </c>
      <c r="F242" s="4" t="s">
        <v>1245</v>
      </c>
      <c r="G242" s="113">
        <v>0.33333333333333331</v>
      </c>
      <c r="H242" t="s">
        <v>1781</v>
      </c>
      <c r="I242" s="4">
        <v>0.247</v>
      </c>
      <c r="L242" s="4" t="s">
        <v>1568</v>
      </c>
      <c r="M242" s="4" t="s">
        <v>109</v>
      </c>
      <c r="N242" s="4" t="s">
        <v>1</v>
      </c>
      <c r="O242" s="4"/>
      <c r="P242" s="4" t="s">
        <v>1693</v>
      </c>
      <c r="Q242" t="s">
        <v>109</v>
      </c>
      <c r="R242" s="4"/>
      <c r="S242" s="4"/>
      <c r="U242" s="4"/>
      <c r="Y242" s="4"/>
      <c r="Z242" s="4"/>
      <c r="AA242" s="4"/>
      <c r="AB242" s="4"/>
      <c r="AC242" s="4"/>
      <c r="AD242" s="4"/>
      <c r="AE242" s="4"/>
      <c r="AF242" s="4"/>
      <c r="AG242" s="4"/>
      <c r="AH242" s="4"/>
      <c r="AI242" s="4"/>
      <c r="AJ242" s="4"/>
      <c r="AK242" s="4"/>
      <c r="AL242" s="4"/>
      <c r="AP242" s="4"/>
      <c r="AX242" s="4"/>
      <c r="AY242" s="4"/>
      <c r="AZ242" s="4"/>
      <c r="BA242" s="4"/>
      <c r="BB242" s="4"/>
      <c r="BC242" s="4"/>
      <c r="BD242" s="4"/>
      <c r="BE242" s="4"/>
      <c r="BF242" s="4"/>
      <c r="BG242" s="4"/>
      <c r="BI242" s="4"/>
      <c r="BP242" s="4"/>
      <c r="BS242" s="4"/>
      <c r="BW242" s="4"/>
      <c r="BX242" s="4"/>
    </row>
    <row r="243" spans="1:76" ht="12.75" x14ac:dyDescent="0.2">
      <c r="A243" s="4" t="s">
        <v>1310</v>
      </c>
      <c r="B243" s="4" t="s">
        <v>77</v>
      </c>
      <c r="C243" s="4" t="s">
        <v>111</v>
      </c>
      <c r="D243" s="4">
        <v>2546</v>
      </c>
      <c r="E243" s="4" t="s">
        <v>11</v>
      </c>
      <c r="F243" s="4" t="s">
        <v>1245</v>
      </c>
      <c r="G243" s="113">
        <v>0.5</v>
      </c>
      <c r="H243" t="s">
        <v>1781</v>
      </c>
      <c r="I243" s="4">
        <v>0.26200000000000001</v>
      </c>
      <c r="L243" s="4" t="s">
        <v>1555</v>
      </c>
      <c r="M243" s="4" t="s">
        <v>109</v>
      </c>
      <c r="N243" s="4" t="s">
        <v>1</v>
      </c>
      <c r="O243" s="4"/>
      <c r="P243" s="4" t="s">
        <v>1693</v>
      </c>
      <c r="Q243" t="s">
        <v>109</v>
      </c>
      <c r="R243" s="4"/>
      <c r="S243" s="4"/>
      <c r="U243" s="4"/>
      <c r="Y243" s="4"/>
      <c r="Z243" s="4"/>
      <c r="AA243" s="4"/>
      <c r="AB243" s="4"/>
      <c r="AC243" s="4"/>
      <c r="AD243" s="4"/>
      <c r="AE243" s="4"/>
      <c r="AF243" s="4"/>
      <c r="AG243" s="4"/>
      <c r="AH243" s="4"/>
      <c r="AI243" s="4"/>
      <c r="AJ243" s="4"/>
      <c r="AK243" s="4"/>
      <c r="AL243" s="4"/>
      <c r="AP243" s="4"/>
      <c r="AX243" s="4"/>
      <c r="AY243" s="4"/>
      <c r="AZ243" s="4"/>
      <c r="BA243" s="4"/>
      <c r="BB243" s="4"/>
      <c r="BC243" s="4"/>
      <c r="BD243" s="4"/>
      <c r="BE243" s="4"/>
      <c r="BF243" s="4"/>
      <c r="BG243" s="4"/>
      <c r="BI243" s="4"/>
      <c r="BP243" s="4"/>
      <c r="BS243" s="4"/>
      <c r="BW243" s="4"/>
      <c r="BX243" s="4"/>
    </row>
    <row r="244" spans="1:76" ht="12.75" x14ac:dyDescent="0.2">
      <c r="A244" s="4" t="s">
        <v>1307</v>
      </c>
      <c r="B244" s="4" t="s">
        <v>210</v>
      </c>
      <c r="C244" s="4" t="s">
        <v>111</v>
      </c>
      <c r="D244" s="4">
        <v>2546</v>
      </c>
      <c r="E244" s="4" t="s">
        <v>11</v>
      </c>
      <c r="F244" s="4" t="s">
        <v>1245</v>
      </c>
      <c r="G244" s="113">
        <v>0.33333333333333331</v>
      </c>
      <c r="H244" t="s">
        <v>1781</v>
      </c>
      <c r="I244" s="4">
        <v>0.30199999999999999</v>
      </c>
      <c r="L244" s="4" t="s">
        <v>1568</v>
      </c>
      <c r="M244" s="4" t="s">
        <v>109</v>
      </c>
      <c r="N244" s="4" t="s">
        <v>1</v>
      </c>
      <c r="O244" s="4"/>
      <c r="P244" s="4" t="s">
        <v>1693</v>
      </c>
      <c r="Q244" t="s">
        <v>109</v>
      </c>
      <c r="R244" s="4"/>
      <c r="S244" s="4"/>
      <c r="U244" s="4"/>
      <c r="Y244" s="4"/>
      <c r="Z244" s="4"/>
      <c r="AA244" s="4"/>
      <c r="AB244" s="4"/>
      <c r="AC244" s="4"/>
      <c r="AD244" s="4"/>
      <c r="AE244" s="4"/>
      <c r="AF244" s="4"/>
      <c r="AG244" s="4"/>
      <c r="AH244" s="4"/>
      <c r="AI244" s="4"/>
      <c r="AJ244" s="4"/>
      <c r="AK244" s="4"/>
      <c r="AL244" s="4"/>
      <c r="AP244" s="4"/>
      <c r="AX244" s="4"/>
      <c r="AY244" s="4"/>
      <c r="AZ244" s="4"/>
      <c r="BA244" s="4"/>
      <c r="BB244" s="4"/>
      <c r="BC244" s="4"/>
      <c r="BD244" s="4"/>
      <c r="BE244" s="4"/>
      <c r="BF244" s="4"/>
      <c r="BG244" s="4"/>
      <c r="BI244" s="4"/>
      <c r="BP244" s="4"/>
      <c r="BS244" s="4"/>
      <c r="BW244" s="4"/>
      <c r="BX244" s="4"/>
    </row>
    <row r="245" spans="1:76" ht="12.75" x14ac:dyDescent="0.2">
      <c r="A245" s="4" t="s">
        <v>1306</v>
      </c>
      <c r="B245" s="4" t="s">
        <v>210</v>
      </c>
      <c r="C245" s="4" t="s">
        <v>101</v>
      </c>
      <c r="D245" s="4">
        <v>2546</v>
      </c>
      <c r="E245" s="4" t="s">
        <v>11</v>
      </c>
      <c r="F245" s="4" t="s">
        <v>1245</v>
      </c>
      <c r="G245" s="113">
        <v>0.33333333333333331</v>
      </c>
      <c r="H245" t="s">
        <v>1781</v>
      </c>
      <c r="I245" s="4">
        <v>0.30299999999999999</v>
      </c>
      <c r="L245" s="4" t="s">
        <v>1568</v>
      </c>
      <c r="M245" s="4" t="s">
        <v>109</v>
      </c>
      <c r="N245" s="4" t="s">
        <v>1</v>
      </c>
      <c r="O245" s="4"/>
      <c r="P245" s="4" t="s">
        <v>1693</v>
      </c>
      <c r="Q245" t="s">
        <v>109</v>
      </c>
      <c r="R245" s="4"/>
      <c r="S245" s="4"/>
      <c r="U245" s="4"/>
      <c r="Y245" s="4"/>
      <c r="Z245" s="4"/>
      <c r="AA245" s="4"/>
      <c r="AB245" s="4"/>
      <c r="AC245" s="4"/>
      <c r="AD245" s="4"/>
      <c r="AE245" s="4"/>
      <c r="AF245" s="4"/>
      <c r="AG245" s="4"/>
      <c r="AH245" s="4"/>
      <c r="AI245" s="4"/>
      <c r="AJ245" s="4"/>
      <c r="AK245" s="4"/>
      <c r="AL245" s="4"/>
      <c r="AP245" s="4"/>
      <c r="AX245" s="4"/>
      <c r="AY245" s="4"/>
      <c r="AZ245" s="4"/>
      <c r="BA245" s="4"/>
      <c r="BB245" s="4"/>
      <c r="BC245" s="4"/>
      <c r="BD245" s="4"/>
      <c r="BE245" s="4"/>
      <c r="BF245" s="4"/>
      <c r="BG245" s="4"/>
      <c r="BI245" s="4"/>
      <c r="BP245" s="4"/>
      <c r="BS245" s="4"/>
      <c r="BW245" s="4"/>
      <c r="BX245" s="4"/>
    </row>
    <row r="246" spans="1:76" ht="12.75" x14ac:dyDescent="0.2">
      <c r="A246" s="4" t="s">
        <v>1310</v>
      </c>
      <c r="B246" s="4" t="s">
        <v>77</v>
      </c>
      <c r="C246" s="4" t="s">
        <v>101</v>
      </c>
      <c r="D246" s="4">
        <v>2546</v>
      </c>
      <c r="E246" s="4" t="s">
        <v>11</v>
      </c>
      <c r="F246" s="4" t="s">
        <v>1245</v>
      </c>
      <c r="G246" s="113">
        <v>0.5</v>
      </c>
      <c r="H246" t="s">
        <v>1781</v>
      </c>
      <c r="I246" s="4">
        <v>0.30399999999999999</v>
      </c>
      <c r="L246" s="4" t="s">
        <v>1555</v>
      </c>
      <c r="M246" s="4" t="s">
        <v>109</v>
      </c>
      <c r="N246" s="4" t="s">
        <v>1</v>
      </c>
      <c r="O246" s="4"/>
      <c r="P246" s="4" t="s">
        <v>1693</v>
      </c>
      <c r="Q246" t="s">
        <v>109</v>
      </c>
      <c r="R246" s="4"/>
      <c r="S246" s="4"/>
      <c r="U246" s="4"/>
      <c r="Y246" s="4"/>
      <c r="Z246" s="4"/>
      <c r="AA246" s="4"/>
      <c r="AB246" s="4"/>
      <c r="AC246" s="4"/>
      <c r="AD246" s="4"/>
      <c r="AE246" s="4"/>
      <c r="AF246" s="4"/>
      <c r="AG246" s="4"/>
      <c r="AH246" s="4"/>
      <c r="AI246" s="4"/>
      <c r="AJ246" s="4"/>
      <c r="AK246" s="4"/>
      <c r="AL246" s="4"/>
      <c r="AP246" s="4"/>
      <c r="AX246" s="4"/>
      <c r="AY246" s="4"/>
      <c r="AZ246" s="4"/>
      <c r="BA246" s="4"/>
      <c r="BB246" s="4"/>
      <c r="BC246" s="4"/>
      <c r="BD246" s="4"/>
      <c r="BE246" s="4"/>
      <c r="BF246" s="4"/>
      <c r="BG246" s="4"/>
      <c r="BI246" s="4"/>
      <c r="BP246" s="4"/>
      <c r="BS246" s="4"/>
      <c r="BW246" s="4"/>
      <c r="BX246" s="4"/>
    </row>
    <row r="247" spans="1:76" ht="12.75" x14ac:dyDescent="0.2">
      <c r="A247" s="4" t="s">
        <v>1307</v>
      </c>
      <c r="B247" s="4" t="s">
        <v>210</v>
      </c>
      <c r="C247" s="4" t="s">
        <v>101</v>
      </c>
      <c r="D247" s="4">
        <v>2546</v>
      </c>
      <c r="E247" s="4" t="s">
        <v>11</v>
      </c>
      <c r="F247" s="4" t="s">
        <v>1245</v>
      </c>
      <c r="G247" s="113">
        <v>0.33333333333333331</v>
      </c>
      <c r="H247" t="s">
        <v>1781</v>
      </c>
      <c r="I247" s="4">
        <v>0.438</v>
      </c>
      <c r="L247" s="4" t="s">
        <v>1568</v>
      </c>
      <c r="M247" s="4" t="s">
        <v>109</v>
      </c>
      <c r="N247" s="4" t="s">
        <v>1</v>
      </c>
      <c r="O247" s="4"/>
      <c r="P247" s="4" t="s">
        <v>1693</v>
      </c>
      <c r="Q247" t="s">
        <v>109</v>
      </c>
      <c r="R247" s="4"/>
      <c r="S247" s="4"/>
      <c r="U247" s="4"/>
      <c r="Y247" s="4"/>
      <c r="Z247" s="4"/>
      <c r="AA247" s="4"/>
      <c r="AB247" s="4"/>
      <c r="AC247" s="4"/>
      <c r="AD247" s="4"/>
      <c r="AE247" s="4"/>
      <c r="AF247" s="4"/>
      <c r="AG247" s="4"/>
      <c r="AH247" s="4"/>
      <c r="AI247" s="4"/>
      <c r="AJ247" s="4"/>
      <c r="AK247" s="4"/>
      <c r="AL247" s="4"/>
      <c r="AP247" s="4"/>
      <c r="AX247" s="4"/>
      <c r="AY247" s="4"/>
      <c r="AZ247" s="4"/>
      <c r="BA247" s="4"/>
      <c r="BB247" s="4"/>
      <c r="BC247" s="4"/>
      <c r="BD247" s="4"/>
      <c r="BE247" s="4"/>
      <c r="BF247" s="4"/>
      <c r="BG247" s="4"/>
      <c r="BI247" s="4"/>
      <c r="BP247" s="4"/>
      <c r="BS247" s="4"/>
      <c r="BW247" s="4"/>
      <c r="BX247" s="4"/>
    </row>
    <row r="248" spans="1:76" ht="12.75" x14ac:dyDescent="0.2">
      <c r="A248" s="4" t="s">
        <v>1310</v>
      </c>
      <c r="B248" s="4" t="s">
        <v>77</v>
      </c>
      <c r="C248" s="4" t="s">
        <v>111</v>
      </c>
      <c r="D248" s="4">
        <v>2547</v>
      </c>
      <c r="E248" s="4" t="s">
        <v>0</v>
      </c>
      <c r="F248" s="4" t="s">
        <v>1245</v>
      </c>
      <c r="G248" s="113">
        <v>0.5</v>
      </c>
      <c r="H248" t="s">
        <v>1781</v>
      </c>
      <c r="I248" s="4">
        <v>0.26200000000000001</v>
      </c>
      <c r="L248" s="4" t="s">
        <v>1555</v>
      </c>
      <c r="M248" s="4" t="s">
        <v>109</v>
      </c>
      <c r="N248" s="4" t="s">
        <v>1</v>
      </c>
      <c r="O248" s="4"/>
      <c r="P248" s="4" t="s">
        <v>1693</v>
      </c>
      <c r="Q248" t="s">
        <v>109</v>
      </c>
      <c r="R248" s="4"/>
      <c r="S248" s="4"/>
      <c r="U248" s="4"/>
      <c r="Y248" s="4"/>
      <c r="Z248" s="4"/>
      <c r="AA248" s="4"/>
      <c r="AB248" s="4"/>
      <c r="AC248" s="4"/>
      <c r="AD248" s="4"/>
      <c r="AE248" s="4"/>
      <c r="AF248" s="4"/>
      <c r="AG248" s="4"/>
      <c r="AH248" s="4"/>
      <c r="AI248" s="4"/>
      <c r="AJ248" s="4"/>
      <c r="AK248" s="4"/>
      <c r="AL248" s="4"/>
      <c r="AP248" s="4"/>
      <c r="AX248" s="4"/>
      <c r="AY248" s="4"/>
      <c r="AZ248" s="4"/>
      <c r="BA248" s="4"/>
      <c r="BB248" s="4"/>
      <c r="BC248" s="4"/>
      <c r="BD248" s="4"/>
      <c r="BE248" s="4"/>
      <c r="BF248" s="4"/>
      <c r="BG248" s="4"/>
      <c r="BI248" s="4"/>
      <c r="BP248" s="4"/>
      <c r="BS248" s="4"/>
      <c r="BW248" s="4"/>
      <c r="BX248" s="4"/>
    </row>
    <row r="249" spans="1:76" ht="12.75" x14ac:dyDescent="0.2">
      <c r="A249" s="4" t="s">
        <v>1310</v>
      </c>
      <c r="B249" s="4" t="s">
        <v>77</v>
      </c>
      <c r="C249" s="4" t="s">
        <v>101</v>
      </c>
      <c r="D249" s="4">
        <v>2547</v>
      </c>
      <c r="E249" s="4" t="s">
        <v>0</v>
      </c>
      <c r="F249" s="4" t="s">
        <v>1245</v>
      </c>
      <c r="G249" s="113">
        <v>0.5</v>
      </c>
      <c r="H249" t="s">
        <v>1781</v>
      </c>
      <c r="I249" s="4">
        <v>0.30399999999999999</v>
      </c>
      <c r="L249" s="4" t="s">
        <v>1555</v>
      </c>
      <c r="M249" s="4" t="s">
        <v>109</v>
      </c>
      <c r="N249" s="4" t="s">
        <v>1</v>
      </c>
      <c r="O249" s="4"/>
      <c r="P249" s="4" t="s">
        <v>1693</v>
      </c>
      <c r="Q249" t="s">
        <v>109</v>
      </c>
      <c r="R249" s="4"/>
      <c r="S249" s="4"/>
      <c r="U249" s="4"/>
      <c r="Y249" s="4"/>
      <c r="Z249" s="4"/>
      <c r="AA249" s="4"/>
      <c r="AB249" s="4"/>
      <c r="AC249" s="4"/>
      <c r="AD249" s="4"/>
      <c r="AE249" s="4"/>
      <c r="AF249" s="4"/>
      <c r="AG249" s="4"/>
      <c r="AH249" s="4"/>
      <c r="AI249" s="4"/>
      <c r="AJ249" s="4"/>
      <c r="AK249" s="4"/>
      <c r="AL249" s="4"/>
      <c r="AP249" s="4"/>
      <c r="AX249" s="4"/>
      <c r="AY249" s="4"/>
      <c r="AZ249" s="4"/>
      <c r="BA249" s="4"/>
      <c r="BB249" s="4"/>
      <c r="BC249" s="4"/>
      <c r="BD249" s="4"/>
      <c r="BE249" s="4"/>
      <c r="BF249" s="4"/>
      <c r="BG249" s="4"/>
      <c r="BI249" s="4"/>
      <c r="BP249" s="4"/>
      <c r="BS249" s="4"/>
      <c r="BW249" s="4"/>
      <c r="BX249" s="4"/>
    </row>
    <row r="250" spans="1:76" ht="12.75" x14ac:dyDescent="0.2">
      <c r="A250" s="4" t="s">
        <v>374</v>
      </c>
      <c r="B250" s="4" t="s">
        <v>114</v>
      </c>
      <c r="C250" s="4" t="s">
        <v>1349</v>
      </c>
      <c r="D250" s="4">
        <v>2547</v>
      </c>
      <c r="E250" s="4" t="s">
        <v>0</v>
      </c>
      <c r="F250" s="4" t="s">
        <v>1245</v>
      </c>
      <c r="G250" s="113">
        <v>1</v>
      </c>
      <c r="H250" t="s">
        <v>1781</v>
      </c>
      <c r="I250" s="4">
        <v>0.52355072463768115</v>
      </c>
      <c r="L250" s="4" t="s">
        <v>1544</v>
      </c>
      <c r="M250" s="4" t="s">
        <v>109</v>
      </c>
      <c r="N250" s="4" t="s">
        <v>1</v>
      </c>
      <c r="O250" s="4"/>
      <c r="P250" s="4" t="s">
        <v>1693</v>
      </c>
      <c r="Q250" t="s">
        <v>109</v>
      </c>
      <c r="R250" s="4"/>
      <c r="S250" s="4"/>
      <c r="U250" s="4"/>
      <c r="Y250" s="4"/>
      <c r="Z250" s="4"/>
      <c r="AA250" s="4"/>
      <c r="AB250" s="4"/>
      <c r="AC250" s="4"/>
      <c r="AD250" s="4"/>
      <c r="AE250" s="4"/>
      <c r="AF250" s="4"/>
      <c r="AG250" s="4"/>
      <c r="AH250" s="4"/>
      <c r="AI250" s="4"/>
      <c r="AJ250" s="4"/>
      <c r="AK250" s="4"/>
      <c r="AL250" s="4"/>
      <c r="AP250" s="4"/>
      <c r="AX250" s="4"/>
      <c r="AY250" s="4"/>
      <c r="AZ250" s="4"/>
      <c r="BA250" s="4"/>
      <c r="BB250" s="4"/>
      <c r="BC250" s="4"/>
      <c r="BD250" s="4"/>
      <c r="BE250" s="4"/>
      <c r="BF250" s="4"/>
      <c r="BG250" s="4"/>
      <c r="BI250" s="4"/>
      <c r="BP250" s="4"/>
      <c r="BS250" s="4"/>
      <c r="BW250" s="4"/>
      <c r="BX250" s="4"/>
    </row>
    <row r="251" spans="1:76" ht="12.75" x14ac:dyDescent="0.2">
      <c r="A251" s="4" t="s">
        <v>395</v>
      </c>
      <c r="B251" s="4" t="s">
        <v>225</v>
      </c>
      <c r="C251" s="4" t="s">
        <v>111</v>
      </c>
      <c r="D251" s="4">
        <v>2549</v>
      </c>
      <c r="E251" s="4" t="s">
        <v>2</v>
      </c>
      <c r="F251" s="4" t="s">
        <v>1245</v>
      </c>
      <c r="G251" s="113">
        <v>0.5</v>
      </c>
      <c r="H251" t="s">
        <v>1781</v>
      </c>
      <c r="I251" s="4">
        <v>0.19519999999999998</v>
      </c>
      <c r="L251" s="4" t="s">
        <v>1558</v>
      </c>
      <c r="M251" s="4" t="s">
        <v>109</v>
      </c>
      <c r="N251" s="4" t="s">
        <v>1</v>
      </c>
      <c r="O251" s="4"/>
      <c r="P251" s="4" t="s">
        <v>1693</v>
      </c>
      <c r="Q251" t="s">
        <v>109</v>
      </c>
      <c r="R251" s="4"/>
      <c r="S251" s="4"/>
      <c r="U251" s="4"/>
      <c r="Y251" s="4"/>
      <c r="Z251" s="4"/>
      <c r="AA251" s="4"/>
      <c r="AB251" s="4"/>
      <c r="AC251" s="4"/>
      <c r="AD251" s="4"/>
      <c r="AE251" s="4"/>
      <c r="AF251" s="4"/>
      <c r="AG251" s="4"/>
      <c r="AH251" s="4"/>
      <c r="AI251" s="4"/>
      <c r="AJ251" s="4"/>
      <c r="AK251" s="4"/>
      <c r="AL251" s="4"/>
      <c r="AP251" s="4"/>
      <c r="AX251" s="4"/>
      <c r="AY251" s="4"/>
      <c r="AZ251" s="4"/>
      <c r="BA251" s="4"/>
      <c r="BB251" s="4"/>
      <c r="BC251" s="4"/>
      <c r="BD251" s="4"/>
      <c r="BE251" s="4"/>
      <c r="BF251" s="4"/>
      <c r="BG251" s="4"/>
      <c r="BI251" s="4"/>
      <c r="BP251" s="4"/>
      <c r="BS251" s="4"/>
      <c r="BW251" s="4"/>
      <c r="BX251" s="4"/>
    </row>
    <row r="252" spans="1:76" ht="12.75" x14ac:dyDescent="0.2">
      <c r="A252" s="4" t="s">
        <v>394</v>
      </c>
      <c r="B252" s="4" t="s">
        <v>225</v>
      </c>
      <c r="C252" s="4" t="s">
        <v>1366</v>
      </c>
      <c r="D252" s="4">
        <v>2549</v>
      </c>
      <c r="E252" s="4" t="s">
        <v>2</v>
      </c>
      <c r="F252" s="4" t="s">
        <v>1245</v>
      </c>
      <c r="G252" s="113">
        <v>1</v>
      </c>
      <c r="H252" t="s">
        <v>1781</v>
      </c>
      <c r="I252" s="4">
        <v>0.72599999999999998</v>
      </c>
      <c r="L252" s="4" t="s">
        <v>1549</v>
      </c>
      <c r="M252" s="4" t="s">
        <v>109</v>
      </c>
      <c r="N252" s="4" t="s">
        <v>1</v>
      </c>
      <c r="O252" s="4"/>
      <c r="P252" s="4" t="s">
        <v>1693</v>
      </c>
      <c r="Q252" t="s">
        <v>109</v>
      </c>
      <c r="R252" s="4"/>
      <c r="S252" s="4"/>
      <c r="U252" s="4"/>
      <c r="Y252" s="4"/>
      <c r="Z252" s="4"/>
      <c r="AA252" s="4"/>
      <c r="AB252" s="4"/>
      <c r="AC252" s="4"/>
      <c r="AD252" s="4"/>
      <c r="AE252" s="4"/>
      <c r="AF252" s="4"/>
      <c r="AG252" s="4"/>
      <c r="AH252" s="4"/>
      <c r="AI252" s="4"/>
      <c r="AJ252" s="4"/>
      <c r="AK252" s="4"/>
      <c r="AL252" s="4"/>
      <c r="AP252" s="4"/>
      <c r="AX252" s="4"/>
      <c r="AY252" s="4"/>
      <c r="AZ252" s="4"/>
      <c r="BA252" s="4"/>
      <c r="BB252" s="4"/>
      <c r="BC252" s="4"/>
      <c r="BD252" s="4"/>
      <c r="BE252" s="4"/>
      <c r="BF252" s="4"/>
      <c r="BG252" s="4"/>
      <c r="BI252" s="4"/>
      <c r="BP252" s="4"/>
      <c r="BS252" s="4"/>
      <c r="BW252" s="4"/>
      <c r="BX252" s="4"/>
    </row>
    <row r="253" spans="1:76" ht="12.75" x14ac:dyDescent="0.2">
      <c r="A253" s="4" t="s">
        <v>395</v>
      </c>
      <c r="B253" s="4" t="s">
        <v>225</v>
      </c>
      <c r="C253" s="4" t="s">
        <v>111</v>
      </c>
      <c r="D253" s="4">
        <v>2549</v>
      </c>
      <c r="E253" s="4" t="s">
        <v>2</v>
      </c>
      <c r="F253" s="4" t="s">
        <v>1245</v>
      </c>
      <c r="G253" s="113">
        <v>0.5</v>
      </c>
      <c r="H253" t="s">
        <v>1781</v>
      </c>
      <c r="I253" s="4">
        <v>0.82089999999999996</v>
      </c>
      <c r="L253" s="4" t="s">
        <v>1558</v>
      </c>
      <c r="M253" s="4" t="s">
        <v>109</v>
      </c>
      <c r="N253" s="4" t="s">
        <v>1</v>
      </c>
      <c r="O253" s="4"/>
      <c r="P253" s="4" t="s">
        <v>1693</v>
      </c>
      <c r="Q253" t="s">
        <v>109</v>
      </c>
      <c r="R253" s="4"/>
      <c r="S253" s="4"/>
      <c r="U253" s="4"/>
      <c r="Y253" s="4"/>
      <c r="Z253" s="4"/>
      <c r="AA253" s="4"/>
      <c r="AB253" s="4"/>
      <c r="AC253" s="4"/>
      <c r="AD253" s="4"/>
      <c r="AE253" s="4"/>
      <c r="AF253" s="4"/>
      <c r="AG253" s="4"/>
      <c r="AH253" s="4"/>
      <c r="AI253" s="4"/>
      <c r="AJ253" s="4"/>
      <c r="AK253" s="4"/>
      <c r="AL253" s="4"/>
      <c r="AP253" s="4"/>
      <c r="AX253" s="4"/>
      <c r="AY253" s="4"/>
      <c r="AZ253" s="4"/>
      <c r="BA253" s="4"/>
      <c r="BB253" s="4"/>
      <c r="BC253" s="4"/>
      <c r="BD253" s="4"/>
      <c r="BE253" s="4"/>
      <c r="BF253" s="4"/>
      <c r="BG253" s="4"/>
      <c r="BI253" s="4"/>
      <c r="BP253" s="4"/>
      <c r="BS253" s="4"/>
      <c r="BW253" s="4"/>
      <c r="BX253" s="4"/>
    </row>
    <row r="254" spans="1:76" ht="12.75" x14ac:dyDescent="0.2">
      <c r="A254" s="4" t="s">
        <v>302</v>
      </c>
      <c r="B254" s="4" t="s">
        <v>253</v>
      </c>
      <c r="C254" s="4" t="s">
        <v>138</v>
      </c>
      <c r="D254" s="4">
        <v>2551</v>
      </c>
      <c r="E254" s="4" t="s">
        <v>8</v>
      </c>
      <c r="F254" s="4" t="s">
        <v>895</v>
      </c>
      <c r="G254" s="113">
        <v>0.5</v>
      </c>
      <c r="H254" t="s">
        <v>1781</v>
      </c>
      <c r="I254" s="4">
        <v>0.2495</v>
      </c>
      <c r="L254" s="4" t="s">
        <v>1569</v>
      </c>
      <c r="M254" s="4" t="s">
        <v>109</v>
      </c>
      <c r="N254" s="4" t="s">
        <v>76</v>
      </c>
      <c r="O254" s="4"/>
      <c r="P254" s="4" t="s">
        <v>1693</v>
      </c>
      <c r="Q254" t="s">
        <v>109</v>
      </c>
      <c r="R254" s="4"/>
      <c r="S254" s="4"/>
      <c r="U254" s="4"/>
      <c r="Y254" s="4"/>
      <c r="Z254" s="4"/>
      <c r="AA254" s="4"/>
      <c r="AB254" s="4"/>
      <c r="AC254" s="4"/>
      <c r="AD254" s="4"/>
      <c r="AE254" s="4"/>
      <c r="AF254" s="4"/>
      <c r="AG254" s="4"/>
      <c r="AH254" s="4"/>
      <c r="AI254" s="4"/>
      <c r="AJ254" s="4"/>
      <c r="AK254" s="4"/>
      <c r="AL254" s="4"/>
      <c r="AP254" s="4"/>
      <c r="AX254" s="4"/>
      <c r="AY254" s="4"/>
      <c r="AZ254" s="4"/>
      <c r="BA254" s="4"/>
      <c r="BB254" s="4"/>
      <c r="BC254" s="4"/>
      <c r="BD254" s="4"/>
      <c r="BE254" s="4"/>
      <c r="BF254" s="4"/>
      <c r="BG254" s="4"/>
      <c r="BI254" s="4"/>
      <c r="BP254" s="4"/>
      <c r="BS254" s="4"/>
      <c r="BW254" s="4"/>
      <c r="BX254" s="4"/>
    </row>
    <row r="255" spans="1:76" ht="12.75" x14ac:dyDescent="0.2">
      <c r="A255" s="4" t="s">
        <v>1319</v>
      </c>
      <c r="B255" s="4" t="s">
        <v>77</v>
      </c>
      <c r="C255" s="4" t="s">
        <v>111</v>
      </c>
      <c r="D255" s="4">
        <v>2551</v>
      </c>
      <c r="E255" s="4" t="s">
        <v>8</v>
      </c>
      <c r="F255" s="4" t="s">
        <v>895</v>
      </c>
      <c r="G255" s="113">
        <v>0.5</v>
      </c>
      <c r="H255" t="s">
        <v>1781</v>
      </c>
      <c r="I255" s="4">
        <v>0.93600000000000005</v>
      </c>
      <c r="L255" s="4" t="s">
        <v>1570</v>
      </c>
      <c r="M255" s="4" t="s">
        <v>109</v>
      </c>
      <c r="N255" s="4" t="s">
        <v>76</v>
      </c>
      <c r="O255" s="4"/>
      <c r="P255" s="4" t="s">
        <v>1693</v>
      </c>
      <c r="Q255" t="s">
        <v>109</v>
      </c>
      <c r="R255" s="4"/>
      <c r="S255" s="4"/>
      <c r="U255" s="4"/>
      <c r="Y255" s="4"/>
      <c r="Z255" s="4"/>
      <c r="AA255" s="4"/>
      <c r="AB255" s="4"/>
      <c r="AC255" s="4"/>
      <c r="AD255" s="4"/>
      <c r="AE255" s="4"/>
      <c r="AF255" s="4"/>
      <c r="AG255" s="4"/>
      <c r="AH255" s="4"/>
      <c r="AI255" s="4"/>
      <c r="AJ255" s="4"/>
      <c r="AK255" s="4"/>
      <c r="AL255" s="4"/>
      <c r="AP255" s="4"/>
      <c r="AX255" s="4"/>
      <c r="AY255" s="4"/>
      <c r="AZ255" s="4"/>
      <c r="BA255" s="4"/>
      <c r="BB255" s="4"/>
      <c r="BC255" s="4"/>
      <c r="BD255" s="4"/>
      <c r="BE255" s="4"/>
      <c r="BF255" s="4"/>
      <c r="BG255" s="4"/>
      <c r="BI255" s="4"/>
      <c r="BP255" s="4"/>
      <c r="BS255" s="4"/>
      <c r="BW255" s="4"/>
      <c r="BX255" s="4"/>
    </row>
    <row r="256" spans="1:76" ht="12.75" x14ac:dyDescent="0.2">
      <c r="A256" s="4" t="s">
        <v>1319</v>
      </c>
      <c r="B256" s="4" t="s">
        <v>77</v>
      </c>
      <c r="C256" s="4" t="s">
        <v>101</v>
      </c>
      <c r="D256" s="4">
        <v>2551</v>
      </c>
      <c r="E256" s="4" t="s">
        <v>8</v>
      </c>
      <c r="F256" s="4" t="s">
        <v>895</v>
      </c>
      <c r="G256" s="113">
        <v>0.5</v>
      </c>
      <c r="H256" t="s">
        <v>1781</v>
      </c>
      <c r="I256" s="4">
        <v>0.96799999999999997</v>
      </c>
      <c r="L256" s="4" t="s">
        <v>1570</v>
      </c>
      <c r="M256" s="4" t="s">
        <v>109</v>
      </c>
      <c r="N256" s="4" t="s">
        <v>76</v>
      </c>
      <c r="O256" s="4"/>
      <c r="P256" s="4" t="s">
        <v>1693</v>
      </c>
      <c r="Q256" t="s">
        <v>109</v>
      </c>
      <c r="R256" s="4"/>
      <c r="S256" s="4"/>
      <c r="U256" s="4"/>
      <c r="Y256" s="4"/>
      <c r="Z256" s="4"/>
      <c r="AA256" s="4"/>
      <c r="AB256" s="4"/>
      <c r="AC256" s="4"/>
      <c r="AD256" s="4"/>
      <c r="AE256" s="4"/>
      <c r="AF256" s="4"/>
      <c r="AG256" s="4"/>
      <c r="AH256" s="4"/>
      <c r="AI256" s="4"/>
      <c r="AJ256" s="4"/>
      <c r="AK256" s="4"/>
      <c r="AL256" s="4"/>
      <c r="AP256" s="4"/>
      <c r="AX256" s="4"/>
      <c r="AY256" s="4"/>
      <c r="AZ256" s="4"/>
      <c r="BA256" s="4"/>
      <c r="BB256" s="4"/>
      <c r="BC256" s="4"/>
      <c r="BD256" s="4"/>
      <c r="BE256" s="4"/>
      <c r="BF256" s="4"/>
      <c r="BG256" s="4"/>
      <c r="BI256" s="4"/>
      <c r="BP256" s="4"/>
      <c r="BS256" s="4"/>
      <c r="BW256" s="4"/>
      <c r="BX256" s="4"/>
    </row>
    <row r="257" spans="1:76" ht="12.75" x14ac:dyDescent="0.2">
      <c r="A257" s="4" t="s">
        <v>301</v>
      </c>
      <c r="B257" s="4" t="s">
        <v>253</v>
      </c>
      <c r="C257" s="4" t="s">
        <v>138</v>
      </c>
      <c r="D257" s="4">
        <v>2551</v>
      </c>
      <c r="E257" s="4" t="s">
        <v>8</v>
      </c>
      <c r="F257" s="4" t="s">
        <v>895</v>
      </c>
      <c r="G257" s="113">
        <v>0.5</v>
      </c>
      <c r="H257" t="s">
        <v>1781</v>
      </c>
      <c r="I257" s="4">
        <v>1.2395</v>
      </c>
      <c r="L257" s="4" t="s">
        <v>1569</v>
      </c>
      <c r="M257" s="4" t="s">
        <v>109</v>
      </c>
      <c r="N257" s="4" t="s">
        <v>76</v>
      </c>
      <c r="O257" s="4"/>
      <c r="P257" s="4" t="s">
        <v>1693</v>
      </c>
      <c r="Q257" t="s">
        <v>109</v>
      </c>
      <c r="R257" s="4"/>
      <c r="S257" s="4"/>
      <c r="U257" s="4"/>
      <c r="Y257" s="4"/>
      <c r="Z257" s="4"/>
      <c r="AA257" s="4"/>
      <c r="AB257" s="4"/>
      <c r="AC257" s="4"/>
      <c r="AD257" s="4"/>
      <c r="AE257" s="4"/>
      <c r="AF257" s="4"/>
      <c r="AG257" s="4"/>
      <c r="AH257" s="4"/>
      <c r="AI257" s="4"/>
      <c r="AJ257" s="4"/>
      <c r="AK257" s="4"/>
      <c r="AL257" s="4"/>
      <c r="AP257" s="4"/>
      <c r="AX257" s="4"/>
      <c r="AY257" s="4"/>
      <c r="AZ257" s="4"/>
      <c r="BA257" s="4"/>
      <c r="BB257" s="4"/>
      <c r="BC257" s="4"/>
      <c r="BD257" s="4"/>
      <c r="BE257" s="4"/>
      <c r="BF257" s="4"/>
      <c r="BG257" s="4"/>
      <c r="BI257" s="4"/>
      <c r="BP257" s="4"/>
      <c r="BS257" s="4"/>
      <c r="BW257" s="4"/>
      <c r="BX257" s="4"/>
    </row>
    <row r="258" spans="1:76" ht="12.75" x14ac:dyDescent="0.2">
      <c r="A258" s="4" t="s">
        <v>302</v>
      </c>
      <c r="B258" s="4" t="s">
        <v>253</v>
      </c>
      <c r="C258" s="4" t="s">
        <v>115</v>
      </c>
      <c r="D258" s="4">
        <v>2551</v>
      </c>
      <c r="E258" s="4" t="s">
        <v>8</v>
      </c>
      <c r="F258" s="4" t="s">
        <v>895</v>
      </c>
      <c r="G258" s="113">
        <v>0.5</v>
      </c>
      <c r="H258" t="s">
        <v>1781</v>
      </c>
      <c r="I258" s="4">
        <v>1.4710000000000001</v>
      </c>
      <c r="L258" s="4" t="s">
        <v>1569</v>
      </c>
      <c r="M258" s="4" t="s">
        <v>109</v>
      </c>
      <c r="N258" s="4" t="s">
        <v>76</v>
      </c>
      <c r="O258" s="4"/>
      <c r="P258" s="4" t="s">
        <v>1693</v>
      </c>
      <c r="Q258" t="s">
        <v>109</v>
      </c>
      <c r="R258" s="4"/>
      <c r="S258" s="4"/>
      <c r="U258" s="4"/>
      <c r="Y258" s="4"/>
      <c r="Z258" s="4"/>
      <c r="AA258" s="4"/>
      <c r="AB258" s="4"/>
      <c r="AC258" s="4"/>
      <c r="AD258" s="4"/>
      <c r="AE258" s="4"/>
      <c r="AF258" s="4"/>
      <c r="AG258" s="4"/>
      <c r="AH258" s="4"/>
      <c r="AI258" s="4"/>
      <c r="AJ258" s="4"/>
      <c r="AK258" s="4"/>
      <c r="AL258" s="4"/>
      <c r="AP258" s="4"/>
      <c r="AX258" s="4"/>
      <c r="AY258" s="4"/>
      <c r="AZ258" s="4"/>
      <c r="BA258" s="4"/>
      <c r="BB258" s="4"/>
      <c r="BC258" s="4"/>
      <c r="BD258" s="4"/>
      <c r="BE258" s="4"/>
      <c r="BF258" s="4"/>
      <c r="BG258" s="4"/>
      <c r="BI258" s="4"/>
      <c r="BP258" s="4"/>
      <c r="BS258" s="4"/>
      <c r="BW258" s="4"/>
      <c r="BX258" s="4"/>
    </row>
    <row r="259" spans="1:76" ht="12.75" x14ac:dyDescent="0.2">
      <c r="A259" s="4" t="s">
        <v>301</v>
      </c>
      <c r="B259" s="4" t="s">
        <v>253</v>
      </c>
      <c r="C259" s="4" t="s">
        <v>115</v>
      </c>
      <c r="D259" s="4">
        <v>2551</v>
      </c>
      <c r="E259" s="4" t="s">
        <v>8</v>
      </c>
      <c r="F259" s="4" t="s">
        <v>895</v>
      </c>
      <c r="G259" s="113">
        <v>0.5</v>
      </c>
      <c r="H259" t="s">
        <v>1781</v>
      </c>
      <c r="I259" s="4">
        <v>1.8855</v>
      </c>
      <c r="L259" s="4" t="s">
        <v>1569</v>
      </c>
      <c r="M259" s="4" t="s">
        <v>109</v>
      </c>
      <c r="N259" s="4" t="s">
        <v>76</v>
      </c>
      <c r="O259" s="4"/>
      <c r="P259" s="4" t="s">
        <v>1693</v>
      </c>
      <c r="Q259" t="s">
        <v>109</v>
      </c>
      <c r="R259" s="4"/>
      <c r="S259" s="4"/>
      <c r="U259" s="4"/>
      <c r="Y259" s="4"/>
      <c r="Z259" s="4"/>
      <c r="AA259" s="4"/>
      <c r="AB259" s="4"/>
      <c r="AC259" s="4"/>
      <c r="AD259" s="4"/>
      <c r="AE259" s="4"/>
      <c r="AF259" s="4"/>
      <c r="AG259" s="4"/>
      <c r="AH259" s="4"/>
      <c r="AI259" s="4"/>
      <c r="AJ259" s="4"/>
      <c r="AK259" s="4"/>
      <c r="AL259" s="4"/>
      <c r="AP259" s="4"/>
      <c r="AX259" s="4"/>
      <c r="AY259" s="4"/>
      <c r="AZ259" s="4"/>
      <c r="BA259" s="4"/>
      <c r="BB259" s="4"/>
      <c r="BC259" s="4"/>
      <c r="BD259" s="4"/>
      <c r="BE259" s="4"/>
      <c r="BF259" s="4"/>
      <c r="BG259" s="4"/>
      <c r="BI259" s="4"/>
      <c r="BP259" s="4"/>
      <c r="BS259" s="4"/>
      <c r="BW259" s="4"/>
      <c r="BX259" s="4"/>
    </row>
    <row r="260" spans="1:76" ht="12.75" x14ac:dyDescent="0.2">
      <c r="A260" s="4" t="s">
        <v>453</v>
      </c>
      <c r="B260" s="4" t="s">
        <v>143</v>
      </c>
      <c r="C260" s="4" t="s">
        <v>101</v>
      </c>
      <c r="D260" s="4">
        <v>2555</v>
      </c>
      <c r="E260" s="4" t="s">
        <v>20</v>
      </c>
      <c r="F260" s="4" t="s">
        <v>1245</v>
      </c>
      <c r="G260" s="113">
        <v>0.5</v>
      </c>
      <c r="H260" t="s">
        <v>1781</v>
      </c>
      <c r="I260" s="4">
        <v>0.14400000000000002</v>
      </c>
      <c r="L260" s="4" t="s">
        <v>1574</v>
      </c>
      <c r="M260" s="4" t="s">
        <v>109</v>
      </c>
      <c r="N260" s="4" t="s">
        <v>7</v>
      </c>
      <c r="O260" s="4"/>
      <c r="P260" s="4" t="s">
        <v>1693</v>
      </c>
      <c r="Q260" t="s">
        <v>109</v>
      </c>
      <c r="R260" s="4"/>
      <c r="S260" s="4"/>
      <c r="U260" s="4"/>
      <c r="Y260" s="4"/>
      <c r="Z260" s="4"/>
      <c r="AA260" s="4"/>
      <c r="AB260" s="4"/>
      <c r="AC260" s="4"/>
      <c r="AD260" s="4"/>
      <c r="AE260" s="4"/>
      <c r="AF260" s="4"/>
      <c r="AG260" s="4"/>
      <c r="AH260" s="4"/>
      <c r="AI260" s="4"/>
      <c r="AJ260" s="4"/>
      <c r="AK260" s="4"/>
      <c r="AL260" s="4"/>
      <c r="AP260" s="4"/>
      <c r="AX260" s="4"/>
      <c r="AY260" s="4"/>
      <c r="AZ260" s="4"/>
      <c r="BA260" s="4"/>
      <c r="BB260" s="4"/>
      <c r="BC260" s="4"/>
      <c r="BD260" s="4"/>
      <c r="BE260" s="4"/>
      <c r="BF260" s="4"/>
      <c r="BG260" s="4"/>
      <c r="BI260" s="4"/>
      <c r="BP260" s="4"/>
      <c r="BS260" s="4"/>
      <c r="BW260" s="4"/>
      <c r="BX260" s="4"/>
    </row>
    <row r="261" spans="1:76" ht="12.75" x14ac:dyDescent="0.2">
      <c r="A261" s="4" t="s">
        <v>453</v>
      </c>
      <c r="B261" s="4" t="s">
        <v>351</v>
      </c>
      <c r="C261" s="4" t="s">
        <v>111</v>
      </c>
      <c r="D261" s="4">
        <v>2555</v>
      </c>
      <c r="E261" s="4" t="s">
        <v>20</v>
      </c>
      <c r="F261" s="4" t="s">
        <v>1245</v>
      </c>
      <c r="G261" s="113">
        <v>0.16666666666666666</v>
      </c>
      <c r="H261" t="s">
        <v>1781</v>
      </c>
      <c r="I261" s="4">
        <v>0.17599999999999999</v>
      </c>
      <c r="L261" s="4" t="s">
        <v>1572</v>
      </c>
      <c r="M261" s="4" t="s">
        <v>109</v>
      </c>
      <c r="N261" s="4" t="s">
        <v>7</v>
      </c>
      <c r="O261" s="4"/>
      <c r="P261" s="4" t="s">
        <v>1693</v>
      </c>
      <c r="Q261" t="s">
        <v>109</v>
      </c>
      <c r="R261" s="4"/>
      <c r="S261" s="4"/>
      <c r="U261" s="4"/>
      <c r="Y261" s="4"/>
      <c r="Z261" s="4"/>
      <c r="AA261" s="4"/>
      <c r="AB261" s="4"/>
      <c r="AC261" s="4"/>
      <c r="AD261" s="4"/>
      <c r="AE261" s="4"/>
      <c r="AF261" s="4"/>
      <c r="AG261" s="4"/>
      <c r="AH261" s="4"/>
      <c r="AI261" s="4"/>
      <c r="AJ261" s="4"/>
      <c r="AK261" s="4"/>
      <c r="AL261" s="4"/>
      <c r="AP261" s="4"/>
      <c r="AX261" s="4"/>
      <c r="AY261" s="4"/>
      <c r="AZ261" s="4"/>
      <c r="BA261" s="4"/>
      <c r="BB261" s="4"/>
      <c r="BC261" s="4"/>
      <c r="BD261" s="4"/>
      <c r="BE261" s="4"/>
      <c r="BF261" s="4"/>
      <c r="BG261" s="4"/>
      <c r="BI261" s="4"/>
      <c r="BP261" s="4"/>
      <c r="BS261" s="4"/>
      <c r="BW261" s="4"/>
      <c r="BX261" s="4"/>
    </row>
    <row r="262" spans="1:76" ht="12.75" x14ac:dyDescent="0.2">
      <c r="A262" s="4" t="s">
        <v>453</v>
      </c>
      <c r="B262" s="4" t="s">
        <v>351</v>
      </c>
      <c r="C262" s="4" t="s">
        <v>111</v>
      </c>
      <c r="D262" s="4">
        <v>2555</v>
      </c>
      <c r="E262" s="4" t="s">
        <v>20</v>
      </c>
      <c r="F262" s="4" t="s">
        <v>1245</v>
      </c>
      <c r="G262" s="113">
        <v>0.16666666666666666</v>
      </c>
      <c r="H262" t="s">
        <v>1781</v>
      </c>
      <c r="I262" s="4">
        <v>0.184</v>
      </c>
      <c r="L262" s="4" t="s">
        <v>1572</v>
      </c>
      <c r="M262" s="4" t="s">
        <v>109</v>
      </c>
      <c r="N262" s="4" t="s">
        <v>7</v>
      </c>
      <c r="O262" s="4"/>
      <c r="P262" s="4" t="s">
        <v>1693</v>
      </c>
      <c r="Q262" t="s">
        <v>109</v>
      </c>
      <c r="R262" s="4"/>
      <c r="S262" s="4"/>
      <c r="U262" s="4"/>
      <c r="Y262" s="4"/>
      <c r="Z262" s="4"/>
      <c r="AA262" s="4"/>
      <c r="AB262" s="4"/>
      <c r="AC262" s="4"/>
      <c r="AD262" s="4"/>
      <c r="AE262" s="4"/>
      <c r="AF262" s="4"/>
      <c r="AG262" s="4"/>
      <c r="AH262" s="4"/>
      <c r="AI262" s="4"/>
      <c r="AJ262" s="4"/>
      <c r="AK262" s="4"/>
      <c r="AL262" s="4"/>
      <c r="AP262" s="4"/>
      <c r="AX262" s="4"/>
      <c r="AY262" s="4"/>
      <c r="AZ262" s="4"/>
      <c r="BA262" s="4"/>
      <c r="BB262" s="4"/>
      <c r="BC262" s="4"/>
      <c r="BD262" s="4"/>
      <c r="BE262" s="4"/>
      <c r="BF262" s="4"/>
      <c r="BG262" s="4"/>
      <c r="BI262" s="4"/>
      <c r="BP262" s="4"/>
      <c r="BS262" s="4"/>
      <c r="BW262" s="4"/>
      <c r="BX262" s="4"/>
    </row>
    <row r="263" spans="1:76" ht="12.75" x14ac:dyDescent="0.2">
      <c r="A263" s="4" t="s">
        <v>453</v>
      </c>
      <c r="B263" s="4" t="s">
        <v>351</v>
      </c>
      <c r="C263" s="4" t="s">
        <v>111</v>
      </c>
      <c r="D263" s="4">
        <v>2555</v>
      </c>
      <c r="E263" s="4" t="s">
        <v>20</v>
      </c>
      <c r="F263" s="4" t="s">
        <v>1245</v>
      </c>
      <c r="G263" s="113">
        <v>0.16666666666666666</v>
      </c>
      <c r="H263" t="s">
        <v>1781</v>
      </c>
      <c r="I263" s="4">
        <v>0.186</v>
      </c>
      <c r="L263" s="4" t="s">
        <v>1572</v>
      </c>
      <c r="M263" s="4" t="s">
        <v>109</v>
      </c>
      <c r="N263" s="4" t="s">
        <v>7</v>
      </c>
      <c r="O263" s="4"/>
      <c r="P263" s="4" t="s">
        <v>1693</v>
      </c>
      <c r="Q263" t="s">
        <v>109</v>
      </c>
      <c r="R263" s="4"/>
      <c r="S263" s="4"/>
      <c r="U263" s="4"/>
      <c r="Y263" s="4"/>
      <c r="Z263" s="4"/>
      <c r="AA263" s="4"/>
      <c r="AB263" s="4"/>
      <c r="AC263" s="4"/>
      <c r="AD263" s="4"/>
      <c r="AE263" s="4"/>
      <c r="AF263" s="4"/>
      <c r="AG263" s="4"/>
      <c r="AH263" s="4"/>
      <c r="AI263" s="4"/>
      <c r="AJ263" s="4"/>
      <c r="AK263" s="4"/>
      <c r="AL263" s="4"/>
      <c r="AP263" s="4"/>
      <c r="AX263" s="4"/>
      <c r="AY263" s="4"/>
      <c r="AZ263" s="4"/>
      <c r="BA263" s="4"/>
      <c r="BB263" s="4"/>
      <c r="BC263" s="4"/>
      <c r="BD263" s="4"/>
      <c r="BE263" s="4"/>
      <c r="BF263" s="4"/>
      <c r="BG263" s="4"/>
      <c r="BI263" s="4"/>
      <c r="BP263" s="4"/>
      <c r="BS263" s="4"/>
      <c r="BW263" s="4"/>
      <c r="BX263" s="4"/>
    </row>
    <row r="264" spans="1:76" ht="12.75" x14ac:dyDescent="0.2">
      <c r="A264" s="4" t="s">
        <v>453</v>
      </c>
      <c r="B264" s="4" t="s">
        <v>351</v>
      </c>
      <c r="C264" s="4" t="s">
        <v>111</v>
      </c>
      <c r="D264" s="4">
        <v>2555</v>
      </c>
      <c r="E264" s="4" t="s">
        <v>20</v>
      </c>
      <c r="F264" s="4" t="s">
        <v>1245</v>
      </c>
      <c r="G264" s="113">
        <v>0.16666666666666666</v>
      </c>
      <c r="H264" t="s">
        <v>1781</v>
      </c>
      <c r="I264" s="4">
        <v>0.187</v>
      </c>
      <c r="L264" s="4" t="s">
        <v>1572</v>
      </c>
      <c r="M264" s="4" t="s">
        <v>109</v>
      </c>
      <c r="N264" s="4" t="s">
        <v>7</v>
      </c>
      <c r="O264" s="4"/>
      <c r="P264" s="4" t="s">
        <v>1693</v>
      </c>
      <c r="Q264" t="s">
        <v>109</v>
      </c>
      <c r="R264" s="4"/>
      <c r="S264" s="4"/>
      <c r="U264" s="4"/>
      <c r="Y264" s="4"/>
      <c r="Z264" s="4"/>
      <c r="AA264" s="4"/>
      <c r="AB264" s="4"/>
      <c r="AC264" s="4"/>
      <c r="AD264" s="4"/>
      <c r="AE264" s="4"/>
      <c r="AF264" s="4"/>
      <c r="AG264" s="4"/>
      <c r="AH264" s="4"/>
      <c r="AI264" s="4"/>
      <c r="AJ264" s="4"/>
      <c r="AK264" s="4"/>
      <c r="AL264" s="4"/>
      <c r="AP264" s="4"/>
      <c r="AX264" s="4"/>
      <c r="AY264" s="4"/>
      <c r="AZ264" s="4"/>
      <c r="BA264" s="4"/>
      <c r="BB264" s="4"/>
      <c r="BC264" s="4"/>
      <c r="BD264" s="4"/>
      <c r="BE264" s="4"/>
      <c r="BF264" s="4"/>
      <c r="BG264" s="4"/>
      <c r="BI264" s="4"/>
      <c r="BP264" s="4"/>
      <c r="BS264" s="4"/>
      <c r="BW264" s="4"/>
      <c r="BX264" s="4"/>
    </row>
    <row r="265" spans="1:76" ht="12.75" x14ac:dyDescent="0.2">
      <c r="A265" s="4" t="s">
        <v>453</v>
      </c>
      <c r="B265" s="4" t="s">
        <v>351</v>
      </c>
      <c r="C265" s="4" t="s">
        <v>111</v>
      </c>
      <c r="D265" s="4">
        <v>2555</v>
      </c>
      <c r="E265" s="4" t="s">
        <v>20</v>
      </c>
      <c r="F265" s="4" t="s">
        <v>1245</v>
      </c>
      <c r="G265" s="113">
        <v>0.16666666666666666</v>
      </c>
      <c r="H265" t="s">
        <v>1781</v>
      </c>
      <c r="I265" s="4">
        <v>0.191</v>
      </c>
      <c r="L265" s="4" t="s">
        <v>1572</v>
      </c>
      <c r="M265" s="4" t="s">
        <v>109</v>
      </c>
      <c r="N265" s="4" t="s">
        <v>7</v>
      </c>
      <c r="O265" s="4"/>
      <c r="P265" s="4" t="s">
        <v>1693</v>
      </c>
      <c r="Q265" t="s">
        <v>109</v>
      </c>
      <c r="R265" s="4"/>
      <c r="S265" s="4"/>
      <c r="U265" s="4"/>
      <c r="Y265" s="4"/>
      <c r="Z265" s="4"/>
      <c r="AA265" s="4"/>
      <c r="AB265" s="4"/>
      <c r="AC265" s="4"/>
      <c r="AD265" s="4"/>
      <c r="AE265" s="4"/>
      <c r="AF265" s="4"/>
      <c r="AG265" s="4"/>
      <c r="AH265" s="4"/>
      <c r="AI265" s="4"/>
      <c r="AJ265" s="4"/>
      <c r="AK265" s="4"/>
      <c r="AL265" s="4"/>
      <c r="AP265" s="4"/>
      <c r="AX265" s="4"/>
      <c r="AY265" s="4"/>
      <c r="AZ265" s="4"/>
      <c r="BA265" s="4"/>
      <c r="BB265" s="4"/>
      <c r="BC265" s="4"/>
      <c r="BD265" s="4"/>
      <c r="BE265" s="4"/>
      <c r="BF265" s="4"/>
      <c r="BG265" s="4"/>
      <c r="BI265" s="4"/>
      <c r="BP265" s="4"/>
      <c r="BS265" s="4"/>
      <c r="BW265" s="4"/>
      <c r="BX265" s="4"/>
    </row>
    <row r="266" spans="1:76" ht="12.75" x14ac:dyDescent="0.2">
      <c r="A266" s="4" t="s">
        <v>453</v>
      </c>
      <c r="B266" s="4" t="s">
        <v>351</v>
      </c>
      <c r="C266" s="4" t="s">
        <v>111</v>
      </c>
      <c r="D266" s="4">
        <v>2555</v>
      </c>
      <c r="E266" s="4" t="s">
        <v>20</v>
      </c>
      <c r="F266" s="4" t="s">
        <v>1245</v>
      </c>
      <c r="G266" s="113">
        <v>0.16666666666666666</v>
      </c>
      <c r="H266" t="s">
        <v>1781</v>
      </c>
      <c r="I266" s="4">
        <v>0.19600000000000001</v>
      </c>
      <c r="L266" s="4" t="s">
        <v>1572</v>
      </c>
      <c r="M266" s="4" t="s">
        <v>109</v>
      </c>
      <c r="N266" s="4" t="s">
        <v>7</v>
      </c>
      <c r="O266" s="4"/>
      <c r="P266" s="4" t="s">
        <v>1693</v>
      </c>
      <c r="Q266" t="s">
        <v>109</v>
      </c>
      <c r="R266" s="4"/>
      <c r="S266" s="4"/>
      <c r="U266" s="4"/>
      <c r="Y266" s="4"/>
      <c r="Z266" s="4"/>
      <c r="AA266" s="4"/>
      <c r="AB266" s="4"/>
      <c r="AC266" s="4"/>
      <c r="AD266" s="4"/>
      <c r="AE266" s="4"/>
      <c r="AF266" s="4"/>
      <c r="AG266" s="4"/>
      <c r="AH266" s="4"/>
      <c r="AI266" s="4"/>
      <c r="AJ266" s="4"/>
      <c r="AK266" s="4"/>
      <c r="AL266" s="4"/>
      <c r="AP266" s="4"/>
      <c r="AX266" s="4"/>
      <c r="AY266" s="4"/>
      <c r="AZ266" s="4"/>
      <c r="BA266" s="4"/>
      <c r="BB266" s="4"/>
      <c r="BC266" s="4"/>
      <c r="BD266" s="4"/>
      <c r="BE266" s="4"/>
      <c r="BF266" s="4"/>
      <c r="BG266" s="4"/>
      <c r="BI266" s="4"/>
      <c r="BP266" s="4"/>
      <c r="BS266" s="4"/>
      <c r="BW266" s="4"/>
      <c r="BX266" s="4"/>
    </row>
    <row r="267" spans="1:76" ht="12.75" x14ac:dyDescent="0.2">
      <c r="A267" s="4" t="s">
        <v>453</v>
      </c>
      <c r="B267" s="4" t="s">
        <v>143</v>
      </c>
      <c r="C267" s="4" t="s">
        <v>138</v>
      </c>
      <c r="D267" s="4">
        <v>2555</v>
      </c>
      <c r="E267" s="4" t="s">
        <v>20</v>
      </c>
      <c r="F267" s="4" t="s">
        <v>1245</v>
      </c>
      <c r="G267" s="113">
        <v>0.5</v>
      </c>
      <c r="H267" t="s">
        <v>1781</v>
      </c>
      <c r="I267" s="4">
        <v>0.26300000000000001</v>
      </c>
      <c r="L267" s="4" t="s">
        <v>1574</v>
      </c>
      <c r="M267" s="4" t="s">
        <v>109</v>
      </c>
      <c r="N267" s="4" t="s">
        <v>7</v>
      </c>
      <c r="O267" s="4"/>
      <c r="P267" s="4" t="s">
        <v>1693</v>
      </c>
      <c r="Q267" t="s">
        <v>109</v>
      </c>
      <c r="R267" s="4"/>
      <c r="S267" s="4"/>
      <c r="U267" s="4"/>
      <c r="Y267" s="4"/>
      <c r="Z267" s="4"/>
      <c r="AA267" s="4"/>
      <c r="AB267" s="4"/>
      <c r="AC267" s="4"/>
      <c r="AD267" s="4"/>
      <c r="AE267" s="4"/>
      <c r="AF267" s="4"/>
      <c r="AG267" s="4"/>
      <c r="AH267" s="4"/>
      <c r="AI267" s="4"/>
      <c r="AJ267" s="4"/>
      <c r="AK267" s="4"/>
      <c r="AL267" s="4"/>
      <c r="AP267" s="4"/>
      <c r="AX267" s="4"/>
      <c r="AY267" s="4"/>
      <c r="AZ267" s="4"/>
      <c r="BA267" s="4"/>
      <c r="BB267" s="4"/>
      <c r="BC267" s="4"/>
      <c r="BD267" s="4"/>
      <c r="BE267" s="4"/>
      <c r="BF267" s="4"/>
      <c r="BG267" s="4"/>
      <c r="BI267" s="4"/>
      <c r="BP267" s="4"/>
      <c r="BS267" s="4"/>
      <c r="BW267" s="4"/>
      <c r="BX267" s="4"/>
    </row>
    <row r="268" spans="1:76" ht="12.75" x14ac:dyDescent="0.2">
      <c r="A268" s="4" t="s">
        <v>453</v>
      </c>
      <c r="B268" s="4" t="s">
        <v>351</v>
      </c>
      <c r="C268" s="4" t="s">
        <v>138</v>
      </c>
      <c r="D268" s="4">
        <v>2555</v>
      </c>
      <c r="E268" s="4" t="s">
        <v>20</v>
      </c>
      <c r="F268" s="4" t="s">
        <v>1245</v>
      </c>
      <c r="G268" s="113">
        <v>0.5</v>
      </c>
      <c r="H268" t="s">
        <v>1781</v>
      </c>
      <c r="I268" s="4">
        <v>0.316</v>
      </c>
      <c r="L268" s="4" t="s">
        <v>1573</v>
      </c>
      <c r="M268" s="4" t="s">
        <v>109</v>
      </c>
      <c r="N268" s="4" t="s">
        <v>7</v>
      </c>
      <c r="O268" s="4"/>
      <c r="P268" s="4" t="s">
        <v>1693</v>
      </c>
      <c r="Q268" t="s">
        <v>109</v>
      </c>
      <c r="R268" s="4"/>
      <c r="S268" s="4"/>
      <c r="U268" s="4"/>
      <c r="Y268" s="4"/>
      <c r="Z268" s="4"/>
      <c r="AA268" s="4"/>
      <c r="AB268" s="4"/>
      <c r="AC268" s="4"/>
      <c r="AD268" s="4"/>
      <c r="AE268" s="4"/>
      <c r="AF268" s="4"/>
      <c r="AG268" s="4"/>
      <c r="AH268" s="4"/>
      <c r="AI268" s="4"/>
      <c r="AJ268" s="4"/>
      <c r="AK268" s="4"/>
      <c r="AL268" s="4"/>
      <c r="AP268" s="4"/>
      <c r="AX268" s="4"/>
      <c r="AY268" s="4"/>
      <c r="AZ268" s="4"/>
      <c r="BA268" s="4"/>
      <c r="BB268" s="4"/>
      <c r="BC268" s="4"/>
      <c r="BD268" s="4"/>
      <c r="BE268" s="4"/>
      <c r="BF268" s="4"/>
      <c r="BG268" s="4"/>
      <c r="BI268" s="4"/>
      <c r="BP268" s="4"/>
      <c r="BS268" s="4"/>
      <c r="BW268" s="4"/>
      <c r="BX268" s="4"/>
    </row>
    <row r="269" spans="1:76" ht="12.75" x14ac:dyDescent="0.2">
      <c r="A269" s="4" t="s">
        <v>453</v>
      </c>
      <c r="B269" s="4" t="s">
        <v>351</v>
      </c>
      <c r="C269" s="4" t="s">
        <v>138</v>
      </c>
      <c r="D269" s="4">
        <v>2555</v>
      </c>
      <c r="E269" s="4" t="s">
        <v>20</v>
      </c>
      <c r="F269" s="4" t="s">
        <v>1245</v>
      </c>
      <c r="G269" s="113">
        <v>0.5</v>
      </c>
      <c r="H269" t="s">
        <v>1781</v>
      </c>
      <c r="I269" s="4">
        <v>0.36410000000000003</v>
      </c>
      <c r="L269" s="4" t="s">
        <v>1573</v>
      </c>
      <c r="M269" s="4" t="s">
        <v>109</v>
      </c>
      <c r="N269" s="4" t="s">
        <v>7</v>
      </c>
      <c r="O269" s="4"/>
      <c r="P269" s="4" t="s">
        <v>1693</v>
      </c>
      <c r="Q269" t="s">
        <v>109</v>
      </c>
      <c r="R269" s="4"/>
      <c r="S269" s="4"/>
      <c r="U269" s="4"/>
      <c r="Y269" s="4"/>
      <c r="Z269" s="4"/>
      <c r="AA269" s="4"/>
      <c r="AB269" s="4"/>
      <c r="AC269" s="4"/>
      <c r="AD269" s="4"/>
      <c r="AE269" s="4"/>
      <c r="AF269" s="4"/>
      <c r="AG269" s="4"/>
      <c r="AH269" s="4"/>
      <c r="AI269" s="4"/>
      <c r="AJ269" s="4"/>
      <c r="AK269" s="4"/>
      <c r="AL269" s="4"/>
      <c r="AP269" s="4"/>
      <c r="AX269" s="4"/>
      <c r="AY269" s="4"/>
      <c r="AZ269" s="4"/>
      <c r="BA269" s="4"/>
      <c r="BB269" s="4"/>
      <c r="BC269" s="4"/>
      <c r="BD269" s="4"/>
      <c r="BE269" s="4"/>
      <c r="BF269" s="4"/>
      <c r="BG269" s="4"/>
      <c r="BI269" s="4"/>
      <c r="BP269" s="4"/>
      <c r="BS269" s="4"/>
      <c r="BW269" s="4"/>
      <c r="BX269" s="4"/>
    </row>
    <row r="270" spans="1:76" ht="12.75" x14ac:dyDescent="0.2">
      <c r="A270" s="4" t="s">
        <v>453</v>
      </c>
      <c r="B270" s="4" t="s">
        <v>170</v>
      </c>
      <c r="C270" s="4" t="s">
        <v>111</v>
      </c>
      <c r="D270" s="4">
        <v>2555</v>
      </c>
      <c r="E270" s="4" t="s">
        <v>20</v>
      </c>
      <c r="F270" s="4" t="s">
        <v>1245</v>
      </c>
      <c r="G270" s="113">
        <v>1</v>
      </c>
      <c r="H270" t="s">
        <v>1781</v>
      </c>
      <c r="I270" s="4">
        <v>0.95700000000000007</v>
      </c>
      <c r="L270" s="4" t="s">
        <v>1571</v>
      </c>
      <c r="M270" s="4" t="s">
        <v>109</v>
      </c>
      <c r="N270" s="4" t="s">
        <v>7</v>
      </c>
      <c r="O270" s="4"/>
      <c r="P270" s="4" t="s">
        <v>1693</v>
      </c>
      <c r="Q270" t="s">
        <v>109</v>
      </c>
      <c r="R270" s="4"/>
      <c r="S270" s="4"/>
      <c r="U270" s="4"/>
      <c r="Y270" s="4"/>
      <c r="Z270" s="4"/>
      <c r="AA270" s="4"/>
      <c r="AB270" s="4"/>
      <c r="AC270" s="4"/>
      <c r="AD270" s="4"/>
      <c r="AE270" s="4"/>
      <c r="AF270" s="4"/>
      <c r="AG270" s="4"/>
      <c r="AH270" s="4"/>
      <c r="AI270" s="4"/>
      <c r="AJ270" s="4"/>
      <c r="AK270" s="4"/>
      <c r="AL270" s="4"/>
      <c r="AP270" s="4"/>
      <c r="AX270" s="4"/>
      <c r="AY270" s="4"/>
      <c r="AZ270" s="4"/>
      <c r="BA270" s="4"/>
      <c r="BB270" s="4"/>
      <c r="BC270" s="4"/>
      <c r="BD270" s="4"/>
      <c r="BE270" s="4"/>
      <c r="BF270" s="4"/>
      <c r="BG270" s="4"/>
      <c r="BI270" s="4"/>
      <c r="BP270" s="4"/>
      <c r="BS270" s="4"/>
      <c r="BW270" s="4"/>
      <c r="BX270" s="4"/>
    </row>
    <row r="271" spans="1:76" ht="12.75" x14ac:dyDescent="0.2">
      <c r="A271" s="4" t="s">
        <v>1346</v>
      </c>
      <c r="B271" s="4" t="s">
        <v>253</v>
      </c>
      <c r="C271" s="4" t="s">
        <v>1350</v>
      </c>
      <c r="D271" s="4">
        <v>2556</v>
      </c>
      <c r="E271" s="4" t="s">
        <v>12</v>
      </c>
      <c r="F271" s="4" t="s">
        <v>895</v>
      </c>
      <c r="G271" s="113">
        <v>0.25</v>
      </c>
      <c r="H271" t="s">
        <v>1781</v>
      </c>
      <c r="I271" s="4">
        <v>0.5</v>
      </c>
      <c r="L271" s="4" t="s">
        <v>1537</v>
      </c>
      <c r="M271" s="4" t="s">
        <v>109</v>
      </c>
      <c r="N271" s="4" t="s">
        <v>7</v>
      </c>
      <c r="O271" s="4"/>
      <c r="P271" s="4" t="s">
        <v>1693</v>
      </c>
      <c r="Q271" t="s">
        <v>109</v>
      </c>
      <c r="R271" s="4"/>
      <c r="S271" s="4"/>
      <c r="U271" s="4"/>
      <c r="Y271" s="4"/>
      <c r="Z271" s="4"/>
      <c r="AA271" s="4"/>
      <c r="AB271" s="4"/>
      <c r="AC271" s="4"/>
      <c r="AD271" s="4"/>
      <c r="AE271" s="4"/>
      <c r="AF271" s="4"/>
      <c r="AG271" s="4"/>
      <c r="AH271" s="4"/>
      <c r="AI271" s="4"/>
      <c r="AJ271" s="4"/>
      <c r="AK271" s="4"/>
      <c r="AL271" s="4"/>
      <c r="AP271" s="4"/>
      <c r="AX271" s="4"/>
      <c r="AY271" s="4"/>
      <c r="AZ271" s="4"/>
      <c r="BA271" s="4"/>
      <c r="BB271" s="4"/>
      <c r="BC271" s="4"/>
      <c r="BD271" s="4"/>
      <c r="BE271" s="4"/>
      <c r="BF271" s="4"/>
      <c r="BG271" s="4"/>
      <c r="BI271" s="4"/>
      <c r="BP271" s="4"/>
      <c r="BS271" s="4"/>
      <c r="BW271" s="4"/>
      <c r="BX271" s="4"/>
    </row>
    <row r="272" spans="1:76" ht="12.75" x14ac:dyDescent="0.2">
      <c r="A272" s="4" t="s">
        <v>1346</v>
      </c>
      <c r="B272" s="4" t="s">
        <v>253</v>
      </c>
      <c r="C272" s="4" t="s">
        <v>1351</v>
      </c>
      <c r="D272" s="4">
        <v>2556</v>
      </c>
      <c r="E272" s="4" t="s">
        <v>12</v>
      </c>
      <c r="F272" s="4" t="s">
        <v>895</v>
      </c>
      <c r="G272" s="113">
        <v>0.25</v>
      </c>
      <c r="H272" t="s">
        <v>1781</v>
      </c>
      <c r="I272" s="4">
        <v>0.5</v>
      </c>
      <c r="L272" s="4" t="s">
        <v>1537</v>
      </c>
      <c r="M272" s="4" t="s">
        <v>109</v>
      </c>
      <c r="N272" s="4" t="s">
        <v>7</v>
      </c>
      <c r="O272" s="4"/>
      <c r="P272" s="4" t="s">
        <v>1693</v>
      </c>
      <c r="Q272" t="s">
        <v>109</v>
      </c>
      <c r="R272" s="4"/>
      <c r="S272" s="4"/>
      <c r="U272" s="4"/>
      <c r="Y272" s="4"/>
      <c r="Z272" s="4"/>
      <c r="AA272" s="4"/>
      <c r="AB272" s="4"/>
      <c r="AC272" s="4"/>
      <c r="AD272" s="4"/>
      <c r="AE272" s="4"/>
      <c r="AF272" s="4"/>
      <c r="AG272" s="4"/>
      <c r="AH272" s="4"/>
      <c r="AI272" s="4"/>
      <c r="AJ272" s="4"/>
      <c r="AK272" s="4"/>
      <c r="AL272" s="4"/>
      <c r="AP272" s="4"/>
      <c r="AX272" s="4"/>
      <c r="AY272" s="4"/>
      <c r="AZ272" s="4"/>
      <c r="BA272" s="4"/>
      <c r="BB272" s="4"/>
      <c r="BC272" s="4"/>
      <c r="BD272" s="4"/>
      <c r="BE272" s="4"/>
      <c r="BF272" s="4"/>
      <c r="BG272" s="4"/>
      <c r="BI272" s="4"/>
      <c r="BP272" s="4"/>
      <c r="BS272" s="4"/>
      <c r="BW272" s="4"/>
      <c r="BX272" s="4"/>
    </row>
    <row r="273" spans="1:76" ht="12.75" x14ac:dyDescent="0.2">
      <c r="A273" s="4" t="s">
        <v>1346</v>
      </c>
      <c r="B273" s="4" t="s">
        <v>253</v>
      </c>
      <c r="C273" s="4" t="s">
        <v>1350</v>
      </c>
      <c r="D273" s="4">
        <v>2556</v>
      </c>
      <c r="E273" s="4" t="s">
        <v>12</v>
      </c>
      <c r="F273" s="4" t="s">
        <v>895</v>
      </c>
      <c r="G273" s="113">
        <v>0.25</v>
      </c>
      <c r="H273" t="s">
        <v>1781</v>
      </c>
      <c r="I273" s="4">
        <v>0.6</v>
      </c>
      <c r="L273" s="4" t="s">
        <v>1537</v>
      </c>
      <c r="M273" s="4" t="s">
        <v>109</v>
      </c>
      <c r="N273" s="4" t="s">
        <v>7</v>
      </c>
      <c r="O273" s="4"/>
      <c r="P273" s="4" t="s">
        <v>1693</v>
      </c>
      <c r="Q273" t="s">
        <v>109</v>
      </c>
      <c r="R273" s="4"/>
      <c r="S273" s="4"/>
      <c r="U273" s="4"/>
      <c r="Y273" s="4"/>
      <c r="Z273" s="4"/>
      <c r="AA273" s="4"/>
      <c r="AB273" s="4"/>
      <c r="AC273" s="4"/>
      <c r="AD273" s="4"/>
      <c r="AE273" s="4"/>
      <c r="AF273" s="4"/>
      <c r="AG273" s="4"/>
      <c r="AH273" s="4"/>
      <c r="AI273" s="4"/>
      <c r="AJ273" s="4"/>
      <c r="AK273" s="4"/>
      <c r="AL273" s="4"/>
      <c r="AP273" s="4"/>
      <c r="AX273" s="4"/>
      <c r="AY273" s="4"/>
      <c r="AZ273" s="4"/>
      <c r="BA273" s="4"/>
      <c r="BB273" s="4"/>
      <c r="BC273" s="4"/>
      <c r="BD273" s="4"/>
      <c r="BE273" s="4"/>
      <c r="BF273" s="4"/>
      <c r="BG273" s="4"/>
      <c r="BI273" s="4"/>
      <c r="BP273" s="4"/>
      <c r="BS273" s="4"/>
      <c r="BW273" s="4"/>
      <c r="BX273" s="4"/>
    </row>
    <row r="274" spans="1:76" ht="12.75" x14ac:dyDescent="0.2">
      <c r="A274" s="4" t="s">
        <v>1346</v>
      </c>
      <c r="B274" s="4" t="s">
        <v>253</v>
      </c>
      <c r="C274" s="4" t="s">
        <v>1351</v>
      </c>
      <c r="D274" s="4">
        <v>2556</v>
      </c>
      <c r="E274" s="4" t="s">
        <v>12</v>
      </c>
      <c r="F274" s="4" t="s">
        <v>895</v>
      </c>
      <c r="G274" s="113">
        <v>0.25</v>
      </c>
      <c r="H274" t="s">
        <v>1781</v>
      </c>
      <c r="I274" s="4">
        <v>0.6</v>
      </c>
      <c r="L274" s="4" t="s">
        <v>1537</v>
      </c>
      <c r="M274" s="4" t="s">
        <v>109</v>
      </c>
      <c r="N274" s="4" t="s">
        <v>7</v>
      </c>
      <c r="O274" s="4"/>
      <c r="P274" s="4" t="s">
        <v>1693</v>
      </c>
      <c r="Q274" t="s">
        <v>109</v>
      </c>
      <c r="R274" s="4"/>
      <c r="S274" s="4"/>
      <c r="U274" s="4"/>
      <c r="Y274" s="4"/>
      <c r="Z274" s="4"/>
      <c r="AA274" s="4"/>
      <c r="AB274" s="4"/>
      <c r="AC274" s="4"/>
      <c r="AD274" s="4"/>
      <c r="AE274" s="4"/>
      <c r="AF274" s="4"/>
      <c r="AG274" s="4"/>
      <c r="AH274" s="4"/>
      <c r="AI274" s="4"/>
      <c r="AJ274" s="4"/>
      <c r="AK274" s="4"/>
      <c r="AL274" s="4"/>
      <c r="AP274" s="4"/>
      <c r="AX274" s="4"/>
      <c r="AY274" s="4"/>
      <c r="AZ274" s="4"/>
      <c r="BA274" s="4"/>
      <c r="BB274" s="4"/>
      <c r="BC274" s="4"/>
      <c r="BD274" s="4"/>
      <c r="BE274" s="4"/>
      <c r="BF274" s="4"/>
      <c r="BG274" s="4"/>
      <c r="BI274" s="4"/>
      <c r="BP274" s="4"/>
      <c r="BS274" s="4"/>
      <c r="BW274" s="4"/>
      <c r="BX274" s="4"/>
    </row>
    <row r="275" spans="1:76" ht="12.75" x14ac:dyDescent="0.2">
      <c r="A275" s="4" t="s">
        <v>501</v>
      </c>
      <c r="B275" s="4" t="s">
        <v>114</v>
      </c>
      <c r="C275" s="4" t="s">
        <v>1349</v>
      </c>
      <c r="D275" s="4">
        <v>2557</v>
      </c>
      <c r="E275" s="4" t="s">
        <v>22</v>
      </c>
      <c r="F275" s="4" t="s">
        <v>895</v>
      </c>
      <c r="G275" s="113">
        <v>1</v>
      </c>
      <c r="H275" t="s">
        <v>1781</v>
      </c>
      <c r="I275" s="4">
        <v>2.1904761904761907</v>
      </c>
      <c r="L275" s="4" t="s">
        <v>1544</v>
      </c>
      <c r="M275" s="4" t="s">
        <v>109</v>
      </c>
      <c r="N275" s="4" t="s">
        <v>7</v>
      </c>
      <c r="O275" s="4"/>
      <c r="P275" s="4" t="s">
        <v>1693</v>
      </c>
      <c r="Q275" t="s">
        <v>109</v>
      </c>
      <c r="R275" s="4"/>
      <c r="S275" s="4"/>
      <c r="U275" s="4"/>
      <c r="Y275" s="4"/>
      <c r="Z275" s="4"/>
      <c r="AA275" s="4"/>
      <c r="AB275" s="4"/>
      <c r="AC275" s="4"/>
      <c r="AD275" s="4"/>
      <c r="AE275" s="4"/>
      <c r="AF275" s="4"/>
      <c r="AG275" s="4"/>
      <c r="AH275" s="4"/>
      <c r="AI275" s="4"/>
      <c r="AJ275" s="4"/>
      <c r="AK275" s="4"/>
      <c r="AL275" s="4"/>
      <c r="AP275" s="4"/>
      <c r="AX275" s="4"/>
      <c r="AY275" s="4"/>
      <c r="AZ275" s="4"/>
      <c r="BA275" s="4"/>
      <c r="BB275" s="4"/>
      <c r="BC275" s="4"/>
      <c r="BD275" s="4"/>
      <c r="BE275" s="4"/>
      <c r="BF275" s="4"/>
      <c r="BG275" s="4"/>
      <c r="BI275" s="4"/>
      <c r="BP275" s="4"/>
      <c r="BS275" s="4"/>
      <c r="BW275" s="4"/>
      <c r="BX275" s="4"/>
    </row>
    <row r="276" spans="1:76" ht="12.75" x14ac:dyDescent="0.2">
      <c r="A276" s="4" t="s">
        <v>305</v>
      </c>
      <c r="B276" s="4" t="s">
        <v>314</v>
      </c>
      <c r="C276" s="4" t="s">
        <v>1303</v>
      </c>
      <c r="D276" s="4">
        <v>2563</v>
      </c>
      <c r="E276" s="4" t="s">
        <v>25</v>
      </c>
      <c r="F276" s="4" t="s">
        <v>4</v>
      </c>
      <c r="G276" s="113">
        <v>0.5</v>
      </c>
      <c r="H276" t="s">
        <v>1781</v>
      </c>
      <c r="I276" s="4">
        <v>0.08</v>
      </c>
      <c r="L276" s="4" t="s">
        <v>1576</v>
      </c>
      <c r="M276" s="4" t="s">
        <v>109</v>
      </c>
      <c r="N276" s="4" t="s">
        <v>7</v>
      </c>
      <c r="O276" s="4"/>
      <c r="P276" s="4" t="s">
        <v>1693</v>
      </c>
      <c r="Q276" t="s">
        <v>109</v>
      </c>
      <c r="R276" s="4"/>
      <c r="S276" s="4"/>
      <c r="U276" s="4"/>
      <c r="Y276" s="4"/>
      <c r="Z276" s="4"/>
      <c r="AA276" s="4"/>
      <c r="AB276" s="4"/>
      <c r="AC276" s="4"/>
      <c r="AD276" s="4"/>
      <c r="AE276" s="4"/>
      <c r="AF276" s="4"/>
      <c r="AG276" s="4"/>
      <c r="AH276" s="4"/>
      <c r="AI276" s="4"/>
      <c r="AJ276" s="4"/>
      <c r="AK276" s="4"/>
      <c r="AL276" s="4"/>
      <c r="AP276" s="4"/>
      <c r="AX276" s="4"/>
      <c r="AY276" s="4"/>
      <c r="AZ276" s="4"/>
      <c r="BA276" s="4"/>
      <c r="BB276" s="4"/>
      <c r="BC276" s="4"/>
      <c r="BD276" s="4"/>
      <c r="BE276" s="4"/>
      <c r="BF276" s="4"/>
      <c r="BG276" s="4"/>
      <c r="BI276" s="4"/>
      <c r="BP276" s="4"/>
      <c r="BS276" s="4"/>
      <c r="BW276" s="4"/>
      <c r="BX276" s="4"/>
    </row>
    <row r="277" spans="1:76" ht="12.75" x14ac:dyDescent="0.2">
      <c r="A277" s="4" t="s">
        <v>305</v>
      </c>
      <c r="B277" s="4" t="s">
        <v>210</v>
      </c>
      <c r="C277" s="4" t="s">
        <v>778</v>
      </c>
      <c r="D277" s="4">
        <v>2563</v>
      </c>
      <c r="E277" s="4" t="s">
        <v>25</v>
      </c>
      <c r="F277" s="4" t="s">
        <v>4</v>
      </c>
      <c r="G277" s="113">
        <v>0.33333333333333331</v>
      </c>
      <c r="H277" t="s">
        <v>1781</v>
      </c>
      <c r="I277" s="4">
        <v>0.1</v>
      </c>
      <c r="L277" s="4" t="s">
        <v>1575</v>
      </c>
      <c r="M277" s="4" t="s">
        <v>109</v>
      </c>
      <c r="N277" s="4" t="s">
        <v>7</v>
      </c>
      <c r="O277" s="4"/>
      <c r="P277" s="4" t="s">
        <v>1693</v>
      </c>
      <c r="Q277" t="s">
        <v>109</v>
      </c>
      <c r="R277" s="4"/>
      <c r="S277" s="4"/>
      <c r="U277" s="4"/>
      <c r="Y277" s="4"/>
      <c r="Z277" s="4"/>
      <c r="AA277" s="4"/>
      <c r="AB277" s="4"/>
      <c r="AC277" s="4"/>
      <c r="AD277" s="4"/>
      <c r="AE277" s="4"/>
      <c r="AF277" s="4"/>
      <c r="AG277" s="4"/>
      <c r="AH277" s="4"/>
      <c r="AI277" s="4"/>
      <c r="AJ277" s="4"/>
      <c r="AK277" s="4"/>
      <c r="AL277" s="4"/>
      <c r="AP277" s="4"/>
      <c r="AX277" s="4"/>
      <c r="AY277" s="4"/>
      <c r="AZ277" s="4"/>
      <c r="BA277" s="4"/>
      <c r="BB277" s="4"/>
      <c r="BC277" s="4"/>
      <c r="BD277" s="4"/>
      <c r="BE277" s="4"/>
      <c r="BF277" s="4"/>
      <c r="BG277" s="4"/>
      <c r="BI277" s="4"/>
      <c r="BP277" s="4"/>
      <c r="BS277" s="4"/>
      <c r="BW277" s="4"/>
      <c r="BX277" s="4"/>
    </row>
    <row r="278" spans="1:76" ht="12.75" x14ac:dyDescent="0.2">
      <c r="A278" s="4" t="s">
        <v>305</v>
      </c>
      <c r="B278" s="4" t="s">
        <v>314</v>
      </c>
      <c r="C278" s="4" t="s">
        <v>138</v>
      </c>
      <c r="D278" s="4">
        <v>2563</v>
      </c>
      <c r="E278" s="4" t="s">
        <v>25</v>
      </c>
      <c r="F278" s="4" t="s">
        <v>4</v>
      </c>
      <c r="G278" s="113">
        <v>0.5</v>
      </c>
      <c r="H278" t="s">
        <v>1781</v>
      </c>
      <c r="I278" s="4">
        <v>0.11</v>
      </c>
      <c r="L278" s="4" t="s">
        <v>1576</v>
      </c>
      <c r="M278" s="4" t="s">
        <v>109</v>
      </c>
      <c r="N278" s="4" t="s">
        <v>7</v>
      </c>
      <c r="O278" s="4"/>
      <c r="P278" s="4" t="s">
        <v>1693</v>
      </c>
      <c r="Q278" t="s">
        <v>109</v>
      </c>
      <c r="R278" s="4"/>
      <c r="S278" s="4"/>
      <c r="U278" s="4"/>
      <c r="Y278" s="4"/>
      <c r="Z278" s="4"/>
      <c r="AA278" s="4"/>
      <c r="AB278" s="4"/>
      <c r="AC278" s="4"/>
      <c r="AD278" s="4"/>
      <c r="AE278" s="4"/>
      <c r="AF278" s="4"/>
      <c r="AG278" s="4"/>
      <c r="AH278" s="4"/>
      <c r="AI278" s="4"/>
      <c r="AJ278" s="4"/>
      <c r="AK278" s="4"/>
      <c r="AL278" s="4"/>
      <c r="AP278" s="4"/>
      <c r="AX278" s="4"/>
      <c r="AY278" s="4"/>
      <c r="AZ278" s="4"/>
      <c r="BA278" s="4"/>
      <c r="BB278" s="4"/>
      <c r="BC278" s="4"/>
      <c r="BD278" s="4"/>
      <c r="BE278" s="4"/>
      <c r="BF278" s="4"/>
      <c r="BG278" s="4"/>
      <c r="BI278" s="4"/>
      <c r="BP278" s="4"/>
      <c r="BS278" s="4"/>
      <c r="BW278" s="4"/>
      <c r="BX278" s="4"/>
    </row>
    <row r="279" spans="1:76" ht="12.75" x14ac:dyDescent="0.2">
      <c r="A279" s="4" t="s">
        <v>305</v>
      </c>
      <c r="B279" s="4" t="s">
        <v>210</v>
      </c>
      <c r="C279" s="4" t="s">
        <v>778</v>
      </c>
      <c r="D279" s="4">
        <v>2563</v>
      </c>
      <c r="E279" s="4" t="s">
        <v>25</v>
      </c>
      <c r="F279" s="4" t="s">
        <v>4</v>
      </c>
      <c r="G279" s="113">
        <v>0.33333333333333331</v>
      </c>
      <c r="H279" t="s">
        <v>1781</v>
      </c>
      <c r="I279" s="4">
        <v>0.12</v>
      </c>
      <c r="L279" s="4" t="s">
        <v>1575</v>
      </c>
      <c r="M279" s="4" t="s">
        <v>109</v>
      </c>
      <c r="N279" s="4" t="s">
        <v>7</v>
      </c>
      <c r="O279" s="4"/>
      <c r="P279" s="4" t="s">
        <v>1693</v>
      </c>
      <c r="Q279" t="s">
        <v>109</v>
      </c>
      <c r="R279" s="4"/>
      <c r="S279" s="4"/>
      <c r="U279" s="4"/>
      <c r="Y279" s="4"/>
      <c r="Z279" s="4"/>
      <c r="AA279" s="4"/>
      <c r="AB279" s="4"/>
      <c r="AC279" s="4"/>
      <c r="AD279" s="4"/>
      <c r="AE279" s="4"/>
      <c r="AF279" s="4"/>
      <c r="AG279" s="4"/>
      <c r="AH279" s="4"/>
      <c r="AI279" s="4"/>
      <c r="AJ279" s="4"/>
      <c r="AK279" s="4"/>
      <c r="AL279" s="4"/>
      <c r="AP279" s="4"/>
      <c r="AX279" s="4"/>
      <c r="AY279" s="4"/>
      <c r="AZ279" s="4"/>
      <c r="BA279" s="4"/>
      <c r="BB279" s="4"/>
      <c r="BC279" s="4"/>
      <c r="BD279" s="4"/>
      <c r="BE279" s="4"/>
      <c r="BF279" s="4"/>
      <c r="BG279" s="4"/>
      <c r="BI279" s="4"/>
      <c r="BP279" s="4"/>
      <c r="BS279" s="4"/>
      <c r="BW279" s="4"/>
      <c r="BX279" s="4"/>
    </row>
    <row r="280" spans="1:76" ht="12.75" x14ac:dyDescent="0.2">
      <c r="A280" s="4" t="s">
        <v>1345</v>
      </c>
      <c r="B280" s="4" t="s">
        <v>210</v>
      </c>
      <c r="C280" s="4" t="s">
        <v>111</v>
      </c>
      <c r="D280" s="4">
        <v>2563</v>
      </c>
      <c r="E280" s="4" t="s">
        <v>25</v>
      </c>
      <c r="F280" s="4" t="s">
        <v>4</v>
      </c>
      <c r="G280" s="113">
        <v>1</v>
      </c>
      <c r="H280" t="s">
        <v>1781</v>
      </c>
      <c r="I280" s="4">
        <v>0.13715250000000001</v>
      </c>
      <c r="L280" s="4" t="s">
        <v>1579</v>
      </c>
      <c r="M280" s="4" t="s">
        <v>109</v>
      </c>
      <c r="N280" s="4" t="s">
        <v>7</v>
      </c>
      <c r="O280" s="4"/>
      <c r="P280" s="4" t="s">
        <v>1693</v>
      </c>
      <c r="Q280" t="s">
        <v>109</v>
      </c>
      <c r="R280" s="4"/>
      <c r="S280" s="4"/>
      <c r="U280" s="4"/>
      <c r="Y280" s="4"/>
      <c r="Z280" s="4"/>
      <c r="AA280" s="4"/>
      <c r="AB280" s="4"/>
      <c r="AC280" s="4"/>
      <c r="AD280" s="4"/>
      <c r="AE280" s="4"/>
      <c r="AF280" s="4"/>
      <c r="AG280" s="4"/>
      <c r="AH280" s="4"/>
      <c r="AI280" s="4"/>
      <c r="AJ280" s="4"/>
      <c r="AK280" s="4"/>
      <c r="AL280" s="4"/>
      <c r="AP280" s="4"/>
      <c r="AX280" s="4"/>
      <c r="AY280" s="4"/>
      <c r="AZ280" s="4"/>
      <c r="BA280" s="4"/>
      <c r="BB280" s="4"/>
      <c r="BC280" s="4"/>
      <c r="BD280" s="4"/>
      <c r="BE280" s="4"/>
      <c r="BF280" s="4"/>
      <c r="BG280" s="4"/>
      <c r="BI280" s="4"/>
      <c r="BP280" s="4"/>
      <c r="BS280" s="4"/>
      <c r="BW280" s="4"/>
      <c r="BX280" s="4"/>
    </row>
    <row r="281" spans="1:76" ht="12.75" x14ac:dyDescent="0.2">
      <c r="A281" s="4" t="s">
        <v>305</v>
      </c>
      <c r="B281" s="4" t="s">
        <v>210</v>
      </c>
      <c r="C281" s="4" t="s">
        <v>778</v>
      </c>
      <c r="D281" s="4">
        <v>2563</v>
      </c>
      <c r="E281" s="4" t="s">
        <v>25</v>
      </c>
      <c r="F281" s="4" t="s">
        <v>4</v>
      </c>
      <c r="G281" s="113">
        <v>0.33333333333333331</v>
      </c>
      <c r="H281" t="s">
        <v>1781</v>
      </c>
      <c r="I281" s="4">
        <v>0.22</v>
      </c>
      <c r="L281" s="4" t="s">
        <v>1575</v>
      </c>
      <c r="M281" s="4" t="s">
        <v>109</v>
      </c>
      <c r="N281" s="4" t="s">
        <v>7</v>
      </c>
      <c r="O281" s="4"/>
      <c r="P281" s="4" t="s">
        <v>1693</v>
      </c>
      <c r="Q281" t="s">
        <v>109</v>
      </c>
      <c r="R281" s="4"/>
      <c r="S281" s="4"/>
      <c r="U281" s="4"/>
      <c r="Y281" s="4"/>
      <c r="Z281" s="4"/>
      <c r="AA281" s="4"/>
      <c r="AB281" s="4"/>
      <c r="AC281" s="4"/>
      <c r="AD281" s="4"/>
      <c r="AE281" s="4"/>
      <c r="AF281" s="4"/>
      <c r="AG281" s="4"/>
      <c r="AH281" s="4"/>
      <c r="AI281" s="4"/>
      <c r="AJ281" s="4"/>
      <c r="AK281" s="4"/>
      <c r="AL281" s="4"/>
      <c r="AP281" s="4"/>
      <c r="AX281" s="4"/>
      <c r="AY281" s="4"/>
      <c r="AZ281" s="4"/>
      <c r="BA281" s="4"/>
      <c r="BB281" s="4"/>
      <c r="BC281" s="4"/>
      <c r="BD281" s="4"/>
      <c r="BE281" s="4"/>
      <c r="BF281" s="4"/>
      <c r="BG281" s="4"/>
      <c r="BI281" s="4"/>
      <c r="BP281" s="4"/>
      <c r="BS281" s="4"/>
      <c r="BW281" s="4"/>
      <c r="BX281" s="4"/>
    </row>
    <row r="282" spans="1:76" ht="12.75" x14ac:dyDescent="0.2">
      <c r="A282" s="4" t="s">
        <v>305</v>
      </c>
      <c r="B282" s="4" t="s">
        <v>77</v>
      </c>
      <c r="C282" s="4" t="s">
        <v>101</v>
      </c>
      <c r="D282" s="4">
        <v>2563</v>
      </c>
      <c r="E282" s="4" t="s">
        <v>25</v>
      </c>
      <c r="F282" s="4" t="s">
        <v>4</v>
      </c>
      <c r="G282" s="113">
        <v>0.5</v>
      </c>
      <c r="H282" t="s">
        <v>1781</v>
      </c>
      <c r="I282" s="4">
        <v>0.254</v>
      </c>
      <c r="L282" s="4" t="s">
        <v>1570</v>
      </c>
      <c r="M282" s="4" t="s">
        <v>109</v>
      </c>
      <c r="N282" s="4" t="s">
        <v>7</v>
      </c>
      <c r="O282" s="4"/>
      <c r="P282" s="4" t="s">
        <v>1693</v>
      </c>
      <c r="Q282" t="s">
        <v>109</v>
      </c>
      <c r="R282" s="4"/>
      <c r="S282" s="4"/>
      <c r="U282" s="4"/>
      <c r="Y282" s="4"/>
      <c r="Z282" s="4"/>
      <c r="AA282" s="4"/>
      <c r="AB282" s="4"/>
      <c r="AC282" s="4"/>
      <c r="AD282" s="4"/>
      <c r="AE282" s="4"/>
      <c r="AF282" s="4"/>
      <c r="AG282" s="4"/>
      <c r="AH282" s="4"/>
      <c r="AI282" s="4"/>
      <c r="AJ282" s="4"/>
      <c r="AK282" s="4"/>
      <c r="AL282" s="4"/>
      <c r="AP282" s="4"/>
      <c r="AX282" s="4"/>
      <c r="AY282" s="4"/>
      <c r="AZ282" s="4"/>
      <c r="BA282" s="4"/>
      <c r="BB282" s="4"/>
      <c r="BC282" s="4"/>
      <c r="BD282" s="4"/>
      <c r="BE282" s="4"/>
      <c r="BF282" s="4"/>
      <c r="BG282" s="4"/>
      <c r="BI282" s="4"/>
      <c r="BP282" s="4"/>
      <c r="BS282" s="4"/>
      <c r="BW282" s="4"/>
      <c r="BX282" s="4"/>
    </row>
    <row r="283" spans="1:76" ht="12.75" x14ac:dyDescent="0.2">
      <c r="A283" s="4" t="s">
        <v>305</v>
      </c>
      <c r="B283" s="4" t="s">
        <v>77</v>
      </c>
      <c r="C283" s="4" t="s">
        <v>111</v>
      </c>
      <c r="D283" s="4">
        <v>2563</v>
      </c>
      <c r="E283" s="4" t="s">
        <v>25</v>
      </c>
      <c r="F283" s="4" t="s">
        <v>4</v>
      </c>
      <c r="G283" s="113">
        <v>0.5</v>
      </c>
      <c r="H283" t="s">
        <v>1781</v>
      </c>
      <c r="I283" s="4">
        <v>0.32500000000000001</v>
      </c>
      <c r="L283" s="4" t="s">
        <v>1570</v>
      </c>
      <c r="M283" s="4" t="s">
        <v>109</v>
      </c>
      <c r="N283" s="4" t="s">
        <v>7</v>
      </c>
      <c r="O283" s="4"/>
      <c r="P283" s="4" t="s">
        <v>1693</v>
      </c>
      <c r="Q283" t="s">
        <v>109</v>
      </c>
      <c r="R283" s="4"/>
      <c r="S283" s="4"/>
      <c r="U283" s="4"/>
      <c r="Y283" s="4"/>
      <c r="Z283" s="4"/>
      <c r="AA283" s="4"/>
      <c r="AB283" s="4"/>
      <c r="AC283" s="4"/>
      <c r="AD283" s="4"/>
      <c r="AE283" s="4"/>
      <c r="AF283" s="4"/>
      <c r="AG283" s="4"/>
      <c r="AH283" s="4"/>
      <c r="AI283" s="4"/>
      <c r="AJ283" s="4"/>
      <c r="AK283" s="4"/>
      <c r="AL283" s="4"/>
      <c r="AP283" s="4"/>
      <c r="AX283" s="4"/>
      <c r="AY283" s="4"/>
      <c r="AZ283" s="4"/>
      <c r="BA283" s="4"/>
      <c r="BB283" s="4"/>
      <c r="BC283" s="4"/>
      <c r="BD283" s="4"/>
      <c r="BE283" s="4"/>
      <c r="BF283" s="4"/>
      <c r="BG283" s="4"/>
      <c r="BI283" s="4"/>
      <c r="BP283" s="4"/>
      <c r="BS283" s="4"/>
      <c r="BW283" s="4"/>
      <c r="BX283" s="4"/>
    </row>
    <row r="284" spans="1:76" ht="12.75" x14ac:dyDescent="0.2">
      <c r="A284" s="4" t="s">
        <v>305</v>
      </c>
      <c r="B284" s="4" t="s">
        <v>308</v>
      </c>
      <c r="C284" s="4" t="s">
        <v>1361</v>
      </c>
      <c r="D284" s="4">
        <v>2563</v>
      </c>
      <c r="E284" s="4" t="s">
        <v>25</v>
      </c>
      <c r="F284" s="4" t="s">
        <v>4</v>
      </c>
      <c r="G284" s="113">
        <v>1</v>
      </c>
      <c r="H284" t="s">
        <v>1781</v>
      </c>
      <c r="I284" s="4">
        <v>0.39412223926380369</v>
      </c>
      <c r="L284" s="4" t="s">
        <v>1578</v>
      </c>
      <c r="M284" s="4" t="s">
        <v>109</v>
      </c>
      <c r="N284" s="4" t="s">
        <v>7</v>
      </c>
      <c r="O284" s="4"/>
      <c r="P284" s="4" t="s">
        <v>1693</v>
      </c>
      <c r="Q284" t="s">
        <v>109</v>
      </c>
      <c r="R284" s="4"/>
      <c r="S284" s="4"/>
      <c r="U284" s="4"/>
      <c r="Y284" s="4"/>
      <c r="Z284" s="4"/>
      <c r="AA284" s="4"/>
      <c r="AB284" s="4"/>
      <c r="AC284" s="4"/>
      <c r="AD284" s="4"/>
      <c r="AE284" s="4"/>
      <c r="AF284" s="4"/>
      <c r="AG284" s="4"/>
      <c r="AH284" s="4"/>
      <c r="AI284" s="4"/>
      <c r="AJ284" s="4"/>
      <c r="AK284" s="4"/>
      <c r="AL284" s="4"/>
      <c r="AP284" s="4"/>
      <c r="AX284" s="4"/>
      <c r="AY284" s="4"/>
      <c r="AZ284" s="4"/>
      <c r="BA284" s="4"/>
      <c r="BB284" s="4"/>
      <c r="BC284" s="4"/>
      <c r="BD284" s="4"/>
      <c r="BE284" s="4"/>
      <c r="BF284" s="4"/>
      <c r="BG284" s="4"/>
      <c r="BI284" s="4"/>
      <c r="BP284" s="4"/>
      <c r="BS284" s="4"/>
      <c r="BW284" s="4"/>
      <c r="BX284" s="4"/>
    </row>
    <row r="285" spans="1:76" ht="12.75" x14ac:dyDescent="0.2">
      <c r="A285" s="4" t="s">
        <v>1345</v>
      </c>
      <c r="B285" s="4" t="s">
        <v>314</v>
      </c>
      <c r="C285" s="4" t="s">
        <v>111</v>
      </c>
      <c r="D285" s="4">
        <v>2563</v>
      </c>
      <c r="E285" s="4" t="s">
        <v>25</v>
      </c>
      <c r="F285" s="4" t="s">
        <v>4</v>
      </c>
      <c r="G285" s="113">
        <v>0.25</v>
      </c>
      <c r="H285" t="s">
        <v>1781</v>
      </c>
      <c r="I285" s="4">
        <v>0.43897999999999998</v>
      </c>
      <c r="L285" s="4" t="s">
        <v>1577</v>
      </c>
      <c r="M285" s="4" t="s">
        <v>109</v>
      </c>
      <c r="N285" s="4" t="s">
        <v>7</v>
      </c>
      <c r="O285" s="4"/>
      <c r="P285" s="4" t="s">
        <v>1693</v>
      </c>
      <c r="Q285" t="s">
        <v>109</v>
      </c>
      <c r="R285" s="4"/>
      <c r="S285" s="4"/>
      <c r="U285" s="4"/>
      <c r="Y285" s="4"/>
      <c r="Z285" s="4"/>
      <c r="AA285" s="4"/>
      <c r="AB285" s="4"/>
      <c r="AC285" s="4"/>
      <c r="AD285" s="4"/>
      <c r="AE285" s="4"/>
      <c r="AF285" s="4"/>
      <c r="AG285" s="4"/>
      <c r="AH285" s="4"/>
      <c r="AI285" s="4"/>
      <c r="AJ285" s="4"/>
      <c r="AK285" s="4"/>
      <c r="AL285" s="4"/>
      <c r="AP285" s="4"/>
      <c r="AX285" s="4"/>
      <c r="AY285" s="4"/>
      <c r="AZ285" s="4"/>
      <c r="BA285" s="4"/>
      <c r="BB285" s="4"/>
      <c r="BC285" s="4"/>
      <c r="BD285" s="4"/>
      <c r="BE285" s="4"/>
      <c r="BF285" s="4"/>
      <c r="BG285" s="4"/>
      <c r="BI285" s="4"/>
      <c r="BP285" s="4"/>
      <c r="BS285" s="4"/>
      <c r="BW285" s="4"/>
      <c r="BX285" s="4"/>
    </row>
    <row r="286" spans="1:76" ht="12.75" x14ac:dyDescent="0.2">
      <c r="A286" s="4" t="s">
        <v>1345</v>
      </c>
      <c r="B286" s="4" t="s">
        <v>314</v>
      </c>
      <c r="C286" s="4" t="s">
        <v>111</v>
      </c>
      <c r="D286" s="4">
        <v>2563</v>
      </c>
      <c r="E286" s="4" t="s">
        <v>25</v>
      </c>
      <c r="F286" s="4" t="s">
        <v>4</v>
      </c>
      <c r="G286" s="113">
        <v>0.25</v>
      </c>
      <c r="H286" t="s">
        <v>1781</v>
      </c>
      <c r="I286" s="4">
        <v>0.43995200000000001</v>
      </c>
      <c r="L286" s="4" t="s">
        <v>1577</v>
      </c>
      <c r="M286" s="4" t="s">
        <v>109</v>
      </c>
      <c r="N286" s="4" t="s">
        <v>7</v>
      </c>
      <c r="O286" s="4"/>
      <c r="P286" s="4" t="s">
        <v>1693</v>
      </c>
      <c r="Q286" t="s">
        <v>109</v>
      </c>
      <c r="R286" s="4"/>
      <c r="S286" s="4"/>
      <c r="U286" s="4"/>
      <c r="Y286" s="4"/>
      <c r="Z286" s="4"/>
      <c r="AA286" s="4"/>
      <c r="AB286" s="4"/>
      <c r="AC286" s="4"/>
      <c r="AD286" s="4"/>
      <c r="AE286" s="4"/>
      <c r="AF286" s="4"/>
      <c r="AG286" s="4"/>
      <c r="AH286" s="4"/>
      <c r="AI286" s="4"/>
      <c r="AJ286" s="4"/>
      <c r="AK286" s="4"/>
      <c r="AL286" s="4"/>
      <c r="AP286" s="4"/>
      <c r="AX286" s="4"/>
      <c r="AY286" s="4"/>
      <c r="AZ286" s="4"/>
      <c r="BA286" s="4"/>
      <c r="BB286" s="4"/>
      <c r="BC286" s="4"/>
      <c r="BD286" s="4"/>
      <c r="BE286" s="4"/>
      <c r="BF286" s="4"/>
      <c r="BG286" s="4"/>
      <c r="BI286" s="4"/>
      <c r="BP286" s="4"/>
      <c r="BS286" s="4"/>
      <c r="BW286" s="4"/>
      <c r="BX286" s="4"/>
    </row>
    <row r="287" spans="1:76" ht="12.75" x14ac:dyDescent="0.2">
      <c r="A287" s="4" t="s">
        <v>1345</v>
      </c>
      <c r="B287" s="4" t="s">
        <v>314</v>
      </c>
      <c r="C287" s="4" t="s">
        <v>111</v>
      </c>
      <c r="D287" s="4">
        <v>2563</v>
      </c>
      <c r="E287" s="4" t="s">
        <v>25</v>
      </c>
      <c r="F287" s="4" t="s">
        <v>4</v>
      </c>
      <c r="G287" s="113">
        <v>0.25</v>
      </c>
      <c r="H287" t="s">
        <v>1781</v>
      </c>
      <c r="I287" s="4">
        <v>0.453102</v>
      </c>
      <c r="L287" s="4" t="s">
        <v>1577</v>
      </c>
      <c r="M287" s="4" t="s">
        <v>109</v>
      </c>
      <c r="N287" s="4" t="s">
        <v>7</v>
      </c>
      <c r="O287" s="4"/>
      <c r="P287" s="4" t="s">
        <v>1693</v>
      </c>
      <c r="Q287" t="s">
        <v>109</v>
      </c>
      <c r="R287" s="4"/>
      <c r="S287" s="4"/>
      <c r="U287" s="4"/>
      <c r="Y287" s="4"/>
      <c r="Z287" s="4"/>
      <c r="AA287" s="4"/>
      <c r="AB287" s="4"/>
      <c r="AC287" s="4"/>
      <c r="AD287" s="4"/>
      <c r="AE287" s="4"/>
      <c r="AF287" s="4"/>
      <c r="AG287" s="4"/>
      <c r="AH287" s="4"/>
      <c r="AI287" s="4"/>
      <c r="AJ287" s="4"/>
      <c r="AK287" s="4"/>
      <c r="AL287" s="4"/>
      <c r="AP287" s="4"/>
      <c r="AX287" s="4"/>
      <c r="AY287" s="4"/>
      <c r="AZ287" s="4"/>
      <c r="BA287" s="4"/>
      <c r="BB287" s="4"/>
      <c r="BC287" s="4"/>
      <c r="BD287" s="4"/>
      <c r="BE287" s="4"/>
      <c r="BF287" s="4"/>
      <c r="BG287" s="4"/>
      <c r="BI287" s="4"/>
      <c r="BP287" s="4"/>
      <c r="BS287" s="4"/>
      <c r="BW287" s="4"/>
      <c r="BX287" s="4"/>
    </row>
    <row r="288" spans="1:76" ht="12.75" x14ac:dyDescent="0.2">
      <c r="A288" s="4" t="s">
        <v>1345</v>
      </c>
      <c r="B288" s="4" t="s">
        <v>314</v>
      </c>
      <c r="C288" s="4" t="s">
        <v>111</v>
      </c>
      <c r="D288" s="4">
        <v>2563</v>
      </c>
      <c r="E288" s="4" t="s">
        <v>25</v>
      </c>
      <c r="F288" s="4" t="s">
        <v>4</v>
      </c>
      <c r="G288" s="113">
        <v>0.25</v>
      </c>
      <c r="H288" t="s">
        <v>1781</v>
      </c>
      <c r="I288" s="4">
        <v>0.45390000000000003</v>
      </c>
      <c r="L288" s="4" t="s">
        <v>1577</v>
      </c>
      <c r="M288" s="4" t="s">
        <v>109</v>
      </c>
      <c r="N288" s="4" t="s">
        <v>7</v>
      </c>
      <c r="O288" s="4"/>
      <c r="P288" s="4" t="s">
        <v>1693</v>
      </c>
      <c r="Q288" t="s">
        <v>109</v>
      </c>
      <c r="R288" s="4"/>
      <c r="S288" s="4"/>
      <c r="U288" s="4"/>
      <c r="Y288" s="4"/>
      <c r="Z288" s="4"/>
      <c r="AA288" s="4"/>
      <c r="AB288" s="4"/>
      <c r="AC288" s="4"/>
      <c r="AD288" s="4"/>
      <c r="AE288" s="4"/>
      <c r="AF288" s="4"/>
      <c r="AG288" s="4"/>
      <c r="AH288" s="4"/>
      <c r="AI288" s="4"/>
      <c r="AJ288" s="4"/>
      <c r="AK288" s="4"/>
      <c r="AL288" s="4"/>
      <c r="AP288" s="4"/>
      <c r="AX288" s="4"/>
      <c r="AY288" s="4"/>
      <c r="AZ288" s="4"/>
      <c r="BA288" s="4"/>
      <c r="BB288" s="4"/>
      <c r="BC288" s="4"/>
      <c r="BD288" s="4"/>
      <c r="BE288" s="4"/>
      <c r="BF288" s="4"/>
      <c r="BG288" s="4"/>
      <c r="BI288" s="4"/>
      <c r="BP288" s="4"/>
      <c r="BS288" s="4"/>
      <c r="BW288" s="4"/>
      <c r="BX288" s="4"/>
    </row>
    <row r="289" spans="1:76" ht="12.75" x14ac:dyDescent="0.2">
      <c r="A289" s="4" t="s">
        <v>453</v>
      </c>
      <c r="B289" s="4" t="s">
        <v>143</v>
      </c>
      <c r="C289" s="4" t="s">
        <v>101</v>
      </c>
      <c r="D289" s="4">
        <v>2571</v>
      </c>
      <c r="E289" s="4" t="s">
        <v>39</v>
      </c>
      <c r="F289" s="4" t="s">
        <v>1672</v>
      </c>
      <c r="G289" s="113">
        <v>0.5</v>
      </c>
      <c r="H289" t="s">
        <v>1781</v>
      </c>
      <c r="I289" s="4">
        <v>0.27200000000000008</v>
      </c>
      <c r="J289">
        <v>0.18</v>
      </c>
      <c r="K289">
        <v>0.34</v>
      </c>
      <c r="L289" s="4" t="s">
        <v>1574</v>
      </c>
      <c r="M289" s="4" t="s">
        <v>109</v>
      </c>
      <c r="N289" s="4" t="s">
        <v>1671</v>
      </c>
      <c r="O289" s="4"/>
      <c r="P289" s="4" t="s">
        <v>1693</v>
      </c>
      <c r="Q289" t="s">
        <v>109</v>
      </c>
      <c r="R289" s="4"/>
      <c r="S289" s="4"/>
      <c r="U289" s="4"/>
      <c r="Y289" s="4"/>
      <c r="Z289" s="4"/>
      <c r="AA289" s="4"/>
      <c r="AB289" s="4"/>
      <c r="AC289" s="4"/>
      <c r="AD289" s="4"/>
      <c r="AE289" s="4"/>
      <c r="AF289" s="4"/>
      <c r="AG289" s="4"/>
      <c r="AH289" s="4"/>
      <c r="AI289" s="4"/>
      <c r="AJ289" s="4"/>
      <c r="AK289" s="4"/>
      <c r="AL289" s="4"/>
      <c r="AP289" s="4"/>
      <c r="AX289" s="4"/>
      <c r="AY289" s="4"/>
      <c r="AZ289" s="4"/>
      <c r="BA289" s="4"/>
      <c r="BB289" s="4"/>
      <c r="BC289" s="4"/>
      <c r="BD289" s="4"/>
      <c r="BE289" s="4"/>
      <c r="BF289" s="4"/>
      <c r="BG289" s="4"/>
      <c r="BI289" s="4"/>
      <c r="BP289" s="4"/>
      <c r="BS289" s="4"/>
      <c r="BW289" s="4"/>
      <c r="BX289" s="4"/>
    </row>
    <row r="290" spans="1:76" ht="12.75" x14ac:dyDescent="0.2">
      <c r="A290" s="4" t="s">
        <v>453</v>
      </c>
      <c r="B290" s="4" t="s">
        <v>351</v>
      </c>
      <c r="C290" s="4" t="s">
        <v>111</v>
      </c>
      <c r="D290" s="4">
        <v>2571</v>
      </c>
      <c r="E290" s="4" t="s">
        <v>39</v>
      </c>
      <c r="F290" s="4" t="s">
        <v>1672</v>
      </c>
      <c r="G290" s="113">
        <v>0.16666666666666666</v>
      </c>
      <c r="H290" t="s">
        <v>1781</v>
      </c>
      <c r="I290" s="4">
        <v>0.33244444444444443</v>
      </c>
      <c r="J290">
        <v>0.18</v>
      </c>
      <c r="K290">
        <v>0.34</v>
      </c>
      <c r="L290" s="4" t="s">
        <v>1572</v>
      </c>
      <c r="M290" s="4" t="s">
        <v>109</v>
      </c>
      <c r="N290" s="4" t="s">
        <v>1671</v>
      </c>
      <c r="O290" s="4"/>
      <c r="P290" s="4" t="s">
        <v>1693</v>
      </c>
      <c r="Q290" t="s">
        <v>109</v>
      </c>
      <c r="R290" s="4"/>
      <c r="S290" s="4"/>
      <c r="U290" s="4"/>
      <c r="Y290" s="4"/>
      <c r="Z290" s="4"/>
      <c r="AA290" s="4"/>
      <c r="AB290" s="4"/>
      <c r="AC290" s="4"/>
      <c r="AD290" s="4"/>
      <c r="AE290" s="4"/>
      <c r="AF290" s="4"/>
      <c r="AG290" s="4"/>
      <c r="AH290" s="4"/>
      <c r="AI290" s="4"/>
      <c r="AJ290" s="4"/>
      <c r="AK290" s="4"/>
      <c r="AL290" s="4"/>
      <c r="AP290" s="4"/>
      <c r="AX290" s="4"/>
      <c r="AY290" s="4"/>
      <c r="AZ290" s="4"/>
      <c r="BA290" s="4"/>
      <c r="BB290" s="4"/>
      <c r="BC290" s="4"/>
      <c r="BD290" s="4"/>
      <c r="BE290" s="4"/>
      <c r="BF290" s="4"/>
      <c r="BG290" s="4"/>
      <c r="BI290" s="4"/>
      <c r="BP290" s="4"/>
      <c r="BS290" s="4"/>
      <c r="BW290" s="4"/>
      <c r="BX290" s="4"/>
    </row>
    <row r="291" spans="1:76" ht="12.75" x14ac:dyDescent="0.2">
      <c r="A291" s="4" t="s">
        <v>453</v>
      </c>
      <c r="B291" s="4" t="s">
        <v>351</v>
      </c>
      <c r="C291" s="4" t="s">
        <v>111</v>
      </c>
      <c r="D291" s="4">
        <v>2571</v>
      </c>
      <c r="E291" s="4" t="s">
        <v>39</v>
      </c>
      <c r="F291" s="4" t="s">
        <v>1672</v>
      </c>
      <c r="G291" s="113">
        <v>0.16666666666666666</v>
      </c>
      <c r="H291" t="s">
        <v>1781</v>
      </c>
      <c r="I291" s="4">
        <v>0.34755555555555556</v>
      </c>
      <c r="J291">
        <v>0.18</v>
      </c>
      <c r="K291">
        <v>0.34</v>
      </c>
      <c r="L291" s="4" t="s">
        <v>1572</v>
      </c>
      <c r="M291" s="4" t="s">
        <v>109</v>
      </c>
      <c r="N291" s="4" t="s">
        <v>1671</v>
      </c>
      <c r="O291" s="4"/>
      <c r="P291" s="4" t="s">
        <v>1693</v>
      </c>
      <c r="Q291" t="s">
        <v>109</v>
      </c>
      <c r="R291" s="4"/>
      <c r="S291" s="4"/>
      <c r="U291" s="4"/>
      <c r="Y291" s="4"/>
      <c r="Z291" s="4"/>
      <c r="AA291" s="4"/>
      <c r="AB291" s="4"/>
      <c r="AC291" s="4"/>
      <c r="AD291" s="4"/>
      <c r="AE291" s="4"/>
      <c r="AF291" s="4"/>
      <c r="AG291" s="4"/>
      <c r="AH291" s="4"/>
      <c r="AI291" s="4"/>
      <c r="AJ291" s="4"/>
      <c r="AK291" s="4"/>
      <c r="AL291" s="4"/>
      <c r="AP291" s="4"/>
      <c r="AX291" s="4"/>
      <c r="AY291" s="4"/>
      <c r="AZ291" s="4"/>
      <c r="BA291" s="4"/>
      <c r="BB291" s="4"/>
      <c r="BC291" s="4"/>
      <c r="BD291" s="4"/>
      <c r="BE291" s="4"/>
      <c r="BF291" s="4"/>
      <c r="BG291" s="4"/>
      <c r="BI291" s="4"/>
      <c r="BP291" s="4"/>
      <c r="BS291" s="4"/>
      <c r="BW291" s="4"/>
      <c r="BX291" s="4"/>
    </row>
    <row r="292" spans="1:76" ht="12.75" x14ac:dyDescent="0.2">
      <c r="A292" s="4" t="s">
        <v>453</v>
      </c>
      <c r="B292" s="4" t="s">
        <v>351</v>
      </c>
      <c r="C292" s="4" t="s">
        <v>111</v>
      </c>
      <c r="D292" s="4">
        <v>2571</v>
      </c>
      <c r="E292" s="4" t="s">
        <v>39</v>
      </c>
      <c r="F292" s="4" t="s">
        <v>1672</v>
      </c>
      <c r="G292" s="113">
        <v>0.16666666666666666</v>
      </c>
      <c r="H292" t="s">
        <v>1781</v>
      </c>
      <c r="I292" s="4">
        <v>0.35133333333333339</v>
      </c>
      <c r="J292">
        <v>0.18</v>
      </c>
      <c r="K292">
        <v>0.34</v>
      </c>
      <c r="L292" s="4" t="s">
        <v>1572</v>
      </c>
      <c r="M292" s="4" t="s">
        <v>109</v>
      </c>
      <c r="N292" s="4" t="s">
        <v>1671</v>
      </c>
      <c r="O292" s="4"/>
      <c r="P292" s="4" t="s">
        <v>1693</v>
      </c>
      <c r="Q292" t="s">
        <v>109</v>
      </c>
      <c r="R292" s="4"/>
      <c r="S292" s="4"/>
      <c r="U292" s="4"/>
      <c r="Y292" s="4"/>
      <c r="Z292" s="4"/>
      <c r="AA292" s="4"/>
      <c r="AB292" s="4"/>
      <c r="AC292" s="4"/>
      <c r="AD292" s="4"/>
      <c r="AE292" s="4"/>
      <c r="AF292" s="4"/>
      <c r="AG292" s="4"/>
      <c r="AH292" s="4"/>
      <c r="AI292" s="4"/>
      <c r="AJ292" s="4"/>
      <c r="AK292" s="4"/>
      <c r="AL292" s="4"/>
      <c r="AP292" s="4"/>
      <c r="AX292" s="4"/>
      <c r="AY292" s="4"/>
      <c r="AZ292" s="4"/>
      <c r="BA292" s="4"/>
      <c r="BB292" s="4"/>
      <c r="BC292" s="4"/>
      <c r="BD292" s="4"/>
      <c r="BE292" s="4"/>
      <c r="BF292" s="4"/>
      <c r="BG292" s="4"/>
      <c r="BI292" s="4"/>
      <c r="BP292" s="4"/>
      <c r="BS292" s="4"/>
      <c r="BW292" s="4"/>
      <c r="BX292" s="4"/>
    </row>
    <row r="293" spans="1:76" ht="12.75" x14ac:dyDescent="0.2">
      <c r="A293" s="4" t="s">
        <v>453</v>
      </c>
      <c r="B293" s="4" t="s">
        <v>351</v>
      </c>
      <c r="C293" s="4" t="s">
        <v>111</v>
      </c>
      <c r="D293" s="4">
        <v>2571</v>
      </c>
      <c r="E293" s="4" t="s">
        <v>39</v>
      </c>
      <c r="F293" s="4" t="s">
        <v>1672</v>
      </c>
      <c r="G293" s="113">
        <v>0.16666666666666666</v>
      </c>
      <c r="H293" t="s">
        <v>1781</v>
      </c>
      <c r="I293" s="4">
        <v>0.35322222222222227</v>
      </c>
      <c r="J293">
        <v>0.18</v>
      </c>
      <c r="K293">
        <v>0.34</v>
      </c>
      <c r="L293" s="4" t="s">
        <v>1572</v>
      </c>
      <c r="M293" s="4" t="s">
        <v>109</v>
      </c>
      <c r="N293" s="4" t="s">
        <v>1671</v>
      </c>
      <c r="O293" s="4"/>
      <c r="P293" s="4" t="s">
        <v>1693</v>
      </c>
      <c r="Q293" t="s">
        <v>109</v>
      </c>
      <c r="R293" s="4"/>
      <c r="S293" s="4"/>
      <c r="U293" s="4"/>
      <c r="Y293" s="4"/>
      <c r="Z293" s="4"/>
      <c r="AA293" s="4"/>
      <c r="AB293" s="4"/>
      <c r="AC293" s="4"/>
      <c r="AD293" s="4"/>
      <c r="AE293" s="4"/>
      <c r="AF293" s="4"/>
      <c r="AG293" s="4"/>
      <c r="AH293" s="4"/>
      <c r="AI293" s="4"/>
      <c r="AJ293" s="4"/>
      <c r="AK293" s="4"/>
      <c r="AL293" s="4"/>
      <c r="AP293" s="4"/>
      <c r="AX293" s="4"/>
      <c r="AY293" s="4"/>
      <c r="AZ293" s="4"/>
      <c r="BA293" s="4"/>
      <c r="BB293" s="4"/>
      <c r="BC293" s="4"/>
      <c r="BD293" s="4"/>
      <c r="BE293" s="4"/>
      <c r="BF293" s="4"/>
      <c r="BG293" s="4"/>
      <c r="BI293" s="4"/>
      <c r="BP293" s="4"/>
      <c r="BS293" s="4"/>
      <c r="BW293" s="4"/>
      <c r="BX293" s="4"/>
    </row>
    <row r="294" spans="1:76" ht="12.75" x14ac:dyDescent="0.2">
      <c r="A294" s="4" t="s">
        <v>453</v>
      </c>
      <c r="B294" s="4" t="s">
        <v>351</v>
      </c>
      <c r="C294" s="4" t="s">
        <v>111</v>
      </c>
      <c r="D294" s="4">
        <v>2571</v>
      </c>
      <c r="E294" s="4" t="s">
        <v>39</v>
      </c>
      <c r="F294" s="4" t="s">
        <v>1672</v>
      </c>
      <c r="G294" s="113">
        <v>0.16666666666666666</v>
      </c>
      <c r="H294" t="s">
        <v>1781</v>
      </c>
      <c r="I294" s="4">
        <v>0.36077777777777781</v>
      </c>
      <c r="J294">
        <v>0.18</v>
      </c>
      <c r="K294">
        <v>0.34</v>
      </c>
      <c r="L294" s="4" t="s">
        <v>1572</v>
      </c>
      <c r="M294" s="4" t="s">
        <v>109</v>
      </c>
      <c r="N294" s="4" t="s">
        <v>1671</v>
      </c>
      <c r="O294" s="4"/>
      <c r="P294" s="4" t="s">
        <v>1693</v>
      </c>
      <c r="Q294" t="s">
        <v>109</v>
      </c>
      <c r="R294" s="4"/>
      <c r="S294" s="4"/>
      <c r="U294" s="4"/>
      <c r="Y294" s="4"/>
      <c r="Z294" s="4"/>
      <c r="AA294" s="4"/>
      <c r="AB294" s="4"/>
      <c r="AC294" s="4"/>
      <c r="AD294" s="4"/>
      <c r="AE294" s="4"/>
      <c r="AF294" s="4"/>
      <c r="AG294" s="4"/>
      <c r="AH294" s="4"/>
      <c r="AI294" s="4"/>
      <c r="AJ294" s="4"/>
      <c r="AK294" s="4"/>
      <c r="AL294" s="4"/>
      <c r="AP294" s="4"/>
      <c r="AX294" s="4"/>
      <c r="AY294" s="4"/>
      <c r="AZ294" s="4"/>
      <c r="BA294" s="4"/>
      <c r="BB294" s="4"/>
      <c r="BC294" s="4"/>
      <c r="BD294" s="4"/>
      <c r="BE294" s="4"/>
      <c r="BF294" s="4"/>
      <c r="BG294" s="4"/>
      <c r="BI294" s="4"/>
      <c r="BP294" s="4"/>
      <c r="BS294" s="4"/>
      <c r="BW294" s="4"/>
      <c r="BX294" s="4"/>
    </row>
    <row r="295" spans="1:76" ht="12.75" x14ac:dyDescent="0.2">
      <c r="A295" s="4" t="s">
        <v>453</v>
      </c>
      <c r="B295" s="4" t="s">
        <v>351</v>
      </c>
      <c r="C295" s="4" t="s">
        <v>111</v>
      </c>
      <c r="D295" s="4">
        <v>2571</v>
      </c>
      <c r="E295" s="4" t="s">
        <v>39</v>
      </c>
      <c r="F295" s="4" t="s">
        <v>1672</v>
      </c>
      <c r="G295" s="113">
        <v>0.16666666666666666</v>
      </c>
      <c r="H295" t="s">
        <v>1781</v>
      </c>
      <c r="I295" s="4">
        <v>0.37022222222222229</v>
      </c>
      <c r="J295">
        <v>0.18</v>
      </c>
      <c r="K295">
        <v>0.34</v>
      </c>
      <c r="L295" s="4" t="s">
        <v>1572</v>
      </c>
      <c r="M295" s="4" t="s">
        <v>109</v>
      </c>
      <c r="N295" s="4" t="s">
        <v>1671</v>
      </c>
      <c r="O295" s="4"/>
      <c r="P295" s="4" t="s">
        <v>1693</v>
      </c>
      <c r="Q295" t="s">
        <v>109</v>
      </c>
      <c r="R295" s="4"/>
      <c r="S295" s="4"/>
      <c r="U295" s="4"/>
      <c r="Y295" s="4"/>
      <c r="Z295" s="4"/>
      <c r="AA295" s="4"/>
      <c r="AB295" s="4"/>
      <c r="AC295" s="4"/>
      <c r="AD295" s="4"/>
      <c r="AE295" s="4"/>
      <c r="AF295" s="4"/>
      <c r="AG295" s="4"/>
      <c r="AH295" s="4"/>
      <c r="AI295" s="4"/>
      <c r="AJ295" s="4"/>
      <c r="AK295" s="4"/>
      <c r="AL295" s="4"/>
      <c r="AP295" s="4"/>
      <c r="AX295" s="4"/>
      <c r="AY295" s="4"/>
      <c r="AZ295" s="4"/>
      <c r="BA295" s="4"/>
      <c r="BB295" s="4"/>
      <c r="BC295" s="4"/>
      <c r="BD295" s="4"/>
      <c r="BE295" s="4"/>
      <c r="BF295" s="4"/>
      <c r="BG295" s="4"/>
      <c r="BI295" s="4"/>
      <c r="BP295" s="4"/>
      <c r="BS295" s="4"/>
      <c r="BW295" s="4"/>
      <c r="BX295" s="4"/>
    </row>
    <row r="296" spans="1:76" ht="12.75" x14ac:dyDescent="0.2">
      <c r="A296" s="4" t="s">
        <v>453</v>
      </c>
      <c r="B296" s="4" t="s">
        <v>143</v>
      </c>
      <c r="C296" s="4" t="s">
        <v>138</v>
      </c>
      <c r="D296" s="4">
        <v>2571</v>
      </c>
      <c r="E296" s="4" t="s">
        <v>39</v>
      </c>
      <c r="F296" s="4" t="s">
        <v>1672</v>
      </c>
      <c r="G296" s="113">
        <v>0.5</v>
      </c>
      <c r="H296" t="s">
        <v>1781</v>
      </c>
      <c r="I296" s="4">
        <v>0.49677777777777787</v>
      </c>
      <c r="J296">
        <v>0.18</v>
      </c>
      <c r="K296">
        <v>0.34</v>
      </c>
      <c r="L296" s="4" t="s">
        <v>1574</v>
      </c>
      <c r="M296" s="4" t="s">
        <v>109</v>
      </c>
      <c r="N296" s="4" t="s">
        <v>1671</v>
      </c>
      <c r="O296" s="4"/>
      <c r="P296" s="4" t="s">
        <v>1693</v>
      </c>
      <c r="Q296" t="s">
        <v>109</v>
      </c>
      <c r="R296" s="4"/>
      <c r="S296" s="4"/>
      <c r="U296" s="4"/>
      <c r="Y296" s="4"/>
      <c r="Z296" s="4"/>
      <c r="AA296" s="4"/>
      <c r="AB296" s="4"/>
      <c r="AC296" s="4"/>
      <c r="AD296" s="4"/>
      <c r="AE296" s="4"/>
      <c r="AF296" s="4"/>
      <c r="AG296" s="4"/>
      <c r="AH296" s="4"/>
      <c r="AI296" s="4"/>
      <c r="AJ296" s="4"/>
      <c r="AK296" s="4"/>
      <c r="AL296" s="4"/>
      <c r="AP296" s="4"/>
      <c r="AX296" s="4"/>
      <c r="AY296" s="4"/>
      <c r="AZ296" s="4"/>
      <c r="BA296" s="4"/>
      <c r="BB296" s="4"/>
      <c r="BC296" s="4"/>
      <c r="BD296" s="4"/>
      <c r="BE296" s="4"/>
      <c r="BF296" s="4"/>
      <c r="BG296" s="4"/>
      <c r="BI296" s="4"/>
      <c r="BP296" s="4"/>
      <c r="BS296" s="4"/>
      <c r="BW296" s="4"/>
      <c r="BX296" s="4"/>
    </row>
    <row r="297" spans="1:76" ht="12.75" x14ac:dyDescent="0.2">
      <c r="A297" s="4" t="s">
        <v>453</v>
      </c>
      <c r="B297" s="4" t="s">
        <v>351</v>
      </c>
      <c r="C297" s="4" t="s">
        <v>138</v>
      </c>
      <c r="D297" s="4">
        <v>2571</v>
      </c>
      <c r="E297" s="4" t="s">
        <v>39</v>
      </c>
      <c r="F297" s="4" t="s">
        <v>1672</v>
      </c>
      <c r="G297" s="113">
        <v>0.5</v>
      </c>
      <c r="H297" t="s">
        <v>1781</v>
      </c>
      <c r="I297" s="4">
        <v>0.59688888888888891</v>
      </c>
      <c r="J297">
        <v>0.18</v>
      </c>
      <c r="K297">
        <v>0.34</v>
      </c>
      <c r="L297" s="4" t="s">
        <v>1573</v>
      </c>
      <c r="M297" s="4" t="s">
        <v>109</v>
      </c>
      <c r="N297" s="4" t="s">
        <v>1671</v>
      </c>
      <c r="O297" s="4"/>
      <c r="P297" s="4" t="s">
        <v>1693</v>
      </c>
      <c r="Q297" t="s">
        <v>109</v>
      </c>
      <c r="R297" s="4"/>
      <c r="S297" s="4"/>
      <c r="U297" s="4"/>
      <c r="Y297" s="4"/>
      <c r="Z297" s="4"/>
      <c r="AA297" s="4"/>
      <c r="AB297" s="4"/>
      <c r="AC297" s="4"/>
      <c r="AD297" s="4"/>
      <c r="AE297" s="4"/>
      <c r="AF297" s="4"/>
      <c r="AG297" s="4"/>
      <c r="AH297" s="4"/>
      <c r="AI297" s="4"/>
      <c r="AJ297" s="4"/>
      <c r="AK297" s="4"/>
      <c r="AL297" s="4"/>
      <c r="AP297" s="4"/>
      <c r="AX297" s="4"/>
      <c r="AY297" s="4"/>
      <c r="AZ297" s="4"/>
      <c r="BA297" s="4"/>
      <c r="BB297" s="4"/>
      <c r="BC297" s="4"/>
      <c r="BD297" s="4"/>
      <c r="BE297" s="4"/>
      <c r="BF297" s="4"/>
      <c r="BG297" s="4"/>
      <c r="BI297" s="4"/>
      <c r="BP297" s="4"/>
      <c r="BS297" s="4"/>
      <c r="BW297" s="4"/>
      <c r="BX297" s="4"/>
    </row>
    <row r="298" spans="1:76" ht="12.75" x14ac:dyDescent="0.2">
      <c r="A298" s="4" t="s">
        <v>453</v>
      </c>
      <c r="B298" s="4" t="s">
        <v>351</v>
      </c>
      <c r="C298" s="4" t="s">
        <v>138</v>
      </c>
      <c r="D298" s="4">
        <v>2571</v>
      </c>
      <c r="E298" s="4" t="s">
        <v>39</v>
      </c>
      <c r="F298" s="4" t="s">
        <v>1672</v>
      </c>
      <c r="G298" s="113">
        <v>0.5</v>
      </c>
      <c r="H298" t="s">
        <v>1781</v>
      </c>
      <c r="I298" s="4">
        <v>0.6877444444444446</v>
      </c>
      <c r="J298">
        <v>0.18</v>
      </c>
      <c r="K298">
        <v>0.34</v>
      </c>
      <c r="L298" s="4" t="s">
        <v>1573</v>
      </c>
      <c r="M298" s="4" t="s">
        <v>109</v>
      </c>
      <c r="N298" s="4" t="s">
        <v>1671</v>
      </c>
      <c r="O298" s="4"/>
      <c r="P298" s="4" t="s">
        <v>1693</v>
      </c>
      <c r="Q298" t="s">
        <v>109</v>
      </c>
      <c r="R298" s="4"/>
      <c r="S298" s="4"/>
      <c r="U298" s="4"/>
      <c r="Y298" s="4"/>
      <c r="Z298" s="4"/>
      <c r="AA298" s="4"/>
      <c r="AB298" s="4"/>
      <c r="AC298" s="4"/>
      <c r="AD298" s="4"/>
      <c r="AE298" s="4"/>
      <c r="AF298" s="4"/>
      <c r="AG298" s="4"/>
      <c r="AH298" s="4"/>
      <c r="AI298" s="4"/>
      <c r="AJ298" s="4"/>
      <c r="AK298" s="4"/>
      <c r="AL298" s="4"/>
      <c r="AP298" s="4"/>
      <c r="AX298" s="4"/>
      <c r="AY298" s="4"/>
      <c r="AZ298" s="4"/>
      <c r="BA298" s="4"/>
      <c r="BB298" s="4"/>
      <c r="BC298" s="4"/>
      <c r="BD298" s="4"/>
      <c r="BE298" s="4"/>
      <c r="BF298" s="4"/>
      <c r="BG298" s="4"/>
      <c r="BI298" s="4"/>
      <c r="BP298" s="4"/>
      <c r="BS298" s="4"/>
      <c r="BW298" s="4"/>
      <c r="BX298" s="4"/>
    </row>
    <row r="299" spans="1:76" ht="12.75" x14ac:dyDescent="0.2">
      <c r="A299" s="4" t="s">
        <v>453</v>
      </c>
      <c r="B299" s="4" t="s">
        <v>170</v>
      </c>
      <c r="C299" s="4" t="s">
        <v>111</v>
      </c>
      <c r="D299" s="4">
        <v>2571</v>
      </c>
      <c r="E299" s="4" t="s">
        <v>39</v>
      </c>
      <c r="F299" s="4" t="s">
        <v>1672</v>
      </c>
      <c r="G299" s="113">
        <v>1</v>
      </c>
      <c r="H299" t="s">
        <v>1781</v>
      </c>
      <c r="I299" s="4">
        <v>1.807666666666667</v>
      </c>
      <c r="J299">
        <v>0.18</v>
      </c>
      <c r="K299">
        <v>0.34</v>
      </c>
      <c r="L299" s="4" t="s">
        <v>1571</v>
      </c>
      <c r="M299" s="4" t="s">
        <v>109</v>
      </c>
      <c r="N299" s="4" t="s">
        <v>1671</v>
      </c>
      <c r="O299" s="4"/>
      <c r="P299" s="4" t="s">
        <v>1693</v>
      </c>
      <c r="Q299" t="s">
        <v>109</v>
      </c>
      <c r="R299" s="4"/>
      <c r="S299" s="4"/>
      <c r="U299" s="4"/>
      <c r="Y299" s="4"/>
      <c r="Z299" s="4"/>
      <c r="AA299" s="4"/>
      <c r="AB299" s="4"/>
      <c r="AC299" s="4"/>
      <c r="AD299" s="4"/>
      <c r="AE299" s="4"/>
      <c r="AF299" s="4"/>
      <c r="AG299" s="4"/>
      <c r="AH299" s="4"/>
      <c r="AI299" s="4"/>
      <c r="AJ299" s="4"/>
      <c r="AK299" s="4"/>
      <c r="AL299" s="4"/>
      <c r="AP299" s="4"/>
      <c r="AX299" s="4"/>
      <c r="AY299" s="4"/>
      <c r="AZ299" s="4"/>
      <c r="BA299" s="4"/>
      <c r="BB299" s="4"/>
      <c r="BC299" s="4"/>
      <c r="BD299" s="4"/>
      <c r="BE299" s="4"/>
      <c r="BF299" s="4"/>
      <c r="BG299" s="4"/>
      <c r="BI299" s="4"/>
      <c r="BP299" s="4"/>
      <c r="BS299" s="4"/>
      <c r="BW299" s="4"/>
      <c r="BX299" s="4"/>
    </row>
    <row r="300" spans="1:76" ht="12.75" x14ac:dyDescent="0.2">
      <c r="A300" s="4" t="s">
        <v>1346</v>
      </c>
      <c r="B300" s="4" t="s">
        <v>253</v>
      </c>
      <c r="C300" s="4" t="s">
        <v>1350</v>
      </c>
      <c r="D300" s="4">
        <v>2572</v>
      </c>
      <c r="E300" s="4" t="s">
        <v>40</v>
      </c>
      <c r="F300" s="4" t="s">
        <v>1672</v>
      </c>
      <c r="G300" s="113">
        <v>0.25</v>
      </c>
      <c r="H300" t="s">
        <v>1781</v>
      </c>
      <c r="I300" s="4">
        <v>0.93023255813953498</v>
      </c>
      <c r="J300">
        <v>0.43</v>
      </c>
      <c r="K300">
        <v>0.8</v>
      </c>
      <c r="L300" s="4" t="s">
        <v>1537</v>
      </c>
      <c r="M300" s="4" t="s">
        <v>109</v>
      </c>
      <c r="N300" s="4" t="s">
        <v>1671</v>
      </c>
      <c r="O300" s="4"/>
      <c r="P300" s="4" t="s">
        <v>1693</v>
      </c>
      <c r="Q300" t="s">
        <v>109</v>
      </c>
      <c r="R300" s="4"/>
      <c r="S300" s="4"/>
      <c r="U300" s="4"/>
      <c r="Y300" s="4"/>
      <c r="Z300" s="4"/>
      <c r="AA300" s="4"/>
      <c r="AB300" s="4"/>
      <c r="AC300" s="4"/>
      <c r="AD300" s="4"/>
      <c r="AE300" s="4"/>
      <c r="AF300" s="4"/>
      <c r="AG300" s="4"/>
      <c r="AH300" s="4"/>
      <c r="AI300" s="4"/>
      <c r="AJ300" s="4"/>
      <c r="AK300" s="4"/>
      <c r="AL300" s="4"/>
      <c r="AP300" s="4"/>
      <c r="AX300" s="4"/>
      <c r="AY300" s="4"/>
      <c r="AZ300" s="4"/>
      <c r="BA300" s="4"/>
      <c r="BB300" s="4"/>
      <c r="BC300" s="4"/>
      <c r="BD300" s="4"/>
      <c r="BE300" s="4"/>
      <c r="BF300" s="4"/>
      <c r="BG300" s="4"/>
      <c r="BI300" s="4"/>
      <c r="BP300" s="4"/>
      <c r="BS300" s="4"/>
      <c r="BW300" s="4"/>
      <c r="BX300" s="4"/>
    </row>
    <row r="301" spans="1:76" ht="12.75" x14ac:dyDescent="0.2">
      <c r="A301" s="4" t="s">
        <v>1346</v>
      </c>
      <c r="B301" s="4" t="s">
        <v>253</v>
      </c>
      <c r="C301" s="4" t="s">
        <v>1351</v>
      </c>
      <c r="D301" s="4">
        <v>2572</v>
      </c>
      <c r="E301" s="4" t="s">
        <v>40</v>
      </c>
      <c r="F301" s="4" t="s">
        <v>1672</v>
      </c>
      <c r="G301" s="113">
        <v>0.25</v>
      </c>
      <c r="H301" t="s">
        <v>1781</v>
      </c>
      <c r="I301" s="4">
        <v>0.93023255813953498</v>
      </c>
      <c r="J301">
        <v>0.43</v>
      </c>
      <c r="K301">
        <v>0.8</v>
      </c>
      <c r="L301" s="4" t="s">
        <v>1537</v>
      </c>
      <c r="M301" s="4" t="s">
        <v>109</v>
      </c>
      <c r="N301" s="4" t="s">
        <v>1671</v>
      </c>
      <c r="O301" s="4"/>
      <c r="P301" s="4" t="s">
        <v>1693</v>
      </c>
      <c r="Q301" t="s">
        <v>109</v>
      </c>
      <c r="R301" s="4"/>
      <c r="S301" s="4"/>
      <c r="U301" s="4"/>
      <c r="Y301" s="4"/>
      <c r="Z301" s="4"/>
      <c r="AA301" s="4"/>
      <c r="AB301" s="4"/>
      <c r="AC301" s="4"/>
      <c r="AD301" s="4"/>
      <c r="AE301" s="4"/>
      <c r="AF301" s="4"/>
      <c r="AG301" s="4"/>
      <c r="AH301" s="4"/>
      <c r="AI301" s="4"/>
      <c r="AJ301" s="4"/>
      <c r="AK301" s="4"/>
      <c r="AL301" s="4"/>
      <c r="AP301" s="4"/>
      <c r="AX301" s="4"/>
      <c r="AY301" s="4"/>
      <c r="AZ301" s="4"/>
      <c r="BA301" s="4"/>
      <c r="BB301" s="4"/>
      <c r="BC301" s="4"/>
      <c r="BD301" s="4"/>
      <c r="BE301" s="4"/>
      <c r="BF301" s="4"/>
      <c r="BG301" s="4"/>
      <c r="BI301" s="4"/>
      <c r="BP301" s="4"/>
      <c r="BS301" s="4"/>
      <c r="BW301" s="4"/>
      <c r="BX301" s="4"/>
    </row>
    <row r="302" spans="1:76" ht="12.75" x14ac:dyDescent="0.2">
      <c r="A302" s="4" t="s">
        <v>1346</v>
      </c>
      <c r="B302" s="4" t="s">
        <v>253</v>
      </c>
      <c r="C302" s="4" t="s">
        <v>1350</v>
      </c>
      <c r="D302" s="4">
        <v>2572</v>
      </c>
      <c r="E302" s="4" t="s">
        <v>40</v>
      </c>
      <c r="F302" s="4" t="s">
        <v>1672</v>
      </c>
      <c r="G302" s="113">
        <v>0.25</v>
      </c>
      <c r="H302" t="s">
        <v>1781</v>
      </c>
      <c r="I302" s="4">
        <v>1.1162790697674418</v>
      </c>
      <c r="J302">
        <v>0.43</v>
      </c>
      <c r="K302">
        <v>0.8</v>
      </c>
      <c r="L302" s="4" t="s">
        <v>1537</v>
      </c>
      <c r="M302" s="4" t="s">
        <v>109</v>
      </c>
      <c r="N302" s="4" t="s">
        <v>1671</v>
      </c>
      <c r="O302" s="4"/>
      <c r="P302" s="4" t="s">
        <v>1693</v>
      </c>
      <c r="Q302" t="s">
        <v>109</v>
      </c>
      <c r="R302" s="4"/>
      <c r="S302" s="4"/>
      <c r="U302" s="4"/>
      <c r="Y302" s="4"/>
      <c r="Z302" s="4"/>
      <c r="AA302" s="4"/>
      <c r="AB302" s="4"/>
      <c r="AC302" s="4"/>
      <c r="AD302" s="4"/>
      <c r="AE302" s="4"/>
      <c r="AF302" s="4"/>
      <c r="AG302" s="4"/>
      <c r="AH302" s="4"/>
      <c r="AI302" s="4"/>
      <c r="AJ302" s="4"/>
      <c r="AK302" s="4"/>
      <c r="AL302" s="4"/>
      <c r="AP302" s="4"/>
      <c r="AX302" s="4"/>
      <c r="AY302" s="4"/>
      <c r="AZ302" s="4"/>
      <c r="BA302" s="4"/>
      <c r="BB302" s="4"/>
      <c r="BC302" s="4"/>
      <c r="BD302" s="4"/>
      <c r="BE302" s="4"/>
      <c r="BF302" s="4"/>
      <c r="BG302" s="4"/>
      <c r="BI302" s="4"/>
      <c r="BP302" s="4"/>
      <c r="BS302" s="4"/>
      <c r="BW302" s="4"/>
      <c r="BX302" s="4"/>
    </row>
    <row r="303" spans="1:76" ht="12.75" x14ac:dyDescent="0.2">
      <c r="A303" s="4" t="s">
        <v>1346</v>
      </c>
      <c r="B303" s="4" t="s">
        <v>253</v>
      </c>
      <c r="C303" s="4" t="s">
        <v>1351</v>
      </c>
      <c r="D303" s="4">
        <v>2572</v>
      </c>
      <c r="E303" s="4" t="s">
        <v>40</v>
      </c>
      <c r="F303" s="4" t="s">
        <v>1672</v>
      </c>
      <c r="G303" s="113">
        <v>0.25</v>
      </c>
      <c r="H303" t="s">
        <v>1781</v>
      </c>
      <c r="I303" s="4">
        <v>1.1162790697674418</v>
      </c>
      <c r="J303">
        <v>0.43</v>
      </c>
      <c r="K303">
        <v>0.8</v>
      </c>
      <c r="L303" s="4" t="s">
        <v>1537</v>
      </c>
      <c r="M303" s="4" t="s">
        <v>109</v>
      </c>
      <c r="N303" s="4" t="s">
        <v>1671</v>
      </c>
      <c r="O303" s="4"/>
      <c r="P303" s="4" t="s">
        <v>1693</v>
      </c>
      <c r="Q303" t="s">
        <v>109</v>
      </c>
      <c r="R303" s="4"/>
      <c r="S303" s="4"/>
      <c r="U303" s="4"/>
      <c r="Y303" s="4"/>
      <c r="Z303" s="4"/>
      <c r="AA303" s="4"/>
      <c r="AB303" s="4"/>
      <c r="AC303" s="4"/>
      <c r="AD303" s="4"/>
      <c r="AE303" s="4"/>
      <c r="AF303" s="4"/>
      <c r="AG303" s="4"/>
      <c r="AH303" s="4"/>
      <c r="AI303" s="4"/>
      <c r="AJ303" s="4"/>
      <c r="AK303" s="4"/>
      <c r="AL303" s="4"/>
      <c r="AP303" s="4"/>
      <c r="AX303" s="4"/>
      <c r="AY303" s="4"/>
      <c r="AZ303" s="4"/>
      <c r="BA303" s="4"/>
      <c r="BB303" s="4"/>
      <c r="BC303" s="4"/>
      <c r="BD303" s="4"/>
      <c r="BE303" s="4"/>
      <c r="BF303" s="4"/>
      <c r="BG303" s="4"/>
      <c r="BI303" s="4"/>
      <c r="BP303" s="4"/>
      <c r="BS303" s="4"/>
      <c r="BW303" s="4"/>
      <c r="BX303" s="4"/>
    </row>
    <row r="304" spans="1:76" ht="12.75" x14ac:dyDescent="0.2">
      <c r="A304" s="4" t="s">
        <v>501</v>
      </c>
      <c r="B304" s="4" t="s">
        <v>114</v>
      </c>
      <c r="C304" s="4" t="s">
        <v>1349</v>
      </c>
      <c r="D304" s="4">
        <v>2573</v>
      </c>
      <c r="E304" s="4" t="s">
        <v>41</v>
      </c>
      <c r="F304" s="4" t="s">
        <v>1672</v>
      </c>
      <c r="G304" s="113">
        <v>1</v>
      </c>
      <c r="H304" t="s">
        <v>1781</v>
      </c>
      <c r="I304" s="4">
        <v>4.3275261324041816</v>
      </c>
      <c r="J304">
        <v>0.41</v>
      </c>
      <c r="K304">
        <v>0.81</v>
      </c>
      <c r="L304" s="4" t="s">
        <v>1544</v>
      </c>
      <c r="M304" s="4" t="s">
        <v>109</v>
      </c>
      <c r="N304" s="4" t="s">
        <v>1671</v>
      </c>
      <c r="O304" s="4"/>
      <c r="P304" s="4" t="s">
        <v>1693</v>
      </c>
      <c r="Q304" t="s">
        <v>109</v>
      </c>
      <c r="R304" s="4"/>
      <c r="S304" s="4"/>
      <c r="U304" s="4"/>
      <c r="Y304" s="4"/>
      <c r="Z304" s="4"/>
      <c r="AA304" s="4"/>
      <c r="AB304" s="4"/>
      <c r="AC304" s="4"/>
      <c r="AD304" s="4"/>
      <c r="AE304" s="4"/>
      <c r="AF304" s="4"/>
      <c r="AG304" s="4"/>
      <c r="AH304" s="4"/>
      <c r="AI304" s="4"/>
      <c r="AJ304" s="4"/>
      <c r="AK304" s="4"/>
      <c r="AL304" s="4"/>
      <c r="AP304" s="4"/>
      <c r="AX304" s="4"/>
      <c r="AY304" s="4"/>
      <c r="AZ304" s="4"/>
      <c r="BA304" s="4"/>
      <c r="BB304" s="4"/>
      <c r="BC304" s="4"/>
      <c r="BD304" s="4"/>
      <c r="BE304" s="4"/>
      <c r="BF304" s="4"/>
      <c r="BG304" s="4"/>
      <c r="BI304" s="4"/>
      <c r="BP304" s="4"/>
      <c r="BS304" s="4"/>
      <c r="BW304" s="4"/>
      <c r="BX304" s="4"/>
    </row>
    <row r="305" spans="1:76" ht="12.75" x14ac:dyDescent="0.2">
      <c r="A305" s="4" t="s">
        <v>396</v>
      </c>
      <c r="B305" s="4" t="s">
        <v>253</v>
      </c>
      <c r="C305" s="4" t="s">
        <v>1377</v>
      </c>
      <c r="D305" s="4">
        <v>2574</v>
      </c>
      <c r="E305" s="4" t="s">
        <v>42</v>
      </c>
      <c r="F305" s="4" t="s">
        <v>1672</v>
      </c>
      <c r="G305" s="113">
        <v>0.1</v>
      </c>
      <c r="H305" t="s">
        <v>1781</v>
      </c>
      <c r="I305" s="4">
        <v>7.7857105263157908E-2</v>
      </c>
      <c r="J305">
        <v>0.38</v>
      </c>
      <c r="K305">
        <v>0.71</v>
      </c>
      <c r="L305" s="4" t="s">
        <v>1674</v>
      </c>
      <c r="M305" s="4" t="s">
        <v>109</v>
      </c>
      <c r="N305" s="4" t="s">
        <v>1671</v>
      </c>
      <c r="O305" s="4"/>
      <c r="P305" s="4" t="s">
        <v>1693</v>
      </c>
      <c r="Q305" t="s">
        <v>109</v>
      </c>
      <c r="R305" s="4"/>
      <c r="S305" s="4"/>
      <c r="U305" s="4"/>
      <c r="Y305" s="4"/>
      <c r="Z305" s="4"/>
      <c r="AA305" s="4"/>
      <c r="AB305" s="4"/>
      <c r="AC305" s="4"/>
      <c r="AD305" s="4"/>
      <c r="AE305" s="4"/>
      <c r="AF305" s="4"/>
      <c r="AG305" s="4"/>
      <c r="AH305" s="4"/>
      <c r="AI305" s="4"/>
      <c r="AJ305" s="4"/>
      <c r="AK305" s="4"/>
      <c r="AL305" s="4"/>
      <c r="AP305" s="4"/>
      <c r="AX305" s="4"/>
      <c r="AY305" s="4"/>
      <c r="AZ305" s="4"/>
      <c r="BA305" s="4"/>
      <c r="BB305" s="4"/>
      <c r="BC305" s="4"/>
      <c r="BD305" s="4"/>
      <c r="BE305" s="4"/>
      <c r="BF305" s="4"/>
      <c r="BG305" s="4"/>
      <c r="BI305" s="4"/>
      <c r="BP305" s="4"/>
      <c r="BS305" s="4"/>
      <c r="BW305" s="4"/>
      <c r="BX305" s="4"/>
    </row>
    <row r="306" spans="1:76" ht="12.75" x14ac:dyDescent="0.2">
      <c r="A306" s="4" t="s">
        <v>396</v>
      </c>
      <c r="B306" s="4" t="s">
        <v>253</v>
      </c>
      <c r="C306" s="4" t="s">
        <v>111</v>
      </c>
      <c r="D306" s="4">
        <v>2574</v>
      </c>
      <c r="E306" s="4" t="s">
        <v>42</v>
      </c>
      <c r="F306" s="4" t="s">
        <v>1672</v>
      </c>
      <c r="G306" s="113">
        <v>0.1</v>
      </c>
      <c r="H306" t="s">
        <v>1781</v>
      </c>
      <c r="I306" s="4">
        <v>0.11012473684210526</v>
      </c>
      <c r="J306">
        <v>0.38</v>
      </c>
      <c r="K306">
        <v>0.71</v>
      </c>
      <c r="L306" s="4" t="s">
        <v>1674</v>
      </c>
      <c r="M306" s="4" t="s">
        <v>109</v>
      </c>
      <c r="N306" s="4" t="s">
        <v>1671</v>
      </c>
      <c r="O306" s="4"/>
      <c r="P306" s="4" t="s">
        <v>1693</v>
      </c>
      <c r="Q306" t="s">
        <v>109</v>
      </c>
      <c r="R306" s="4"/>
      <c r="S306" s="4"/>
      <c r="U306" s="4"/>
      <c r="Y306" s="4"/>
      <c r="Z306" s="4"/>
      <c r="AA306" s="4"/>
      <c r="AB306" s="4"/>
      <c r="AC306" s="4"/>
      <c r="AD306" s="4"/>
      <c r="AE306" s="4"/>
      <c r="AF306" s="4"/>
      <c r="AG306" s="4"/>
      <c r="AH306" s="4"/>
      <c r="AI306" s="4"/>
      <c r="AJ306" s="4"/>
      <c r="AK306" s="4"/>
      <c r="AL306" s="4"/>
      <c r="AP306" s="4"/>
      <c r="AX306" s="4"/>
      <c r="AY306" s="4"/>
      <c r="AZ306" s="4"/>
      <c r="BA306" s="4"/>
      <c r="BB306" s="4"/>
      <c r="BC306" s="4"/>
      <c r="BD306" s="4"/>
      <c r="BE306" s="4"/>
      <c r="BF306" s="4"/>
      <c r="BG306" s="4"/>
      <c r="BI306" s="4"/>
      <c r="BP306" s="4"/>
      <c r="BS306" s="4"/>
      <c r="BW306" s="4"/>
      <c r="BX306" s="4"/>
    </row>
    <row r="307" spans="1:76" ht="12.75" x14ac:dyDescent="0.2">
      <c r="A307" s="4" t="s">
        <v>396</v>
      </c>
      <c r="B307" s="4" t="s">
        <v>253</v>
      </c>
      <c r="C307" s="4" t="s">
        <v>1377</v>
      </c>
      <c r="D307" s="4">
        <v>2574</v>
      </c>
      <c r="E307" s="4" t="s">
        <v>42</v>
      </c>
      <c r="F307" s="4" t="s">
        <v>1672</v>
      </c>
      <c r="G307" s="113">
        <v>0.1</v>
      </c>
      <c r="H307" t="s">
        <v>1781</v>
      </c>
      <c r="I307" s="4">
        <v>0.12185842105263156</v>
      </c>
      <c r="J307">
        <v>0.38</v>
      </c>
      <c r="K307">
        <v>0.71</v>
      </c>
      <c r="L307" s="4" t="s">
        <v>1674</v>
      </c>
      <c r="M307" s="4" t="s">
        <v>109</v>
      </c>
      <c r="N307" s="4" t="s">
        <v>1671</v>
      </c>
      <c r="O307" s="4"/>
      <c r="P307" s="4" t="s">
        <v>1693</v>
      </c>
      <c r="Q307" t="s">
        <v>109</v>
      </c>
      <c r="R307" s="4"/>
      <c r="S307" s="4"/>
      <c r="U307" s="4"/>
      <c r="Y307" s="4"/>
      <c r="Z307" s="4"/>
      <c r="AA307" s="4"/>
      <c r="AB307" s="4"/>
      <c r="AC307" s="4"/>
      <c r="AD307" s="4"/>
      <c r="AE307" s="4"/>
      <c r="AF307" s="4"/>
      <c r="AG307" s="4"/>
      <c r="AH307" s="4"/>
      <c r="AI307" s="4"/>
      <c r="AJ307" s="4"/>
      <c r="AK307" s="4"/>
      <c r="AL307" s="4"/>
      <c r="AP307" s="4"/>
      <c r="AX307" s="4"/>
      <c r="AY307" s="4"/>
      <c r="AZ307" s="4"/>
      <c r="BA307" s="4"/>
      <c r="BB307" s="4"/>
      <c r="BC307" s="4"/>
      <c r="BD307" s="4"/>
      <c r="BE307" s="4"/>
      <c r="BF307" s="4"/>
      <c r="BG307" s="4"/>
      <c r="BI307" s="4"/>
      <c r="BP307" s="4"/>
      <c r="BS307" s="4"/>
      <c r="BW307" s="4"/>
      <c r="BX307" s="4"/>
    </row>
    <row r="308" spans="1:76" ht="12.75" x14ac:dyDescent="0.2">
      <c r="A308" s="4" t="s">
        <v>396</v>
      </c>
      <c r="B308" s="4" t="s">
        <v>253</v>
      </c>
      <c r="C308" s="4" t="s">
        <v>1377</v>
      </c>
      <c r="D308" s="4">
        <v>2574</v>
      </c>
      <c r="E308" s="4" t="s">
        <v>42</v>
      </c>
      <c r="F308" s="4" t="s">
        <v>1672</v>
      </c>
      <c r="G308" s="113">
        <v>0.1</v>
      </c>
      <c r="H308" t="s">
        <v>1781</v>
      </c>
      <c r="I308" s="4">
        <v>0.15190263157894734</v>
      </c>
      <c r="J308">
        <v>0.38</v>
      </c>
      <c r="K308">
        <v>0.71</v>
      </c>
      <c r="L308" s="4" t="s">
        <v>1674</v>
      </c>
      <c r="M308" s="4" t="s">
        <v>109</v>
      </c>
      <c r="N308" s="4" t="s">
        <v>1671</v>
      </c>
      <c r="O308" s="4"/>
      <c r="P308" s="4" t="s">
        <v>1693</v>
      </c>
      <c r="Q308" t="s">
        <v>109</v>
      </c>
      <c r="R308" s="4"/>
      <c r="S308" s="4"/>
      <c r="U308" s="4"/>
      <c r="Y308" s="4"/>
      <c r="Z308" s="4"/>
      <c r="AA308" s="4"/>
      <c r="AB308" s="4"/>
      <c r="AC308" s="4"/>
      <c r="AD308" s="4"/>
      <c r="AE308" s="4"/>
      <c r="AF308" s="4"/>
      <c r="AG308" s="4"/>
      <c r="AH308" s="4"/>
      <c r="AI308" s="4"/>
      <c r="AJ308" s="4"/>
      <c r="AK308" s="4"/>
      <c r="AL308" s="4"/>
      <c r="AP308" s="4"/>
      <c r="AX308" s="4"/>
      <c r="AY308" s="4"/>
      <c r="AZ308" s="4"/>
      <c r="BA308" s="4"/>
      <c r="BB308" s="4"/>
      <c r="BC308" s="4"/>
      <c r="BD308" s="4"/>
      <c r="BE308" s="4"/>
      <c r="BF308" s="4"/>
      <c r="BG308" s="4"/>
      <c r="BI308" s="4"/>
      <c r="BP308" s="4"/>
      <c r="BS308" s="4"/>
      <c r="BW308" s="4"/>
      <c r="BX308" s="4"/>
    </row>
    <row r="309" spans="1:76" ht="12.75" x14ac:dyDescent="0.2">
      <c r="A309" s="4" t="s">
        <v>396</v>
      </c>
      <c r="B309" s="4" t="s">
        <v>253</v>
      </c>
      <c r="C309" s="4" t="s">
        <v>111</v>
      </c>
      <c r="D309" s="4">
        <v>2574</v>
      </c>
      <c r="E309" s="4" t="s">
        <v>42</v>
      </c>
      <c r="F309" s="4" t="s">
        <v>1672</v>
      </c>
      <c r="G309" s="113">
        <v>0.1</v>
      </c>
      <c r="H309" t="s">
        <v>1781</v>
      </c>
      <c r="I309" s="4">
        <v>0.17908815789473684</v>
      </c>
      <c r="J309">
        <v>0.38</v>
      </c>
      <c r="K309">
        <v>0.71</v>
      </c>
      <c r="L309" s="4" t="s">
        <v>1674</v>
      </c>
      <c r="M309" s="4" t="s">
        <v>109</v>
      </c>
      <c r="N309" s="4" t="s">
        <v>1671</v>
      </c>
      <c r="O309" s="4"/>
      <c r="P309" s="4" t="s">
        <v>1693</v>
      </c>
      <c r="Q309" t="s">
        <v>109</v>
      </c>
      <c r="R309" s="4"/>
      <c r="S309" s="4"/>
      <c r="U309" s="4"/>
      <c r="Y309" s="4"/>
      <c r="Z309" s="4"/>
      <c r="AA309" s="4"/>
      <c r="AB309" s="4"/>
      <c r="AC309" s="4"/>
      <c r="AD309" s="4"/>
      <c r="AE309" s="4"/>
      <c r="AF309" s="4"/>
      <c r="AG309" s="4"/>
      <c r="AH309" s="4"/>
      <c r="AI309" s="4"/>
      <c r="AJ309" s="4"/>
      <c r="AK309" s="4"/>
      <c r="AL309" s="4"/>
      <c r="AP309" s="4"/>
      <c r="AX309" s="4"/>
      <c r="AY309" s="4"/>
      <c r="AZ309" s="4"/>
      <c r="BA309" s="4"/>
      <c r="BB309" s="4"/>
      <c r="BC309" s="4"/>
      <c r="BD309" s="4"/>
      <c r="BE309" s="4"/>
      <c r="BF309" s="4"/>
      <c r="BG309" s="4"/>
      <c r="BI309" s="4"/>
      <c r="BP309" s="4"/>
      <c r="BS309" s="4"/>
      <c r="BW309" s="4"/>
      <c r="BX309" s="4"/>
    </row>
    <row r="310" spans="1:76" ht="12.75" x14ac:dyDescent="0.2">
      <c r="A310" s="4" t="s">
        <v>396</v>
      </c>
      <c r="B310" s="4" t="s">
        <v>253</v>
      </c>
      <c r="C310" s="4" t="s">
        <v>111</v>
      </c>
      <c r="D310" s="4">
        <v>2574</v>
      </c>
      <c r="E310" s="4" t="s">
        <v>42</v>
      </c>
      <c r="F310" s="4" t="s">
        <v>1672</v>
      </c>
      <c r="G310" s="113">
        <v>0.1</v>
      </c>
      <c r="H310" t="s">
        <v>1781</v>
      </c>
      <c r="I310" s="4">
        <v>0.18037736842105265</v>
      </c>
      <c r="J310">
        <v>0.38</v>
      </c>
      <c r="K310">
        <v>0.71</v>
      </c>
      <c r="L310" s="4" t="s">
        <v>1674</v>
      </c>
      <c r="M310" s="4" t="s">
        <v>109</v>
      </c>
      <c r="N310" s="4" t="s">
        <v>1671</v>
      </c>
      <c r="O310" s="4"/>
      <c r="P310" s="4" t="s">
        <v>1693</v>
      </c>
      <c r="Q310" t="s">
        <v>109</v>
      </c>
      <c r="R310" s="4"/>
      <c r="S310" s="4"/>
      <c r="U310" s="4"/>
      <c r="Y310" s="4"/>
      <c r="Z310" s="4"/>
      <c r="AA310" s="4"/>
      <c r="AB310" s="4"/>
      <c r="AC310" s="4"/>
      <c r="AD310" s="4"/>
      <c r="AE310" s="4"/>
      <c r="AF310" s="4"/>
      <c r="AG310" s="4"/>
      <c r="AH310" s="4"/>
      <c r="AI310" s="4"/>
      <c r="AJ310" s="4"/>
      <c r="AK310" s="4"/>
      <c r="AL310" s="4"/>
      <c r="AP310" s="4"/>
      <c r="AX310" s="4"/>
      <c r="AY310" s="4"/>
      <c r="AZ310" s="4"/>
      <c r="BA310" s="4"/>
      <c r="BB310" s="4"/>
      <c r="BC310" s="4"/>
      <c r="BD310" s="4"/>
      <c r="BE310" s="4"/>
      <c r="BF310" s="4"/>
      <c r="BG310" s="4"/>
      <c r="BI310" s="4"/>
      <c r="BP310" s="4"/>
      <c r="BS310" s="4"/>
      <c r="BW310" s="4"/>
      <c r="BX310" s="4"/>
    </row>
    <row r="311" spans="1:76" ht="12.75" x14ac:dyDescent="0.2">
      <c r="A311" s="4" t="s">
        <v>396</v>
      </c>
      <c r="B311" s="4" t="s">
        <v>253</v>
      </c>
      <c r="C311" s="4" t="s">
        <v>1377</v>
      </c>
      <c r="D311" s="4">
        <v>2574</v>
      </c>
      <c r="E311" s="4" t="s">
        <v>42</v>
      </c>
      <c r="F311" s="4" t="s">
        <v>1672</v>
      </c>
      <c r="G311" s="113">
        <v>0.1</v>
      </c>
      <c r="H311" t="s">
        <v>1781</v>
      </c>
      <c r="I311" s="4">
        <v>0.19016789473684212</v>
      </c>
      <c r="J311">
        <v>0.38</v>
      </c>
      <c r="K311">
        <v>0.71</v>
      </c>
      <c r="L311" s="4" t="s">
        <v>1674</v>
      </c>
      <c r="M311" s="4" t="s">
        <v>109</v>
      </c>
      <c r="N311" s="4" t="s">
        <v>1671</v>
      </c>
      <c r="O311" s="4"/>
      <c r="P311" s="4" t="s">
        <v>1693</v>
      </c>
      <c r="Q311" t="s">
        <v>109</v>
      </c>
      <c r="R311" s="4"/>
      <c r="S311" s="4"/>
      <c r="U311" s="4"/>
      <c r="Y311" s="4"/>
      <c r="Z311" s="4"/>
      <c r="AA311" s="4"/>
      <c r="AB311" s="4"/>
      <c r="AC311" s="4"/>
      <c r="AD311" s="4"/>
      <c r="AE311" s="4"/>
      <c r="AF311" s="4"/>
      <c r="AG311" s="4"/>
      <c r="AH311" s="4"/>
      <c r="AI311" s="4"/>
      <c r="AJ311" s="4"/>
      <c r="AK311" s="4"/>
      <c r="AL311" s="4"/>
      <c r="AP311" s="4"/>
      <c r="AX311" s="4"/>
      <c r="AY311" s="4"/>
      <c r="AZ311" s="4"/>
      <c r="BA311" s="4"/>
      <c r="BB311" s="4"/>
      <c r="BC311" s="4"/>
      <c r="BD311" s="4"/>
      <c r="BE311" s="4"/>
      <c r="BF311" s="4"/>
      <c r="BG311" s="4"/>
      <c r="BI311" s="4"/>
      <c r="BP311" s="4"/>
      <c r="BS311" s="4"/>
      <c r="BW311" s="4"/>
      <c r="BX311" s="4"/>
    </row>
    <row r="312" spans="1:76" ht="12.75" x14ac:dyDescent="0.2">
      <c r="A312" s="4" t="s">
        <v>396</v>
      </c>
      <c r="B312" s="4" t="s">
        <v>253</v>
      </c>
      <c r="C312" s="4" t="s">
        <v>111</v>
      </c>
      <c r="D312" s="4">
        <v>2574</v>
      </c>
      <c r="E312" s="4" t="s">
        <v>42</v>
      </c>
      <c r="F312" s="4" t="s">
        <v>1672</v>
      </c>
      <c r="G312" s="113">
        <v>0.1</v>
      </c>
      <c r="H312" t="s">
        <v>1781</v>
      </c>
      <c r="I312" s="4">
        <v>0.20677815789473686</v>
      </c>
      <c r="J312">
        <v>0.38</v>
      </c>
      <c r="K312">
        <v>0.71</v>
      </c>
      <c r="L312" s="4" t="s">
        <v>1674</v>
      </c>
      <c r="M312" s="4" t="s">
        <v>109</v>
      </c>
      <c r="N312" s="4" t="s">
        <v>1671</v>
      </c>
      <c r="O312" s="4"/>
      <c r="P312" s="4" t="s">
        <v>1693</v>
      </c>
      <c r="Q312" t="s">
        <v>109</v>
      </c>
      <c r="R312" s="4"/>
      <c r="S312" s="4"/>
      <c r="U312" s="4"/>
      <c r="Y312" s="4"/>
      <c r="Z312" s="4"/>
      <c r="AA312" s="4"/>
      <c r="AB312" s="4"/>
      <c r="AC312" s="4"/>
      <c r="AD312" s="4"/>
      <c r="AE312" s="4"/>
      <c r="AF312" s="4"/>
      <c r="AG312" s="4"/>
      <c r="AH312" s="4"/>
      <c r="AI312" s="4"/>
      <c r="AJ312" s="4"/>
      <c r="AK312" s="4"/>
      <c r="AL312" s="4"/>
      <c r="AP312" s="4"/>
      <c r="AX312" s="4"/>
      <c r="AY312" s="4"/>
      <c r="AZ312" s="4"/>
      <c r="BA312" s="4"/>
      <c r="BB312" s="4"/>
      <c r="BC312" s="4"/>
      <c r="BD312" s="4"/>
      <c r="BE312" s="4"/>
      <c r="BF312" s="4"/>
      <c r="BG312" s="4"/>
      <c r="BI312" s="4"/>
      <c r="BP312" s="4"/>
      <c r="BS312" s="4"/>
      <c r="BW312" s="4"/>
      <c r="BX312" s="4"/>
    </row>
    <row r="313" spans="1:76" ht="12.75" x14ac:dyDescent="0.2">
      <c r="A313" s="4" t="s">
        <v>396</v>
      </c>
      <c r="B313" s="4" t="s">
        <v>253</v>
      </c>
      <c r="C313" s="4" t="s">
        <v>1377</v>
      </c>
      <c r="D313" s="4">
        <v>2574</v>
      </c>
      <c r="E313" s="4" t="s">
        <v>42</v>
      </c>
      <c r="F313" s="4" t="s">
        <v>1672</v>
      </c>
      <c r="G313" s="113">
        <v>0.1</v>
      </c>
      <c r="H313" t="s">
        <v>1781</v>
      </c>
      <c r="I313" s="4">
        <v>0.21836236842105261</v>
      </c>
      <c r="J313">
        <v>0.38</v>
      </c>
      <c r="K313">
        <v>0.71</v>
      </c>
      <c r="L313" s="4" t="s">
        <v>1674</v>
      </c>
      <c r="M313" s="4" t="s">
        <v>109</v>
      </c>
      <c r="N313" s="4" t="s">
        <v>1671</v>
      </c>
      <c r="O313" s="4"/>
      <c r="P313" s="4" t="s">
        <v>1693</v>
      </c>
      <c r="Q313" t="s">
        <v>109</v>
      </c>
      <c r="R313" s="4"/>
      <c r="S313" s="4"/>
      <c r="U313" s="4"/>
      <c r="Y313" s="4"/>
      <c r="Z313" s="4"/>
      <c r="AA313" s="4"/>
      <c r="AB313" s="4"/>
      <c r="AC313" s="4"/>
      <c r="AD313" s="4"/>
      <c r="AE313" s="4"/>
      <c r="AF313" s="4"/>
      <c r="AG313" s="4"/>
      <c r="AH313" s="4"/>
      <c r="AI313" s="4"/>
      <c r="AJ313" s="4"/>
      <c r="AK313" s="4"/>
      <c r="AL313" s="4"/>
      <c r="AP313" s="4"/>
      <c r="AX313" s="4"/>
      <c r="AY313" s="4"/>
      <c r="AZ313" s="4"/>
      <c r="BA313" s="4"/>
      <c r="BB313" s="4"/>
      <c r="BC313" s="4"/>
      <c r="BD313" s="4"/>
      <c r="BE313" s="4"/>
      <c r="BF313" s="4"/>
      <c r="BG313" s="4"/>
      <c r="BI313" s="4"/>
      <c r="BP313" s="4"/>
      <c r="BS313" s="4"/>
      <c r="BW313" s="4"/>
      <c r="BX313" s="4"/>
    </row>
    <row r="314" spans="1:76" ht="12.75" x14ac:dyDescent="0.2">
      <c r="A314" s="4" t="s">
        <v>396</v>
      </c>
      <c r="B314" s="4" t="s">
        <v>253</v>
      </c>
      <c r="C314" s="4" t="s">
        <v>1377</v>
      </c>
      <c r="D314" s="4">
        <v>2574</v>
      </c>
      <c r="E314" s="4" t="s">
        <v>42</v>
      </c>
      <c r="F314" s="4" t="s">
        <v>1672</v>
      </c>
      <c r="G314" s="113">
        <v>0.1</v>
      </c>
      <c r="H314" t="s">
        <v>1781</v>
      </c>
      <c r="I314" s="4">
        <v>0.24001736842105267</v>
      </c>
      <c r="J314">
        <v>0.38</v>
      </c>
      <c r="K314">
        <v>0.71</v>
      </c>
      <c r="L314" s="4" t="s">
        <v>1674</v>
      </c>
      <c r="M314" s="4" t="s">
        <v>109</v>
      </c>
      <c r="N314" s="4" t="s">
        <v>1671</v>
      </c>
      <c r="O314" s="4"/>
      <c r="P314" s="4" t="s">
        <v>1693</v>
      </c>
      <c r="Q314" t="s">
        <v>109</v>
      </c>
      <c r="R314" s="4"/>
      <c r="S314" s="4"/>
      <c r="U314" s="4"/>
      <c r="Y314" s="4"/>
      <c r="Z314" s="4"/>
      <c r="AA314" s="4"/>
      <c r="AB314" s="4"/>
      <c r="AC314" s="4"/>
      <c r="AD314" s="4"/>
      <c r="AE314" s="4"/>
      <c r="AF314" s="4"/>
      <c r="AG314" s="4"/>
      <c r="AH314" s="4"/>
      <c r="AI314" s="4"/>
      <c r="AJ314" s="4"/>
      <c r="AK314" s="4"/>
      <c r="AL314" s="4"/>
      <c r="AP314" s="4"/>
      <c r="AX314" s="4"/>
      <c r="AY314" s="4"/>
      <c r="AZ314" s="4"/>
      <c r="BA314" s="4"/>
      <c r="BB314" s="4"/>
      <c r="BC314" s="4"/>
      <c r="BD314" s="4"/>
      <c r="BE314" s="4"/>
      <c r="BF314" s="4"/>
      <c r="BG314" s="4"/>
      <c r="BI314" s="4"/>
      <c r="BP314" s="4"/>
      <c r="BS314" s="4"/>
      <c r="BW314" s="4"/>
      <c r="BX314" s="4"/>
    </row>
    <row r="315" spans="1:76" ht="12.75" x14ac:dyDescent="0.2">
      <c r="A315" s="4" t="s">
        <v>396</v>
      </c>
      <c r="B315" s="4" t="s">
        <v>253</v>
      </c>
      <c r="C315" s="4" t="s">
        <v>111</v>
      </c>
      <c r="D315" s="4">
        <v>2574</v>
      </c>
      <c r="E315" s="4" t="s">
        <v>42</v>
      </c>
      <c r="F315" s="4" t="s">
        <v>1672</v>
      </c>
      <c r="G315" s="113">
        <v>0.1</v>
      </c>
      <c r="H315" t="s">
        <v>1781</v>
      </c>
      <c r="I315" s="4">
        <v>0.26583894736842106</v>
      </c>
      <c r="J315">
        <v>0.38</v>
      </c>
      <c r="K315">
        <v>0.71</v>
      </c>
      <c r="L315" s="4" t="s">
        <v>1674</v>
      </c>
      <c r="M315" s="4" t="s">
        <v>109</v>
      </c>
      <c r="N315" s="4" t="s">
        <v>1671</v>
      </c>
      <c r="O315" s="4"/>
      <c r="P315" s="4" t="s">
        <v>1693</v>
      </c>
      <c r="Q315" t="s">
        <v>109</v>
      </c>
      <c r="R315" s="4"/>
      <c r="S315" s="4"/>
      <c r="U315" s="4"/>
      <c r="Y315" s="4"/>
      <c r="Z315" s="4"/>
      <c r="AA315" s="4"/>
      <c r="AB315" s="4"/>
      <c r="AC315" s="4"/>
      <c r="AD315" s="4"/>
      <c r="AE315" s="4"/>
      <c r="AF315" s="4"/>
      <c r="AG315" s="4"/>
      <c r="AH315" s="4"/>
      <c r="AI315" s="4"/>
      <c r="AJ315" s="4"/>
      <c r="AK315" s="4"/>
      <c r="AL315" s="4"/>
      <c r="AP315" s="4"/>
      <c r="AX315" s="4"/>
      <c r="AY315" s="4"/>
      <c r="AZ315" s="4"/>
      <c r="BA315" s="4"/>
      <c r="BB315" s="4"/>
      <c r="BC315" s="4"/>
      <c r="BD315" s="4"/>
      <c r="BE315" s="4"/>
      <c r="BF315" s="4"/>
      <c r="BG315" s="4"/>
      <c r="BI315" s="4"/>
      <c r="BP315" s="4"/>
      <c r="BS315" s="4"/>
      <c r="BW315" s="4"/>
      <c r="BX315" s="4"/>
    </row>
    <row r="316" spans="1:76" ht="12.75" x14ac:dyDescent="0.2">
      <c r="A316" s="4" t="s">
        <v>396</v>
      </c>
      <c r="B316" s="4" t="s">
        <v>253</v>
      </c>
      <c r="C316" s="4" t="s">
        <v>1377</v>
      </c>
      <c r="D316" s="4">
        <v>2574</v>
      </c>
      <c r="E316" s="4" t="s">
        <v>42</v>
      </c>
      <c r="F316" s="4" t="s">
        <v>1672</v>
      </c>
      <c r="G316" s="113">
        <v>0.1</v>
      </c>
      <c r="H316" t="s">
        <v>1781</v>
      </c>
      <c r="I316" s="4">
        <v>0.27878710526315792</v>
      </c>
      <c r="J316">
        <v>0.38</v>
      </c>
      <c r="K316">
        <v>0.71</v>
      </c>
      <c r="L316" s="4" t="s">
        <v>1674</v>
      </c>
      <c r="M316" s="4" t="s">
        <v>109</v>
      </c>
      <c r="N316" s="4" t="s">
        <v>1671</v>
      </c>
      <c r="O316" s="4"/>
      <c r="P316" s="4" t="s">
        <v>1693</v>
      </c>
      <c r="Q316" t="s">
        <v>109</v>
      </c>
      <c r="R316" s="4"/>
      <c r="S316" s="4"/>
      <c r="U316" s="4"/>
      <c r="Y316" s="4"/>
      <c r="Z316" s="4"/>
      <c r="AA316" s="4"/>
      <c r="AB316" s="4"/>
      <c r="AC316" s="4"/>
      <c r="AD316" s="4"/>
      <c r="AE316" s="4"/>
      <c r="AF316" s="4"/>
      <c r="AG316" s="4"/>
      <c r="AH316" s="4"/>
      <c r="AI316" s="4"/>
      <c r="AJ316" s="4"/>
      <c r="AK316" s="4"/>
      <c r="AL316" s="4"/>
      <c r="AP316" s="4"/>
      <c r="AX316" s="4"/>
      <c r="AY316" s="4"/>
      <c r="AZ316" s="4"/>
      <c r="BA316" s="4"/>
      <c r="BB316" s="4"/>
      <c r="BC316" s="4"/>
      <c r="BD316" s="4"/>
      <c r="BE316" s="4"/>
      <c r="BF316" s="4"/>
      <c r="BG316" s="4"/>
      <c r="BI316" s="4"/>
      <c r="BP316" s="4"/>
      <c r="BS316" s="4"/>
      <c r="BW316" s="4"/>
      <c r="BX316" s="4"/>
    </row>
    <row r="317" spans="1:76" ht="12.75" x14ac:dyDescent="0.2">
      <c r="A317" s="4" t="s">
        <v>396</v>
      </c>
      <c r="B317" s="4" t="s">
        <v>253</v>
      </c>
      <c r="C317" s="4" t="s">
        <v>111</v>
      </c>
      <c r="D317" s="4">
        <v>2574</v>
      </c>
      <c r="E317" s="4" t="s">
        <v>42</v>
      </c>
      <c r="F317" s="4" t="s">
        <v>1672</v>
      </c>
      <c r="G317" s="113">
        <v>0.1</v>
      </c>
      <c r="H317" t="s">
        <v>1781</v>
      </c>
      <c r="I317" s="4">
        <v>0.28431763157894735</v>
      </c>
      <c r="J317">
        <v>0.38</v>
      </c>
      <c r="K317">
        <v>0.71</v>
      </c>
      <c r="L317" s="4" t="s">
        <v>1674</v>
      </c>
      <c r="M317" s="4" t="s">
        <v>109</v>
      </c>
      <c r="N317" s="4" t="s">
        <v>1671</v>
      </c>
      <c r="O317" s="4"/>
      <c r="P317" s="4" t="s">
        <v>1693</v>
      </c>
      <c r="Q317" t="s">
        <v>109</v>
      </c>
      <c r="R317" s="4"/>
      <c r="S317" s="4"/>
      <c r="U317" s="4"/>
      <c r="Y317" s="4"/>
      <c r="Z317" s="4"/>
      <c r="AA317" s="4"/>
      <c r="AB317" s="4"/>
      <c r="AC317" s="4"/>
      <c r="AD317" s="4"/>
      <c r="AE317" s="4"/>
      <c r="AF317" s="4"/>
      <c r="AG317" s="4"/>
      <c r="AH317" s="4"/>
      <c r="AI317" s="4"/>
      <c r="AJ317" s="4"/>
      <c r="AK317" s="4"/>
      <c r="AL317" s="4"/>
      <c r="AP317" s="4"/>
      <c r="AX317" s="4"/>
      <c r="AY317" s="4"/>
      <c r="AZ317" s="4"/>
      <c r="BA317" s="4"/>
      <c r="BB317" s="4"/>
      <c r="BC317" s="4"/>
      <c r="BD317" s="4"/>
      <c r="BE317" s="4"/>
      <c r="BF317" s="4"/>
      <c r="BG317" s="4"/>
      <c r="BI317" s="4"/>
      <c r="BP317" s="4"/>
      <c r="BS317" s="4"/>
      <c r="BW317" s="4"/>
      <c r="BX317" s="4"/>
    </row>
    <row r="318" spans="1:76" ht="12.75" x14ac:dyDescent="0.2">
      <c r="A318" s="4" t="s">
        <v>396</v>
      </c>
      <c r="B318" s="4" t="s">
        <v>253</v>
      </c>
      <c r="C318" s="4" t="s">
        <v>1377</v>
      </c>
      <c r="D318" s="4">
        <v>2574</v>
      </c>
      <c r="E318" s="4" t="s">
        <v>42</v>
      </c>
      <c r="F318" s="4" t="s">
        <v>1672</v>
      </c>
      <c r="G318" s="113">
        <v>0.1</v>
      </c>
      <c r="H318" t="s">
        <v>1781</v>
      </c>
      <c r="I318" s="4">
        <v>0.2905207894736842</v>
      </c>
      <c r="J318">
        <v>0.38</v>
      </c>
      <c r="K318">
        <v>0.71</v>
      </c>
      <c r="L318" s="4" t="s">
        <v>1674</v>
      </c>
      <c r="M318" s="4" t="s">
        <v>109</v>
      </c>
      <c r="N318" s="4" t="s">
        <v>1671</v>
      </c>
      <c r="O318" s="4"/>
      <c r="P318" s="4" t="s">
        <v>1693</v>
      </c>
      <c r="Q318" t="s">
        <v>109</v>
      </c>
      <c r="R318" s="4"/>
      <c r="S318" s="4"/>
      <c r="U318" s="4"/>
      <c r="Y318" s="4"/>
      <c r="Z318" s="4"/>
      <c r="AA318" s="4"/>
      <c r="AB318" s="4"/>
      <c r="AC318" s="4"/>
      <c r="AD318" s="4"/>
      <c r="AE318" s="4"/>
      <c r="AF318" s="4"/>
      <c r="AG318" s="4"/>
      <c r="AH318" s="4"/>
      <c r="AI318" s="4"/>
      <c r="AJ318" s="4"/>
      <c r="AK318" s="4"/>
      <c r="AL318" s="4"/>
      <c r="AP318" s="4"/>
      <c r="AX318" s="4"/>
      <c r="AY318" s="4"/>
      <c r="AZ318" s="4"/>
      <c r="BA318" s="4"/>
      <c r="BB318" s="4"/>
      <c r="BC318" s="4"/>
      <c r="BD318" s="4"/>
      <c r="BE318" s="4"/>
      <c r="BF318" s="4"/>
      <c r="BG318" s="4"/>
      <c r="BI318" s="4"/>
      <c r="BP318" s="4"/>
      <c r="BS318" s="4"/>
      <c r="BW318" s="4"/>
      <c r="BX318" s="4"/>
    </row>
    <row r="319" spans="1:76" ht="12.75" x14ac:dyDescent="0.2">
      <c r="A319" s="4" t="s">
        <v>396</v>
      </c>
      <c r="B319" s="4" t="s">
        <v>253</v>
      </c>
      <c r="C319" s="4" t="s">
        <v>111</v>
      </c>
      <c r="D319" s="4">
        <v>2574</v>
      </c>
      <c r="E319" s="4" t="s">
        <v>42</v>
      </c>
      <c r="F319" s="4" t="s">
        <v>1672</v>
      </c>
      <c r="G319" s="113">
        <v>0.1</v>
      </c>
      <c r="H319" t="s">
        <v>1781</v>
      </c>
      <c r="I319" s="4">
        <v>0.32469421052631581</v>
      </c>
      <c r="J319">
        <v>0.38</v>
      </c>
      <c r="K319">
        <v>0.71</v>
      </c>
      <c r="L319" s="4" t="s">
        <v>1674</v>
      </c>
      <c r="M319" s="4" t="s">
        <v>109</v>
      </c>
      <c r="N319" s="4" t="s">
        <v>1671</v>
      </c>
      <c r="O319" s="4"/>
      <c r="P319" s="4" t="s">
        <v>1693</v>
      </c>
      <c r="Q319" t="s">
        <v>109</v>
      </c>
      <c r="R319" s="4"/>
      <c r="S319" s="4"/>
      <c r="U319" s="4"/>
      <c r="Y319" s="4"/>
      <c r="Z319" s="4"/>
      <c r="AA319" s="4"/>
      <c r="AB319" s="4"/>
      <c r="AC319" s="4"/>
      <c r="AD319" s="4"/>
      <c r="AE319" s="4"/>
      <c r="AF319" s="4"/>
      <c r="AG319" s="4"/>
      <c r="AH319" s="4"/>
      <c r="AI319" s="4"/>
      <c r="AJ319" s="4"/>
      <c r="AK319" s="4"/>
      <c r="AL319" s="4"/>
      <c r="AP319" s="4"/>
      <c r="AX319" s="4"/>
      <c r="AY319" s="4"/>
      <c r="AZ319" s="4"/>
      <c r="BA319" s="4"/>
      <c r="BB319" s="4"/>
      <c r="BC319" s="4"/>
      <c r="BD319" s="4"/>
      <c r="BE319" s="4"/>
      <c r="BF319" s="4"/>
      <c r="BG319" s="4"/>
      <c r="BI319" s="4"/>
      <c r="BP319" s="4"/>
      <c r="BS319" s="4"/>
      <c r="BW319" s="4"/>
      <c r="BX319" s="4"/>
    </row>
    <row r="320" spans="1:76" ht="12.75" x14ac:dyDescent="0.2">
      <c r="A320" s="4" t="s">
        <v>396</v>
      </c>
      <c r="B320" s="4" t="s">
        <v>253</v>
      </c>
      <c r="C320" s="4" t="s">
        <v>1377</v>
      </c>
      <c r="D320" s="4">
        <v>2574</v>
      </c>
      <c r="E320" s="4" t="s">
        <v>42</v>
      </c>
      <c r="F320" s="4" t="s">
        <v>1672</v>
      </c>
      <c r="G320" s="113">
        <v>0.1</v>
      </c>
      <c r="H320" t="s">
        <v>1781</v>
      </c>
      <c r="I320" s="4">
        <v>0.34179026315789474</v>
      </c>
      <c r="J320">
        <v>0.38</v>
      </c>
      <c r="K320">
        <v>0.71</v>
      </c>
      <c r="L320" s="4" t="s">
        <v>1674</v>
      </c>
      <c r="M320" s="4" t="s">
        <v>109</v>
      </c>
      <c r="N320" s="4" t="s">
        <v>1671</v>
      </c>
      <c r="O320" s="4"/>
      <c r="P320" s="4" t="s">
        <v>1693</v>
      </c>
      <c r="Q320" t="s">
        <v>109</v>
      </c>
      <c r="R320" s="4"/>
      <c r="S320" s="4"/>
      <c r="U320" s="4"/>
      <c r="Y320" s="4"/>
      <c r="Z320" s="4"/>
      <c r="AA320" s="4"/>
      <c r="AB320" s="4"/>
      <c r="AC320" s="4"/>
      <c r="AD320" s="4"/>
      <c r="AE320" s="4"/>
      <c r="AF320" s="4"/>
      <c r="AG320" s="4"/>
      <c r="AH320" s="4"/>
      <c r="AI320" s="4"/>
      <c r="AJ320" s="4"/>
      <c r="AK320" s="4"/>
      <c r="AL320" s="4"/>
      <c r="AP320" s="4"/>
      <c r="AX320" s="4"/>
      <c r="AY320" s="4"/>
      <c r="AZ320" s="4"/>
      <c r="BA320" s="4"/>
      <c r="BB320" s="4"/>
      <c r="BC320" s="4"/>
      <c r="BD320" s="4"/>
      <c r="BE320" s="4"/>
      <c r="BF320" s="4"/>
      <c r="BG320" s="4"/>
      <c r="BI320" s="4"/>
      <c r="BP320" s="4"/>
      <c r="BS320" s="4"/>
      <c r="BW320" s="4"/>
      <c r="BX320" s="4"/>
    </row>
    <row r="321" spans="1:76" ht="12.75" x14ac:dyDescent="0.2">
      <c r="A321" s="4" t="s">
        <v>396</v>
      </c>
      <c r="B321" s="4" t="s">
        <v>253</v>
      </c>
      <c r="C321" s="4" t="s">
        <v>1377</v>
      </c>
      <c r="D321" s="4">
        <v>2574</v>
      </c>
      <c r="E321" s="4" t="s">
        <v>42</v>
      </c>
      <c r="F321" s="4" t="s">
        <v>1672</v>
      </c>
      <c r="G321" s="113">
        <v>0.1</v>
      </c>
      <c r="H321" t="s">
        <v>1781</v>
      </c>
      <c r="I321" s="4">
        <v>0.34894631578947366</v>
      </c>
      <c r="J321">
        <v>0.38</v>
      </c>
      <c r="K321">
        <v>0.71</v>
      </c>
      <c r="L321" s="4" t="s">
        <v>1674</v>
      </c>
      <c r="M321" s="4" t="s">
        <v>109</v>
      </c>
      <c r="N321" s="4" t="s">
        <v>1671</v>
      </c>
      <c r="O321" s="4"/>
      <c r="P321" s="4" t="s">
        <v>1693</v>
      </c>
      <c r="Q321" t="s">
        <v>109</v>
      </c>
      <c r="R321" s="4"/>
      <c r="S321" s="4"/>
      <c r="U321" s="4"/>
      <c r="Y321" s="4"/>
      <c r="Z321" s="4"/>
      <c r="AA321" s="4"/>
      <c r="AB321" s="4"/>
      <c r="AC321" s="4"/>
      <c r="AD321" s="4"/>
      <c r="AE321" s="4"/>
      <c r="AF321" s="4"/>
      <c r="AG321" s="4"/>
      <c r="AH321" s="4"/>
      <c r="AI321" s="4"/>
      <c r="AJ321" s="4"/>
      <c r="AK321" s="4"/>
      <c r="AL321" s="4"/>
      <c r="AP321" s="4"/>
      <c r="AX321" s="4"/>
      <c r="AY321" s="4"/>
      <c r="AZ321" s="4"/>
      <c r="BA321" s="4"/>
      <c r="BB321" s="4"/>
      <c r="BC321" s="4"/>
      <c r="BD321" s="4"/>
      <c r="BE321" s="4"/>
      <c r="BF321" s="4"/>
      <c r="BG321" s="4"/>
      <c r="BI321" s="4"/>
      <c r="BP321" s="4"/>
      <c r="BS321" s="4"/>
      <c r="BW321" s="4"/>
      <c r="BX321" s="4"/>
    </row>
    <row r="322" spans="1:76" ht="12.75" x14ac:dyDescent="0.2">
      <c r="A322" s="4" t="s">
        <v>396</v>
      </c>
      <c r="B322" s="4" t="s">
        <v>253</v>
      </c>
      <c r="C322" s="4" t="s">
        <v>111</v>
      </c>
      <c r="D322" s="4">
        <v>2574</v>
      </c>
      <c r="E322" s="4" t="s">
        <v>42</v>
      </c>
      <c r="F322" s="4" t="s">
        <v>1672</v>
      </c>
      <c r="G322" s="113">
        <v>0.1</v>
      </c>
      <c r="H322" t="s">
        <v>1781</v>
      </c>
      <c r="I322" s="4">
        <v>0.35079605263157893</v>
      </c>
      <c r="J322">
        <v>0.38</v>
      </c>
      <c r="K322">
        <v>0.71</v>
      </c>
      <c r="L322" s="4" t="s">
        <v>1674</v>
      </c>
      <c r="M322" s="4" t="s">
        <v>109</v>
      </c>
      <c r="N322" s="4" t="s">
        <v>1671</v>
      </c>
      <c r="O322" s="4"/>
      <c r="P322" s="4" t="s">
        <v>1693</v>
      </c>
      <c r="Q322" t="s">
        <v>109</v>
      </c>
      <c r="R322" s="4"/>
      <c r="S322" s="4"/>
      <c r="U322" s="4"/>
      <c r="Y322" s="4"/>
      <c r="Z322" s="4"/>
      <c r="AA322" s="4"/>
      <c r="AB322" s="4"/>
      <c r="AC322" s="4"/>
      <c r="AD322" s="4"/>
      <c r="AE322" s="4"/>
      <c r="AF322" s="4"/>
      <c r="AG322" s="4"/>
      <c r="AH322" s="4"/>
      <c r="AI322" s="4"/>
      <c r="AJ322" s="4"/>
      <c r="AK322" s="4"/>
      <c r="AL322" s="4"/>
      <c r="AP322" s="4"/>
      <c r="AX322" s="4"/>
      <c r="AY322" s="4"/>
      <c r="AZ322" s="4"/>
      <c r="BA322" s="4"/>
      <c r="BB322" s="4"/>
      <c r="BC322" s="4"/>
      <c r="BD322" s="4"/>
      <c r="BE322" s="4"/>
      <c r="BF322" s="4"/>
      <c r="BG322" s="4"/>
      <c r="BI322" s="4"/>
      <c r="BP322" s="4"/>
      <c r="BS322" s="4"/>
      <c r="BW322" s="4"/>
      <c r="BX322" s="4"/>
    </row>
    <row r="323" spans="1:76" ht="12.75" x14ac:dyDescent="0.2">
      <c r="A323" s="4" t="s">
        <v>396</v>
      </c>
      <c r="B323" s="4" t="s">
        <v>253</v>
      </c>
      <c r="C323" s="4" t="s">
        <v>111</v>
      </c>
      <c r="D323" s="4">
        <v>2574</v>
      </c>
      <c r="E323" s="4" t="s">
        <v>42</v>
      </c>
      <c r="F323" s="4" t="s">
        <v>1672</v>
      </c>
      <c r="G323" s="113">
        <v>0.1</v>
      </c>
      <c r="H323" t="s">
        <v>1781</v>
      </c>
      <c r="I323" s="4">
        <v>0.36456631578947368</v>
      </c>
      <c r="J323">
        <v>0.38</v>
      </c>
      <c r="K323">
        <v>0.71</v>
      </c>
      <c r="L323" s="4" t="s">
        <v>1674</v>
      </c>
      <c r="M323" s="4" t="s">
        <v>109</v>
      </c>
      <c r="N323" s="4" t="s">
        <v>1671</v>
      </c>
      <c r="O323" s="4"/>
      <c r="P323" s="4" t="s">
        <v>1693</v>
      </c>
      <c r="Q323" t="s">
        <v>109</v>
      </c>
      <c r="R323" s="4"/>
      <c r="S323" s="4"/>
      <c r="U323" s="4"/>
      <c r="Y323" s="4"/>
      <c r="Z323" s="4"/>
      <c r="AA323" s="4"/>
      <c r="AB323" s="4"/>
      <c r="AC323" s="4"/>
      <c r="AD323" s="4"/>
      <c r="AE323" s="4"/>
      <c r="AF323" s="4"/>
      <c r="AG323" s="4"/>
      <c r="AH323" s="4"/>
      <c r="AI323" s="4"/>
      <c r="AJ323" s="4"/>
      <c r="AK323" s="4"/>
      <c r="AL323" s="4"/>
      <c r="AP323" s="4"/>
      <c r="AX323" s="4"/>
      <c r="AY323" s="4"/>
      <c r="AZ323" s="4"/>
      <c r="BA323" s="4"/>
      <c r="BB323" s="4"/>
      <c r="BC323" s="4"/>
      <c r="BD323" s="4"/>
      <c r="BE323" s="4"/>
      <c r="BF323" s="4"/>
      <c r="BG323" s="4"/>
      <c r="BI323" s="4"/>
      <c r="BP323" s="4"/>
      <c r="BS323" s="4"/>
      <c r="BW323" s="4"/>
      <c r="BX323" s="4"/>
    </row>
    <row r="324" spans="1:76" ht="12.75" x14ac:dyDescent="0.2">
      <c r="A324" s="4" t="s">
        <v>396</v>
      </c>
      <c r="B324" s="4" t="s">
        <v>253</v>
      </c>
      <c r="C324" s="4" t="s">
        <v>111</v>
      </c>
      <c r="D324" s="4">
        <v>2574</v>
      </c>
      <c r="E324" s="4" t="s">
        <v>42</v>
      </c>
      <c r="F324" s="4" t="s">
        <v>1672</v>
      </c>
      <c r="G324" s="113">
        <v>0.1</v>
      </c>
      <c r="H324" t="s">
        <v>1781</v>
      </c>
      <c r="I324" s="4">
        <v>0.3895657894736842</v>
      </c>
      <c r="J324">
        <v>0.38</v>
      </c>
      <c r="K324">
        <v>0.71</v>
      </c>
      <c r="L324" s="4" t="s">
        <v>1674</v>
      </c>
      <c r="M324" s="4" t="s">
        <v>109</v>
      </c>
      <c r="N324" s="4" t="s">
        <v>1671</v>
      </c>
      <c r="O324" s="4"/>
      <c r="P324" s="4" t="s">
        <v>1693</v>
      </c>
      <c r="Q324" t="s">
        <v>109</v>
      </c>
      <c r="R324" s="4"/>
      <c r="S324" s="4"/>
      <c r="U324" s="4"/>
      <c r="Y324" s="4"/>
      <c r="Z324" s="4"/>
      <c r="AA324" s="4"/>
      <c r="AB324" s="4"/>
      <c r="AC324" s="4"/>
      <c r="AD324" s="4"/>
      <c r="AE324" s="4"/>
      <c r="AF324" s="4"/>
      <c r="AG324" s="4"/>
      <c r="AH324" s="4"/>
      <c r="AI324" s="4"/>
      <c r="AJ324" s="4"/>
      <c r="AK324" s="4"/>
      <c r="AL324" s="4"/>
      <c r="AP324" s="4"/>
      <c r="AX324" s="4"/>
      <c r="AY324" s="4"/>
      <c r="AZ324" s="4"/>
      <c r="BA324" s="4"/>
      <c r="BB324" s="4"/>
      <c r="BC324" s="4"/>
      <c r="BD324" s="4"/>
      <c r="BE324" s="4"/>
      <c r="BF324" s="4"/>
      <c r="BG324" s="4"/>
      <c r="BI324" s="4"/>
      <c r="BP324" s="4"/>
      <c r="BS324" s="4"/>
      <c r="BW324" s="4"/>
      <c r="BX324" s="4"/>
    </row>
    <row r="325" spans="1:76" ht="12.75" x14ac:dyDescent="0.2">
      <c r="A325" s="4" t="s">
        <v>409</v>
      </c>
      <c r="B325" s="4" t="s">
        <v>642</v>
      </c>
      <c r="C325" s="4" t="s">
        <v>778</v>
      </c>
      <c r="D325" s="4">
        <v>2574</v>
      </c>
      <c r="E325" s="4" t="s">
        <v>42</v>
      </c>
      <c r="F325" s="4" t="s">
        <v>1672</v>
      </c>
      <c r="G325" s="113">
        <v>0.14285714285714285</v>
      </c>
      <c r="H325" t="s">
        <v>1781</v>
      </c>
      <c r="I325" s="4">
        <v>0.46710526315789475</v>
      </c>
      <c r="J325">
        <v>0.38</v>
      </c>
      <c r="K325">
        <v>0.71</v>
      </c>
      <c r="L325" s="4" t="s">
        <v>1675</v>
      </c>
      <c r="M325" s="4" t="s">
        <v>109</v>
      </c>
      <c r="N325" s="4" t="s">
        <v>1671</v>
      </c>
      <c r="O325" s="4"/>
      <c r="P325" s="4" t="s">
        <v>1693</v>
      </c>
      <c r="Q325" t="s">
        <v>109</v>
      </c>
      <c r="R325" s="4"/>
      <c r="S325" s="4"/>
      <c r="U325" s="4"/>
      <c r="Y325" s="4"/>
      <c r="Z325" s="4"/>
      <c r="AA325" s="4"/>
      <c r="AB325" s="4"/>
      <c r="AC325" s="4"/>
      <c r="AD325" s="4"/>
      <c r="AE325" s="4"/>
      <c r="AF325" s="4"/>
      <c r="AG325" s="4"/>
      <c r="AH325" s="4"/>
      <c r="AI325" s="4"/>
      <c r="AJ325" s="4"/>
      <c r="AK325" s="4"/>
      <c r="AL325" s="4"/>
      <c r="AP325" s="4"/>
      <c r="AX325" s="4"/>
      <c r="AY325" s="4"/>
      <c r="AZ325" s="4"/>
      <c r="BA325" s="4"/>
      <c r="BB325" s="4"/>
      <c r="BC325" s="4"/>
      <c r="BD325" s="4"/>
      <c r="BE325" s="4"/>
      <c r="BF325" s="4"/>
      <c r="BG325" s="4"/>
      <c r="BI325" s="4"/>
      <c r="BP325" s="4"/>
      <c r="BS325" s="4"/>
      <c r="BW325" s="4"/>
      <c r="BX325" s="4"/>
    </row>
    <row r="326" spans="1:76" ht="12.75" x14ac:dyDescent="0.2">
      <c r="A326" s="4" t="s">
        <v>406</v>
      </c>
      <c r="B326" s="4" t="s">
        <v>642</v>
      </c>
      <c r="C326" s="4" t="s">
        <v>778</v>
      </c>
      <c r="D326" s="4">
        <v>2574</v>
      </c>
      <c r="E326" s="4" t="s">
        <v>42</v>
      </c>
      <c r="F326" s="4" t="s">
        <v>1672</v>
      </c>
      <c r="G326" s="113">
        <v>0.14285714285714285</v>
      </c>
      <c r="H326" t="s">
        <v>1781</v>
      </c>
      <c r="I326" s="4">
        <v>0.49305555555555552</v>
      </c>
      <c r="J326">
        <v>0.36</v>
      </c>
      <c r="K326">
        <v>0.71</v>
      </c>
      <c r="L326" s="4" t="s">
        <v>1675</v>
      </c>
      <c r="M326" s="4" t="s">
        <v>109</v>
      </c>
      <c r="N326" s="4" t="s">
        <v>1671</v>
      </c>
      <c r="O326" s="4"/>
      <c r="P326" s="4" t="s">
        <v>1693</v>
      </c>
      <c r="Q326" t="s">
        <v>109</v>
      </c>
      <c r="R326" s="4"/>
      <c r="S326" s="4"/>
      <c r="U326" s="4"/>
      <c r="Y326" s="4"/>
      <c r="Z326" s="4"/>
      <c r="AA326" s="4"/>
      <c r="AB326" s="4"/>
      <c r="AC326" s="4"/>
      <c r="AD326" s="4"/>
      <c r="AE326" s="4"/>
      <c r="AF326" s="4"/>
      <c r="AG326" s="4"/>
      <c r="AH326" s="4"/>
      <c r="AI326" s="4"/>
      <c r="AJ326" s="4"/>
      <c r="AK326" s="4"/>
      <c r="AL326" s="4"/>
      <c r="AP326" s="4"/>
      <c r="AX326" s="4"/>
      <c r="AY326" s="4"/>
      <c r="AZ326" s="4"/>
      <c r="BA326" s="4"/>
      <c r="BB326" s="4"/>
      <c r="BC326" s="4"/>
      <c r="BD326" s="4"/>
      <c r="BE326" s="4"/>
      <c r="BF326" s="4"/>
      <c r="BG326" s="4"/>
      <c r="BI326" s="4"/>
      <c r="BP326" s="4"/>
      <c r="BS326" s="4"/>
      <c r="BW326" s="4"/>
      <c r="BX326" s="4"/>
    </row>
    <row r="327" spans="1:76" ht="12.75" x14ac:dyDescent="0.2">
      <c r="A327" s="4" t="s">
        <v>396</v>
      </c>
      <c r="B327" s="4" t="s">
        <v>225</v>
      </c>
      <c r="C327" s="4" t="s">
        <v>1366</v>
      </c>
      <c r="D327" s="4">
        <v>2574</v>
      </c>
      <c r="E327" s="4" t="s">
        <v>42</v>
      </c>
      <c r="F327" s="4" t="s">
        <v>1672</v>
      </c>
      <c r="G327" s="113">
        <v>1</v>
      </c>
      <c r="H327" t="s">
        <v>1781</v>
      </c>
      <c r="I327" s="4">
        <v>0.53250000000000008</v>
      </c>
      <c r="J327">
        <v>0.38</v>
      </c>
      <c r="K327">
        <v>0.71</v>
      </c>
      <c r="L327" s="4" t="s">
        <v>1549</v>
      </c>
      <c r="M327" s="4" t="s">
        <v>109</v>
      </c>
      <c r="N327" s="4" t="s">
        <v>1671</v>
      </c>
      <c r="O327" s="4"/>
      <c r="P327" s="4" t="s">
        <v>1693</v>
      </c>
      <c r="Q327" t="s">
        <v>109</v>
      </c>
      <c r="R327" s="4"/>
      <c r="S327" s="4"/>
      <c r="U327" s="4"/>
      <c r="Y327" s="4"/>
      <c r="Z327" s="4"/>
      <c r="AA327" s="4"/>
      <c r="AB327" s="4"/>
      <c r="AC327" s="4"/>
      <c r="AD327" s="4"/>
      <c r="AE327" s="4"/>
      <c r="AF327" s="4"/>
      <c r="AG327" s="4"/>
      <c r="AH327" s="4"/>
      <c r="AI327" s="4"/>
      <c r="AJ327" s="4"/>
      <c r="AK327" s="4"/>
      <c r="AL327" s="4"/>
      <c r="AP327" s="4"/>
      <c r="AX327" s="4"/>
      <c r="AY327" s="4"/>
      <c r="AZ327" s="4"/>
      <c r="BA327" s="4"/>
      <c r="BB327" s="4"/>
      <c r="BC327" s="4"/>
      <c r="BD327" s="4"/>
      <c r="BE327" s="4"/>
      <c r="BF327" s="4"/>
      <c r="BG327" s="4"/>
      <c r="BI327" s="4"/>
      <c r="BP327" s="4"/>
      <c r="BS327" s="4"/>
      <c r="BW327" s="4"/>
      <c r="BX327" s="4"/>
    </row>
    <row r="328" spans="1:76" ht="12.75" x14ac:dyDescent="0.2">
      <c r="A328" s="4" t="s">
        <v>408</v>
      </c>
      <c r="B328" s="4" t="s">
        <v>642</v>
      </c>
      <c r="C328" s="4" t="s">
        <v>778</v>
      </c>
      <c r="D328" s="4">
        <v>2574</v>
      </c>
      <c r="E328" s="4" t="s">
        <v>42</v>
      </c>
      <c r="F328" s="4" t="s">
        <v>1672</v>
      </c>
      <c r="G328" s="113">
        <v>0.14285714285714285</v>
      </c>
      <c r="H328" t="s">
        <v>1781</v>
      </c>
      <c r="I328" s="4">
        <v>0.59789473684210515</v>
      </c>
      <c r="J328">
        <v>0.38</v>
      </c>
      <c r="K328">
        <v>0.71</v>
      </c>
      <c r="L328" s="4" t="s">
        <v>1675</v>
      </c>
      <c r="M328" s="4" t="s">
        <v>109</v>
      </c>
      <c r="N328" s="4" t="s">
        <v>1671</v>
      </c>
      <c r="O328" s="4"/>
      <c r="P328" s="4" t="s">
        <v>1693</v>
      </c>
      <c r="Q328" t="s">
        <v>109</v>
      </c>
      <c r="R328" s="4"/>
      <c r="S328" s="4"/>
      <c r="U328" s="4"/>
      <c r="Y328" s="4"/>
      <c r="Z328" s="4"/>
      <c r="AA328" s="4"/>
      <c r="AB328" s="4"/>
      <c r="AC328" s="4"/>
      <c r="AD328" s="4"/>
      <c r="AE328" s="4"/>
      <c r="AF328" s="4"/>
      <c r="AG328" s="4"/>
      <c r="AH328" s="4"/>
      <c r="AI328" s="4"/>
      <c r="AJ328" s="4"/>
      <c r="AK328" s="4"/>
      <c r="AL328" s="4"/>
      <c r="AP328" s="4"/>
      <c r="AX328" s="4"/>
      <c r="AY328" s="4"/>
      <c r="AZ328" s="4"/>
      <c r="BA328" s="4"/>
      <c r="BB328" s="4"/>
      <c r="BC328" s="4"/>
      <c r="BD328" s="4"/>
      <c r="BE328" s="4"/>
      <c r="BF328" s="4"/>
      <c r="BG328" s="4"/>
      <c r="BI328" s="4"/>
      <c r="BP328" s="4"/>
      <c r="BS328" s="4"/>
      <c r="BW328" s="4"/>
      <c r="BX328" s="4"/>
    </row>
    <row r="329" spans="1:76" ht="12.75" x14ac:dyDescent="0.2">
      <c r="A329" s="4" t="s">
        <v>407</v>
      </c>
      <c r="B329" s="4" t="s">
        <v>642</v>
      </c>
      <c r="C329" s="4" t="s">
        <v>778</v>
      </c>
      <c r="D329" s="4">
        <v>2574</v>
      </c>
      <c r="E329" s="4" t="s">
        <v>42</v>
      </c>
      <c r="F329" s="4" t="s">
        <v>1672</v>
      </c>
      <c r="G329" s="113">
        <v>0.14285714285714285</v>
      </c>
      <c r="H329" t="s">
        <v>1781</v>
      </c>
      <c r="I329" s="4">
        <v>0.59789473684210515</v>
      </c>
      <c r="J329">
        <v>0.38</v>
      </c>
      <c r="K329">
        <v>0.71</v>
      </c>
      <c r="L329" s="4" t="s">
        <v>1675</v>
      </c>
      <c r="M329" s="4" t="s">
        <v>109</v>
      </c>
      <c r="N329" s="4" t="s">
        <v>1671</v>
      </c>
      <c r="O329" s="4"/>
      <c r="P329" s="4" t="s">
        <v>1693</v>
      </c>
      <c r="Q329" t="s">
        <v>109</v>
      </c>
      <c r="R329" s="4"/>
      <c r="S329" s="4"/>
      <c r="U329" s="4"/>
      <c r="Y329" s="4"/>
      <c r="Z329" s="4"/>
      <c r="AA329" s="4"/>
      <c r="AB329" s="4"/>
      <c r="AC329" s="4"/>
      <c r="AD329" s="4"/>
      <c r="AE329" s="4"/>
      <c r="AF329" s="4"/>
      <c r="AG329" s="4"/>
      <c r="AH329" s="4"/>
      <c r="AI329" s="4"/>
      <c r="AJ329" s="4"/>
      <c r="AK329" s="4"/>
      <c r="AL329" s="4"/>
      <c r="AP329" s="4"/>
      <c r="AX329" s="4"/>
      <c r="AY329" s="4"/>
      <c r="AZ329" s="4"/>
      <c r="BA329" s="4"/>
      <c r="BB329" s="4"/>
      <c r="BC329" s="4"/>
      <c r="BD329" s="4"/>
      <c r="BE329" s="4"/>
      <c r="BF329" s="4"/>
      <c r="BG329" s="4"/>
      <c r="BI329" s="4"/>
      <c r="BP329" s="4"/>
      <c r="BS329" s="4"/>
      <c r="BW329" s="4"/>
      <c r="BX329" s="4"/>
    </row>
    <row r="330" spans="1:76" ht="12.75" x14ac:dyDescent="0.2">
      <c r="A330" s="4" t="s">
        <v>398</v>
      </c>
      <c r="B330" s="4" t="s">
        <v>642</v>
      </c>
      <c r="C330" s="4" t="s">
        <v>778</v>
      </c>
      <c r="D330" s="4">
        <v>2574</v>
      </c>
      <c r="E330" s="4" t="s">
        <v>42</v>
      </c>
      <c r="F330" s="4" t="s">
        <v>1672</v>
      </c>
      <c r="G330" s="113">
        <v>0.14285714285714285</v>
      </c>
      <c r="H330" t="s">
        <v>1781</v>
      </c>
      <c r="I330" s="4">
        <v>0.63111111111111118</v>
      </c>
      <c r="J330">
        <v>0.36</v>
      </c>
      <c r="K330">
        <v>0.71</v>
      </c>
      <c r="L330" s="4" t="s">
        <v>1675</v>
      </c>
      <c r="M330" s="4" t="s">
        <v>109</v>
      </c>
      <c r="N330" s="4" t="s">
        <v>1671</v>
      </c>
      <c r="O330" s="4"/>
      <c r="P330" s="4" t="s">
        <v>1693</v>
      </c>
      <c r="Q330" t="s">
        <v>109</v>
      </c>
      <c r="R330" s="4"/>
      <c r="S330" s="4"/>
      <c r="U330" s="4"/>
      <c r="Y330" s="4"/>
      <c r="Z330" s="4"/>
      <c r="AA330" s="4"/>
      <c r="AB330" s="4"/>
      <c r="AC330" s="4"/>
      <c r="AD330" s="4"/>
      <c r="AE330" s="4"/>
      <c r="AF330" s="4"/>
      <c r="AG330" s="4"/>
      <c r="AH330" s="4"/>
      <c r="AI330" s="4"/>
      <c r="AJ330" s="4"/>
      <c r="AK330" s="4"/>
      <c r="AL330" s="4"/>
      <c r="AP330" s="4"/>
      <c r="AX330" s="4"/>
      <c r="AY330" s="4"/>
      <c r="AZ330" s="4"/>
      <c r="BA330" s="4"/>
      <c r="BB330" s="4"/>
      <c r="BC330" s="4"/>
      <c r="BD330" s="4"/>
      <c r="BE330" s="4"/>
      <c r="BF330" s="4"/>
      <c r="BG330" s="4"/>
      <c r="BI330" s="4"/>
      <c r="BP330" s="4"/>
      <c r="BS330" s="4"/>
      <c r="BW330" s="4"/>
      <c r="BX330" s="4"/>
    </row>
    <row r="331" spans="1:76" ht="12.75" x14ac:dyDescent="0.2">
      <c r="A331" s="4" t="s">
        <v>409</v>
      </c>
      <c r="B331" s="4" t="s">
        <v>642</v>
      </c>
      <c r="C331" s="4" t="s">
        <v>778</v>
      </c>
      <c r="D331" s="4">
        <v>2574</v>
      </c>
      <c r="E331" s="4" t="s">
        <v>42</v>
      </c>
      <c r="F331" s="4" t="s">
        <v>1672</v>
      </c>
      <c r="G331" s="113">
        <v>0.14285714285714285</v>
      </c>
      <c r="H331" t="s">
        <v>1781</v>
      </c>
      <c r="I331" s="4">
        <v>0.65394736842105261</v>
      </c>
      <c r="J331">
        <v>0.38</v>
      </c>
      <c r="K331">
        <v>0.71</v>
      </c>
      <c r="L331" s="4" t="s">
        <v>1675</v>
      </c>
      <c r="M331" s="4" t="s">
        <v>109</v>
      </c>
      <c r="N331" s="4" t="s">
        <v>1671</v>
      </c>
      <c r="O331" s="4"/>
      <c r="P331" s="4" t="s">
        <v>1693</v>
      </c>
      <c r="Q331" t="s">
        <v>109</v>
      </c>
      <c r="R331" s="4"/>
      <c r="S331" s="4"/>
      <c r="U331" s="4"/>
      <c r="Y331" s="4"/>
      <c r="Z331" s="4"/>
      <c r="AA331" s="4"/>
      <c r="AB331" s="4"/>
      <c r="AC331" s="4"/>
      <c r="AD331" s="4"/>
      <c r="AE331" s="4"/>
      <c r="AF331" s="4"/>
      <c r="AG331" s="4"/>
      <c r="AH331" s="4"/>
      <c r="AI331" s="4"/>
      <c r="AJ331" s="4"/>
      <c r="AK331" s="4"/>
      <c r="AL331" s="4"/>
      <c r="AP331" s="4"/>
      <c r="AX331" s="4"/>
      <c r="AY331" s="4"/>
      <c r="AZ331" s="4"/>
      <c r="BA331" s="4"/>
      <c r="BB331" s="4"/>
      <c r="BC331" s="4"/>
      <c r="BD331" s="4"/>
      <c r="BE331" s="4"/>
      <c r="BF331" s="4"/>
      <c r="BG331" s="4"/>
      <c r="BI331" s="4"/>
      <c r="BP331" s="4"/>
      <c r="BS331" s="4"/>
      <c r="BW331" s="4"/>
      <c r="BX331" s="4"/>
    </row>
    <row r="332" spans="1:76" ht="12.75" x14ac:dyDescent="0.2">
      <c r="A332" s="4" t="s">
        <v>406</v>
      </c>
      <c r="B332" s="4" t="s">
        <v>642</v>
      </c>
      <c r="C332" s="4" t="s">
        <v>778</v>
      </c>
      <c r="D332" s="4">
        <v>2574</v>
      </c>
      <c r="E332" s="4" t="s">
        <v>42</v>
      </c>
      <c r="F332" s="4" t="s">
        <v>1672</v>
      </c>
      <c r="G332" s="113">
        <v>0.14285714285714285</v>
      </c>
      <c r="H332" t="s">
        <v>1781</v>
      </c>
      <c r="I332" s="4">
        <v>0.69027777777777777</v>
      </c>
      <c r="J332">
        <v>0.36</v>
      </c>
      <c r="K332">
        <v>0.71</v>
      </c>
      <c r="L332" s="4" t="s">
        <v>1675</v>
      </c>
      <c r="M332" s="4" t="s">
        <v>109</v>
      </c>
      <c r="N332" s="4" t="s">
        <v>1671</v>
      </c>
      <c r="O332" s="4"/>
      <c r="P332" s="4" t="s">
        <v>1693</v>
      </c>
      <c r="Q332" t="s">
        <v>109</v>
      </c>
      <c r="R332" s="4"/>
      <c r="S332" s="4"/>
      <c r="U332" s="4"/>
      <c r="Y332" s="4"/>
      <c r="Z332" s="4"/>
      <c r="AA332" s="4"/>
      <c r="AB332" s="4"/>
      <c r="AC332" s="4"/>
      <c r="AD332" s="4"/>
      <c r="AE332" s="4"/>
      <c r="AF332" s="4"/>
      <c r="AG332" s="4"/>
      <c r="AH332" s="4"/>
      <c r="AI332" s="4"/>
      <c r="AJ332" s="4"/>
      <c r="AK332" s="4"/>
      <c r="AL332" s="4"/>
      <c r="AP332" s="4"/>
      <c r="AX332" s="4"/>
      <c r="AY332" s="4"/>
      <c r="AZ332" s="4"/>
      <c r="BA332" s="4"/>
      <c r="BB332" s="4"/>
      <c r="BC332" s="4"/>
      <c r="BD332" s="4"/>
      <c r="BE332" s="4"/>
      <c r="BF332" s="4"/>
      <c r="BG332" s="4"/>
      <c r="BI332" s="4"/>
      <c r="BP332" s="4"/>
      <c r="BS332" s="4"/>
      <c r="BW332" s="4"/>
      <c r="BX332" s="4"/>
    </row>
    <row r="333" spans="1:76" ht="12.75" x14ac:dyDescent="0.2">
      <c r="A333" s="4" t="s">
        <v>407</v>
      </c>
      <c r="B333" s="4" t="s">
        <v>642</v>
      </c>
      <c r="C333" s="4" t="s">
        <v>778</v>
      </c>
      <c r="D333" s="4">
        <v>2574</v>
      </c>
      <c r="E333" s="4" t="s">
        <v>42</v>
      </c>
      <c r="F333" s="4" t="s">
        <v>1672</v>
      </c>
      <c r="G333" s="113">
        <v>0.14285714285714285</v>
      </c>
      <c r="H333" t="s">
        <v>1781</v>
      </c>
      <c r="I333" s="4">
        <v>0.78473684210526307</v>
      </c>
      <c r="J333">
        <v>0.38</v>
      </c>
      <c r="K333">
        <v>0.71</v>
      </c>
      <c r="L333" s="4" t="s">
        <v>1675</v>
      </c>
      <c r="M333" s="4" t="s">
        <v>109</v>
      </c>
      <c r="N333" s="4" t="s">
        <v>1671</v>
      </c>
      <c r="O333" s="4"/>
      <c r="P333" s="4" t="s">
        <v>1693</v>
      </c>
      <c r="Q333" t="s">
        <v>109</v>
      </c>
      <c r="R333" s="4"/>
      <c r="S333" s="4"/>
      <c r="U333" s="4"/>
      <c r="Y333" s="4"/>
      <c r="Z333" s="4"/>
      <c r="AA333" s="4"/>
      <c r="AB333" s="4"/>
      <c r="AC333" s="4"/>
      <c r="AD333" s="4"/>
      <c r="AE333" s="4"/>
      <c r="AF333" s="4"/>
      <c r="AG333" s="4"/>
      <c r="AH333" s="4"/>
      <c r="AI333" s="4"/>
      <c r="AJ333" s="4"/>
      <c r="AK333" s="4"/>
      <c r="AL333" s="4"/>
      <c r="AP333" s="4"/>
      <c r="AX333" s="4"/>
      <c r="AY333" s="4"/>
      <c r="AZ333" s="4"/>
      <c r="BA333" s="4"/>
      <c r="BB333" s="4"/>
      <c r="BC333" s="4"/>
      <c r="BD333" s="4"/>
      <c r="BE333" s="4"/>
      <c r="BF333" s="4"/>
      <c r="BG333" s="4"/>
      <c r="BI333" s="4"/>
      <c r="BP333" s="4"/>
      <c r="BS333" s="4"/>
      <c r="BW333" s="4"/>
      <c r="BX333" s="4"/>
    </row>
    <row r="334" spans="1:76" ht="12.75" x14ac:dyDescent="0.2">
      <c r="A334" s="4" t="s">
        <v>409</v>
      </c>
      <c r="B334" s="4" t="s">
        <v>642</v>
      </c>
      <c r="C334" s="4" t="s">
        <v>778</v>
      </c>
      <c r="D334" s="4">
        <v>2574</v>
      </c>
      <c r="E334" s="4" t="s">
        <v>42</v>
      </c>
      <c r="F334" s="4" t="s">
        <v>1672</v>
      </c>
      <c r="G334" s="113">
        <v>0.14285714285714285</v>
      </c>
      <c r="H334" t="s">
        <v>1781</v>
      </c>
      <c r="I334" s="4">
        <v>0.80342105263157892</v>
      </c>
      <c r="J334">
        <v>0.38</v>
      </c>
      <c r="K334">
        <v>0.71</v>
      </c>
      <c r="L334" s="4" t="s">
        <v>1675</v>
      </c>
      <c r="M334" s="4" t="s">
        <v>109</v>
      </c>
      <c r="N334" s="4" t="s">
        <v>1671</v>
      </c>
      <c r="O334" s="4"/>
      <c r="P334" s="4" t="s">
        <v>1693</v>
      </c>
      <c r="Q334" t="s">
        <v>109</v>
      </c>
      <c r="R334" s="4"/>
      <c r="S334" s="4"/>
      <c r="U334" s="4"/>
      <c r="Y334" s="4"/>
      <c r="Z334" s="4"/>
      <c r="AA334" s="4"/>
      <c r="AB334" s="4"/>
      <c r="AC334" s="4"/>
      <c r="AD334" s="4"/>
      <c r="AE334" s="4"/>
      <c r="AF334" s="4"/>
      <c r="AG334" s="4"/>
      <c r="AH334" s="4"/>
      <c r="AI334" s="4"/>
      <c r="AJ334" s="4"/>
      <c r="AK334" s="4"/>
      <c r="AL334" s="4"/>
      <c r="AP334" s="4"/>
      <c r="AX334" s="4"/>
      <c r="AY334" s="4"/>
      <c r="AZ334" s="4"/>
      <c r="BA334" s="4"/>
      <c r="BB334" s="4"/>
      <c r="BC334" s="4"/>
      <c r="BD334" s="4"/>
      <c r="BE334" s="4"/>
      <c r="BF334" s="4"/>
      <c r="BG334" s="4"/>
      <c r="BI334" s="4"/>
      <c r="BP334" s="4"/>
      <c r="BS334" s="4"/>
      <c r="BW334" s="4"/>
      <c r="BX334" s="4"/>
    </row>
    <row r="335" spans="1:76" ht="12.75" x14ac:dyDescent="0.2">
      <c r="A335" s="4" t="s">
        <v>406</v>
      </c>
      <c r="B335" s="4" t="s">
        <v>642</v>
      </c>
      <c r="C335" s="4" t="s">
        <v>778</v>
      </c>
      <c r="D335" s="4">
        <v>2574</v>
      </c>
      <c r="E335" s="4" t="s">
        <v>42</v>
      </c>
      <c r="F335" s="4" t="s">
        <v>1672</v>
      </c>
      <c r="G335" s="113">
        <v>0.14285714285714285</v>
      </c>
      <c r="H335" t="s">
        <v>1781</v>
      </c>
      <c r="I335" s="4">
        <v>0.80861111111111106</v>
      </c>
      <c r="J335">
        <v>0.36</v>
      </c>
      <c r="K335">
        <v>0.71</v>
      </c>
      <c r="L335" s="4" t="s">
        <v>1675</v>
      </c>
      <c r="M335" s="4" t="s">
        <v>109</v>
      </c>
      <c r="N335" s="4" t="s">
        <v>1671</v>
      </c>
      <c r="O335" s="4"/>
      <c r="P335" s="4" t="s">
        <v>1693</v>
      </c>
      <c r="Q335" t="s">
        <v>109</v>
      </c>
      <c r="R335" s="4"/>
      <c r="S335" s="4"/>
      <c r="U335" s="4"/>
      <c r="Y335" s="4"/>
      <c r="Z335" s="4"/>
      <c r="AA335" s="4"/>
      <c r="AB335" s="4"/>
      <c r="AC335" s="4"/>
      <c r="AD335" s="4"/>
      <c r="AE335" s="4"/>
      <c r="AF335" s="4"/>
      <c r="AG335" s="4"/>
      <c r="AH335" s="4"/>
      <c r="AI335" s="4"/>
      <c r="AJ335" s="4"/>
      <c r="AK335" s="4"/>
      <c r="AL335" s="4"/>
      <c r="AP335" s="4"/>
      <c r="AX335" s="4"/>
      <c r="AY335" s="4"/>
      <c r="AZ335" s="4"/>
      <c r="BA335" s="4"/>
      <c r="BB335" s="4"/>
      <c r="BC335" s="4"/>
      <c r="BD335" s="4"/>
      <c r="BE335" s="4"/>
      <c r="BF335" s="4"/>
      <c r="BG335" s="4"/>
      <c r="BI335" s="4"/>
      <c r="BP335" s="4"/>
      <c r="BS335" s="4"/>
      <c r="BW335" s="4"/>
      <c r="BX335" s="4"/>
    </row>
    <row r="336" spans="1:76" ht="12.75" x14ac:dyDescent="0.2">
      <c r="A336" s="4" t="s">
        <v>408</v>
      </c>
      <c r="B336" s="4" t="s">
        <v>642</v>
      </c>
      <c r="C336" s="4" t="s">
        <v>778</v>
      </c>
      <c r="D336" s="4">
        <v>2574</v>
      </c>
      <c r="E336" s="4" t="s">
        <v>42</v>
      </c>
      <c r="F336" s="4" t="s">
        <v>1672</v>
      </c>
      <c r="G336" s="113">
        <v>0.14285714285714285</v>
      </c>
      <c r="H336" t="s">
        <v>1781</v>
      </c>
      <c r="I336" s="4">
        <v>0.87815789473684192</v>
      </c>
      <c r="J336">
        <v>0.38</v>
      </c>
      <c r="K336">
        <v>0.71</v>
      </c>
      <c r="L336" s="4" t="s">
        <v>1675</v>
      </c>
      <c r="M336" s="4" t="s">
        <v>109</v>
      </c>
      <c r="N336" s="4" t="s">
        <v>1671</v>
      </c>
      <c r="O336" s="4"/>
      <c r="P336" s="4" t="s">
        <v>1693</v>
      </c>
      <c r="Q336" t="s">
        <v>109</v>
      </c>
      <c r="R336" s="4"/>
      <c r="S336" s="4"/>
      <c r="U336" s="4"/>
      <c r="Y336" s="4"/>
      <c r="Z336" s="4"/>
      <c r="AA336" s="4"/>
      <c r="AB336" s="4"/>
      <c r="AC336" s="4"/>
      <c r="AD336" s="4"/>
      <c r="AE336" s="4"/>
      <c r="AF336" s="4"/>
      <c r="AG336" s="4"/>
      <c r="AH336" s="4"/>
      <c r="AI336" s="4"/>
      <c r="AJ336" s="4"/>
      <c r="AK336" s="4"/>
      <c r="AL336" s="4"/>
      <c r="AP336" s="4"/>
      <c r="AX336" s="4"/>
      <c r="AY336" s="4"/>
      <c r="AZ336" s="4"/>
      <c r="BA336" s="4"/>
      <c r="BB336" s="4"/>
      <c r="BC336" s="4"/>
      <c r="BD336" s="4"/>
      <c r="BE336" s="4"/>
      <c r="BF336" s="4"/>
      <c r="BG336" s="4"/>
      <c r="BI336" s="4"/>
      <c r="BP336" s="4"/>
      <c r="BS336" s="4"/>
      <c r="BW336" s="4"/>
      <c r="BX336" s="4"/>
    </row>
    <row r="337" spans="1:76" ht="12.75" x14ac:dyDescent="0.2">
      <c r="A337" s="4" t="s">
        <v>398</v>
      </c>
      <c r="B337" s="4" t="s">
        <v>642</v>
      </c>
      <c r="C337" s="4" t="s">
        <v>778</v>
      </c>
      <c r="D337" s="4">
        <v>2574</v>
      </c>
      <c r="E337" s="4" t="s">
        <v>42</v>
      </c>
      <c r="F337" s="4" t="s">
        <v>1672</v>
      </c>
      <c r="G337" s="113">
        <v>0.14285714285714285</v>
      </c>
      <c r="H337" t="s">
        <v>1781</v>
      </c>
      <c r="I337" s="4">
        <v>0.88749999999999996</v>
      </c>
      <c r="J337">
        <v>0.36</v>
      </c>
      <c r="K337">
        <v>0.71</v>
      </c>
      <c r="L337" s="4" t="s">
        <v>1675</v>
      </c>
      <c r="M337" s="4" t="s">
        <v>109</v>
      </c>
      <c r="N337" s="4" t="s">
        <v>1671</v>
      </c>
      <c r="O337" s="4"/>
      <c r="P337" s="4" t="s">
        <v>1693</v>
      </c>
      <c r="Q337" t="s">
        <v>109</v>
      </c>
      <c r="R337" s="4"/>
      <c r="S337" s="4"/>
      <c r="U337" s="4"/>
      <c r="Y337" s="4"/>
      <c r="Z337" s="4"/>
      <c r="AA337" s="4"/>
      <c r="AB337" s="4"/>
      <c r="AC337" s="4"/>
      <c r="AD337" s="4"/>
      <c r="AE337" s="4"/>
      <c r="AF337" s="4"/>
      <c r="AG337" s="4"/>
      <c r="AH337" s="4"/>
      <c r="AI337" s="4"/>
      <c r="AJ337" s="4"/>
      <c r="AK337" s="4"/>
      <c r="AL337" s="4"/>
      <c r="AP337" s="4"/>
      <c r="AX337" s="4"/>
      <c r="AY337" s="4"/>
      <c r="AZ337" s="4"/>
      <c r="BA337" s="4"/>
      <c r="BB337" s="4"/>
      <c r="BC337" s="4"/>
      <c r="BD337" s="4"/>
      <c r="BE337" s="4"/>
      <c r="BF337" s="4"/>
      <c r="BG337" s="4"/>
      <c r="BI337" s="4"/>
      <c r="BP337" s="4"/>
      <c r="BS337" s="4"/>
      <c r="BW337" s="4"/>
      <c r="BX337" s="4"/>
    </row>
    <row r="338" spans="1:76" ht="12.75" x14ac:dyDescent="0.2">
      <c r="A338" s="4" t="s">
        <v>408</v>
      </c>
      <c r="B338" s="4" t="s">
        <v>642</v>
      </c>
      <c r="C338" s="4" t="s">
        <v>778</v>
      </c>
      <c r="D338" s="4">
        <v>2574</v>
      </c>
      <c r="E338" s="4" t="s">
        <v>42</v>
      </c>
      <c r="F338" s="4" t="s">
        <v>1672</v>
      </c>
      <c r="G338" s="113">
        <v>0.14285714285714285</v>
      </c>
      <c r="H338" t="s">
        <v>1781</v>
      </c>
      <c r="I338" s="4">
        <v>0.97157894736842099</v>
      </c>
      <c r="J338">
        <v>0.38</v>
      </c>
      <c r="K338">
        <v>0.71</v>
      </c>
      <c r="L338" s="4" t="s">
        <v>1675</v>
      </c>
      <c r="M338" s="4" t="s">
        <v>109</v>
      </c>
      <c r="N338" s="4" t="s">
        <v>1671</v>
      </c>
      <c r="O338" s="4"/>
      <c r="P338" s="4" t="s">
        <v>1693</v>
      </c>
      <c r="Q338" t="s">
        <v>109</v>
      </c>
      <c r="R338" s="4"/>
      <c r="S338" s="4"/>
      <c r="U338" s="4"/>
      <c r="Y338" s="4"/>
      <c r="Z338" s="4"/>
      <c r="AA338" s="4"/>
      <c r="AB338" s="4"/>
      <c r="AC338" s="4"/>
      <c r="AD338" s="4"/>
      <c r="AE338" s="4"/>
      <c r="AF338" s="4"/>
      <c r="AG338" s="4"/>
      <c r="AH338" s="4"/>
      <c r="AI338" s="4"/>
      <c r="AJ338" s="4"/>
      <c r="AK338" s="4"/>
      <c r="AL338" s="4"/>
      <c r="AP338" s="4"/>
      <c r="AX338" s="4"/>
      <c r="AY338" s="4"/>
      <c r="AZ338" s="4"/>
      <c r="BA338" s="4"/>
      <c r="BB338" s="4"/>
      <c r="BC338" s="4"/>
      <c r="BD338" s="4"/>
      <c r="BE338" s="4"/>
      <c r="BF338" s="4"/>
      <c r="BG338" s="4"/>
      <c r="BI338" s="4"/>
      <c r="BP338" s="4"/>
      <c r="BS338" s="4"/>
      <c r="BW338" s="4"/>
      <c r="BX338" s="4"/>
    </row>
    <row r="339" spans="1:76" ht="12.75" x14ac:dyDescent="0.2">
      <c r="A339" s="4" t="s">
        <v>407</v>
      </c>
      <c r="B339" s="4" t="s">
        <v>642</v>
      </c>
      <c r="C339" s="4" t="s">
        <v>778</v>
      </c>
      <c r="D339" s="4">
        <v>2574</v>
      </c>
      <c r="E339" s="4" t="s">
        <v>42</v>
      </c>
      <c r="F339" s="4" t="s">
        <v>1672</v>
      </c>
      <c r="G339" s="113">
        <v>0.14285714285714285</v>
      </c>
      <c r="H339" t="s">
        <v>1781</v>
      </c>
      <c r="I339" s="4">
        <v>0.97157894736842099</v>
      </c>
      <c r="J339">
        <v>0.38</v>
      </c>
      <c r="K339">
        <v>0.71</v>
      </c>
      <c r="L339" s="4" t="s">
        <v>1675</v>
      </c>
      <c r="M339" s="4" t="s">
        <v>109</v>
      </c>
      <c r="N339" s="4" t="s">
        <v>1671</v>
      </c>
      <c r="O339" s="4"/>
      <c r="P339" s="4" t="s">
        <v>1693</v>
      </c>
      <c r="Q339" t="s">
        <v>109</v>
      </c>
      <c r="R339" s="4"/>
      <c r="S339" s="4"/>
      <c r="U339" s="4"/>
      <c r="Y339" s="4"/>
      <c r="Z339" s="4"/>
      <c r="AA339" s="4"/>
      <c r="AB339" s="4"/>
      <c r="AC339" s="4"/>
      <c r="AD339" s="4"/>
      <c r="AE339" s="4"/>
      <c r="AF339" s="4"/>
      <c r="AG339" s="4"/>
      <c r="AH339" s="4"/>
      <c r="AI339" s="4"/>
      <c r="AJ339" s="4"/>
      <c r="AK339" s="4"/>
      <c r="AL339" s="4"/>
      <c r="AP339" s="4"/>
      <c r="AX339" s="4"/>
      <c r="AY339" s="4"/>
      <c r="AZ339" s="4"/>
      <c r="BA339" s="4"/>
      <c r="BB339" s="4"/>
      <c r="BC339" s="4"/>
      <c r="BD339" s="4"/>
      <c r="BE339" s="4"/>
      <c r="BF339" s="4"/>
      <c r="BG339" s="4"/>
      <c r="BI339" s="4"/>
      <c r="BP339" s="4"/>
      <c r="BS339" s="4"/>
      <c r="BW339" s="4"/>
      <c r="BX339" s="4"/>
    </row>
    <row r="340" spans="1:76" ht="12.75" x14ac:dyDescent="0.2">
      <c r="A340" s="4" t="s">
        <v>398</v>
      </c>
      <c r="B340" s="4" t="s">
        <v>642</v>
      </c>
      <c r="C340" s="4" t="s">
        <v>778</v>
      </c>
      <c r="D340" s="4">
        <v>2574</v>
      </c>
      <c r="E340" s="4" t="s">
        <v>42</v>
      </c>
      <c r="F340" s="4" t="s">
        <v>1672</v>
      </c>
      <c r="G340" s="113">
        <v>0.14285714285714285</v>
      </c>
      <c r="H340" t="s">
        <v>1781</v>
      </c>
      <c r="I340" s="4">
        <v>1.1636111111111109</v>
      </c>
      <c r="J340">
        <v>0.36</v>
      </c>
      <c r="K340">
        <v>0.71</v>
      </c>
      <c r="L340" s="4" t="s">
        <v>1675</v>
      </c>
      <c r="M340" s="4" t="s">
        <v>109</v>
      </c>
      <c r="N340" s="4" t="s">
        <v>1671</v>
      </c>
      <c r="O340" s="4"/>
      <c r="P340" s="4" t="s">
        <v>1693</v>
      </c>
      <c r="Q340" t="s">
        <v>109</v>
      </c>
      <c r="R340" s="4"/>
      <c r="S340" s="4"/>
      <c r="U340" s="4"/>
      <c r="Y340" s="4"/>
      <c r="Z340" s="4"/>
      <c r="AA340" s="4"/>
      <c r="AB340" s="4"/>
      <c r="AC340" s="4"/>
      <c r="AD340" s="4"/>
      <c r="AE340" s="4"/>
      <c r="AF340" s="4"/>
      <c r="AG340" s="4"/>
      <c r="AH340" s="4"/>
      <c r="AI340" s="4"/>
      <c r="AJ340" s="4"/>
      <c r="AK340" s="4"/>
      <c r="AL340" s="4"/>
      <c r="AP340" s="4"/>
      <c r="AX340" s="4"/>
      <c r="AY340" s="4"/>
      <c r="AZ340" s="4"/>
      <c r="BA340" s="4"/>
      <c r="BB340" s="4"/>
      <c r="BC340" s="4"/>
      <c r="BD340" s="4"/>
      <c r="BE340" s="4"/>
      <c r="BF340" s="4"/>
      <c r="BG340" s="4"/>
      <c r="BI340" s="4"/>
      <c r="BP340" s="4"/>
      <c r="BS340" s="4"/>
      <c r="BW340" s="4"/>
      <c r="BX340" s="4"/>
    </row>
    <row r="341" spans="1:76" ht="12.75" x14ac:dyDescent="0.2">
      <c r="A341" s="4" t="s">
        <v>409</v>
      </c>
      <c r="B341" s="4" t="s">
        <v>642</v>
      </c>
      <c r="C341" s="4" t="s">
        <v>778</v>
      </c>
      <c r="D341" s="4">
        <v>2574</v>
      </c>
      <c r="E341" s="4" t="s">
        <v>42</v>
      </c>
      <c r="F341" s="4" t="s">
        <v>1672</v>
      </c>
      <c r="G341" s="113">
        <v>0.14285714285714285</v>
      </c>
      <c r="H341" t="s">
        <v>1781</v>
      </c>
      <c r="I341" s="4">
        <v>1.1771052631578947</v>
      </c>
      <c r="J341">
        <v>0.38</v>
      </c>
      <c r="K341">
        <v>0.71</v>
      </c>
      <c r="L341" s="4" t="s">
        <v>1675</v>
      </c>
      <c r="M341" s="4" t="s">
        <v>109</v>
      </c>
      <c r="N341" s="4" t="s">
        <v>1671</v>
      </c>
      <c r="O341" s="4"/>
      <c r="P341" s="4" t="s">
        <v>1693</v>
      </c>
      <c r="Q341" t="s">
        <v>109</v>
      </c>
      <c r="R341" s="4"/>
      <c r="S341" s="4"/>
      <c r="U341" s="4"/>
      <c r="Y341" s="4"/>
      <c r="Z341" s="4"/>
      <c r="AA341" s="4"/>
      <c r="AB341" s="4"/>
      <c r="AC341" s="4"/>
      <c r="AD341" s="4"/>
      <c r="AE341" s="4"/>
      <c r="AF341" s="4"/>
      <c r="AG341" s="4"/>
      <c r="AH341" s="4"/>
      <c r="AI341" s="4"/>
      <c r="AJ341" s="4"/>
      <c r="AK341" s="4"/>
      <c r="AL341" s="4"/>
      <c r="AP341" s="4"/>
      <c r="AX341" s="4"/>
      <c r="AY341" s="4"/>
      <c r="AZ341" s="4"/>
      <c r="BA341" s="4"/>
      <c r="BB341" s="4"/>
      <c r="BC341" s="4"/>
      <c r="BD341" s="4"/>
      <c r="BE341" s="4"/>
      <c r="BF341" s="4"/>
      <c r="BG341" s="4"/>
      <c r="BI341" s="4"/>
      <c r="BP341" s="4"/>
      <c r="BS341" s="4"/>
      <c r="BW341" s="4"/>
      <c r="BX341" s="4"/>
    </row>
    <row r="342" spans="1:76" ht="12.75" x14ac:dyDescent="0.2">
      <c r="A342" s="4" t="s">
        <v>411</v>
      </c>
      <c r="B342" s="4" t="s">
        <v>114</v>
      </c>
      <c r="C342" s="4" t="s">
        <v>778</v>
      </c>
      <c r="D342" s="4">
        <v>2574</v>
      </c>
      <c r="E342" s="4" t="s">
        <v>42</v>
      </c>
      <c r="F342" s="4" t="s">
        <v>1672</v>
      </c>
      <c r="G342" s="113">
        <v>0.5</v>
      </c>
      <c r="H342" t="s">
        <v>1781</v>
      </c>
      <c r="I342" s="4">
        <v>1.216342105263158</v>
      </c>
      <c r="J342">
        <v>0.38</v>
      </c>
      <c r="K342">
        <v>0.71</v>
      </c>
      <c r="L342" s="4" t="s">
        <v>1673</v>
      </c>
      <c r="M342" s="4" t="s">
        <v>109</v>
      </c>
      <c r="N342" s="4" t="s">
        <v>1671</v>
      </c>
      <c r="O342" s="4"/>
      <c r="P342" s="4" t="s">
        <v>1693</v>
      </c>
      <c r="Q342" t="s">
        <v>109</v>
      </c>
      <c r="R342" s="4"/>
      <c r="S342" s="4"/>
      <c r="U342" s="4"/>
      <c r="Y342" s="4"/>
      <c r="Z342" s="4"/>
      <c r="AA342" s="4"/>
      <c r="AB342" s="4"/>
      <c r="AC342" s="4"/>
      <c r="AD342" s="4"/>
      <c r="AE342" s="4"/>
      <c r="AF342" s="4"/>
      <c r="AG342" s="4"/>
      <c r="AH342" s="4"/>
      <c r="AI342" s="4"/>
      <c r="AJ342" s="4"/>
      <c r="AK342" s="4"/>
      <c r="AL342" s="4"/>
      <c r="AP342" s="4"/>
      <c r="AX342" s="4"/>
      <c r="AY342" s="4"/>
      <c r="AZ342" s="4"/>
      <c r="BA342" s="4"/>
      <c r="BB342" s="4"/>
      <c r="BC342" s="4"/>
      <c r="BD342" s="4"/>
      <c r="BE342" s="4"/>
      <c r="BF342" s="4"/>
      <c r="BG342" s="4"/>
      <c r="BI342" s="4"/>
      <c r="BP342" s="4"/>
      <c r="BS342" s="4"/>
      <c r="BW342" s="4"/>
      <c r="BX342" s="4"/>
    </row>
    <row r="343" spans="1:76" ht="12.75" x14ac:dyDescent="0.2">
      <c r="A343" s="4" t="s">
        <v>406</v>
      </c>
      <c r="B343" s="4" t="s">
        <v>642</v>
      </c>
      <c r="C343" s="4" t="s">
        <v>778</v>
      </c>
      <c r="D343" s="4">
        <v>2574</v>
      </c>
      <c r="E343" s="4" t="s">
        <v>42</v>
      </c>
      <c r="F343" s="4" t="s">
        <v>1672</v>
      </c>
      <c r="G343" s="113">
        <v>0.14285714285714285</v>
      </c>
      <c r="H343" t="s">
        <v>1781</v>
      </c>
      <c r="I343" s="4">
        <v>1.2819444444444443</v>
      </c>
      <c r="J343">
        <v>0.36</v>
      </c>
      <c r="K343">
        <v>0.71</v>
      </c>
      <c r="L343" s="4" t="s">
        <v>1675</v>
      </c>
      <c r="M343" s="4" t="s">
        <v>109</v>
      </c>
      <c r="N343" s="4" t="s">
        <v>1671</v>
      </c>
      <c r="O343" s="4"/>
      <c r="P343" s="4" t="s">
        <v>1693</v>
      </c>
      <c r="Q343" t="s">
        <v>109</v>
      </c>
      <c r="R343" s="4"/>
      <c r="S343" s="4"/>
      <c r="U343" s="4"/>
      <c r="Y343" s="4"/>
      <c r="Z343" s="4"/>
      <c r="AA343" s="4"/>
      <c r="AB343" s="4"/>
      <c r="AC343" s="4"/>
      <c r="AD343" s="4"/>
      <c r="AE343" s="4"/>
      <c r="AF343" s="4"/>
      <c r="AG343" s="4"/>
      <c r="AH343" s="4"/>
      <c r="AI343" s="4"/>
      <c r="AJ343" s="4"/>
      <c r="AK343" s="4"/>
      <c r="AL343" s="4"/>
      <c r="AP343" s="4"/>
      <c r="AX343" s="4"/>
      <c r="AY343" s="4"/>
      <c r="AZ343" s="4"/>
      <c r="BA343" s="4"/>
      <c r="BB343" s="4"/>
      <c r="BC343" s="4"/>
      <c r="BD343" s="4"/>
      <c r="BE343" s="4"/>
      <c r="BF343" s="4"/>
      <c r="BG343" s="4"/>
      <c r="BI343" s="4"/>
      <c r="BP343" s="4"/>
      <c r="BS343" s="4"/>
      <c r="BW343" s="4"/>
      <c r="BX343" s="4"/>
    </row>
    <row r="344" spans="1:76" ht="12.75" x14ac:dyDescent="0.2">
      <c r="A344" s="4" t="s">
        <v>411</v>
      </c>
      <c r="B344" s="4" t="s">
        <v>1183</v>
      </c>
      <c r="C344" s="4" t="s">
        <v>778</v>
      </c>
      <c r="D344" s="4">
        <v>2574</v>
      </c>
      <c r="E344" s="4" t="s">
        <v>42</v>
      </c>
      <c r="F344" s="4" t="s">
        <v>1672</v>
      </c>
      <c r="G344" s="113">
        <v>0.5</v>
      </c>
      <c r="H344" t="s">
        <v>1781</v>
      </c>
      <c r="I344" s="4">
        <v>1.3695526315789472</v>
      </c>
      <c r="J344">
        <v>0.38</v>
      </c>
      <c r="K344">
        <v>0.71</v>
      </c>
      <c r="L344" s="4" t="s">
        <v>1673</v>
      </c>
      <c r="M344" s="4" t="s">
        <v>109</v>
      </c>
      <c r="N344" s="4" t="s">
        <v>1671</v>
      </c>
      <c r="O344" s="4"/>
      <c r="P344" s="4" t="s">
        <v>1693</v>
      </c>
      <c r="Q344" t="s">
        <v>109</v>
      </c>
      <c r="R344" s="4"/>
      <c r="S344" s="4"/>
      <c r="U344" s="4"/>
      <c r="Y344" s="4"/>
      <c r="Z344" s="4"/>
      <c r="AA344" s="4"/>
      <c r="AB344" s="4"/>
      <c r="AC344" s="4"/>
      <c r="AD344" s="4"/>
      <c r="AE344" s="4"/>
      <c r="AF344" s="4"/>
      <c r="AG344" s="4"/>
      <c r="AH344" s="4"/>
      <c r="AI344" s="4"/>
      <c r="AJ344" s="4"/>
      <c r="AK344" s="4"/>
      <c r="AL344" s="4"/>
      <c r="AP344" s="4"/>
      <c r="AX344" s="4"/>
      <c r="AY344" s="4"/>
      <c r="AZ344" s="4"/>
      <c r="BA344" s="4"/>
      <c r="BB344" s="4"/>
      <c r="BC344" s="4"/>
      <c r="BD344" s="4"/>
      <c r="BE344" s="4"/>
      <c r="BF344" s="4"/>
      <c r="BG344" s="4"/>
      <c r="BI344" s="4"/>
      <c r="BP344" s="4"/>
      <c r="BS344" s="4"/>
      <c r="BW344" s="4"/>
      <c r="BX344" s="4"/>
    </row>
    <row r="345" spans="1:76" ht="12.75" x14ac:dyDescent="0.2">
      <c r="A345" s="4" t="s">
        <v>411</v>
      </c>
      <c r="B345" s="4" t="s">
        <v>1283</v>
      </c>
      <c r="C345" s="4" t="s">
        <v>778</v>
      </c>
      <c r="D345" s="4">
        <v>2574</v>
      </c>
      <c r="E345" s="4" t="s">
        <v>42</v>
      </c>
      <c r="F345" s="4" t="s">
        <v>1672</v>
      </c>
      <c r="G345" s="113">
        <v>0.5</v>
      </c>
      <c r="H345" t="s">
        <v>1781</v>
      </c>
      <c r="I345" s="4">
        <v>1.4162631578947367</v>
      </c>
      <c r="J345">
        <v>0.38</v>
      </c>
      <c r="K345">
        <v>0.71</v>
      </c>
      <c r="L345" s="4" t="s">
        <v>1673</v>
      </c>
      <c r="M345" s="4" t="s">
        <v>109</v>
      </c>
      <c r="N345" s="4" t="s">
        <v>1671</v>
      </c>
      <c r="O345" s="4"/>
      <c r="P345" s="4" t="s">
        <v>1693</v>
      </c>
      <c r="Q345" t="s">
        <v>109</v>
      </c>
      <c r="R345" s="4"/>
      <c r="S345" s="4"/>
      <c r="U345" s="4"/>
      <c r="Y345" s="4"/>
      <c r="Z345" s="4"/>
      <c r="AA345" s="4"/>
      <c r="AB345" s="4"/>
      <c r="AC345" s="4"/>
      <c r="AD345" s="4"/>
      <c r="AE345" s="4"/>
      <c r="AF345" s="4"/>
      <c r="AG345" s="4"/>
      <c r="AH345" s="4"/>
      <c r="AI345" s="4"/>
      <c r="AJ345" s="4"/>
      <c r="AK345" s="4"/>
      <c r="AL345" s="4"/>
      <c r="AP345" s="4"/>
      <c r="AX345" s="4"/>
      <c r="AY345" s="4"/>
      <c r="AZ345" s="4"/>
      <c r="BA345" s="4"/>
      <c r="BB345" s="4"/>
      <c r="BC345" s="4"/>
      <c r="BD345" s="4"/>
      <c r="BE345" s="4"/>
      <c r="BF345" s="4"/>
      <c r="BG345" s="4"/>
      <c r="BI345" s="4"/>
      <c r="BP345" s="4"/>
      <c r="BS345" s="4"/>
      <c r="BW345" s="4"/>
      <c r="BX345" s="4"/>
    </row>
    <row r="346" spans="1:76" ht="12.75" x14ac:dyDescent="0.2">
      <c r="A346" s="4" t="s">
        <v>407</v>
      </c>
      <c r="B346" s="4" t="s">
        <v>642</v>
      </c>
      <c r="C346" s="4" t="s">
        <v>778</v>
      </c>
      <c r="D346" s="4">
        <v>2574</v>
      </c>
      <c r="E346" s="4" t="s">
        <v>42</v>
      </c>
      <c r="F346" s="4" t="s">
        <v>1672</v>
      </c>
      <c r="G346" s="113">
        <v>0.14285714285714285</v>
      </c>
      <c r="H346" t="s">
        <v>1781</v>
      </c>
      <c r="I346" s="4">
        <v>1.4947368421052629</v>
      </c>
      <c r="J346">
        <v>0.38</v>
      </c>
      <c r="K346">
        <v>0.71</v>
      </c>
      <c r="L346" s="4" t="s">
        <v>1675</v>
      </c>
      <c r="M346" s="4" t="s">
        <v>109</v>
      </c>
      <c r="N346" s="4" t="s">
        <v>1671</v>
      </c>
      <c r="O346" s="4"/>
      <c r="P346" s="4" t="s">
        <v>1693</v>
      </c>
      <c r="Q346" t="s">
        <v>109</v>
      </c>
      <c r="R346" s="4"/>
      <c r="S346" s="4"/>
      <c r="U346" s="4"/>
      <c r="Y346" s="4"/>
      <c r="Z346" s="4"/>
      <c r="AA346" s="4"/>
      <c r="AB346" s="4"/>
      <c r="AC346" s="4"/>
      <c r="AD346" s="4"/>
      <c r="AE346" s="4"/>
      <c r="AF346" s="4"/>
      <c r="AG346" s="4"/>
      <c r="AH346" s="4"/>
      <c r="AI346" s="4"/>
      <c r="AJ346" s="4"/>
      <c r="AK346" s="4"/>
      <c r="AL346" s="4"/>
      <c r="AP346" s="4"/>
      <c r="AX346" s="4"/>
      <c r="AY346" s="4"/>
      <c r="AZ346" s="4"/>
      <c r="BA346" s="4"/>
      <c r="BB346" s="4"/>
      <c r="BC346" s="4"/>
      <c r="BD346" s="4"/>
      <c r="BE346" s="4"/>
      <c r="BF346" s="4"/>
      <c r="BG346" s="4"/>
      <c r="BI346" s="4"/>
      <c r="BP346" s="4"/>
      <c r="BS346" s="4"/>
      <c r="BW346" s="4"/>
      <c r="BX346" s="4"/>
    </row>
    <row r="347" spans="1:76" ht="12.75" x14ac:dyDescent="0.2">
      <c r="A347" s="4" t="s">
        <v>411</v>
      </c>
      <c r="B347" s="4" t="s">
        <v>114</v>
      </c>
      <c r="C347" s="4" t="s">
        <v>778</v>
      </c>
      <c r="D347" s="4">
        <v>2574</v>
      </c>
      <c r="E347" s="4" t="s">
        <v>42</v>
      </c>
      <c r="F347" s="4" t="s">
        <v>1672</v>
      </c>
      <c r="G347" s="113">
        <v>0.5</v>
      </c>
      <c r="H347" t="s">
        <v>1781</v>
      </c>
      <c r="I347" s="4">
        <v>1.5022105263157894</v>
      </c>
      <c r="J347">
        <v>0.38</v>
      </c>
      <c r="K347">
        <v>0.71</v>
      </c>
      <c r="L347" s="4" t="s">
        <v>1673</v>
      </c>
      <c r="M347" s="4" t="s">
        <v>109</v>
      </c>
      <c r="N347" s="4" t="s">
        <v>1671</v>
      </c>
      <c r="O347" s="4"/>
      <c r="P347" s="4" t="s">
        <v>1693</v>
      </c>
      <c r="Q347" t="s">
        <v>109</v>
      </c>
      <c r="R347" s="4"/>
      <c r="S347" s="4"/>
      <c r="U347" s="4"/>
      <c r="Y347" s="4"/>
      <c r="Z347" s="4"/>
      <c r="AA347" s="4"/>
      <c r="AB347" s="4"/>
      <c r="AC347" s="4"/>
      <c r="AD347" s="4"/>
      <c r="AE347" s="4"/>
      <c r="AF347" s="4"/>
      <c r="AG347" s="4"/>
      <c r="AH347" s="4"/>
      <c r="AI347" s="4"/>
      <c r="AJ347" s="4"/>
      <c r="AK347" s="4"/>
      <c r="AL347" s="4"/>
      <c r="AP347" s="4"/>
      <c r="AX347" s="4"/>
      <c r="AY347" s="4"/>
      <c r="AZ347" s="4"/>
      <c r="BA347" s="4"/>
      <c r="BB347" s="4"/>
      <c r="BC347" s="4"/>
      <c r="BD347" s="4"/>
      <c r="BE347" s="4"/>
      <c r="BF347" s="4"/>
      <c r="BG347" s="4"/>
      <c r="BI347" s="4"/>
      <c r="BP347" s="4"/>
      <c r="BS347" s="4"/>
      <c r="BW347" s="4"/>
      <c r="BX347" s="4"/>
    </row>
    <row r="348" spans="1:76" ht="12.75" x14ac:dyDescent="0.2">
      <c r="A348" s="4" t="s">
        <v>408</v>
      </c>
      <c r="B348" s="4" t="s">
        <v>642</v>
      </c>
      <c r="C348" s="4" t="s">
        <v>778</v>
      </c>
      <c r="D348" s="4">
        <v>2574</v>
      </c>
      <c r="E348" s="4" t="s">
        <v>42</v>
      </c>
      <c r="F348" s="4" t="s">
        <v>1672</v>
      </c>
      <c r="G348" s="113">
        <v>0.14285714285714285</v>
      </c>
      <c r="H348" t="s">
        <v>1781</v>
      </c>
      <c r="I348" s="4">
        <v>1.5507894736842103</v>
      </c>
      <c r="J348">
        <v>0.38</v>
      </c>
      <c r="K348">
        <v>0.71</v>
      </c>
      <c r="L348" s="4" t="s">
        <v>1675</v>
      </c>
      <c r="M348" s="4" t="s">
        <v>109</v>
      </c>
      <c r="N348" s="4" t="s">
        <v>1671</v>
      </c>
      <c r="O348" s="4"/>
      <c r="P348" s="4" t="s">
        <v>1693</v>
      </c>
      <c r="Q348" t="s">
        <v>109</v>
      </c>
      <c r="R348" s="4"/>
      <c r="S348" s="4"/>
      <c r="U348" s="4"/>
      <c r="Y348" s="4"/>
      <c r="Z348" s="4"/>
      <c r="AA348" s="4"/>
      <c r="AB348" s="4"/>
      <c r="AC348" s="4"/>
      <c r="AD348" s="4"/>
      <c r="AE348" s="4"/>
      <c r="AF348" s="4"/>
      <c r="AG348" s="4"/>
      <c r="AH348" s="4"/>
      <c r="AI348" s="4"/>
      <c r="AJ348" s="4"/>
      <c r="AK348" s="4"/>
      <c r="AL348" s="4"/>
      <c r="AP348" s="4"/>
      <c r="AX348" s="4"/>
      <c r="AY348" s="4"/>
      <c r="AZ348" s="4"/>
      <c r="BA348" s="4"/>
      <c r="BB348" s="4"/>
      <c r="BC348" s="4"/>
      <c r="BD348" s="4"/>
      <c r="BE348" s="4"/>
      <c r="BF348" s="4"/>
      <c r="BG348" s="4"/>
      <c r="BI348" s="4"/>
      <c r="BP348" s="4"/>
      <c r="BS348" s="4"/>
      <c r="BW348" s="4"/>
      <c r="BX348" s="4"/>
    </row>
    <row r="349" spans="1:76" ht="12.75" x14ac:dyDescent="0.2">
      <c r="A349" s="4" t="s">
        <v>411</v>
      </c>
      <c r="B349" s="4" t="s">
        <v>1183</v>
      </c>
      <c r="C349" s="4" t="s">
        <v>778</v>
      </c>
      <c r="D349" s="4">
        <v>2574</v>
      </c>
      <c r="E349" s="4" t="s">
        <v>42</v>
      </c>
      <c r="F349" s="4" t="s">
        <v>1672</v>
      </c>
      <c r="G349" s="113">
        <v>0.5</v>
      </c>
      <c r="H349" t="s">
        <v>1781</v>
      </c>
      <c r="I349" s="4">
        <v>1.6031052631578948</v>
      </c>
      <c r="J349">
        <v>0.38</v>
      </c>
      <c r="K349">
        <v>0.71</v>
      </c>
      <c r="L349" s="4" t="s">
        <v>1673</v>
      </c>
      <c r="M349" s="4" t="s">
        <v>109</v>
      </c>
      <c r="N349" s="4" t="s">
        <v>1671</v>
      </c>
      <c r="O349" s="4"/>
      <c r="P349" s="4" t="s">
        <v>1693</v>
      </c>
      <c r="Q349" t="s">
        <v>109</v>
      </c>
      <c r="R349" s="4"/>
      <c r="S349" s="4"/>
      <c r="U349" s="4"/>
      <c r="Y349" s="4"/>
      <c r="Z349" s="4"/>
      <c r="AA349" s="4"/>
      <c r="AB349" s="4"/>
      <c r="AC349" s="4"/>
      <c r="AD349" s="4"/>
      <c r="AE349" s="4"/>
      <c r="AF349" s="4"/>
      <c r="AG349" s="4"/>
      <c r="AH349" s="4"/>
      <c r="AI349" s="4"/>
      <c r="AJ349" s="4"/>
      <c r="AK349" s="4"/>
      <c r="AL349" s="4"/>
      <c r="AP349" s="4"/>
      <c r="AX349" s="4"/>
      <c r="AY349" s="4"/>
      <c r="AZ349" s="4"/>
      <c r="BA349" s="4"/>
      <c r="BB349" s="4"/>
      <c r="BC349" s="4"/>
      <c r="BD349" s="4"/>
      <c r="BE349" s="4"/>
      <c r="BF349" s="4"/>
      <c r="BG349" s="4"/>
      <c r="BI349" s="4"/>
      <c r="BP349" s="4"/>
      <c r="BS349" s="4"/>
      <c r="BW349" s="4"/>
      <c r="BX349" s="4"/>
    </row>
    <row r="350" spans="1:76" ht="12.75" x14ac:dyDescent="0.2">
      <c r="A350" s="4" t="s">
        <v>409</v>
      </c>
      <c r="B350" s="4" t="s">
        <v>642</v>
      </c>
      <c r="C350" s="4" t="s">
        <v>778</v>
      </c>
      <c r="D350" s="4">
        <v>2574</v>
      </c>
      <c r="E350" s="4" t="s">
        <v>42</v>
      </c>
      <c r="F350" s="4" t="s">
        <v>1672</v>
      </c>
      <c r="G350" s="113">
        <v>0.14285714285714285</v>
      </c>
      <c r="H350" t="s">
        <v>1781</v>
      </c>
      <c r="I350" s="4">
        <v>1.6068421052631578</v>
      </c>
      <c r="J350">
        <v>0.38</v>
      </c>
      <c r="K350">
        <v>0.71</v>
      </c>
      <c r="L350" s="4" t="s">
        <v>1675</v>
      </c>
      <c r="M350" s="4" t="s">
        <v>109</v>
      </c>
      <c r="N350" s="4" t="s">
        <v>1671</v>
      </c>
      <c r="O350" s="4"/>
      <c r="P350" s="4" t="s">
        <v>1693</v>
      </c>
      <c r="Q350" t="s">
        <v>109</v>
      </c>
      <c r="R350" s="4"/>
      <c r="S350" s="4"/>
      <c r="U350" s="4"/>
      <c r="Y350" s="4"/>
      <c r="Z350" s="4"/>
      <c r="AA350" s="4"/>
      <c r="AB350" s="4"/>
      <c r="AC350" s="4"/>
      <c r="AD350" s="4"/>
      <c r="AE350" s="4"/>
      <c r="AF350" s="4"/>
      <c r="AG350" s="4"/>
      <c r="AH350" s="4"/>
      <c r="AI350" s="4"/>
      <c r="AJ350" s="4"/>
      <c r="AK350" s="4"/>
      <c r="AL350" s="4"/>
      <c r="AP350" s="4"/>
      <c r="AX350" s="4"/>
      <c r="AY350" s="4"/>
      <c r="AZ350" s="4"/>
      <c r="BA350" s="4"/>
      <c r="BB350" s="4"/>
      <c r="BC350" s="4"/>
      <c r="BD350" s="4"/>
      <c r="BE350" s="4"/>
      <c r="BF350" s="4"/>
      <c r="BG350" s="4"/>
      <c r="BI350" s="4"/>
      <c r="BP350" s="4"/>
      <c r="BS350" s="4"/>
      <c r="BW350" s="4"/>
      <c r="BX350" s="4"/>
    </row>
    <row r="351" spans="1:76" ht="12.75" x14ac:dyDescent="0.2">
      <c r="A351" s="4" t="s">
        <v>406</v>
      </c>
      <c r="B351" s="4" t="s">
        <v>642</v>
      </c>
      <c r="C351" s="4" t="s">
        <v>778</v>
      </c>
      <c r="D351" s="4">
        <v>2574</v>
      </c>
      <c r="E351" s="4" t="s">
        <v>42</v>
      </c>
      <c r="F351" s="4" t="s">
        <v>1672</v>
      </c>
      <c r="G351" s="113">
        <v>0.14285714285714285</v>
      </c>
      <c r="H351" t="s">
        <v>1781</v>
      </c>
      <c r="I351" s="4">
        <v>1.6172222222222221</v>
      </c>
      <c r="J351">
        <v>0.36</v>
      </c>
      <c r="K351">
        <v>0.71</v>
      </c>
      <c r="L351" s="4" t="s">
        <v>1675</v>
      </c>
      <c r="M351" s="4" t="s">
        <v>109</v>
      </c>
      <c r="N351" s="4" t="s">
        <v>1671</v>
      </c>
      <c r="O351" s="4"/>
      <c r="P351" s="4" t="s">
        <v>1693</v>
      </c>
      <c r="Q351" t="s">
        <v>109</v>
      </c>
      <c r="R351" s="4"/>
      <c r="S351" s="4"/>
      <c r="U351" s="4"/>
      <c r="Y351" s="4"/>
      <c r="Z351" s="4"/>
      <c r="AA351" s="4"/>
      <c r="AB351" s="4"/>
      <c r="AC351" s="4"/>
      <c r="AD351" s="4"/>
      <c r="AE351" s="4"/>
      <c r="AF351" s="4"/>
      <c r="AG351" s="4"/>
      <c r="AH351" s="4"/>
      <c r="AI351" s="4"/>
      <c r="AJ351" s="4"/>
      <c r="AK351" s="4"/>
      <c r="AL351" s="4"/>
      <c r="AP351" s="4"/>
      <c r="AX351" s="4"/>
      <c r="AY351" s="4"/>
      <c r="AZ351" s="4"/>
      <c r="BA351" s="4"/>
      <c r="BB351" s="4"/>
      <c r="BC351" s="4"/>
      <c r="BD351" s="4"/>
      <c r="BE351" s="4"/>
      <c r="BF351" s="4"/>
      <c r="BG351" s="4"/>
      <c r="BI351" s="4"/>
      <c r="BP351" s="4"/>
      <c r="BS351" s="4"/>
      <c r="BW351" s="4"/>
      <c r="BX351" s="4"/>
    </row>
    <row r="352" spans="1:76" ht="12.75" x14ac:dyDescent="0.2">
      <c r="A352" s="4" t="s">
        <v>398</v>
      </c>
      <c r="B352" s="4" t="s">
        <v>642</v>
      </c>
      <c r="C352" s="4" t="s">
        <v>778</v>
      </c>
      <c r="D352" s="4">
        <v>2574</v>
      </c>
      <c r="E352" s="4" t="s">
        <v>42</v>
      </c>
      <c r="F352" s="4" t="s">
        <v>1672</v>
      </c>
      <c r="G352" s="113">
        <v>0.14285714285714285</v>
      </c>
      <c r="H352" t="s">
        <v>1781</v>
      </c>
      <c r="I352" s="4">
        <v>1.6566666666666667</v>
      </c>
      <c r="J352">
        <v>0.36</v>
      </c>
      <c r="K352">
        <v>0.71</v>
      </c>
      <c r="L352" s="4" t="s">
        <v>1675</v>
      </c>
      <c r="M352" s="4" t="s">
        <v>109</v>
      </c>
      <c r="N352" s="4" t="s">
        <v>1671</v>
      </c>
      <c r="O352" s="4"/>
      <c r="P352" s="4" t="s">
        <v>1693</v>
      </c>
      <c r="Q352" t="s">
        <v>109</v>
      </c>
      <c r="R352" s="4"/>
      <c r="S352" s="4"/>
      <c r="U352" s="4"/>
      <c r="Y352" s="4"/>
      <c r="Z352" s="4"/>
      <c r="AA352" s="4"/>
      <c r="AB352" s="4"/>
      <c r="AC352" s="4"/>
      <c r="AD352" s="4"/>
      <c r="AE352" s="4"/>
      <c r="AF352" s="4"/>
      <c r="AG352" s="4"/>
      <c r="AH352" s="4"/>
      <c r="AI352" s="4"/>
      <c r="AJ352" s="4"/>
      <c r="AK352" s="4"/>
      <c r="AL352" s="4"/>
      <c r="AP352" s="4"/>
      <c r="AX352" s="4"/>
      <c r="AY352" s="4"/>
      <c r="AZ352" s="4"/>
      <c r="BA352" s="4"/>
      <c r="BB352" s="4"/>
      <c r="BC352" s="4"/>
      <c r="BD352" s="4"/>
      <c r="BE352" s="4"/>
      <c r="BF352" s="4"/>
      <c r="BG352" s="4"/>
      <c r="BI352" s="4"/>
      <c r="BP352" s="4"/>
      <c r="BS352" s="4"/>
      <c r="BW352" s="4"/>
      <c r="BX352" s="4"/>
    </row>
    <row r="353" spans="1:76" ht="12.75" x14ac:dyDescent="0.2">
      <c r="A353" s="4" t="s">
        <v>411</v>
      </c>
      <c r="B353" s="4" t="s">
        <v>1283</v>
      </c>
      <c r="C353" s="4" t="s">
        <v>778</v>
      </c>
      <c r="D353" s="4">
        <v>2574</v>
      </c>
      <c r="E353" s="4" t="s">
        <v>42</v>
      </c>
      <c r="F353" s="4" t="s">
        <v>1672</v>
      </c>
      <c r="G353" s="113">
        <v>0.5</v>
      </c>
      <c r="H353" t="s">
        <v>1781</v>
      </c>
      <c r="I353" s="4">
        <v>1.6741052631578948</v>
      </c>
      <c r="J353">
        <v>0.38</v>
      </c>
      <c r="K353">
        <v>0.71</v>
      </c>
      <c r="L353" s="4" t="s">
        <v>1673</v>
      </c>
      <c r="M353" s="4" t="s">
        <v>109</v>
      </c>
      <c r="N353" s="4" t="s">
        <v>1671</v>
      </c>
      <c r="O353" s="4"/>
      <c r="P353" s="4" t="s">
        <v>1693</v>
      </c>
      <c r="Q353" t="s">
        <v>109</v>
      </c>
      <c r="R353" s="4"/>
      <c r="S353" s="4"/>
      <c r="U353" s="4"/>
      <c r="Y353" s="4"/>
      <c r="Z353" s="4"/>
      <c r="AA353" s="4"/>
      <c r="AB353" s="4"/>
      <c r="AC353" s="4"/>
      <c r="AD353" s="4"/>
      <c r="AE353" s="4"/>
      <c r="AF353" s="4"/>
      <c r="AG353" s="4"/>
      <c r="AH353" s="4"/>
      <c r="AI353" s="4"/>
      <c r="AJ353" s="4"/>
      <c r="AK353" s="4"/>
      <c r="AL353" s="4"/>
      <c r="AP353" s="4"/>
      <c r="AX353" s="4"/>
      <c r="AY353" s="4"/>
      <c r="AZ353" s="4"/>
      <c r="BA353" s="4"/>
      <c r="BB353" s="4"/>
      <c r="BC353" s="4"/>
      <c r="BD353" s="4"/>
      <c r="BE353" s="4"/>
      <c r="BF353" s="4"/>
      <c r="BG353" s="4"/>
      <c r="BI353" s="4"/>
      <c r="BP353" s="4"/>
      <c r="BS353" s="4"/>
      <c r="BW353" s="4"/>
      <c r="BX353" s="4"/>
    </row>
    <row r="354" spans="1:76" ht="12.75" x14ac:dyDescent="0.2">
      <c r="A354" s="4" t="s">
        <v>411</v>
      </c>
      <c r="B354" s="4" t="s">
        <v>114</v>
      </c>
      <c r="C354" s="4" t="s">
        <v>1349</v>
      </c>
      <c r="D354" s="4">
        <v>2574</v>
      </c>
      <c r="E354" s="4" t="s">
        <v>42</v>
      </c>
      <c r="F354" s="4" t="s">
        <v>1672</v>
      </c>
      <c r="G354" s="113">
        <v>1</v>
      </c>
      <c r="H354" t="s">
        <v>1781</v>
      </c>
      <c r="I354" s="4">
        <v>1.6985645933014353</v>
      </c>
      <c r="J354">
        <v>0.38</v>
      </c>
      <c r="K354">
        <v>0.71</v>
      </c>
      <c r="L354" s="4" t="s">
        <v>1544</v>
      </c>
      <c r="M354" s="4" t="s">
        <v>109</v>
      </c>
      <c r="N354" s="4" t="s">
        <v>1671</v>
      </c>
      <c r="O354" s="4"/>
      <c r="P354" s="4" t="s">
        <v>1693</v>
      </c>
      <c r="Q354" t="s">
        <v>109</v>
      </c>
      <c r="R354" s="4"/>
      <c r="S354" s="4"/>
      <c r="U354" s="4"/>
      <c r="Y354" s="4"/>
      <c r="Z354" s="4"/>
      <c r="AA354" s="4"/>
      <c r="AB354" s="4"/>
      <c r="AC354" s="4"/>
      <c r="AD354" s="4"/>
      <c r="AE354" s="4"/>
      <c r="AF354" s="4"/>
      <c r="AG354" s="4"/>
      <c r="AH354" s="4"/>
      <c r="AI354" s="4"/>
      <c r="AJ354" s="4"/>
      <c r="AK354" s="4"/>
      <c r="AL354" s="4"/>
      <c r="AP354" s="4"/>
      <c r="AX354" s="4"/>
      <c r="AY354" s="4"/>
      <c r="AZ354" s="4"/>
      <c r="BA354" s="4"/>
      <c r="BB354" s="4"/>
      <c r="BC354" s="4"/>
      <c r="BD354" s="4"/>
      <c r="BE354" s="4"/>
      <c r="BF354" s="4"/>
      <c r="BG354" s="4"/>
      <c r="BI354" s="4"/>
      <c r="BP354" s="4"/>
      <c r="BS354" s="4"/>
      <c r="BW354" s="4"/>
      <c r="BX354" s="4"/>
    </row>
    <row r="355" spans="1:76" ht="12.75" x14ac:dyDescent="0.2">
      <c r="A355" s="4" t="s">
        <v>407</v>
      </c>
      <c r="B355" s="4" t="s">
        <v>642</v>
      </c>
      <c r="C355" s="4" t="s">
        <v>778</v>
      </c>
      <c r="D355" s="4">
        <v>2574</v>
      </c>
      <c r="E355" s="4" t="s">
        <v>42</v>
      </c>
      <c r="F355" s="4" t="s">
        <v>1672</v>
      </c>
      <c r="G355" s="113">
        <v>0.14285714285714285</v>
      </c>
      <c r="H355" t="s">
        <v>1781</v>
      </c>
      <c r="I355" s="4">
        <v>1.8310526315789473</v>
      </c>
      <c r="J355">
        <v>0.38</v>
      </c>
      <c r="K355">
        <v>0.71</v>
      </c>
      <c r="L355" s="4" t="s">
        <v>1675</v>
      </c>
      <c r="M355" s="4" t="s">
        <v>109</v>
      </c>
      <c r="N355" s="4" t="s">
        <v>1671</v>
      </c>
      <c r="O355" s="4"/>
      <c r="P355" s="4" t="s">
        <v>1693</v>
      </c>
      <c r="Q355" t="s">
        <v>109</v>
      </c>
      <c r="R355" s="4"/>
      <c r="S355" s="4"/>
      <c r="U355" s="4"/>
      <c r="Y355" s="4"/>
      <c r="Z355" s="4"/>
      <c r="AA355" s="4"/>
      <c r="AB355" s="4"/>
      <c r="AC355" s="4"/>
      <c r="AD355" s="4"/>
      <c r="AE355" s="4"/>
      <c r="AF355" s="4"/>
      <c r="AG355" s="4"/>
      <c r="AH355" s="4"/>
      <c r="AI355" s="4"/>
      <c r="AJ355" s="4"/>
      <c r="AK355" s="4"/>
      <c r="AL355" s="4"/>
      <c r="AP355" s="4"/>
      <c r="AX355" s="4"/>
      <c r="AY355" s="4"/>
      <c r="AZ355" s="4"/>
      <c r="BA355" s="4"/>
      <c r="BB355" s="4"/>
      <c r="BC355" s="4"/>
      <c r="BD355" s="4"/>
      <c r="BE355" s="4"/>
      <c r="BF355" s="4"/>
      <c r="BG355" s="4"/>
      <c r="BI355" s="4"/>
      <c r="BP355" s="4"/>
      <c r="BS355" s="4"/>
      <c r="BW355" s="4"/>
      <c r="BX355" s="4"/>
    </row>
    <row r="356" spans="1:76" ht="12.75" x14ac:dyDescent="0.2">
      <c r="A356" s="4" t="s">
        <v>406</v>
      </c>
      <c r="B356" s="4" t="s">
        <v>642</v>
      </c>
      <c r="C356" s="4" t="s">
        <v>778</v>
      </c>
      <c r="D356" s="4">
        <v>2574</v>
      </c>
      <c r="E356" s="4" t="s">
        <v>42</v>
      </c>
      <c r="F356" s="4" t="s">
        <v>1672</v>
      </c>
      <c r="G356" s="113">
        <v>0.14285714285714285</v>
      </c>
      <c r="H356" t="s">
        <v>1781</v>
      </c>
      <c r="I356" s="4">
        <v>1.9919444444444445</v>
      </c>
      <c r="J356">
        <v>0.36</v>
      </c>
      <c r="K356">
        <v>0.71</v>
      </c>
      <c r="L356" s="4" t="s">
        <v>1675</v>
      </c>
      <c r="M356" s="4" t="s">
        <v>109</v>
      </c>
      <c r="N356" s="4" t="s">
        <v>1671</v>
      </c>
      <c r="O356" s="4"/>
      <c r="P356" s="4" t="s">
        <v>1693</v>
      </c>
      <c r="Q356" t="s">
        <v>109</v>
      </c>
      <c r="R356" s="4"/>
      <c r="S356" s="4"/>
      <c r="U356" s="4"/>
      <c r="Y356" s="4"/>
      <c r="Z356" s="4"/>
      <c r="AA356" s="4"/>
      <c r="AB356" s="4"/>
      <c r="AC356" s="4"/>
      <c r="AD356" s="4"/>
      <c r="AE356" s="4"/>
      <c r="AF356" s="4"/>
      <c r="AG356" s="4"/>
      <c r="AH356" s="4"/>
      <c r="AI356" s="4"/>
      <c r="AJ356" s="4"/>
      <c r="AK356" s="4"/>
      <c r="AL356" s="4"/>
      <c r="AP356" s="4"/>
      <c r="AX356" s="4"/>
      <c r="AY356" s="4"/>
      <c r="AZ356" s="4"/>
      <c r="BA356" s="4"/>
      <c r="BB356" s="4"/>
      <c r="BC356" s="4"/>
      <c r="BD356" s="4"/>
      <c r="BE356" s="4"/>
      <c r="BF356" s="4"/>
      <c r="BG356" s="4"/>
      <c r="BI356" s="4"/>
      <c r="BP356" s="4"/>
      <c r="BS356" s="4"/>
      <c r="BW356" s="4"/>
      <c r="BX356" s="4"/>
    </row>
    <row r="357" spans="1:76" ht="12.75" x14ac:dyDescent="0.2">
      <c r="A357" s="4" t="s">
        <v>409</v>
      </c>
      <c r="B357" s="4" t="s">
        <v>642</v>
      </c>
      <c r="C357" s="4" t="s">
        <v>778</v>
      </c>
      <c r="D357" s="4">
        <v>2574</v>
      </c>
      <c r="E357" s="4" t="s">
        <v>42</v>
      </c>
      <c r="F357" s="4" t="s">
        <v>1672</v>
      </c>
      <c r="G357" s="113">
        <v>0.14285714285714285</v>
      </c>
      <c r="H357" t="s">
        <v>1781</v>
      </c>
      <c r="I357" s="4">
        <v>1.9992105263157895</v>
      </c>
      <c r="J357">
        <v>0.38</v>
      </c>
      <c r="K357">
        <v>0.71</v>
      </c>
      <c r="L357" s="4" t="s">
        <v>1675</v>
      </c>
      <c r="M357" s="4" t="s">
        <v>109</v>
      </c>
      <c r="N357" s="4" t="s">
        <v>1671</v>
      </c>
      <c r="O357" s="4"/>
      <c r="P357" s="4" t="s">
        <v>1693</v>
      </c>
      <c r="Q357" t="s">
        <v>109</v>
      </c>
      <c r="R357" s="4"/>
      <c r="S357" s="4"/>
      <c r="U357" s="4"/>
      <c r="Y357" s="4"/>
      <c r="Z357" s="4"/>
      <c r="AA357" s="4"/>
      <c r="AB357" s="4"/>
      <c r="AC357" s="4"/>
      <c r="AD357" s="4"/>
      <c r="AE357" s="4"/>
      <c r="AF357" s="4"/>
      <c r="AG357" s="4"/>
      <c r="AH357" s="4"/>
      <c r="AI357" s="4"/>
      <c r="AJ357" s="4"/>
      <c r="AK357" s="4"/>
      <c r="AL357" s="4"/>
      <c r="AP357" s="4"/>
      <c r="AX357" s="4"/>
      <c r="AY357" s="4"/>
      <c r="AZ357" s="4"/>
      <c r="BA357" s="4"/>
      <c r="BB357" s="4"/>
      <c r="BC357" s="4"/>
      <c r="BD357" s="4"/>
      <c r="BE357" s="4"/>
      <c r="BF357" s="4"/>
      <c r="BG357" s="4"/>
      <c r="BI357" s="4"/>
      <c r="BP357" s="4"/>
      <c r="BS357" s="4"/>
      <c r="BW357" s="4"/>
      <c r="BX357" s="4"/>
    </row>
    <row r="358" spans="1:76" ht="12.75" x14ac:dyDescent="0.2">
      <c r="A358" s="4" t="s">
        <v>408</v>
      </c>
      <c r="B358" s="4" t="s">
        <v>642</v>
      </c>
      <c r="C358" s="4" t="s">
        <v>778</v>
      </c>
      <c r="D358" s="4">
        <v>2574</v>
      </c>
      <c r="E358" s="4" t="s">
        <v>42</v>
      </c>
      <c r="F358" s="4" t="s">
        <v>1672</v>
      </c>
      <c r="G358" s="113">
        <v>0.14285714285714285</v>
      </c>
      <c r="H358" t="s">
        <v>1781</v>
      </c>
      <c r="I358" s="4">
        <v>2.0739473684210528</v>
      </c>
      <c r="J358">
        <v>0.38</v>
      </c>
      <c r="K358">
        <v>0.71</v>
      </c>
      <c r="L358" s="4" t="s">
        <v>1675</v>
      </c>
      <c r="M358" s="4" t="s">
        <v>109</v>
      </c>
      <c r="N358" s="4" t="s">
        <v>1671</v>
      </c>
      <c r="O358" s="4"/>
      <c r="P358" s="4" t="s">
        <v>1693</v>
      </c>
      <c r="Q358" t="s">
        <v>109</v>
      </c>
      <c r="R358" s="4"/>
      <c r="S358" s="4"/>
      <c r="U358" s="4"/>
      <c r="Y358" s="4"/>
      <c r="Z358" s="4"/>
      <c r="AA358" s="4"/>
      <c r="AB358" s="4"/>
      <c r="AC358" s="4"/>
      <c r="AD358" s="4"/>
      <c r="AE358" s="4"/>
      <c r="AF358" s="4"/>
      <c r="AG358" s="4"/>
      <c r="AH358" s="4"/>
      <c r="AI358" s="4"/>
      <c r="AJ358" s="4"/>
      <c r="AK358" s="4"/>
      <c r="AL358" s="4"/>
      <c r="AP358" s="4"/>
      <c r="AX358" s="4"/>
      <c r="AY358" s="4"/>
      <c r="AZ358" s="4"/>
      <c r="BA358" s="4"/>
      <c r="BB358" s="4"/>
      <c r="BC358" s="4"/>
      <c r="BD358" s="4"/>
      <c r="BE358" s="4"/>
      <c r="BF358" s="4"/>
      <c r="BG358" s="4"/>
      <c r="BI358" s="4"/>
      <c r="BP358" s="4"/>
      <c r="BS358" s="4"/>
      <c r="BW358" s="4"/>
      <c r="BX358" s="4"/>
    </row>
    <row r="359" spans="1:76" ht="12.75" x14ac:dyDescent="0.2">
      <c r="A359" s="4" t="s">
        <v>398</v>
      </c>
      <c r="B359" s="4" t="s">
        <v>642</v>
      </c>
      <c r="C359" s="4" t="s">
        <v>778</v>
      </c>
      <c r="D359" s="4">
        <v>2574</v>
      </c>
      <c r="E359" s="4" t="s">
        <v>42</v>
      </c>
      <c r="F359" s="4" t="s">
        <v>1672</v>
      </c>
      <c r="G359" s="113">
        <v>0.14285714285714285</v>
      </c>
      <c r="H359" t="s">
        <v>1781</v>
      </c>
      <c r="I359" s="4">
        <v>2.1694444444444447</v>
      </c>
      <c r="J359">
        <v>0.36</v>
      </c>
      <c r="K359">
        <v>0.71</v>
      </c>
      <c r="L359" s="4" t="s">
        <v>1675</v>
      </c>
      <c r="M359" s="4" t="s">
        <v>109</v>
      </c>
      <c r="N359" s="4" t="s">
        <v>1671</v>
      </c>
      <c r="O359" s="4"/>
      <c r="P359" s="4" t="s">
        <v>1693</v>
      </c>
      <c r="Q359" t="s">
        <v>109</v>
      </c>
      <c r="R359" s="4"/>
      <c r="S359" s="4"/>
      <c r="U359" s="4"/>
      <c r="Y359" s="4"/>
      <c r="Z359" s="4"/>
      <c r="AA359" s="4"/>
      <c r="AB359" s="4"/>
      <c r="AC359" s="4"/>
      <c r="AD359" s="4"/>
      <c r="AE359" s="4"/>
      <c r="AF359" s="4"/>
      <c r="AG359" s="4"/>
      <c r="AH359" s="4"/>
      <c r="AI359" s="4"/>
      <c r="AJ359" s="4"/>
      <c r="AK359" s="4"/>
      <c r="AL359" s="4"/>
      <c r="AP359" s="4"/>
      <c r="AX359" s="4"/>
      <c r="AY359" s="4"/>
      <c r="AZ359" s="4"/>
      <c r="BA359" s="4"/>
      <c r="BB359" s="4"/>
      <c r="BC359" s="4"/>
      <c r="BD359" s="4"/>
      <c r="BE359" s="4"/>
      <c r="BF359" s="4"/>
      <c r="BG359" s="4"/>
      <c r="BI359" s="4"/>
      <c r="BP359" s="4"/>
      <c r="BS359" s="4"/>
      <c r="BW359" s="4"/>
      <c r="BX359" s="4"/>
    </row>
    <row r="360" spans="1:76" ht="12.75" x14ac:dyDescent="0.2">
      <c r="A360" s="4" t="s">
        <v>407</v>
      </c>
      <c r="B360" s="4" t="s">
        <v>642</v>
      </c>
      <c r="C360" s="4" t="s">
        <v>778</v>
      </c>
      <c r="D360" s="4">
        <v>2574</v>
      </c>
      <c r="E360" s="4" t="s">
        <v>42</v>
      </c>
      <c r="F360" s="4" t="s">
        <v>1672</v>
      </c>
      <c r="G360" s="113">
        <v>0.14285714285714285</v>
      </c>
      <c r="H360" t="s">
        <v>1781</v>
      </c>
      <c r="I360" s="4">
        <v>2.3915789473684206</v>
      </c>
      <c r="J360">
        <v>0.38</v>
      </c>
      <c r="K360">
        <v>0.71</v>
      </c>
      <c r="L360" s="4" t="s">
        <v>1675</v>
      </c>
      <c r="M360" s="4" t="s">
        <v>109</v>
      </c>
      <c r="N360" s="4" t="s">
        <v>1671</v>
      </c>
      <c r="O360" s="4"/>
      <c r="P360" s="4" t="s">
        <v>1693</v>
      </c>
      <c r="Q360" t="s">
        <v>109</v>
      </c>
      <c r="R360" s="4"/>
      <c r="S360" s="4"/>
      <c r="U360" s="4"/>
      <c r="Y360" s="4"/>
      <c r="Z360" s="4"/>
      <c r="AA360" s="4"/>
      <c r="AB360" s="4"/>
      <c r="AC360" s="4"/>
      <c r="AD360" s="4"/>
      <c r="AE360" s="4"/>
      <c r="AF360" s="4"/>
      <c r="AG360" s="4"/>
      <c r="AH360" s="4"/>
      <c r="AI360" s="4"/>
      <c r="AJ360" s="4"/>
      <c r="AK360" s="4"/>
      <c r="AL360" s="4"/>
      <c r="AP360" s="4"/>
      <c r="AX360" s="4"/>
      <c r="AY360" s="4"/>
      <c r="AZ360" s="4"/>
      <c r="BA360" s="4"/>
      <c r="BB360" s="4"/>
      <c r="BC360" s="4"/>
      <c r="BD360" s="4"/>
      <c r="BE360" s="4"/>
      <c r="BF360" s="4"/>
      <c r="BG360" s="4"/>
      <c r="BI360" s="4"/>
      <c r="BP360" s="4"/>
      <c r="BS360" s="4"/>
      <c r="BW360" s="4"/>
      <c r="BX360" s="4"/>
    </row>
    <row r="361" spans="1:76" ht="12.75" x14ac:dyDescent="0.2">
      <c r="A361" s="4" t="s">
        <v>406</v>
      </c>
      <c r="B361" s="4" t="s">
        <v>642</v>
      </c>
      <c r="C361" s="4" t="s">
        <v>778</v>
      </c>
      <c r="D361" s="4">
        <v>2574</v>
      </c>
      <c r="E361" s="4" t="s">
        <v>42</v>
      </c>
      <c r="F361" s="4" t="s">
        <v>1672</v>
      </c>
      <c r="G361" s="113">
        <v>0.14285714285714285</v>
      </c>
      <c r="H361" t="s">
        <v>1781</v>
      </c>
      <c r="I361" s="4">
        <v>2.4061111111111111</v>
      </c>
      <c r="J361">
        <v>0.36</v>
      </c>
      <c r="K361">
        <v>0.71</v>
      </c>
      <c r="L361" s="4" t="s">
        <v>1675</v>
      </c>
      <c r="M361" s="4" t="s">
        <v>109</v>
      </c>
      <c r="N361" s="4" t="s">
        <v>1671</v>
      </c>
      <c r="O361" s="4"/>
      <c r="P361" s="4" t="s">
        <v>1693</v>
      </c>
      <c r="Q361" t="s">
        <v>109</v>
      </c>
      <c r="R361" s="4"/>
      <c r="S361" s="4"/>
      <c r="U361" s="4"/>
      <c r="Y361" s="4"/>
      <c r="Z361" s="4"/>
      <c r="AA361" s="4"/>
      <c r="AB361" s="4"/>
      <c r="AC361" s="4"/>
      <c r="AD361" s="4"/>
      <c r="AE361" s="4"/>
      <c r="AF361" s="4"/>
      <c r="AG361" s="4"/>
      <c r="AH361" s="4"/>
      <c r="AI361" s="4"/>
      <c r="AJ361" s="4"/>
      <c r="AK361" s="4"/>
      <c r="AL361" s="4"/>
      <c r="AP361" s="4"/>
      <c r="AX361" s="4"/>
      <c r="AY361" s="4"/>
      <c r="AZ361" s="4"/>
      <c r="BA361" s="4"/>
      <c r="BB361" s="4"/>
      <c r="BC361" s="4"/>
      <c r="BD361" s="4"/>
      <c r="BE361" s="4"/>
      <c r="BF361" s="4"/>
      <c r="BG361" s="4"/>
      <c r="BI361" s="4"/>
      <c r="BP361" s="4"/>
      <c r="BS361" s="4"/>
      <c r="BW361" s="4"/>
      <c r="BX361" s="4"/>
    </row>
    <row r="362" spans="1:76" ht="12.75" x14ac:dyDescent="0.2">
      <c r="A362" s="4" t="s">
        <v>409</v>
      </c>
      <c r="B362" s="4" t="s">
        <v>642</v>
      </c>
      <c r="C362" s="4" t="s">
        <v>778</v>
      </c>
      <c r="D362" s="4">
        <v>2574</v>
      </c>
      <c r="E362" s="4" t="s">
        <v>42</v>
      </c>
      <c r="F362" s="4" t="s">
        <v>1672</v>
      </c>
      <c r="G362" s="113">
        <v>0.14285714285714285</v>
      </c>
      <c r="H362" t="s">
        <v>1781</v>
      </c>
      <c r="I362" s="4">
        <v>2.5223684210526316</v>
      </c>
      <c r="J362">
        <v>0.38</v>
      </c>
      <c r="K362">
        <v>0.71</v>
      </c>
      <c r="L362" s="4" t="s">
        <v>1675</v>
      </c>
      <c r="M362" s="4" t="s">
        <v>109</v>
      </c>
      <c r="N362" s="4" t="s">
        <v>1671</v>
      </c>
      <c r="O362" s="4"/>
      <c r="P362" s="4" t="s">
        <v>1693</v>
      </c>
      <c r="Q362" t="s">
        <v>109</v>
      </c>
      <c r="R362" s="4"/>
      <c r="S362" s="4"/>
      <c r="U362" s="4"/>
      <c r="Y362" s="4"/>
      <c r="Z362" s="4"/>
      <c r="AA362" s="4"/>
      <c r="AB362" s="4"/>
      <c r="AC362" s="4"/>
      <c r="AD362" s="4"/>
      <c r="AE362" s="4"/>
      <c r="AF362" s="4"/>
      <c r="AG362" s="4"/>
      <c r="AH362" s="4"/>
      <c r="AI362" s="4"/>
      <c r="AJ362" s="4"/>
      <c r="AK362" s="4"/>
      <c r="AL362" s="4"/>
      <c r="AP362" s="4"/>
      <c r="AX362" s="4"/>
      <c r="AY362" s="4"/>
      <c r="AZ362" s="4"/>
      <c r="BA362" s="4"/>
      <c r="BB362" s="4"/>
      <c r="BC362" s="4"/>
      <c r="BD362" s="4"/>
      <c r="BE362" s="4"/>
      <c r="BF362" s="4"/>
      <c r="BG362" s="4"/>
      <c r="BI362" s="4"/>
      <c r="BP362" s="4"/>
      <c r="BS362" s="4"/>
      <c r="BW362" s="4"/>
      <c r="BX362" s="4"/>
    </row>
    <row r="363" spans="1:76" ht="12.75" x14ac:dyDescent="0.2">
      <c r="A363" s="4" t="s">
        <v>408</v>
      </c>
      <c r="B363" s="4" t="s">
        <v>642</v>
      </c>
      <c r="C363" s="4" t="s">
        <v>778</v>
      </c>
      <c r="D363" s="4">
        <v>2574</v>
      </c>
      <c r="E363" s="4" t="s">
        <v>42</v>
      </c>
      <c r="F363" s="4" t="s">
        <v>1672</v>
      </c>
      <c r="G363" s="113">
        <v>0.14285714285714285</v>
      </c>
      <c r="H363" t="s">
        <v>1781</v>
      </c>
      <c r="I363" s="4">
        <v>2.5410526315789475</v>
      </c>
      <c r="J363">
        <v>0.38</v>
      </c>
      <c r="K363">
        <v>0.71</v>
      </c>
      <c r="L363" s="4" t="s">
        <v>1675</v>
      </c>
      <c r="M363" s="4" t="s">
        <v>109</v>
      </c>
      <c r="N363" s="4" t="s">
        <v>1671</v>
      </c>
      <c r="O363" s="4"/>
      <c r="P363" s="4" t="s">
        <v>1693</v>
      </c>
      <c r="Q363" t="s">
        <v>109</v>
      </c>
      <c r="R363" s="4"/>
      <c r="S363" s="4"/>
      <c r="U363" s="4"/>
      <c r="Y363" s="4"/>
      <c r="Z363" s="4"/>
      <c r="AA363" s="4"/>
      <c r="AB363" s="4"/>
      <c r="AC363" s="4"/>
      <c r="AD363" s="4"/>
      <c r="AE363" s="4"/>
      <c r="AF363" s="4"/>
      <c r="AG363" s="4"/>
      <c r="AH363" s="4"/>
      <c r="AI363" s="4"/>
      <c r="AJ363" s="4"/>
      <c r="AK363" s="4"/>
      <c r="AL363" s="4"/>
      <c r="AP363" s="4"/>
      <c r="AX363" s="4"/>
      <c r="AY363" s="4"/>
      <c r="AZ363" s="4"/>
      <c r="BA363" s="4"/>
      <c r="BB363" s="4"/>
      <c r="BC363" s="4"/>
      <c r="BD363" s="4"/>
      <c r="BE363" s="4"/>
      <c r="BF363" s="4"/>
      <c r="BG363" s="4"/>
      <c r="BI363" s="4"/>
      <c r="BP363" s="4"/>
      <c r="BS363" s="4"/>
      <c r="BW363" s="4"/>
      <c r="BX363" s="4"/>
    </row>
    <row r="364" spans="1:76" ht="12.75" x14ac:dyDescent="0.2">
      <c r="A364" s="4" t="s">
        <v>430</v>
      </c>
      <c r="B364" s="4" t="s">
        <v>1297</v>
      </c>
      <c r="C364" s="4" t="s">
        <v>111</v>
      </c>
      <c r="D364" s="4">
        <v>2574</v>
      </c>
      <c r="E364" s="4" t="s">
        <v>42</v>
      </c>
      <c r="F364" s="4" t="s">
        <v>1672</v>
      </c>
      <c r="G364" s="113">
        <v>1</v>
      </c>
      <c r="H364" t="s">
        <v>1781</v>
      </c>
      <c r="I364" s="4">
        <v>2.6157894736842104</v>
      </c>
      <c r="J364">
        <v>0.38</v>
      </c>
      <c r="K364">
        <v>0.71</v>
      </c>
      <c r="L364" s="4" t="s">
        <v>1554</v>
      </c>
      <c r="M364" s="4" t="s">
        <v>109</v>
      </c>
      <c r="N364" s="4" t="s">
        <v>1671</v>
      </c>
      <c r="O364" s="4"/>
      <c r="P364" s="4" t="s">
        <v>1693</v>
      </c>
      <c r="Q364" t="s">
        <v>109</v>
      </c>
      <c r="R364" s="4"/>
      <c r="S364" s="4"/>
      <c r="U364" s="4"/>
      <c r="Y364" s="4"/>
      <c r="Z364" s="4"/>
      <c r="AA364" s="4"/>
      <c r="AB364" s="4"/>
      <c r="AC364" s="4"/>
      <c r="AD364" s="4"/>
      <c r="AE364" s="4"/>
      <c r="AF364" s="4"/>
      <c r="AG364" s="4"/>
      <c r="AH364" s="4"/>
      <c r="AI364" s="4"/>
      <c r="AJ364" s="4"/>
      <c r="AK364" s="4"/>
      <c r="AL364" s="4"/>
      <c r="AP364" s="4"/>
      <c r="AX364" s="4"/>
      <c r="AY364" s="4"/>
      <c r="AZ364" s="4"/>
      <c r="BA364" s="4"/>
      <c r="BB364" s="4"/>
      <c r="BC364" s="4"/>
      <c r="BD364" s="4"/>
      <c r="BE364" s="4"/>
      <c r="BF364" s="4"/>
      <c r="BG364" s="4"/>
      <c r="BI364" s="4"/>
      <c r="BP364" s="4"/>
      <c r="BS364" s="4"/>
      <c r="BW364" s="4"/>
      <c r="BX364" s="4"/>
    </row>
    <row r="365" spans="1:76" ht="12.75" x14ac:dyDescent="0.2">
      <c r="A365" s="4" t="s">
        <v>407</v>
      </c>
      <c r="B365" s="4" t="s">
        <v>642</v>
      </c>
      <c r="C365" s="4" t="s">
        <v>778</v>
      </c>
      <c r="D365" s="4">
        <v>2574</v>
      </c>
      <c r="E365" s="4" t="s">
        <v>42</v>
      </c>
      <c r="F365" s="4" t="s">
        <v>1672</v>
      </c>
      <c r="G365" s="113">
        <v>0.14285714285714285</v>
      </c>
      <c r="H365" t="s">
        <v>1781</v>
      </c>
      <c r="I365" s="4">
        <v>2.8960526315789474</v>
      </c>
      <c r="J365">
        <v>0.38</v>
      </c>
      <c r="K365">
        <v>0.71</v>
      </c>
      <c r="L365" s="4" t="s">
        <v>1675</v>
      </c>
      <c r="M365" s="4" t="s">
        <v>109</v>
      </c>
      <c r="N365" s="4" t="s">
        <v>1671</v>
      </c>
      <c r="O365" s="4"/>
      <c r="P365" s="4" t="s">
        <v>1693</v>
      </c>
      <c r="Q365" t="s">
        <v>109</v>
      </c>
      <c r="R365" s="4"/>
      <c r="S365" s="4"/>
      <c r="U365" s="4"/>
      <c r="Y365" s="4"/>
      <c r="Z365" s="4"/>
      <c r="AA365" s="4"/>
      <c r="AB365" s="4"/>
      <c r="AC365" s="4"/>
      <c r="AD365" s="4"/>
      <c r="AE365" s="4"/>
      <c r="AF365" s="4"/>
      <c r="AG365" s="4"/>
      <c r="AH365" s="4"/>
      <c r="AI365" s="4"/>
      <c r="AJ365" s="4"/>
      <c r="AK365" s="4"/>
      <c r="AL365" s="4"/>
      <c r="AP365" s="4"/>
      <c r="AX365" s="4"/>
      <c r="AY365" s="4"/>
      <c r="AZ365" s="4"/>
      <c r="BA365" s="4"/>
      <c r="BB365" s="4"/>
      <c r="BC365" s="4"/>
      <c r="BD365" s="4"/>
      <c r="BE365" s="4"/>
      <c r="BF365" s="4"/>
      <c r="BG365" s="4"/>
      <c r="BI365" s="4"/>
      <c r="BP365" s="4"/>
      <c r="BS365" s="4"/>
      <c r="BW365" s="4"/>
      <c r="BX365" s="4"/>
    </row>
    <row r="366" spans="1:76" ht="12.75" x14ac:dyDescent="0.2">
      <c r="A366" s="4" t="s">
        <v>398</v>
      </c>
      <c r="B366" s="4" t="s">
        <v>642</v>
      </c>
      <c r="C366" s="4" t="s">
        <v>778</v>
      </c>
      <c r="D366" s="4">
        <v>2574</v>
      </c>
      <c r="E366" s="4" t="s">
        <v>42</v>
      </c>
      <c r="F366" s="4" t="s">
        <v>1672</v>
      </c>
      <c r="G366" s="113">
        <v>0.14285714285714285</v>
      </c>
      <c r="H366" t="s">
        <v>1781</v>
      </c>
      <c r="I366" s="4">
        <v>2.9188888888888891</v>
      </c>
      <c r="J366">
        <v>0.36</v>
      </c>
      <c r="K366">
        <v>0.71</v>
      </c>
      <c r="L366" s="4" t="s">
        <v>1675</v>
      </c>
      <c r="M366" s="4" t="s">
        <v>109</v>
      </c>
      <c r="N366" s="4" t="s">
        <v>1671</v>
      </c>
      <c r="O366" s="4"/>
      <c r="P366" s="4" t="s">
        <v>1693</v>
      </c>
      <c r="Q366" t="s">
        <v>109</v>
      </c>
      <c r="R366" s="4"/>
      <c r="S366" s="4"/>
      <c r="U366" s="4"/>
      <c r="Y366" s="4"/>
      <c r="Z366" s="4"/>
      <c r="AA366" s="4"/>
      <c r="AB366" s="4"/>
      <c r="AC366" s="4"/>
      <c r="AD366" s="4"/>
      <c r="AE366" s="4"/>
      <c r="AF366" s="4"/>
      <c r="AG366" s="4"/>
      <c r="AH366" s="4"/>
      <c r="AI366" s="4"/>
      <c r="AJ366" s="4"/>
      <c r="AK366" s="4"/>
      <c r="AL366" s="4"/>
      <c r="AP366" s="4"/>
      <c r="AX366" s="4"/>
      <c r="AY366" s="4"/>
      <c r="AZ366" s="4"/>
      <c r="BA366" s="4"/>
      <c r="BB366" s="4"/>
      <c r="BC366" s="4"/>
      <c r="BD366" s="4"/>
      <c r="BE366" s="4"/>
      <c r="BF366" s="4"/>
      <c r="BG366" s="4"/>
      <c r="BI366" s="4"/>
      <c r="BP366" s="4"/>
      <c r="BS366" s="4"/>
      <c r="BW366" s="4"/>
      <c r="BX366" s="4"/>
    </row>
    <row r="367" spans="1:76" ht="12.75" x14ac:dyDescent="0.2">
      <c r="A367" s="4" t="s">
        <v>408</v>
      </c>
      <c r="B367" s="4" t="s">
        <v>642</v>
      </c>
      <c r="C367" s="4" t="s">
        <v>778</v>
      </c>
      <c r="D367" s="4">
        <v>2574</v>
      </c>
      <c r="E367" s="4" t="s">
        <v>42</v>
      </c>
      <c r="F367" s="4" t="s">
        <v>1672</v>
      </c>
      <c r="G367" s="113">
        <v>0.14285714285714285</v>
      </c>
      <c r="H367" t="s">
        <v>1781</v>
      </c>
      <c r="I367" s="4">
        <v>2.9707894736842104</v>
      </c>
      <c r="J367">
        <v>0.38</v>
      </c>
      <c r="K367">
        <v>0.71</v>
      </c>
      <c r="L367" s="4" t="s">
        <v>1675</v>
      </c>
      <c r="M367" s="4" t="s">
        <v>109</v>
      </c>
      <c r="N367" s="4" t="s">
        <v>1671</v>
      </c>
      <c r="O367" s="4"/>
      <c r="P367" s="4" t="s">
        <v>1693</v>
      </c>
      <c r="Q367" t="s">
        <v>109</v>
      </c>
      <c r="R367" s="4"/>
      <c r="S367" s="4"/>
      <c r="U367" s="4"/>
      <c r="Y367" s="4"/>
      <c r="Z367" s="4"/>
      <c r="AA367" s="4"/>
      <c r="AB367" s="4"/>
      <c r="AC367" s="4"/>
      <c r="AD367" s="4"/>
      <c r="AE367" s="4"/>
      <c r="AF367" s="4"/>
      <c r="AG367" s="4"/>
      <c r="AH367" s="4"/>
      <c r="AI367" s="4"/>
      <c r="AJ367" s="4"/>
      <c r="AK367" s="4"/>
      <c r="AL367" s="4"/>
      <c r="AP367" s="4"/>
      <c r="AX367" s="4"/>
      <c r="AY367" s="4"/>
      <c r="AZ367" s="4"/>
      <c r="BA367" s="4"/>
      <c r="BB367" s="4"/>
      <c r="BC367" s="4"/>
      <c r="BD367" s="4"/>
      <c r="BE367" s="4"/>
      <c r="BF367" s="4"/>
      <c r="BG367" s="4"/>
      <c r="BI367" s="4"/>
      <c r="BP367" s="4"/>
      <c r="BS367" s="4"/>
      <c r="BW367" s="4"/>
      <c r="BX367" s="4"/>
    </row>
    <row r="368" spans="1:76" ht="12.75" x14ac:dyDescent="0.2">
      <c r="A368" s="4" t="s">
        <v>398</v>
      </c>
      <c r="B368" s="4" t="s">
        <v>642</v>
      </c>
      <c r="C368" s="4" t="s">
        <v>778</v>
      </c>
      <c r="D368" s="4">
        <v>2574</v>
      </c>
      <c r="E368" s="4" t="s">
        <v>42</v>
      </c>
      <c r="F368" s="4" t="s">
        <v>1672</v>
      </c>
      <c r="G368" s="113">
        <v>0.14285714285714285</v>
      </c>
      <c r="H368" t="s">
        <v>1781</v>
      </c>
      <c r="I368" s="4">
        <v>3.3330555555555557</v>
      </c>
      <c r="J368">
        <v>0.36</v>
      </c>
      <c r="K368">
        <v>0.71</v>
      </c>
      <c r="L368" s="4" t="s">
        <v>1675</v>
      </c>
      <c r="M368" s="4" t="s">
        <v>109</v>
      </c>
      <c r="N368" s="4" t="s">
        <v>1671</v>
      </c>
      <c r="O368" s="4"/>
      <c r="P368" s="4" t="s">
        <v>1693</v>
      </c>
      <c r="Q368" t="s">
        <v>109</v>
      </c>
      <c r="R368" s="4"/>
      <c r="S368" s="4"/>
      <c r="U368" s="4"/>
      <c r="Y368" s="4"/>
      <c r="Z368" s="4"/>
      <c r="AA368" s="4"/>
      <c r="AB368" s="4"/>
      <c r="AC368" s="4"/>
      <c r="AD368" s="4"/>
      <c r="AE368" s="4"/>
      <c r="AF368" s="4"/>
      <c r="AG368" s="4"/>
      <c r="AH368" s="4"/>
      <c r="AI368" s="4"/>
      <c r="AJ368" s="4"/>
      <c r="AK368" s="4"/>
      <c r="AL368" s="4"/>
      <c r="AP368" s="4"/>
      <c r="AX368" s="4"/>
      <c r="AY368" s="4"/>
      <c r="AZ368" s="4"/>
      <c r="BA368" s="4"/>
      <c r="BB368" s="4"/>
      <c r="BC368" s="4"/>
      <c r="BD368" s="4"/>
      <c r="BE368" s="4"/>
      <c r="BF368" s="4"/>
      <c r="BG368" s="4"/>
      <c r="BI368" s="4"/>
      <c r="BP368" s="4"/>
      <c r="BS368" s="4"/>
      <c r="BW368" s="4"/>
      <c r="BX368" s="4"/>
    </row>
    <row r="369" spans="1:76" ht="12.75" x14ac:dyDescent="0.2">
      <c r="A369" s="4" t="s">
        <v>1322</v>
      </c>
      <c r="B369" s="4" t="s">
        <v>367</v>
      </c>
      <c r="C369" s="4" t="s">
        <v>111</v>
      </c>
      <c r="D369" s="4">
        <v>2576</v>
      </c>
      <c r="E369" s="4" t="s">
        <v>43</v>
      </c>
      <c r="F369" s="4" t="s">
        <v>1672</v>
      </c>
      <c r="G369" s="113">
        <v>1</v>
      </c>
      <c r="H369" t="s">
        <v>1781</v>
      </c>
      <c r="I369" s="4">
        <v>3.6648550724637681</v>
      </c>
      <c r="J369">
        <v>0.46</v>
      </c>
      <c r="K369">
        <v>0.85</v>
      </c>
      <c r="L369" s="4" t="s">
        <v>1676</v>
      </c>
      <c r="M369" s="4" t="s">
        <v>109</v>
      </c>
      <c r="N369" s="4" t="s">
        <v>1671</v>
      </c>
      <c r="O369" s="4"/>
      <c r="P369" s="4" t="s">
        <v>1693</v>
      </c>
      <c r="Q369" t="s">
        <v>109</v>
      </c>
      <c r="R369" s="4"/>
      <c r="S369" s="4"/>
      <c r="U369" s="4"/>
      <c r="Y369" s="4"/>
      <c r="Z369" s="4"/>
      <c r="AA369" s="4"/>
      <c r="AB369" s="4"/>
      <c r="AC369" s="4"/>
      <c r="AD369" s="4"/>
      <c r="AE369" s="4"/>
      <c r="AF369" s="4"/>
      <c r="AG369" s="4"/>
      <c r="AH369" s="4"/>
      <c r="AI369" s="4"/>
      <c r="AJ369" s="4"/>
      <c r="AK369" s="4"/>
      <c r="AL369" s="4"/>
      <c r="AP369" s="4"/>
      <c r="AX369" s="4"/>
      <c r="AY369" s="4"/>
      <c r="AZ369" s="4"/>
      <c r="BA369" s="4"/>
      <c r="BB369" s="4"/>
      <c r="BC369" s="4"/>
      <c r="BD369" s="4"/>
      <c r="BE369" s="4"/>
      <c r="BF369" s="4"/>
      <c r="BG369" s="4"/>
      <c r="BI369" s="4"/>
      <c r="BP369" s="4"/>
      <c r="BS369" s="4"/>
      <c r="BW369" s="4"/>
      <c r="BX369" s="4"/>
    </row>
    <row r="370" spans="1:76" ht="12.75" x14ac:dyDescent="0.2">
      <c r="A370" s="4" t="s">
        <v>365</v>
      </c>
      <c r="B370" s="4" t="s">
        <v>367</v>
      </c>
      <c r="C370" s="4" t="s">
        <v>111</v>
      </c>
      <c r="D370" s="4">
        <v>2577</v>
      </c>
      <c r="E370" s="4" t="s">
        <v>44</v>
      </c>
      <c r="F370" s="4" t="s">
        <v>1672</v>
      </c>
      <c r="G370" s="113">
        <v>1</v>
      </c>
      <c r="H370" t="s">
        <v>1781</v>
      </c>
      <c r="I370" s="4">
        <v>0.52610526315789474</v>
      </c>
      <c r="J370">
        <v>0.19</v>
      </c>
      <c r="K370">
        <v>0.84</v>
      </c>
      <c r="L370" s="4" t="s">
        <v>1676</v>
      </c>
      <c r="M370" s="4" t="s">
        <v>109</v>
      </c>
      <c r="N370" s="4" t="s">
        <v>1671</v>
      </c>
      <c r="O370" s="4"/>
      <c r="P370" s="4" t="s">
        <v>1693</v>
      </c>
      <c r="Q370" t="s">
        <v>109</v>
      </c>
      <c r="R370" s="4"/>
      <c r="S370" s="4"/>
      <c r="U370" s="4"/>
      <c r="Y370" s="4"/>
      <c r="Z370" s="4"/>
      <c r="AA370" s="4"/>
      <c r="AB370" s="4"/>
      <c r="AC370" s="4"/>
      <c r="AD370" s="4"/>
      <c r="AE370" s="4"/>
      <c r="AF370" s="4"/>
      <c r="AG370" s="4"/>
      <c r="AH370" s="4"/>
      <c r="AI370" s="4"/>
      <c r="AJ370" s="4"/>
      <c r="AK370" s="4"/>
      <c r="AL370" s="4"/>
      <c r="AP370" s="4"/>
      <c r="AX370" s="4"/>
      <c r="AY370" s="4"/>
      <c r="AZ370" s="4"/>
      <c r="BA370" s="4"/>
      <c r="BB370" s="4"/>
      <c r="BC370" s="4"/>
      <c r="BD370" s="4"/>
      <c r="BE370" s="4"/>
      <c r="BF370" s="4"/>
      <c r="BG370" s="4"/>
      <c r="BI370" s="4"/>
      <c r="BP370" s="4"/>
      <c r="BS370" s="4"/>
      <c r="BW370" s="4"/>
      <c r="BX370" s="4"/>
    </row>
    <row r="371" spans="1:76" ht="12.75" x14ac:dyDescent="0.2">
      <c r="A371" s="4" t="s">
        <v>305</v>
      </c>
      <c r="B371" s="4" t="s">
        <v>314</v>
      </c>
      <c r="C371" s="4" t="s">
        <v>1303</v>
      </c>
      <c r="D371" s="4">
        <v>2580</v>
      </c>
      <c r="E371" s="4" t="s">
        <v>45</v>
      </c>
      <c r="F371" s="4" t="s">
        <v>1672</v>
      </c>
      <c r="G371" s="113">
        <v>0.5</v>
      </c>
      <c r="H371" t="s">
        <v>1781</v>
      </c>
      <c r="I371" s="4">
        <v>0.38399999999999995</v>
      </c>
      <c r="J371">
        <v>0.2</v>
      </c>
      <c r="K371">
        <v>0.96</v>
      </c>
      <c r="L371" s="4" t="s">
        <v>1576</v>
      </c>
      <c r="M371" s="4" t="s">
        <v>109</v>
      </c>
      <c r="N371" s="4" t="s">
        <v>1671</v>
      </c>
      <c r="O371" s="4"/>
      <c r="P371" s="4" t="s">
        <v>1693</v>
      </c>
      <c r="Q371" t="s">
        <v>109</v>
      </c>
      <c r="R371" s="4"/>
      <c r="S371" s="4"/>
      <c r="U371" s="4"/>
      <c r="Y371" s="4"/>
      <c r="Z371" s="4"/>
      <c r="AA371" s="4"/>
      <c r="AB371" s="4"/>
      <c r="AC371" s="4"/>
      <c r="AD371" s="4"/>
      <c r="AE371" s="4"/>
      <c r="AF371" s="4"/>
      <c r="AG371" s="4"/>
      <c r="AH371" s="4"/>
      <c r="AI371" s="4"/>
      <c r="AJ371" s="4"/>
      <c r="AK371" s="4"/>
      <c r="AL371" s="4"/>
      <c r="AP371" s="4"/>
      <c r="AX371" s="4"/>
      <c r="AY371" s="4"/>
      <c r="AZ371" s="4"/>
      <c r="BA371" s="4"/>
      <c r="BB371" s="4"/>
      <c r="BC371" s="4"/>
      <c r="BD371" s="4"/>
      <c r="BE371" s="4"/>
      <c r="BF371" s="4"/>
      <c r="BG371" s="4"/>
      <c r="BI371" s="4"/>
      <c r="BP371" s="4"/>
      <c r="BS371" s="4"/>
      <c r="BW371" s="4"/>
      <c r="BX371" s="4"/>
    </row>
    <row r="372" spans="1:76" ht="12.75" x14ac:dyDescent="0.2">
      <c r="A372" s="4" t="s">
        <v>305</v>
      </c>
      <c r="B372" s="4" t="s">
        <v>210</v>
      </c>
      <c r="C372" s="4" t="s">
        <v>778</v>
      </c>
      <c r="D372" s="4">
        <v>2580</v>
      </c>
      <c r="E372" s="4" t="s">
        <v>45</v>
      </c>
      <c r="F372" s="4" t="s">
        <v>1672</v>
      </c>
      <c r="G372" s="113">
        <v>0.33333333333333331</v>
      </c>
      <c r="H372" t="s">
        <v>1781</v>
      </c>
      <c r="I372" s="4">
        <v>0.48</v>
      </c>
      <c r="J372">
        <v>0.2</v>
      </c>
      <c r="K372">
        <v>0.96</v>
      </c>
      <c r="L372" s="4" t="s">
        <v>1575</v>
      </c>
      <c r="M372" s="4" t="s">
        <v>109</v>
      </c>
      <c r="N372" s="4" t="s">
        <v>1671</v>
      </c>
      <c r="O372" s="4"/>
      <c r="P372" s="4" t="s">
        <v>1693</v>
      </c>
      <c r="Q372" t="s">
        <v>109</v>
      </c>
      <c r="R372" s="4"/>
      <c r="S372" s="4"/>
      <c r="U372" s="4"/>
      <c r="Y372" s="4"/>
      <c r="Z372" s="4"/>
      <c r="AA372" s="4"/>
      <c r="AB372" s="4"/>
      <c r="AC372" s="4"/>
      <c r="AD372" s="4"/>
      <c r="AE372" s="4"/>
      <c r="AF372" s="4"/>
      <c r="AG372" s="4"/>
      <c r="AH372" s="4"/>
      <c r="AI372" s="4"/>
      <c r="AJ372" s="4"/>
      <c r="AK372" s="4"/>
      <c r="AL372" s="4"/>
      <c r="AP372" s="4"/>
      <c r="AX372" s="4"/>
      <c r="AY372" s="4"/>
      <c r="AZ372" s="4"/>
      <c r="BA372" s="4"/>
      <c r="BB372" s="4"/>
      <c r="BC372" s="4"/>
      <c r="BD372" s="4"/>
      <c r="BE372" s="4"/>
      <c r="BF372" s="4"/>
      <c r="BG372" s="4"/>
      <c r="BI372" s="4"/>
      <c r="BP372" s="4"/>
      <c r="BS372" s="4"/>
      <c r="BW372" s="4"/>
      <c r="BX372" s="4"/>
    </row>
    <row r="373" spans="1:76" ht="12.75" x14ac:dyDescent="0.2">
      <c r="A373" s="4" t="s">
        <v>305</v>
      </c>
      <c r="B373" s="4" t="s">
        <v>314</v>
      </c>
      <c r="C373" s="4" t="s">
        <v>138</v>
      </c>
      <c r="D373" s="4">
        <v>2580</v>
      </c>
      <c r="E373" s="4" t="s">
        <v>45</v>
      </c>
      <c r="F373" s="4" t="s">
        <v>1672</v>
      </c>
      <c r="G373" s="113">
        <v>0.5</v>
      </c>
      <c r="H373" t="s">
        <v>1781</v>
      </c>
      <c r="I373" s="4">
        <v>0.52799999999999991</v>
      </c>
      <c r="J373">
        <v>0.2</v>
      </c>
      <c r="K373">
        <v>0.96</v>
      </c>
      <c r="L373" s="4" t="s">
        <v>1576</v>
      </c>
      <c r="M373" s="4" t="s">
        <v>109</v>
      </c>
      <c r="N373" s="4" t="s">
        <v>1671</v>
      </c>
      <c r="O373" s="4"/>
      <c r="P373" s="4" t="s">
        <v>1693</v>
      </c>
      <c r="Q373" t="s">
        <v>109</v>
      </c>
      <c r="R373" s="4"/>
      <c r="S373" s="4"/>
      <c r="U373" s="4"/>
      <c r="Y373" s="4"/>
      <c r="Z373" s="4"/>
      <c r="AA373" s="4"/>
      <c r="AB373" s="4"/>
      <c r="AC373" s="4"/>
      <c r="AD373" s="4"/>
      <c r="AE373" s="4"/>
      <c r="AF373" s="4"/>
      <c r="AG373" s="4"/>
      <c r="AH373" s="4"/>
      <c r="AI373" s="4"/>
      <c r="AJ373" s="4"/>
      <c r="AK373" s="4"/>
      <c r="AL373" s="4"/>
      <c r="AP373" s="4"/>
      <c r="AX373" s="4"/>
      <c r="AY373" s="4"/>
      <c r="AZ373" s="4"/>
      <c r="BA373" s="4"/>
      <c r="BB373" s="4"/>
      <c r="BC373" s="4"/>
      <c r="BD373" s="4"/>
      <c r="BE373" s="4"/>
      <c r="BF373" s="4"/>
      <c r="BG373" s="4"/>
      <c r="BI373" s="4"/>
      <c r="BP373" s="4"/>
      <c r="BS373" s="4"/>
      <c r="BW373" s="4"/>
      <c r="BX373" s="4"/>
    </row>
    <row r="374" spans="1:76" ht="12.75" x14ac:dyDescent="0.2">
      <c r="A374" s="4" t="s">
        <v>305</v>
      </c>
      <c r="B374" s="4" t="s">
        <v>210</v>
      </c>
      <c r="C374" s="4" t="s">
        <v>778</v>
      </c>
      <c r="D374" s="4">
        <v>2580</v>
      </c>
      <c r="E374" s="4" t="s">
        <v>45</v>
      </c>
      <c r="F374" s="4" t="s">
        <v>1672</v>
      </c>
      <c r="G374" s="113">
        <v>0.33333333333333331</v>
      </c>
      <c r="H374" t="s">
        <v>1781</v>
      </c>
      <c r="I374" s="4">
        <v>0.57599999999999996</v>
      </c>
      <c r="J374">
        <v>0.2</v>
      </c>
      <c r="K374">
        <v>0.96</v>
      </c>
      <c r="L374" s="4" t="s">
        <v>1575</v>
      </c>
      <c r="M374" s="4" t="s">
        <v>109</v>
      </c>
      <c r="N374" s="4" t="s">
        <v>1671</v>
      </c>
      <c r="O374" s="4"/>
      <c r="P374" s="4" t="s">
        <v>1693</v>
      </c>
      <c r="Q374" t="s">
        <v>109</v>
      </c>
      <c r="R374" s="4"/>
      <c r="S374" s="4"/>
      <c r="U374" s="4"/>
      <c r="Y374" s="4"/>
      <c r="Z374" s="4"/>
      <c r="AA374" s="4"/>
      <c r="AB374" s="4"/>
      <c r="AC374" s="4"/>
      <c r="AD374" s="4"/>
      <c r="AE374" s="4"/>
      <c r="AF374" s="4"/>
      <c r="AG374" s="4"/>
      <c r="AH374" s="4"/>
      <c r="AI374" s="4"/>
      <c r="AJ374" s="4"/>
      <c r="AK374" s="4"/>
      <c r="AL374" s="4"/>
      <c r="AP374" s="4"/>
      <c r="AX374" s="4"/>
      <c r="AY374" s="4"/>
      <c r="AZ374" s="4"/>
      <c r="BA374" s="4"/>
      <c r="BB374" s="4"/>
      <c r="BC374" s="4"/>
      <c r="BD374" s="4"/>
      <c r="BE374" s="4"/>
      <c r="BF374" s="4"/>
      <c r="BG374" s="4"/>
      <c r="BI374" s="4"/>
      <c r="BP374" s="4"/>
      <c r="BS374" s="4"/>
      <c r="BW374" s="4"/>
      <c r="BX374" s="4"/>
    </row>
    <row r="375" spans="1:76" ht="12.75" x14ac:dyDescent="0.2">
      <c r="A375" s="4" t="s">
        <v>1345</v>
      </c>
      <c r="B375" s="4" t="s">
        <v>210</v>
      </c>
      <c r="C375" s="4" t="s">
        <v>111</v>
      </c>
      <c r="D375" s="4">
        <v>2580</v>
      </c>
      <c r="E375" s="4" t="s">
        <v>45</v>
      </c>
      <c r="F375" s="4" t="s">
        <v>1672</v>
      </c>
      <c r="G375" s="113">
        <v>1</v>
      </c>
      <c r="H375" t="s">
        <v>1781</v>
      </c>
      <c r="I375" s="4">
        <v>0.65833200000000003</v>
      </c>
      <c r="J375">
        <v>0.2</v>
      </c>
      <c r="K375">
        <v>0.96</v>
      </c>
      <c r="L375" s="4" t="s">
        <v>1579</v>
      </c>
      <c r="M375" s="4" t="s">
        <v>109</v>
      </c>
      <c r="N375" s="4" t="s">
        <v>1671</v>
      </c>
      <c r="O375" s="4"/>
      <c r="P375" s="4" t="s">
        <v>1693</v>
      </c>
      <c r="Q375" t="s">
        <v>109</v>
      </c>
      <c r="R375" s="4"/>
      <c r="S375" s="4"/>
      <c r="U375" s="4"/>
      <c r="Y375" s="4"/>
      <c r="Z375" s="4"/>
      <c r="AA375" s="4"/>
      <c r="AB375" s="4"/>
      <c r="AC375" s="4"/>
      <c r="AD375" s="4"/>
      <c r="AE375" s="4"/>
      <c r="AF375" s="4"/>
      <c r="AG375" s="4"/>
      <c r="AH375" s="4"/>
      <c r="AI375" s="4"/>
      <c r="AJ375" s="4"/>
      <c r="AK375" s="4"/>
      <c r="AL375" s="4"/>
      <c r="AP375" s="4"/>
      <c r="AX375" s="4"/>
      <c r="AY375" s="4"/>
      <c r="AZ375" s="4"/>
      <c r="BA375" s="4"/>
      <c r="BB375" s="4"/>
      <c r="BC375" s="4"/>
      <c r="BD375" s="4"/>
      <c r="BE375" s="4"/>
      <c r="BF375" s="4"/>
      <c r="BG375" s="4"/>
      <c r="BI375" s="4"/>
      <c r="BP375" s="4"/>
      <c r="BS375" s="4"/>
      <c r="BW375" s="4"/>
      <c r="BX375" s="4"/>
    </row>
    <row r="376" spans="1:76" ht="12.75" x14ac:dyDescent="0.2">
      <c r="A376" s="4" t="s">
        <v>305</v>
      </c>
      <c r="B376" s="4" t="s">
        <v>210</v>
      </c>
      <c r="C376" s="4" t="s">
        <v>778</v>
      </c>
      <c r="D376" s="4">
        <v>2580</v>
      </c>
      <c r="E376" s="4" t="s">
        <v>45</v>
      </c>
      <c r="F376" s="4" t="s">
        <v>1672</v>
      </c>
      <c r="G376" s="113">
        <v>0.33333333333333331</v>
      </c>
      <c r="H376" t="s">
        <v>1781</v>
      </c>
      <c r="I376" s="4">
        <v>1.0559999999999998</v>
      </c>
      <c r="J376">
        <v>0.2</v>
      </c>
      <c r="K376">
        <v>0.96</v>
      </c>
      <c r="L376" s="4" t="s">
        <v>1575</v>
      </c>
      <c r="M376" s="4" t="s">
        <v>109</v>
      </c>
      <c r="N376" s="4" t="s">
        <v>1671</v>
      </c>
      <c r="O376" s="4"/>
      <c r="P376" s="4" t="s">
        <v>1693</v>
      </c>
      <c r="Q376" t="s">
        <v>109</v>
      </c>
      <c r="R376" s="4"/>
      <c r="S376" s="4"/>
      <c r="U376" s="4"/>
      <c r="Y376" s="4"/>
      <c r="Z376" s="4"/>
      <c r="AA376" s="4"/>
      <c r="AB376" s="4"/>
      <c r="AC376" s="4"/>
      <c r="AD376" s="4"/>
      <c r="AE376" s="4"/>
      <c r="AF376" s="4"/>
      <c r="AG376" s="4"/>
      <c r="AH376" s="4"/>
      <c r="AI376" s="4"/>
      <c r="AJ376" s="4"/>
      <c r="AK376" s="4"/>
      <c r="AL376" s="4"/>
      <c r="AP376" s="4"/>
      <c r="AX376" s="4"/>
      <c r="AY376" s="4"/>
      <c r="AZ376" s="4"/>
      <c r="BA376" s="4"/>
      <c r="BB376" s="4"/>
      <c r="BC376" s="4"/>
      <c r="BD376" s="4"/>
      <c r="BE376" s="4"/>
      <c r="BF376" s="4"/>
      <c r="BG376" s="4"/>
      <c r="BI376" s="4"/>
      <c r="BP376" s="4"/>
      <c r="BS376" s="4"/>
      <c r="BW376" s="4"/>
      <c r="BX376" s="4"/>
    </row>
    <row r="377" spans="1:76" ht="12.75" x14ac:dyDescent="0.2">
      <c r="A377" s="4" t="s">
        <v>305</v>
      </c>
      <c r="B377" s="4" t="s">
        <v>77</v>
      </c>
      <c r="C377" s="4" t="s">
        <v>101</v>
      </c>
      <c r="D377" s="4">
        <v>2580</v>
      </c>
      <c r="E377" s="4" t="s">
        <v>45</v>
      </c>
      <c r="F377" s="4" t="s">
        <v>1672</v>
      </c>
      <c r="G377" s="113">
        <v>0.5</v>
      </c>
      <c r="H377" t="s">
        <v>1781</v>
      </c>
      <c r="I377" s="4">
        <v>1.2192000000000001</v>
      </c>
      <c r="J377">
        <v>0.2</v>
      </c>
      <c r="K377">
        <v>0.96</v>
      </c>
      <c r="L377" s="4" t="s">
        <v>1570</v>
      </c>
      <c r="M377" s="4" t="s">
        <v>109</v>
      </c>
      <c r="N377" s="4" t="s">
        <v>1671</v>
      </c>
      <c r="O377" s="4"/>
      <c r="P377" s="4" t="s">
        <v>1693</v>
      </c>
      <c r="Q377" t="s">
        <v>109</v>
      </c>
      <c r="R377" s="4"/>
      <c r="S377" s="4"/>
      <c r="U377" s="4"/>
      <c r="Y377" s="4"/>
      <c r="Z377" s="4"/>
      <c r="AA377" s="4"/>
      <c r="AB377" s="4"/>
      <c r="AC377" s="4"/>
      <c r="AD377" s="4"/>
      <c r="AE377" s="4"/>
      <c r="AF377" s="4"/>
      <c r="AG377" s="4"/>
      <c r="AH377" s="4"/>
      <c r="AI377" s="4"/>
      <c r="AJ377" s="4"/>
      <c r="AK377" s="4"/>
      <c r="AL377" s="4"/>
      <c r="AP377" s="4"/>
      <c r="AX377" s="4"/>
      <c r="AY377" s="4"/>
      <c r="AZ377" s="4"/>
      <c r="BA377" s="4"/>
      <c r="BB377" s="4"/>
      <c r="BC377" s="4"/>
      <c r="BD377" s="4"/>
      <c r="BE377" s="4"/>
      <c r="BF377" s="4"/>
      <c r="BG377" s="4"/>
      <c r="BI377" s="4"/>
      <c r="BP377" s="4"/>
      <c r="BS377" s="4"/>
      <c r="BW377" s="4"/>
      <c r="BX377" s="4"/>
    </row>
    <row r="378" spans="1:76" ht="12.75" x14ac:dyDescent="0.2">
      <c r="A378" s="4" t="s">
        <v>305</v>
      </c>
      <c r="B378" s="4" t="s">
        <v>77</v>
      </c>
      <c r="C378" s="4" t="s">
        <v>111</v>
      </c>
      <c r="D378" s="4">
        <v>2580</v>
      </c>
      <c r="E378" s="4" t="s">
        <v>45</v>
      </c>
      <c r="F378" s="4" t="s">
        <v>1672</v>
      </c>
      <c r="G378" s="113">
        <v>0.5</v>
      </c>
      <c r="H378" t="s">
        <v>1781</v>
      </c>
      <c r="I378" s="4">
        <v>1.56</v>
      </c>
      <c r="J378">
        <v>0.2</v>
      </c>
      <c r="K378">
        <v>0.96</v>
      </c>
      <c r="L378" s="4" t="s">
        <v>1570</v>
      </c>
      <c r="M378" s="4" t="s">
        <v>109</v>
      </c>
      <c r="N378" s="4" t="s">
        <v>1671</v>
      </c>
      <c r="O378" s="4"/>
      <c r="P378" s="4" t="s">
        <v>1693</v>
      </c>
      <c r="Q378" t="s">
        <v>109</v>
      </c>
      <c r="R378" s="4"/>
      <c r="S378" s="4"/>
      <c r="U378" s="4"/>
      <c r="Y378" s="4"/>
      <c r="Z378" s="4"/>
      <c r="AA378" s="4"/>
      <c r="AB378" s="4"/>
      <c r="AC378" s="4"/>
      <c r="AD378" s="4"/>
      <c r="AE378" s="4"/>
      <c r="AF378" s="4"/>
      <c r="AG378" s="4"/>
      <c r="AH378" s="4"/>
      <c r="AI378" s="4"/>
      <c r="AJ378" s="4"/>
      <c r="AK378" s="4"/>
      <c r="AL378" s="4"/>
      <c r="AP378" s="4"/>
      <c r="AX378" s="4"/>
      <c r="AY378" s="4"/>
      <c r="AZ378" s="4"/>
      <c r="BA378" s="4"/>
      <c r="BB378" s="4"/>
      <c r="BC378" s="4"/>
      <c r="BD378" s="4"/>
      <c r="BE378" s="4"/>
      <c r="BF378" s="4"/>
      <c r="BG378" s="4"/>
      <c r="BI378" s="4"/>
      <c r="BP378" s="4"/>
      <c r="BS378" s="4"/>
      <c r="BW378" s="4"/>
      <c r="BX378" s="4"/>
    </row>
    <row r="379" spans="1:76" ht="12.75" x14ac:dyDescent="0.2">
      <c r="A379" s="4" t="s">
        <v>305</v>
      </c>
      <c r="B379" s="4" t="s">
        <v>308</v>
      </c>
      <c r="C379" s="4" t="s">
        <v>1361</v>
      </c>
      <c r="D379" s="4">
        <v>2580</v>
      </c>
      <c r="E379" s="4" t="s">
        <v>45</v>
      </c>
      <c r="F379" s="4" t="s">
        <v>1672</v>
      </c>
      <c r="G379" s="113">
        <v>1</v>
      </c>
      <c r="H379" t="s">
        <v>1781</v>
      </c>
      <c r="I379" s="4">
        <v>1.8917867484662574</v>
      </c>
      <c r="J379">
        <v>0.2</v>
      </c>
      <c r="K379">
        <v>0.96</v>
      </c>
      <c r="L379" s="4" t="s">
        <v>1578</v>
      </c>
      <c r="M379" s="4" t="s">
        <v>109</v>
      </c>
      <c r="N379" s="4" t="s">
        <v>1671</v>
      </c>
      <c r="O379" s="4"/>
      <c r="P379" s="4" t="s">
        <v>1693</v>
      </c>
      <c r="Q379" t="s">
        <v>109</v>
      </c>
      <c r="R379" s="4"/>
      <c r="S379" s="4"/>
      <c r="U379" s="4"/>
      <c r="Y379" s="4"/>
      <c r="Z379" s="4"/>
      <c r="AA379" s="4"/>
      <c r="AB379" s="4"/>
      <c r="AC379" s="4"/>
      <c r="AD379" s="4"/>
      <c r="AE379" s="4"/>
      <c r="AF379" s="4"/>
      <c r="AG379" s="4"/>
      <c r="AH379" s="4"/>
      <c r="AI379" s="4"/>
      <c r="AJ379" s="4"/>
      <c r="AK379" s="4"/>
      <c r="AL379" s="4"/>
      <c r="AP379" s="4"/>
      <c r="AX379" s="4"/>
      <c r="AY379" s="4"/>
      <c r="AZ379" s="4"/>
      <c r="BA379" s="4"/>
      <c r="BB379" s="4"/>
      <c r="BC379" s="4"/>
      <c r="BD379" s="4"/>
      <c r="BE379" s="4"/>
      <c r="BF379" s="4"/>
      <c r="BG379" s="4"/>
      <c r="BI379" s="4"/>
      <c r="BP379" s="4"/>
      <c r="BS379" s="4"/>
      <c r="BW379" s="4"/>
      <c r="BX379" s="4"/>
    </row>
    <row r="380" spans="1:76" ht="12.75" x14ac:dyDescent="0.2">
      <c r="A380" s="4" t="s">
        <v>1345</v>
      </c>
      <c r="B380" s="4" t="s">
        <v>314</v>
      </c>
      <c r="C380" s="4" t="s">
        <v>111</v>
      </c>
      <c r="D380" s="4">
        <v>2580</v>
      </c>
      <c r="E380" s="4" t="s">
        <v>45</v>
      </c>
      <c r="F380" s="4" t="s">
        <v>1672</v>
      </c>
      <c r="G380" s="113">
        <v>0.25</v>
      </c>
      <c r="H380" t="s">
        <v>1781</v>
      </c>
      <c r="I380" s="4">
        <v>2.1071039999999996</v>
      </c>
      <c r="J380">
        <v>0.2</v>
      </c>
      <c r="K380">
        <v>0.96</v>
      </c>
      <c r="L380" s="4" t="s">
        <v>1577</v>
      </c>
      <c r="M380" s="4" t="s">
        <v>109</v>
      </c>
      <c r="N380" s="4" t="s">
        <v>1671</v>
      </c>
      <c r="O380" s="4"/>
      <c r="P380" s="4" t="s">
        <v>1693</v>
      </c>
      <c r="Q380" t="s">
        <v>109</v>
      </c>
      <c r="R380" s="4"/>
      <c r="S380" s="4"/>
      <c r="U380" s="4"/>
      <c r="Y380" s="4"/>
      <c r="Z380" s="4"/>
      <c r="AA380" s="4"/>
      <c r="AB380" s="4"/>
      <c r="AC380" s="4"/>
      <c r="AD380" s="4"/>
      <c r="AE380" s="4"/>
      <c r="AF380" s="4"/>
      <c r="AG380" s="4"/>
      <c r="AH380" s="4"/>
      <c r="AI380" s="4"/>
      <c r="AJ380" s="4"/>
      <c r="AK380" s="4"/>
      <c r="AL380" s="4"/>
      <c r="AP380" s="4"/>
      <c r="AX380" s="4"/>
      <c r="AY380" s="4"/>
      <c r="AZ380" s="4"/>
      <c r="BA380" s="4"/>
      <c r="BB380" s="4"/>
      <c r="BC380" s="4"/>
      <c r="BD380" s="4"/>
      <c r="BE380" s="4"/>
      <c r="BF380" s="4"/>
      <c r="BG380" s="4"/>
      <c r="BI380" s="4"/>
      <c r="BP380" s="4"/>
      <c r="BS380" s="4"/>
      <c r="BW380" s="4"/>
      <c r="BX380" s="4"/>
    </row>
    <row r="381" spans="1:76" ht="12.75" x14ac:dyDescent="0.2">
      <c r="A381" s="4" t="s">
        <v>1345</v>
      </c>
      <c r="B381" s="4" t="s">
        <v>314</v>
      </c>
      <c r="C381" s="4" t="s">
        <v>111</v>
      </c>
      <c r="D381" s="4">
        <v>2580</v>
      </c>
      <c r="E381" s="4" t="s">
        <v>45</v>
      </c>
      <c r="F381" s="4" t="s">
        <v>1672</v>
      </c>
      <c r="G381" s="113">
        <v>0.25</v>
      </c>
      <c r="H381" t="s">
        <v>1781</v>
      </c>
      <c r="I381" s="4">
        <v>2.1117695999999997</v>
      </c>
      <c r="J381">
        <v>0.2</v>
      </c>
      <c r="K381">
        <v>0.96</v>
      </c>
      <c r="L381" s="4" t="s">
        <v>1577</v>
      </c>
      <c r="M381" s="4" t="s">
        <v>109</v>
      </c>
      <c r="N381" s="4" t="s">
        <v>1671</v>
      </c>
      <c r="O381" s="4"/>
      <c r="P381" s="4" t="s">
        <v>1693</v>
      </c>
      <c r="Q381" t="s">
        <v>109</v>
      </c>
      <c r="R381" s="4"/>
      <c r="S381" s="4"/>
      <c r="U381" s="4"/>
      <c r="Y381" s="4"/>
      <c r="Z381" s="4"/>
      <c r="AA381" s="4"/>
      <c r="AB381" s="4"/>
      <c r="AC381" s="4"/>
      <c r="AD381" s="4"/>
      <c r="AE381" s="4"/>
      <c r="AF381" s="4"/>
      <c r="AG381" s="4"/>
      <c r="AH381" s="4"/>
      <c r="AI381" s="4"/>
      <c r="AJ381" s="4"/>
      <c r="AK381" s="4"/>
      <c r="AL381" s="4"/>
      <c r="AP381" s="4"/>
      <c r="AX381" s="4"/>
      <c r="AY381" s="4"/>
      <c r="AZ381" s="4"/>
      <c r="BA381" s="4"/>
      <c r="BB381" s="4"/>
      <c r="BC381" s="4"/>
      <c r="BD381" s="4"/>
      <c r="BE381" s="4"/>
      <c r="BF381" s="4"/>
      <c r="BG381" s="4"/>
      <c r="BI381" s="4"/>
      <c r="BP381" s="4"/>
      <c r="BS381" s="4"/>
      <c r="BW381" s="4"/>
      <c r="BX381" s="4"/>
    </row>
    <row r="382" spans="1:76" ht="12.75" x14ac:dyDescent="0.2">
      <c r="A382" s="4" t="s">
        <v>1345</v>
      </c>
      <c r="B382" s="4" t="s">
        <v>314</v>
      </c>
      <c r="C382" s="4" t="s">
        <v>111</v>
      </c>
      <c r="D382" s="4">
        <v>2580</v>
      </c>
      <c r="E382" s="4" t="s">
        <v>45</v>
      </c>
      <c r="F382" s="4" t="s">
        <v>1672</v>
      </c>
      <c r="G382" s="113">
        <v>0.25</v>
      </c>
      <c r="H382" t="s">
        <v>1781</v>
      </c>
      <c r="I382" s="4">
        <v>2.1748895999999998</v>
      </c>
      <c r="J382">
        <v>0.2</v>
      </c>
      <c r="K382">
        <v>0.96</v>
      </c>
      <c r="L382" s="4" t="s">
        <v>1577</v>
      </c>
      <c r="M382" s="4" t="s">
        <v>109</v>
      </c>
      <c r="N382" s="4" t="s">
        <v>1671</v>
      </c>
      <c r="O382" s="4"/>
      <c r="P382" s="4" t="s">
        <v>1693</v>
      </c>
      <c r="Q382" t="s">
        <v>109</v>
      </c>
      <c r="R382" s="4"/>
      <c r="S382" s="4"/>
      <c r="U382" s="4"/>
      <c r="Y382" s="4"/>
      <c r="Z382" s="4"/>
      <c r="AA382" s="4"/>
      <c r="AB382" s="4"/>
      <c r="AC382" s="4"/>
      <c r="AD382" s="4"/>
      <c r="AE382" s="4"/>
      <c r="AF382" s="4"/>
      <c r="AG382" s="4"/>
      <c r="AH382" s="4"/>
      <c r="AI382" s="4"/>
      <c r="AJ382" s="4"/>
      <c r="AK382" s="4"/>
      <c r="AL382" s="4"/>
      <c r="AP382" s="4"/>
      <c r="AX382" s="4"/>
      <c r="AY382" s="4"/>
      <c r="AZ382" s="4"/>
      <c r="BA382" s="4"/>
      <c r="BB382" s="4"/>
      <c r="BC382" s="4"/>
      <c r="BD382" s="4"/>
      <c r="BE382" s="4"/>
      <c r="BF382" s="4"/>
      <c r="BG382" s="4"/>
      <c r="BI382" s="4"/>
      <c r="BP382" s="4"/>
      <c r="BS382" s="4"/>
      <c r="BW382" s="4"/>
      <c r="BX382" s="4"/>
    </row>
    <row r="383" spans="1:76" ht="12.75" x14ac:dyDescent="0.2">
      <c r="A383" s="4" t="s">
        <v>1345</v>
      </c>
      <c r="B383" s="4" t="s">
        <v>314</v>
      </c>
      <c r="C383" s="4" t="s">
        <v>111</v>
      </c>
      <c r="D383" s="4">
        <v>2580</v>
      </c>
      <c r="E383" s="4" t="s">
        <v>45</v>
      </c>
      <c r="F383" s="4" t="s">
        <v>1672</v>
      </c>
      <c r="G383" s="113">
        <v>0.25</v>
      </c>
      <c r="H383" t="s">
        <v>1781</v>
      </c>
      <c r="I383" s="4">
        <v>2.1787199999999998</v>
      </c>
      <c r="J383">
        <v>0.2</v>
      </c>
      <c r="K383">
        <v>0.96</v>
      </c>
      <c r="L383" s="4" t="s">
        <v>1577</v>
      </c>
      <c r="M383" s="4" t="s">
        <v>109</v>
      </c>
      <c r="N383" s="4" t="s">
        <v>1671</v>
      </c>
      <c r="O383" s="4"/>
      <c r="P383" s="4" t="s">
        <v>1693</v>
      </c>
      <c r="Q383" t="s">
        <v>109</v>
      </c>
      <c r="R383" s="4"/>
      <c r="S383" s="4"/>
      <c r="U383" s="4"/>
      <c r="Y383" s="4"/>
      <c r="Z383" s="4"/>
      <c r="AA383" s="4"/>
      <c r="AB383" s="4"/>
      <c r="AC383" s="4"/>
      <c r="AD383" s="4"/>
      <c r="AE383" s="4"/>
      <c r="AF383" s="4"/>
      <c r="AG383" s="4"/>
      <c r="AH383" s="4"/>
      <c r="AI383" s="4"/>
      <c r="AJ383" s="4"/>
      <c r="AK383" s="4"/>
      <c r="AL383" s="4"/>
      <c r="AP383" s="4"/>
      <c r="AX383" s="4"/>
      <c r="AY383" s="4"/>
      <c r="AZ383" s="4"/>
      <c r="BA383" s="4"/>
      <c r="BB383" s="4"/>
      <c r="BC383" s="4"/>
      <c r="BD383" s="4"/>
      <c r="BE383" s="4"/>
      <c r="BF383" s="4"/>
      <c r="BG383" s="4"/>
      <c r="BI383" s="4"/>
      <c r="BP383" s="4"/>
      <c r="BS383" s="4"/>
      <c r="BW383" s="4"/>
      <c r="BX383" s="4"/>
    </row>
    <row r="384" spans="1:76" ht="12.75" x14ac:dyDescent="0.2">
      <c r="A384" s="4" t="s">
        <v>431</v>
      </c>
      <c r="B384" s="4" t="s">
        <v>314</v>
      </c>
      <c r="C384" s="4" t="s">
        <v>778</v>
      </c>
      <c r="D384" s="4">
        <v>2581</v>
      </c>
      <c r="E384" s="4" t="s">
        <v>46</v>
      </c>
      <c r="F384" s="4" t="s">
        <v>1672</v>
      </c>
      <c r="G384" s="113">
        <v>0.5</v>
      </c>
      <c r="H384" t="s">
        <v>1781</v>
      </c>
      <c r="I384" s="4">
        <v>2.7232317091836737</v>
      </c>
      <c r="J384">
        <v>1.1200000000000002E-2</v>
      </c>
      <c r="K384">
        <v>6.2700000000000006E-2</v>
      </c>
      <c r="L384" s="4" t="s">
        <v>1581</v>
      </c>
      <c r="M384" s="4" t="s">
        <v>109</v>
      </c>
      <c r="N384" s="4" t="s">
        <v>1671</v>
      </c>
      <c r="O384" s="4"/>
      <c r="P384" s="4" t="s">
        <v>1693</v>
      </c>
      <c r="Q384" t="s">
        <v>109</v>
      </c>
      <c r="R384" s="4"/>
      <c r="S384" s="4"/>
      <c r="U384" s="4"/>
      <c r="Y384" s="4"/>
      <c r="Z384" s="4"/>
      <c r="AA384" s="4"/>
      <c r="AB384" s="4"/>
      <c r="AC384" s="4"/>
      <c r="AD384" s="4"/>
      <c r="AE384" s="4"/>
      <c r="AF384" s="4"/>
      <c r="AG384" s="4"/>
      <c r="AH384" s="4"/>
      <c r="AI384" s="4"/>
      <c r="AJ384" s="4"/>
      <c r="AK384" s="4"/>
      <c r="AL384" s="4"/>
      <c r="AP384" s="4"/>
      <c r="AX384" s="4"/>
      <c r="AY384" s="4"/>
      <c r="AZ384" s="4"/>
      <c r="BA384" s="4"/>
      <c r="BB384" s="4"/>
      <c r="BC384" s="4"/>
      <c r="BD384" s="4"/>
      <c r="BE384" s="4"/>
      <c r="BF384" s="4"/>
      <c r="BG384" s="4"/>
      <c r="BI384" s="4"/>
      <c r="BP384" s="4"/>
      <c r="BS384" s="4"/>
      <c r="BW384" s="4"/>
      <c r="BX384" s="4"/>
    </row>
    <row r="385" spans="1:76" ht="12.75" x14ac:dyDescent="0.2">
      <c r="A385" s="4" t="s">
        <v>431</v>
      </c>
      <c r="B385" s="4" t="s">
        <v>314</v>
      </c>
      <c r="C385" s="4" t="s">
        <v>778</v>
      </c>
      <c r="D385" s="4">
        <v>2581</v>
      </c>
      <c r="E385" s="4" t="s">
        <v>46</v>
      </c>
      <c r="F385" s="4" t="s">
        <v>1672</v>
      </c>
      <c r="G385" s="113">
        <v>0.5</v>
      </c>
      <c r="H385" t="s">
        <v>1781</v>
      </c>
      <c r="I385" s="4">
        <v>4.3837027806122446</v>
      </c>
      <c r="J385">
        <v>1.1200000000000002E-2</v>
      </c>
      <c r="K385">
        <v>6.2700000000000006E-2</v>
      </c>
      <c r="L385" s="4" t="s">
        <v>1581</v>
      </c>
      <c r="M385" s="4" t="s">
        <v>109</v>
      </c>
      <c r="N385" s="4" t="s">
        <v>1671</v>
      </c>
      <c r="O385" s="4"/>
      <c r="P385" s="4" t="s">
        <v>1693</v>
      </c>
      <c r="Q385" t="s">
        <v>109</v>
      </c>
      <c r="R385" s="4"/>
      <c r="S385" s="4"/>
      <c r="U385" s="4"/>
      <c r="Y385" s="4"/>
      <c r="Z385" s="4"/>
      <c r="AA385" s="4"/>
      <c r="AB385" s="4"/>
      <c r="AC385" s="4"/>
      <c r="AD385" s="4"/>
      <c r="AE385" s="4"/>
      <c r="AF385" s="4"/>
      <c r="AG385" s="4"/>
      <c r="AH385" s="4"/>
      <c r="AI385" s="4"/>
      <c r="AJ385" s="4"/>
      <c r="AK385" s="4"/>
      <c r="AL385" s="4"/>
      <c r="AP385" s="4"/>
      <c r="AX385" s="4"/>
      <c r="AY385" s="4"/>
      <c r="AZ385" s="4"/>
      <c r="BA385" s="4"/>
      <c r="BB385" s="4"/>
      <c r="BC385" s="4"/>
      <c r="BD385" s="4"/>
      <c r="BE385" s="4"/>
      <c r="BF385" s="4"/>
      <c r="BG385" s="4"/>
      <c r="BI385" s="4"/>
      <c r="BP385" s="4"/>
      <c r="BS385" s="4"/>
      <c r="BW385" s="4"/>
      <c r="BX385" s="4"/>
    </row>
    <row r="386" spans="1:76" ht="12.75" x14ac:dyDescent="0.2">
      <c r="A386" s="4" t="s">
        <v>431</v>
      </c>
      <c r="B386" s="4" t="s">
        <v>170</v>
      </c>
      <c r="C386" s="4" t="s">
        <v>1355</v>
      </c>
      <c r="D386" s="4">
        <v>2581</v>
      </c>
      <c r="E386" s="4" t="s">
        <v>46</v>
      </c>
      <c r="F386" s="4" t="s">
        <v>1672</v>
      </c>
      <c r="G386" s="113">
        <v>0.5</v>
      </c>
      <c r="H386" t="s">
        <v>1781</v>
      </c>
      <c r="I386" s="4">
        <v>4.9924584183673471</v>
      </c>
      <c r="J386">
        <v>1.1200000000000002E-2</v>
      </c>
      <c r="K386">
        <v>6.2700000000000006E-2</v>
      </c>
      <c r="L386" s="4" t="s">
        <v>1582</v>
      </c>
      <c r="M386" s="4" t="s">
        <v>109</v>
      </c>
      <c r="N386" s="4" t="s">
        <v>1671</v>
      </c>
      <c r="O386" s="4"/>
      <c r="P386" s="4" t="s">
        <v>1693</v>
      </c>
      <c r="Q386" t="s">
        <v>109</v>
      </c>
      <c r="R386" s="4"/>
      <c r="S386" s="4"/>
      <c r="U386" s="4"/>
      <c r="Y386" s="4"/>
      <c r="Z386" s="4"/>
      <c r="AA386" s="4"/>
      <c r="AB386" s="4"/>
      <c r="AC386" s="4"/>
      <c r="AD386" s="4"/>
      <c r="AE386" s="4"/>
      <c r="AF386" s="4"/>
      <c r="AG386" s="4"/>
      <c r="AH386" s="4"/>
      <c r="AI386" s="4"/>
      <c r="AJ386" s="4"/>
      <c r="AK386" s="4"/>
      <c r="AL386" s="4"/>
      <c r="AP386" s="4"/>
      <c r="AX386" s="4"/>
      <c r="AY386" s="4"/>
      <c r="AZ386" s="4"/>
      <c r="BA386" s="4"/>
      <c r="BB386" s="4"/>
      <c r="BC386" s="4"/>
      <c r="BD386" s="4"/>
      <c r="BE386" s="4"/>
      <c r="BF386" s="4"/>
      <c r="BG386" s="4"/>
      <c r="BI386" s="4"/>
      <c r="BP386" s="4"/>
      <c r="BS386" s="4"/>
      <c r="BW386" s="4"/>
      <c r="BX386" s="4"/>
    </row>
    <row r="387" spans="1:76" ht="12.75" x14ac:dyDescent="0.2">
      <c r="A387" s="4" t="s">
        <v>431</v>
      </c>
      <c r="B387" s="4" t="s">
        <v>143</v>
      </c>
      <c r="C387" s="4" t="s">
        <v>111</v>
      </c>
      <c r="D387" s="4">
        <v>2581</v>
      </c>
      <c r="E387" s="4" t="s">
        <v>46</v>
      </c>
      <c r="F387" s="4" t="s">
        <v>1672</v>
      </c>
      <c r="G387" s="113">
        <v>1</v>
      </c>
      <c r="H387" t="s">
        <v>1781</v>
      </c>
      <c r="I387" s="4">
        <v>5.2346938775510203</v>
      </c>
      <c r="J387">
        <v>1.1200000000000002E-2</v>
      </c>
      <c r="K387">
        <v>6.2700000000000006E-2</v>
      </c>
      <c r="L387" s="4" t="s">
        <v>1556</v>
      </c>
      <c r="M387" s="4" t="s">
        <v>109</v>
      </c>
      <c r="N387" s="4" t="s">
        <v>1671</v>
      </c>
      <c r="O387" s="4"/>
      <c r="P387" s="4" t="s">
        <v>1693</v>
      </c>
      <c r="Q387" t="s">
        <v>109</v>
      </c>
      <c r="R387" s="4"/>
      <c r="S387" s="4"/>
      <c r="U387" s="4"/>
      <c r="Y387" s="4"/>
      <c r="Z387" s="4"/>
      <c r="AA387" s="4"/>
      <c r="AB387" s="4"/>
      <c r="AC387" s="4"/>
      <c r="AD387" s="4"/>
      <c r="AE387" s="4"/>
      <c r="AF387" s="4"/>
      <c r="AG387" s="4"/>
      <c r="AH387" s="4"/>
      <c r="AI387" s="4"/>
      <c r="AJ387" s="4"/>
      <c r="AK387" s="4"/>
      <c r="AL387" s="4"/>
      <c r="AP387" s="4"/>
      <c r="AX387" s="4"/>
      <c r="AY387" s="4"/>
      <c r="AZ387" s="4"/>
      <c r="BA387" s="4"/>
      <c r="BB387" s="4"/>
      <c r="BC387" s="4"/>
      <c r="BD387" s="4"/>
      <c r="BE387" s="4"/>
      <c r="BF387" s="4"/>
      <c r="BG387" s="4"/>
      <c r="BI387" s="4"/>
      <c r="BP387" s="4"/>
      <c r="BS387" s="4"/>
      <c r="BW387" s="4"/>
      <c r="BX387" s="4"/>
    </row>
    <row r="388" spans="1:76" ht="12.75" x14ac:dyDescent="0.2">
      <c r="A388" s="4" t="s">
        <v>431</v>
      </c>
      <c r="B388" s="4" t="s">
        <v>440</v>
      </c>
      <c r="C388" s="4" t="s">
        <v>111</v>
      </c>
      <c r="D388" s="4">
        <v>2581</v>
      </c>
      <c r="E388" s="4" t="s">
        <v>46</v>
      </c>
      <c r="F388" s="4" t="s">
        <v>1672</v>
      </c>
      <c r="G388" s="113">
        <v>0.5</v>
      </c>
      <c r="H388" t="s">
        <v>1781</v>
      </c>
      <c r="I388" s="4">
        <v>7.3560535714285713</v>
      </c>
      <c r="J388">
        <v>1.1200000000000002E-2</v>
      </c>
      <c r="K388">
        <v>6.2700000000000006E-2</v>
      </c>
      <c r="L388" s="4" t="s">
        <v>1583</v>
      </c>
      <c r="M388" s="4" t="s">
        <v>109</v>
      </c>
      <c r="N388" s="4" t="s">
        <v>1671</v>
      </c>
      <c r="O388" s="4"/>
      <c r="P388" s="4" t="s">
        <v>1693</v>
      </c>
      <c r="Q388" t="s">
        <v>109</v>
      </c>
      <c r="R388" s="4"/>
      <c r="S388" s="4"/>
      <c r="U388" s="4"/>
      <c r="Y388" s="4"/>
      <c r="Z388" s="4"/>
      <c r="AA388" s="4"/>
      <c r="AB388" s="4"/>
      <c r="AC388" s="4"/>
      <c r="AD388" s="4"/>
      <c r="AE388" s="4"/>
      <c r="AF388" s="4"/>
      <c r="AG388" s="4"/>
      <c r="AH388" s="4"/>
      <c r="AI388" s="4"/>
      <c r="AJ388" s="4"/>
      <c r="AK388" s="4"/>
      <c r="AL388" s="4"/>
      <c r="AP388" s="4"/>
      <c r="AX388" s="4"/>
      <c r="AY388" s="4"/>
      <c r="AZ388" s="4"/>
      <c r="BA388" s="4"/>
      <c r="BB388" s="4"/>
      <c r="BC388" s="4"/>
      <c r="BD388" s="4"/>
      <c r="BE388" s="4"/>
      <c r="BF388" s="4"/>
      <c r="BG388" s="4"/>
      <c r="BI388" s="4"/>
      <c r="BP388" s="4"/>
      <c r="BS388" s="4"/>
      <c r="BW388" s="4"/>
      <c r="BX388" s="4"/>
    </row>
    <row r="389" spans="1:76" ht="12.75" x14ac:dyDescent="0.2">
      <c r="A389" s="4" t="s">
        <v>431</v>
      </c>
      <c r="B389" s="4" t="s">
        <v>440</v>
      </c>
      <c r="C389" s="4" t="s">
        <v>1374</v>
      </c>
      <c r="D389" s="4">
        <v>2581</v>
      </c>
      <c r="E389" s="4" t="s">
        <v>46</v>
      </c>
      <c r="F389" s="4" t="s">
        <v>1672</v>
      </c>
      <c r="G389" s="113">
        <v>0.5</v>
      </c>
      <c r="H389" t="s">
        <v>1781</v>
      </c>
      <c r="I389" s="4">
        <v>7.9606607142857149</v>
      </c>
      <c r="J389">
        <v>1.1200000000000002E-2</v>
      </c>
      <c r="K389">
        <v>6.2700000000000006E-2</v>
      </c>
      <c r="L389" s="4" t="s">
        <v>1583</v>
      </c>
      <c r="M389" s="4" t="s">
        <v>109</v>
      </c>
      <c r="N389" s="4" t="s">
        <v>1671</v>
      </c>
      <c r="O389" s="4"/>
      <c r="P389" s="4" t="s">
        <v>1693</v>
      </c>
      <c r="Q389" t="s">
        <v>109</v>
      </c>
      <c r="R389" s="4"/>
      <c r="S389" s="4"/>
      <c r="U389" s="4"/>
      <c r="Y389" s="4"/>
      <c r="Z389" s="4"/>
      <c r="AA389" s="4"/>
      <c r="AB389" s="4"/>
      <c r="AC389" s="4"/>
      <c r="AD389" s="4"/>
      <c r="AE389" s="4"/>
      <c r="AF389" s="4"/>
      <c r="AG389" s="4"/>
      <c r="AH389" s="4"/>
      <c r="AI389" s="4"/>
      <c r="AJ389" s="4"/>
      <c r="AK389" s="4"/>
      <c r="AL389" s="4"/>
      <c r="AP389" s="4"/>
      <c r="AX389" s="4"/>
      <c r="AY389" s="4"/>
      <c r="AZ389" s="4"/>
      <c r="BA389" s="4"/>
      <c r="BB389" s="4"/>
      <c r="BC389" s="4"/>
      <c r="BD389" s="4"/>
      <c r="BE389" s="4"/>
      <c r="BF389" s="4"/>
      <c r="BG389" s="4"/>
      <c r="BI389" s="4"/>
      <c r="BP389" s="4"/>
      <c r="BS389" s="4"/>
      <c r="BW389" s="4"/>
      <c r="BX389" s="4"/>
    </row>
    <row r="390" spans="1:76" ht="12.75" x14ac:dyDescent="0.2">
      <c r="A390" s="4" t="s">
        <v>431</v>
      </c>
      <c r="B390" s="4" t="s">
        <v>170</v>
      </c>
      <c r="C390" s="4" t="s">
        <v>1356</v>
      </c>
      <c r="D390" s="4">
        <v>2581</v>
      </c>
      <c r="E390" s="4" t="s">
        <v>46</v>
      </c>
      <c r="F390" s="4" t="s">
        <v>1672</v>
      </c>
      <c r="G390" s="113">
        <v>0.5</v>
      </c>
      <c r="H390" t="s">
        <v>1781</v>
      </c>
      <c r="I390" s="4">
        <v>8.5863375000000008</v>
      </c>
      <c r="J390">
        <v>1.1200000000000002E-2</v>
      </c>
      <c r="K390">
        <v>6.2700000000000006E-2</v>
      </c>
      <c r="L390" s="4" t="s">
        <v>1582</v>
      </c>
      <c r="M390" s="4" t="s">
        <v>109</v>
      </c>
      <c r="N390" s="4" t="s">
        <v>1671</v>
      </c>
      <c r="O390" s="4"/>
      <c r="P390" s="4" t="s">
        <v>1693</v>
      </c>
      <c r="Q390" t="s">
        <v>109</v>
      </c>
      <c r="R390" s="4"/>
      <c r="S390" s="4"/>
      <c r="U390" s="4"/>
      <c r="Y390" s="4"/>
      <c r="Z390" s="4"/>
      <c r="AA390" s="4"/>
      <c r="AB390" s="4"/>
      <c r="AC390" s="4"/>
      <c r="AD390" s="4"/>
      <c r="AE390" s="4"/>
      <c r="AF390" s="4"/>
      <c r="AG390" s="4"/>
      <c r="AH390" s="4"/>
      <c r="AI390" s="4"/>
      <c r="AJ390" s="4"/>
      <c r="AK390" s="4"/>
      <c r="AL390" s="4"/>
      <c r="AP390" s="4"/>
      <c r="AX390" s="4"/>
      <c r="AY390" s="4"/>
      <c r="AZ390" s="4"/>
      <c r="BA390" s="4"/>
      <c r="BB390" s="4"/>
      <c r="BC390" s="4"/>
      <c r="BD390" s="4"/>
      <c r="BE390" s="4"/>
      <c r="BF390" s="4"/>
      <c r="BG390" s="4"/>
      <c r="BI390" s="4"/>
      <c r="BP390" s="4"/>
      <c r="BS390" s="4"/>
      <c r="BW390" s="4"/>
      <c r="BX390" s="4"/>
    </row>
    <row r="391" spans="1:76" ht="12.75" x14ac:dyDescent="0.2">
      <c r="A391" s="4" t="s">
        <v>431</v>
      </c>
      <c r="B391" s="4" t="s">
        <v>143</v>
      </c>
      <c r="C391" s="4" t="s">
        <v>111</v>
      </c>
      <c r="D391" s="4">
        <v>2581</v>
      </c>
      <c r="E391" s="4" t="s">
        <v>46</v>
      </c>
      <c r="F391" s="4" t="s">
        <v>1672</v>
      </c>
      <c r="G391" s="113">
        <v>1</v>
      </c>
      <c r="H391" t="s">
        <v>1781</v>
      </c>
      <c r="I391" s="4">
        <v>9.887788400510205</v>
      </c>
      <c r="J391">
        <v>1.1200000000000002E-2</v>
      </c>
      <c r="K391">
        <v>6.2700000000000006E-2</v>
      </c>
      <c r="L391" s="4" t="s">
        <v>1580</v>
      </c>
      <c r="M391" s="4" t="s">
        <v>109</v>
      </c>
      <c r="N391" s="4" t="s">
        <v>1671</v>
      </c>
      <c r="O391" s="4"/>
      <c r="P391" s="4" t="s">
        <v>1693</v>
      </c>
      <c r="Q391" t="s">
        <v>109</v>
      </c>
      <c r="R391" s="4"/>
      <c r="S391" s="4"/>
      <c r="U391" s="4"/>
      <c r="Y391" s="4"/>
      <c r="Z391" s="4"/>
      <c r="AA391" s="4"/>
      <c r="AB391" s="4"/>
      <c r="AC391" s="4"/>
      <c r="AD391" s="4"/>
      <c r="AE391" s="4"/>
      <c r="AF391" s="4"/>
      <c r="AG391" s="4"/>
      <c r="AH391" s="4"/>
      <c r="AI391" s="4"/>
      <c r="AJ391" s="4"/>
      <c r="AK391" s="4"/>
      <c r="AL391" s="4"/>
      <c r="AP391" s="4"/>
      <c r="AX391" s="4"/>
      <c r="AY391" s="4"/>
      <c r="AZ391" s="4"/>
      <c r="BA391" s="4"/>
      <c r="BB391" s="4"/>
      <c r="BC391" s="4"/>
      <c r="BD391" s="4"/>
      <c r="BE391" s="4"/>
      <c r="BF391" s="4"/>
      <c r="BG391" s="4"/>
      <c r="BI391" s="4"/>
      <c r="BP391" s="4"/>
      <c r="BS391" s="4"/>
      <c r="BW391" s="4"/>
      <c r="BX391" s="4"/>
    </row>
    <row r="392" spans="1:76" ht="12.75" x14ac:dyDescent="0.2">
      <c r="A392" s="4" t="s">
        <v>431</v>
      </c>
      <c r="B392" s="4" t="s">
        <v>77</v>
      </c>
      <c r="C392" s="4" t="s">
        <v>111</v>
      </c>
      <c r="D392" s="4">
        <v>2581</v>
      </c>
      <c r="E392" s="4" t="s">
        <v>46</v>
      </c>
      <c r="F392" s="4" t="s">
        <v>1672</v>
      </c>
      <c r="G392" s="113">
        <v>0.5</v>
      </c>
      <c r="H392" t="s">
        <v>1781</v>
      </c>
      <c r="I392" s="4">
        <v>11.607933673469388</v>
      </c>
      <c r="J392">
        <v>1.1200000000000002E-2</v>
      </c>
      <c r="K392">
        <v>6.2700000000000006E-2</v>
      </c>
      <c r="L392" s="4" t="s">
        <v>1555</v>
      </c>
      <c r="M392" s="4" t="s">
        <v>109</v>
      </c>
      <c r="N392" s="4" t="s">
        <v>1671</v>
      </c>
      <c r="O392" s="4"/>
      <c r="P392" s="4" t="s">
        <v>1693</v>
      </c>
      <c r="Q392" t="s">
        <v>109</v>
      </c>
      <c r="R392" s="4"/>
      <c r="S392" s="4"/>
      <c r="U392" s="4"/>
      <c r="Y392" s="4"/>
      <c r="Z392" s="4"/>
      <c r="AA392" s="4"/>
      <c r="AB392" s="4"/>
      <c r="AC392" s="4"/>
      <c r="AD392" s="4"/>
      <c r="AE392" s="4"/>
      <c r="AF392" s="4"/>
      <c r="AG392" s="4"/>
      <c r="AH392" s="4"/>
      <c r="AI392" s="4"/>
      <c r="AJ392" s="4"/>
      <c r="AK392" s="4"/>
      <c r="AL392" s="4"/>
      <c r="AP392" s="4"/>
      <c r="AX392" s="4"/>
      <c r="AY392" s="4"/>
      <c r="AZ392" s="4"/>
      <c r="BA392" s="4"/>
      <c r="BB392" s="4"/>
      <c r="BC392" s="4"/>
      <c r="BD392" s="4"/>
      <c r="BE392" s="4"/>
      <c r="BF392" s="4"/>
      <c r="BG392" s="4"/>
      <c r="BI392" s="4"/>
      <c r="BP392" s="4"/>
      <c r="BS392" s="4"/>
      <c r="BW392" s="4"/>
      <c r="BX392" s="4"/>
    </row>
    <row r="393" spans="1:76" ht="12.75" x14ac:dyDescent="0.2">
      <c r="A393" s="4" t="s">
        <v>431</v>
      </c>
      <c r="B393" s="4" t="s">
        <v>77</v>
      </c>
      <c r="C393" s="4" t="s">
        <v>101</v>
      </c>
      <c r="D393" s="4">
        <v>2581</v>
      </c>
      <c r="E393" s="4" t="s">
        <v>46</v>
      </c>
      <c r="F393" s="4" t="s">
        <v>1672</v>
      </c>
      <c r="G393" s="113">
        <v>0.5</v>
      </c>
      <c r="H393" t="s">
        <v>1781</v>
      </c>
      <c r="I393" s="4">
        <v>18.799094387755105</v>
      </c>
      <c r="J393">
        <v>1.1200000000000002E-2</v>
      </c>
      <c r="K393">
        <v>6.2700000000000006E-2</v>
      </c>
      <c r="L393" s="4" t="s">
        <v>1555</v>
      </c>
      <c r="M393" s="4" t="s">
        <v>109</v>
      </c>
      <c r="N393" s="4" t="s">
        <v>1671</v>
      </c>
      <c r="O393" s="4"/>
      <c r="P393" s="4" t="s">
        <v>1693</v>
      </c>
      <c r="Q393" t="s">
        <v>109</v>
      </c>
      <c r="R393" s="4"/>
      <c r="S393" s="4"/>
      <c r="U393" s="4"/>
      <c r="Y393" s="4"/>
      <c r="Z393" s="4"/>
      <c r="AA393" s="4"/>
      <c r="AB393" s="4"/>
      <c r="AC393" s="4"/>
      <c r="AD393" s="4"/>
      <c r="AE393" s="4"/>
      <c r="AF393" s="4"/>
      <c r="AG393" s="4"/>
      <c r="AH393" s="4"/>
      <c r="AI393" s="4"/>
      <c r="AJ393" s="4"/>
      <c r="AK393" s="4"/>
      <c r="AL393" s="4"/>
      <c r="AP393" s="4"/>
      <c r="AX393" s="4"/>
      <c r="AY393" s="4"/>
      <c r="AZ393" s="4"/>
      <c r="BA393" s="4"/>
      <c r="BB393" s="4"/>
      <c r="BC393" s="4"/>
      <c r="BD393" s="4"/>
      <c r="BE393" s="4"/>
      <c r="BF393" s="4"/>
      <c r="BG393" s="4"/>
      <c r="BI393" s="4"/>
      <c r="BP393" s="4"/>
      <c r="BS393" s="4"/>
      <c r="BW393" s="4"/>
      <c r="BX393" s="4"/>
    </row>
    <row r="394" spans="1:76" ht="12.75" x14ac:dyDescent="0.2">
      <c r="A394" s="4" t="s">
        <v>271</v>
      </c>
      <c r="B394" s="4" t="s">
        <v>253</v>
      </c>
      <c r="C394" s="4" t="s">
        <v>1668</v>
      </c>
      <c r="D394" s="4">
        <v>2582</v>
      </c>
      <c r="E394" s="4" t="s">
        <v>47</v>
      </c>
      <c r="F394" s="4" t="s">
        <v>1672</v>
      </c>
      <c r="G394" s="113">
        <v>0.125</v>
      </c>
      <c r="H394" t="s">
        <v>1781</v>
      </c>
      <c r="I394" s="4">
        <v>0.43400000000000005</v>
      </c>
      <c r="J394">
        <v>2.7E-2</v>
      </c>
      <c r="K394">
        <v>0.06</v>
      </c>
      <c r="L394" s="4" t="s">
        <v>1560</v>
      </c>
      <c r="M394" s="4" t="s">
        <v>109</v>
      </c>
      <c r="N394" s="4" t="s">
        <v>1671</v>
      </c>
      <c r="O394" s="4"/>
      <c r="P394" s="4" t="s">
        <v>1693</v>
      </c>
      <c r="Q394" t="s">
        <v>109</v>
      </c>
      <c r="R394" s="4"/>
      <c r="S394" s="4"/>
      <c r="U394" s="4"/>
      <c r="Y394" s="4"/>
      <c r="Z394" s="4"/>
      <c r="AA394" s="4"/>
      <c r="AB394" s="4"/>
      <c r="AC394" s="4"/>
      <c r="AD394" s="4"/>
      <c r="AE394" s="4"/>
      <c r="AF394" s="4"/>
      <c r="AG394" s="4"/>
      <c r="AH394" s="4"/>
      <c r="AI394" s="4"/>
      <c r="AJ394" s="4"/>
      <c r="AK394" s="4"/>
      <c r="AL394" s="4"/>
      <c r="AP394" s="4"/>
      <c r="AX394" s="4"/>
      <c r="AY394" s="4"/>
      <c r="AZ394" s="4"/>
      <c r="BA394" s="4"/>
      <c r="BB394" s="4"/>
      <c r="BC394" s="4"/>
      <c r="BD394" s="4"/>
      <c r="BE394" s="4"/>
      <c r="BF394" s="4"/>
      <c r="BG394" s="4"/>
      <c r="BI394" s="4"/>
      <c r="BP394" s="4"/>
      <c r="BS394" s="4"/>
      <c r="BW394" s="4"/>
      <c r="BX394" s="4"/>
    </row>
    <row r="395" spans="1:76" ht="12.75" x14ac:dyDescent="0.2">
      <c r="A395" s="4" t="s">
        <v>271</v>
      </c>
      <c r="B395" s="4" t="s">
        <v>253</v>
      </c>
      <c r="C395" s="4" t="s">
        <v>1668</v>
      </c>
      <c r="D395" s="4">
        <v>2582</v>
      </c>
      <c r="E395" s="4" t="s">
        <v>47</v>
      </c>
      <c r="F395" s="4" t="s">
        <v>1672</v>
      </c>
      <c r="G395" s="113">
        <v>0.125</v>
      </c>
      <c r="H395" t="s">
        <v>1781</v>
      </c>
      <c r="I395" s="4">
        <v>0.46557777777777776</v>
      </c>
      <c r="J395">
        <v>2.7E-2</v>
      </c>
      <c r="K395">
        <v>0.06</v>
      </c>
      <c r="L395" s="4" t="s">
        <v>1560</v>
      </c>
      <c r="M395" s="4" t="s">
        <v>109</v>
      </c>
      <c r="N395" s="4" t="s">
        <v>1671</v>
      </c>
      <c r="O395" s="4"/>
      <c r="P395" s="4" t="s">
        <v>1693</v>
      </c>
      <c r="Q395" t="s">
        <v>109</v>
      </c>
      <c r="R395" s="4"/>
      <c r="S395" s="4"/>
      <c r="U395" s="4"/>
      <c r="Y395" s="4"/>
      <c r="Z395" s="4"/>
      <c r="AA395" s="4"/>
      <c r="AB395" s="4"/>
      <c r="AC395" s="4"/>
      <c r="AD395" s="4"/>
      <c r="AE395" s="4"/>
      <c r="AF395" s="4"/>
      <c r="AG395" s="4"/>
      <c r="AH395" s="4"/>
      <c r="AI395" s="4"/>
      <c r="AJ395" s="4"/>
      <c r="AK395" s="4"/>
      <c r="AL395" s="4"/>
      <c r="AP395" s="4"/>
      <c r="AX395" s="4"/>
      <c r="AY395" s="4"/>
      <c r="AZ395" s="4"/>
      <c r="BA395" s="4"/>
      <c r="BB395" s="4"/>
      <c r="BC395" s="4"/>
      <c r="BD395" s="4"/>
      <c r="BE395" s="4"/>
      <c r="BF395" s="4"/>
      <c r="BG395" s="4"/>
      <c r="BI395" s="4"/>
      <c r="BP395" s="4"/>
      <c r="BS395" s="4"/>
      <c r="BW395" s="4"/>
      <c r="BX395" s="4"/>
    </row>
    <row r="396" spans="1:76" ht="12.75" x14ac:dyDescent="0.2">
      <c r="A396" s="4" t="s">
        <v>271</v>
      </c>
      <c r="B396" s="4" t="s">
        <v>253</v>
      </c>
      <c r="C396" s="4" t="s">
        <v>1668</v>
      </c>
      <c r="D396" s="4">
        <v>2582</v>
      </c>
      <c r="E396" s="4" t="s">
        <v>47</v>
      </c>
      <c r="F396" s="4" t="s">
        <v>1672</v>
      </c>
      <c r="G396" s="113">
        <v>0.125</v>
      </c>
      <c r="H396" t="s">
        <v>1781</v>
      </c>
      <c r="I396" s="4">
        <v>0.47042222222222219</v>
      </c>
      <c r="J396">
        <v>2.7E-2</v>
      </c>
      <c r="K396">
        <v>0.06</v>
      </c>
      <c r="L396" s="4" t="s">
        <v>1560</v>
      </c>
      <c r="M396" s="4" t="s">
        <v>109</v>
      </c>
      <c r="N396" s="4" t="s">
        <v>1671</v>
      </c>
      <c r="O396" s="4"/>
      <c r="P396" s="4" t="s">
        <v>1693</v>
      </c>
      <c r="Q396" t="s">
        <v>109</v>
      </c>
      <c r="R396" s="4"/>
      <c r="S396" s="4"/>
      <c r="U396" s="4"/>
      <c r="Y396" s="4"/>
      <c r="Z396" s="4"/>
      <c r="AA396" s="4"/>
      <c r="AB396" s="4"/>
      <c r="AC396" s="4"/>
      <c r="AD396" s="4"/>
      <c r="AE396" s="4"/>
      <c r="AF396" s="4"/>
      <c r="AG396" s="4"/>
      <c r="AH396" s="4"/>
      <c r="AI396" s="4"/>
      <c r="AJ396" s="4"/>
      <c r="AK396" s="4"/>
      <c r="AL396" s="4"/>
      <c r="AP396" s="4"/>
      <c r="AX396" s="4"/>
      <c r="AY396" s="4"/>
      <c r="AZ396" s="4"/>
      <c r="BA396" s="4"/>
      <c r="BB396" s="4"/>
      <c r="BC396" s="4"/>
      <c r="BD396" s="4"/>
      <c r="BE396" s="4"/>
      <c r="BF396" s="4"/>
      <c r="BG396" s="4"/>
      <c r="BI396" s="4"/>
      <c r="BP396" s="4"/>
      <c r="BS396" s="4"/>
      <c r="BW396" s="4"/>
      <c r="BX396" s="4"/>
    </row>
    <row r="397" spans="1:76" ht="12.75" x14ac:dyDescent="0.2">
      <c r="A397" s="4" t="s">
        <v>271</v>
      </c>
      <c r="B397" s="4" t="s">
        <v>253</v>
      </c>
      <c r="C397" s="4" t="s">
        <v>1668</v>
      </c>
      <c r="D397" s="4">
        <v>2582</v>
      </c>
      <c r="E397" s="4" t="s">
        <v>47</v>
      </c>
      <c r="F397" s="4" t="s">
        <v>1672</v>
      </c>
      <c r="G397" s="113">
        <v>0.125</v>
      </c>
      <c r="H397" t="s">
        <v>1781</v>
      </c>
      <c r="I397" s="4">
        <v>0.47406666666666669</v>
      </c>
      <c r="J397">
        <v>2.7E-2</v>
      </c>
      <c r="K397">
        <v>0.06</v>
      </c>
      <c r="L397" s="4" t="s">
        <v>1560</v>
      </c>
      <c r="M397" s="4" t="s">
        <v>109</v>
      </c>
      <c r="N397" s="4" t="s">
        <v>1671</v>
      </c>
      <c r="O397" s="4"/>
      <c r="P397" s="4" t="s">
        <v>1693</v>
      </c>
      <c r="Q397" t="s">
        <v>109</v>
      </c>
      <c r="R397" s="4"/>
      <c r="S397" s="4"/>
      <c r="U397" s="4"/>
      <c r="Y397" s="4"/>
      <c r="Z397" s="4"/>
      <c r="AA397" s="4"/>
      <c r="AB397" s="4"/>
      <c r="AC397" s="4"/>
      <c r="AD397" s="4"/>
      <c r="AE397" s="4"/>
      <c r="AF397" s="4"/>
      <c r="AG397" s="4"/>
      <c r="AH397" s="4"/>
      <c r="AI397" s="4"/>
      <c r="AJ397" s="4"/>
      <c r="AK397" s="4"/>
      <c r="AL397" s="4"/>
      <c r="AP397" s="4"/>
      <c r="AX397" s="4"/>
      <c r="AY397" s="4"/>
      <c r="AZ397" s="4"/>
      <c r="BA397" s="4"/>
      <c r="BB397" s="4"/>
      <c r="BC397" s="4"/>
      <c r="BD397" s="4"/>
      <c r="BE397" s="4"/>
      <c r="BF397" s="4"/>
      <c r="BG397" s="4"/>
      <c r="BI397" s="4"/>
      <c r="BP397" s="4"/>
      <c r="BS397" s="4"/>
      <c r="BW397" s="4"/>
      <c r="BX397" s="4"/>
    </row>
    <row r="398" spans="1:76" ht="12.75" x14ac:dyDescent="0.2">
      <c r="A398" s="4" t="s">
        <v>271</v>
      </c>
      <c r="B398" s="4" t="s">
        <v>253</v>
      </c>
      <c r="C398" s="4" t="s">
        <v>1668</v>
      </c>
      <c r="D398" s="4">
        <v>2582</v>
      </c>
      <c r="E398" s="4" t="s">
        <v>47</v>
      </c>
      <c r="F398" s="4" t="s">
        <v>1672</v>
      </c>
      <c r="G398" s="113">
        <v>0.125</v>
      </c>
      <c r="H398" t="s">
        <v>1781</v>
      </c>
      <c r="I398" s="4">
        <v>0.502</v>
      </c>
      <c r="J398">
        <v>2.7E-2</v>
      </c>
      <c r="K398">
        <v>0.06</v>
      </c>
      <c r="L398" s="4" t="s">
        <v>1560</v>
      </c>
      <c r="M398" s="4" t="s">
        <v>109</v>
      </c>
      <c r="N398" s="4" t="s">
        <v>1671</v>
      </c>
      <c r="O398" s="4"/>
      <c r="P398" s="4" t="s">
        <v>1693</v>
      </c>
      <c r="Q398" t="s">
        <v>109</v>
      </c>
      <c r="R398" s="4"/>
      <c r="S398" s="4"/>
      <c r="U398" s="4"/>
      <c r="Y398" s="4"/>
      <c r="Z398" s="4"/>
      <c r="AA398" s="4"/>
      <c r="AB398" s="4"/>
      <c r="AC398" s="4"/>
      <c r="AD398" s="4"/>
      <c r="AE398" s="4"/>
      <c r="AF398" s="4"/>
      <c r="AG398" s="4"/>
      <c r="AH398" s="4"/>
      <c r="AI398" s="4"/>
      <c r="AJ398" s="4"/>
      <c r="AK398" s="4"/>
      <c r="AL398" s="4"/>
      <c r="AP398" s="4"/>
      <c r="AX398" s="4"/>
      <c r="AY398" s="4"/>
      <c r="AZ398" s="4"/>
      <c r="BA398" s="4"/>
      <c r="BB398" s="4"/>
      <c r="BC398" s="4"/>
      <c r="BD398" s="4"/>
      <c r="BE398" s="4"/>
      <c r="BF398" s="4"/>
      <c r="BG398" s="4"/>
      <c r="BI398" s="4"/>
      <c r="BP398" s="4"/>
      <c r="BS398" s="4"/>
      <c r="BW398" s="4"/>
      <c r="BX398" s="4"/>
    </row>
    <row r="399" spans="1:76" ht="12.75" x14ac:dyDescent="0.2">
      <c r="A399" s="4" t="s">
        <v>271</v>
      </c>
      <c r="B399" s="4" t="s">
        <v>253</v>
      </c>
      <c r="C399" s="4" t="s">
        <v>1668</v>
      </c>
      <c r="D399" s="4">
        <v>2582</v>
      </c>
      <c r="E399" s="4" t="s">
        <v>47</v>
      </c>
      <c r="F399" s="4" t="s">
        <v>1672</v>
      </c>
      <c r="G399" s="113">
        <v>0.125</v>
      </c>
      <c r="H399" t="s">
        <v>1781</v>
      </c>
      <c r="I399" s="4">
        <v>0.52022222222222225</v>
      </c>
      <c r="J399">
        <v>2.7E-2</v>
      </c>
      <c r="K399">
        <v>0.06</v>
      </c>
      <c r="L399" s="4" t="s">
        <v>1560</v>
      </c>
      <c r="M399" s="4" t="s">
        <v>109</v>
      </c>
      <c r="N399" s="4" t="s">
        <v>1671</v>
      </c>
      <c r="O399" s="4"/>
      <c r="P399" s="4" t="s">
        <v>1693</v>
      </c>
      <c r="Q399" t="s">
        <v>109</v>
      </c>
      <c r="R399" s="4"/>
      <c r="S399" s="4"/>
      <c r="U399" s="4"/>
      <c r="Y399" s="4"/>
      <c r="Z399" s="4"/>
      <c r="AA399" s="4"/>
      <c r="AB399" s="4"/>
      <c r="AC399" s="4"/>
      <c r="AD399" s="4"/>
      <c r="AE399" s="4"/>
      <c r="AF399" s="4"/>
      <c r="AG399" s="4"/>
      <c r="AH399" s="4"/>
      <c r="AI399" s="4"/>
      <c r="AJ399" s="4"/>
      <c r="AK399" s="4"/>
      <c r="AL399" s="4"/>
      <c r="AP399" s="4"/>
      <c r="AX399" s="4"/>
      <c r="AY399" s="4"/>
      <c r="AZ399" s="4"/>
      <c r="BA399" s="4"/>
      <c r="BB399" s="4"/>
      <c r="BC399" s="4"/>
      <c r="BD399" s="4"/>
      <c r="BE399" s="4"/>
      <c r="BF399" s="4"/>
      <c r="BG399" s="4"/>
      <c r="BI399" s="4"/>
      <c r="BP399" s="4"/>
      <c r="BS399" s="4"/>
      <c r="BW399" s="4"/>
      <c r="BX399" s="4"/>
    </row>
    <row r="400" spans="1:76" ht="12.75" x14ac:dyDescent="0.2">
      <c r="A400" s="4" t="s">
        <v>271</v>
      </c>
      <c r="B400" s="4" t="s">
        <v>253</v>
      </c>
      <c r="C400" s="4" t="s">
        <v>1668</v>
      </c>
      <c r="D400" s="4">
        <v>2582</v>
      </c>
      <c r="E400" s="4" t="s">
        <v>47</v>
      </c>
      <c r="F400" s="4" t="s">
        <v>1672</v>
      </c>
      <c r="G400" s="113">
        <v>0.125</v>
      </c>
      <c r="H400" t="s">
        <v>1781</v>
      </c>
      <c r="I400" s="4">
        <v>0.55906666666666671</v>
      </c>
      <c r="J400">
        <v>2.7E-2</v>
      </c>
      <c r="K400">
        <v>0.06</v>
      </c>
      <c r="L400" s="4" t="s">
        <v>1560</v>
      </c>
      <c r="M400" s="4" t="s">
        <v>109</v>
      </c>
      <c r="N400" s="4" t="s">
        <v>1671</v>
      </c>
      <c r="O400" s="4"/>
      <c r="P400" s="4" t="s">
        <v>1693</v>
      </c>
      <c r="Q400" t="s">
        <v>109</v>
      </c>
      <c r="R400" s="4"/>
      <c r="S400" s="4"/>
      <c r="U400" s="4"/>
      <c r="Y400" s="4"/>
      <c r="Z400" s="4"/>
      <c r="AA400" s="4"/>
      <c r="AB400" s="4"/>
      <c r="AC400" s="4"/>
      <c r="AD400" s="4"/>
      <c r="AE400" s="4"/>
      <c r="AF400" s="4"/>
      <c r="AG400" s="4"/>
      <c r="AH400" s="4"/>
      <c r="AI400" s="4"/>
      <c r="AJ400" s="4"/>
      <c r="AK400" s="4"/>
      <c r="AL400" s="4"/>
      <c r="AP400" s="4"/>
      <c r="AX400" s="4"/>
      <c r="AY400" s="4"/>
      <c r="AZ400" s="4"/>
      <c r="BA400" s="4"/>
      <c r="BB400" s="4"/>
      <c r="BC400" s="4"/>
      <c r="BD400" s="4"/>
      <c r="BE400" s="4"/>
      <c r="BF400" s="4"/>
      <c r="BG400" s="4"/>
      <c r="BI400" s="4"/>
      <c r="BP400" s="4"/>
      <c r="BS400" s="4"/>
      <c r="BW400" s="4"/>
      <c r="BX400" s="4"/>
    </row>
    <row r="401" spans="1:76" ht="12.75" x14ac:dyDescent="0.2">
      <c r="A401" s="4" t="s">
        <v>271</v>
      </c>
      <c r="B401" s="4" t="s">
        <v>253</v>
      </c>
      <c r="C401" s="4" t="s">
        <v>1668</v>
      </c>
      <c r="D401" s="4">
        <v>2582</v>
      </c>
      <c r="E401" s="4" t="s">
        <v>47</v>
      </c>
      <c r="F401" s="4" t="s">
        <v>1672</v>
      </c>
      <c r="G401" s="113">
        <v>0.125</v>
      </c>
      <c r="H401" t="s">
        <v>1781</v>
      </c>
      <c r="I401" s="4">
        <v>0.57486666666666653</v>
      </c>
      <c r="J401">
        <v>2.7E-2</v>
      </c>
      <c r="K401">
        <v>0.06</v>
      </c>
      <c r="L401" s="4" t="s">
        <v>1560</v>
      </c>
      <c r="M401" s="4" t="s">
        <v>109</v>
      </c>
      <c r="N401" s="4" t="s">
        <v>1671</v>
      </c>
      <c r="O401" s="4"/>
      <c r="P401" s="4" t="s">
        <v>1693</v>
      </c>
      <c r="Q401" t="s">
        <v>109</v>
      </c>
      <c r="R401" s="4"/>
      <c r="S401" s="4"/>
      <c r="U401" s="4"/>
      <c r="Y401" s="4"/>
      <c r="Z401" s="4"/>
      <c r="AA401" s="4"/>
      <c r="AB401" s="4"/>
      <c r="AC401" s="4"/>
      <c r="AD401" s="4"/>
      <c r="AE401" s="4"/>
      <c r="AF401" s="4"/>
      <c r="AG401" s="4"/>
      <c r="AH401" s="4"/>
      <c r="AI401" s="4"/>
      <c r="AJ401" s="4"/>
      <c r="AK401" s="4"/>
      <c r="AL401" s="4"/>
      <c r="AP401" s="4"/>
      <c r="AX401" s="4"/>
      <c r="AY401" s="4"/>
      <c r="AZ401" s="4"/>
      <c r="BA401" s="4"/>
      <c r="BB401" s="4"/>
      <c r="BC401" s="4"/>
      <c r="BD401" s="4"/>
      <c r="BE401" s="4"/>
      <c r="BF401" s="4"/>
      <c r="BG401" s="4"/>
      <c r="BI401" s="4"/>
      <c r="BP401" s="4"/>
      <c r="BS401" s="4"/>
      <c r="BW401" s="4"/>
      <c r="BX401" s="4"/>
    </row>
    <row r="402" spans="1:76" ht="12.75" x14ac:dyDescent="0.2">
      <c r="A402" s="4" t="s">
        <v>271</v>
      </c>
      <c r="B402" s="4" t="s">
        <v>143</v>
      </c>
      <c r="C402" s="4" t="s">
        <v>111</v>
      </c>
      <c r="D402" s="4">
        <v>2582</v>
      </c>
      <c r="E402" s="4" t="s">
        <v>47</v>
      </c>
      <c r="F402" s="4" t="s">
        <v>1672</v>
      </c>
      <c r="G402" s="113">
        <v>0.5</v>
      </c>
      <c r="H402" t="s">
        <v>1781</v>
      </c>
      <c r="I402" s="4">
        <v>0.62222222222222234</v>
      </c>
      <c r="J402">
        <v>2.7E-2</v>
      </c>
      <c r="K402">
        <v>0.06</v>
      </c>
      <c r="L402" s="4" t="s">
        <v>1556</v>
      </c>
      <c r="M402" s="4" t="s">
        <v>109</v>
      </c>
      <c r="N402" s="4" t="s">
        <v>1671</v>
      </c>
      <c r="O402" s="4"/>
      <c r="P402" s="4" t="s">
        <v>1693</v>
      </c>
      <c r="Q402" t="s">
        <v>109</v>
      </c>
      <c r="R402" s="4"/>
      <c r="S402" s="4"/>
      <c r="U402" s="4"/>
      <c r="Y402" s="4"/>
      <c r="Z402" s="4"/>
      <c r="AA402" s="4"/>
      <c r="AB402" s="4"/>
      <c r="AC402" s="4"/>
      <c r="AD402" s="4"/>
      <c r="AE402" s="4"/>
      <c r="AF402" s="4"/>
      <c r="AG402" s="4"/>
      <c r="AH402" s="4"/>
      <c r="AI402" s="4"/>
      <c r="AJ402" s="4"/>
      <c r="AK402" s="4"/>
      <c r="AL402" s="4"/>
      <c r="AP402" s="4"/>
      <c r="AX402" s="4"/>
      <c r="AY402" s="4"/>
      <c r="AZ402" s="4"/>
      <c r="BA402" s="4"/>
      <c r="BB402" s="4"/>
      <c r="BC402" s="4"/>
      <c r="BD402" s="4"/>
      <c r="BE402" s="4"/>
      <c r="BF402" s="4"/>
      <c r="BG402" s="4"/>
      <c r="BI402" s="4"/>
      <c r="BP402" s="4"/>
      <c r="BS402" s="4"/>
      <c r="BW402" s="4"/>
      <c r="BX402" s="4"/>
    </row>
    <row r="403" spans="1:76" ht="12.75" x14ac:dyDescent="0.2">
      <c r="A403" s="4" t="s">
        <v>271</v>
      </c>
      <c r="B403" s="4" t="s">
        <v>143</v>
      </c>
      <c r="C403" s="4" t="s">
        <v>111</v>
      </c>
      <c r="D403" s="4">
        <v>2582</v>
      </c>
      <c r="E403" s="4" t="s">
        <v>47</v>
      </c>
      <c r="F403" s="4" t="s">
        <v>1672</v>
      </c>
      <c r="G403" s="113">
        <v>0.5</v>
      </c>
      <c r="H403" t="s">
        <v>1781</v>
      </c>
      <c r="I403" s="4">
        <v>0.8666666666666667</v>
      </c>
      <c r="J403">
        <v>2.7E-2</v>
      </c>
      <c r="K403">
        <v>0.06</v>
      </c>
      <c r="L403" s="4" t="s">
        <v>1556</v>
      </c>
      <c r="M403" s="4" t="s">
        <v>109</v>
      </c>
      <c r="N403" s="4" t="s">
        <v>1671</v>
      </c>
      <c r="O403" s="4"/>
      <c r="P403" s="4" t="s">
        <v>1693</v>
      </c>
      <c r="Q403" t="s">
        <v>109</v>
      </c>
      <c r="R403" s="4"/>
      <c r="S403" s="4"/>
      <c r="U403" s="4"/>
      <c r="Y403" s="4"/>
      <c r="Z403" s="4"/>
      <c r="AA403" s="4"/>
      <c r="AB403" s="4"/>
      <c r="AC403" s="4"/>
      <c r="AD403" s="4"/>
      <c r="AE403" s="4"/>
      <c r="AF403" s="4"/>
      <c r="AG403" s="4"/>
      <c r="AH403" s="4"/>
      <c r="AI403" s="4"/>
      <c r="AJ403" s="4"/>
      <c r="AK403" s="4"/>
      <c r="AL403" s="4"/>
      <c r="AP403" s="4"/>
      <c r="AX403" s="4"/>
      <c r="AY403" s="4"/>
      <c r="AZ403" s="4"/>
      <c r="BA403" s="4"/>
      <c r="BB403" s="4"/>
      <c r="BC403" s="4"/>
      <c r="BD403" s="4"/>
      <c r="BE403" s="4"/>
      <c r="BF403" s="4"/>
      <c r="BG403" s="4"/>
      <c r="BI403" s="4"/>
      <c r="BP403" s="4"/>
      <c r="BS403" s="4"/>
      <c r="BW403" s="4"/>
      <c r="BX403" s="4"/>
    </row>
    <row r="404" spans="1:76" ht="12.75" x14ac:dyDescent="0.2">
      <c r="A404" s="4" t="s">
        <v>1347</v>
      </c>
      <c r="B404" s="4" t="s">
        <v>143</v>
      </c>
      <c r="C404" s="4" t="s">
        <v>111</v>
      </c>
      <c r="D404" s="4">
        <v>2582</v>
      </c>
      <c r="E404" s="4" t="s">
        <v>47</v>
      </c>
      <c r="F404" s="4" t="s">
        <v>1672</v>
      </c>
      <c r="G404" s="113">
        <v>1</v>
      </c>
      <c r="H404" t="s">
        <v>1781</v>
      </c>
      <c r="I404" s="4">
        <v>0.8752444444444446</v>
      </c>
      <c r="J404">
        <v>2.7E-2</v>
      </c>
      <c r="K404">
        <v>0.06</v>
      </c>
      <c r="L404" s="4" t="s">
        <v>1540</v>
      </c>
      <c r="M404" s="4" t="s">
        <v>109</v>
      </c>
      <c r="N404" s="4" t="s">
        <v>1671</v>
      </c>
      <c r="O404" s="4"/>
      <c r="P404" s="4" t="s">
        <v>1693</v>
      </c>
      <c r="Q404" t="s">
        <v>109</v>
      </c>
      <c r="R404" s="4"/>
      <c r="S404" s="4"/>
      <c r="U404" s="4"/>
      <c r="Y404" s="4"/>
      <c r="Z404" s="4"/>
      <c r="AA404" s="4"/>
      <c r="AB404" s="4"/>
      <c r="AC404" s="4"/>
      <c r="AD404" s="4"/>
      <c r="AE404" s="4"/>
      <c r="AF404" s="4"/>
      <c r="AG404" s="4"/>
      <c r="AH404" s="4"/>
      <c r="AI404" s="4"/>
      <c r="AJ404" s="4"/>
      <c r="AK404" s="4"/>
      <c r="AL404" s="4"/>
      <c r="AP404" s="4"/>
      <c r="AX404" s="4"/>
      <c r="AY404" s="4"/>
      <c r="AZ404" s="4"/>
      <c r="BA404" s="4"/>
      <c r="BB404" s="4"/>
      <c r="BC404" s="4"/>
      <c r="BD404" s="4"/>
      <c r="BE404" s="4"/>
      <c r="BF404" s="4"/>
      <c r="BG404" s="4"/>
      <c r="BI404" s="4"/>
      <c r="BP404" s="4"/>
      <c r="BS404" s="4"/>
      <c r="BW404" s="4"/>
      <c r="BX404" s="4"/>
    </row>
    <row r="405" spans="1:76" ht="12.75" x14ac:dyDescent="0.2">
      <c r="A405" s="4" t="s">
        <v>284</v>
      </c>
      <c r="B405" s="4" t="s">
        <v>120</v>
      </c>
      <c r="C405" s="4" t="s">
        <v>111</v>
      </c>
      <c r="D405" s="4">
        <v>2582</v>
      </c>
      <c r="E405" s="4" t="s">
        <v>47</v>
      </c>
      <c r="F405" s="4" t="s">
        <v>1672</v>
      </c>
      <c r="G405" s="113">
        <v>1</v>
      </c>
      <c r="H405" t="s">
        <v>1781</v>
      </c>
      <c r="I405" s="4">
        <v>1.0377777777777779</v>
      </c>
      <c r="J405">
        <v>2.7E-2</v>
      </c>
      <c r="K405">
        <v>0.06</v>
      </c>
      <c r="L405" s="4" t="s">
        <v>1561</v>
      </c>
      <c r="M405" s="4" t="s">
        <v>109</v>
      </c>
      <c r="N405" s="4" t="s">
        <v>1671</v>
      </c>
      <c r="O405" s="4"/>
      <c r="P405" s="4" t="s">
        <v>1693</v>
      </c>
      <c r="Q405" t="s">
        <v>109</v>
      </c>
      <c r="R405" s="4"/>
      <c r="S405" s="4"/>
      <c r="U405" s="4"/>
      <c r="Y405" s="4"/>
      <c r="Z405" s="4"/>
      <c r="AA405" s="4"/>
      <c r="AB405" s="4"/>
      <c r="AC405" s="4"/>
      <c r="AD405" s="4"/>
      <c r="AE405" s="4"/>
      <c r="AF405" s="4"/>
      <c r="AG405" s="4"/>
      <c r="AH405" s="4"/>
      <c r="AI405" s="4"/>
      <c r="AJ405" s="4"/>
      <c r="AK405" s="4"/>
      <c r="AL405" s="4"/>
      <c r="AP405" s="4"/>
      <c r="AX405" s="4"/>
      <c r="AY405" s="4"/>
      <c r="AZ405" s="4"/>
      <c r="BA405" s="4"/>
      <c r="BB405" s="4"/>
      <c r="BC405" s="4"/>
      <c r="BD405" s="4"/>
      <c r="BE405" s="4"/>
      <c r="BF405" s="4"/>
      <c r="BG405" s="4"/>
      <c r="BI405" s="4"/>
      <c r="BP405" s="4"/>
      <c r="BS405" s="4"/>
      <c r="BW405" s="4"/>
      <c r="BX405" s="4"/>
    </row>
    <row r="406" spans="1:76" ht="12.75" x14ac:dyDescent="0.2">
      <c r="A406" s="4" t="s">
        <v>1347</v>
      </c>
      <c r="B406" s="4" t="s">
        <v>143</v>
      </c>
      <c r="C406" s="4" t="s">
        <v>1348</v>
      </c>
      <c r="D406" s="4">
        <v>2582</v>
      </c>
      <c r="E406" s="4" t="s">
        <v>47</v>
      </c>
      <c r="F406" s="4" t="s">
        <v>1672</v>
      </c>
      <c r="G406" s="113">
        <v>0.5</v>
      </c>
      <c r="H406" t="s">
        <v>1781</v>
      </c>
      <c r="I406" s="4">
        <v>1.0829022222222222</v>
      </c>
      <c r="J406">
        <v>2.7E-2</v>
      </c>
      <c r="K406">
        <v>0.06</v>
      </c>
      <c r="L406" s="4" t="s">
        <v>1539</v>
      </c>
      <c r="M406" s="4" t="s">
        <v>109</v>
      </c>
      <c r="N406" s="4" t="s">
        <v>1671</v>
      </c>
      <c r="O406" s="4"/>
      <c r="P406" s="4" t="s">
        <v>1693</v>
      </c>
      <c r="Q406" t="s">
        <v>109</v>
      </c>
      <c r="R406" s="4"/>
      <c r="S406" s="4"/>
      <c r="U406" s="4"/>
      <c r="Y406" s="4"/>
      <c r="Z406" s="4"/>
      <c r="AA406" s="4"/>
      <c r="AB406" s="4"/>
      <c r="AC406" s="4"/>
      <c r="AD406" s="4"/>
      <c r="AE406" s="4"/>
      <c r="AF406" s="4"/>
      <c r="AG406" s="4"/>
      <c r="AH406" s="4"/>
      <c r="AI406" s="4"/>
      <c r="AJ406" s="4"/>
      <c r="AK406" s="4"/>
      <c r="AL406" s="4"/>
      <c r="AP406" s="4"/>
      <c r="AX406" s="4"/>
      <c r="AY406" s="4"/>
      <c r="AZ406" s="4"/>
      <c r="BA406" s="4"/>
      <c r="BB406" s="4"/>
      <c r="BC406" s="4"/>
      <c r="BD406" s="4"/>
      <c r="BE406" s="4"/>
      <c r="BF406" s="4"/>
      <c r="BG406" s="4"/>
      <c r="BI406" s="4"/>
      <c r="BP406" s="4"/>
      <c r="BS406" s="4"/>
      <c r="BW406" s="4"/>
      <c r="BX406" s="4"/>
    </row>
    <row r="407" spans="1:76" ht="12.75" x14ac:dyDescent="0.2">
      <c r="A407" s="4" t="s">
        <v>271</v>
      </c>
      <c r="B407" s="4" t="s">
        <v>253</v>
      </c>
      <c r="C407" s="4" t="s">
        <v>1351</v>
      </c>
      <c r="D407" s="4">
        <v>2582</v>
      </c>
      <c r="E407" s="4" t="s">
        <v>47</v>
      </c>
      <c r="F407" s="4" t="s">
        <v>1672</v>
      </c>
      <c r="G407" s="113">
        <v>0.25</v>
      </c>
      <c r="H407" t="s">
        <v>1781</v>
      </c>
      <c r="I407" s="4">
        <v>1.1111111111111112</v>
      </c>
      <c r="J407">
        <v>2.7E-2</v>
      </c>
      <c r="K407">
        <v>0.06</v>
      </c>
      <c r="L407" s="4" t="s">
        <v>1537</v>
      </c>
      <c r="M407" s="4" t="s">
        <v>109</v>
      </c>
      <c r="N407" s="4" t="s">
        <v>1671</v>
      </c>
      <c r="O407" s="4"/>
      <c r="P407" s="4" t="s">
        <v>1693</v>
      </c>
      <c r="Q407" t="s">
        <v>109</v>
      </c>
      <c r="R407" s="4"/>
      <c r="S407" s="4"/>
      <c r="U407" s="4"/>
      <c r="Y407" s="4"/>
      <c r="Z407" s="4"/>
      <c r="AA407" s="4"/>
      <c r="AB407" s="4"/>
      <c r="AC407" s="4"/>
      <c r="AD407" s="4"/>
      <c r="AE407" s="4"/>
      <c r="AF407" s="4"/>
      <c r="AG407" s="4"/>
      <c r="AH407" s="4"/>
      <c r="AI407" s="4"/>
      <c r="AJ407" s="4"/>
      <c r="AK407" s="4"/>
      <c r="AL407" s="4"/>
      <c r="AP407" s="4"/>
      <c r="AX407" s="4"/>
      <c r="AY407" s="4"/>
      <c r="AZ407" s="4"/>
      <c r="BA407" s="4"/>
      <c r="BB407" s="4"/>
      <c r="BC407" s="4"/>
      <c r="BD407" s="4"/>
      <c r="BE407" s="4"/>
      <c r="BF407" s="4"/>
      <c r="BG407" s="4"/>
      <c r="BI407" s="4"/>
      <c r="BP407" s="4"/>
      <c r="BS407" s="4"/>
      <c r="BW407" s="4"/>
      <c r="BX407" s="4"/>
    </row>
    <row r="408" spans="1:76" ht="12.75" x14ac:dyDescent="0.2">
      <c r="A408" s="4" t="s">
        <v>271</v>
      </c>
      <c r="B408" s="4" t="s">
        <v>253</v>
      </c>
      <c r="C408" s="4" t="s">
        <v>1350</v>
      </c>
      <c r="D408" s="4">
        <v>2582</v>
      </c>
      <c r="E408" s="4" t="s">
        <v>47</v>
      </c>
      <c r="F408" s="4" t="s">
        <v>1672</v>
      </c>
      <c r="G408" s="113">
        <v>0.25</v>
      </c>
      <c r="H408" t="s">
        <v>1781</v>
      </c>
      <c r="I408" s="4">
        <v>1.1111111111111112</v>
      </c>
      <c r="J408">
        <v>2.7E-2</v>
      </c>
      <c r="K408">
        <v>0.06</v>
      </c>
      <c r="L408" s="4" t="s">
        <v>1537</v>
      </c>
      <c r="M408" s="4" t="s">
        <v>109</v>
      </c>
      <c r="N408" s="4" t="s">
        <v>1671</v>
      </c>
      <c r="O408" s="4"/>
      <c r="P408" s="4" t="s">
        <v>1693</v>
      </c>
      <c r="Q408" t="s">
        <v>109</v>
      </c>
      <c r="R408" s="4"/>
      <c r="S408" s="4"/>
      <c r="U408" s="4"/>
      <c r="Y408" s="4"/>
      <c r="Z408" s="4"/>
      <c r="AA408" s="4"/>
      <c r="AB408" s="4"/>
      <c r="AC408" s="4"/>
      <c r="AD408" s="4"/>
      <c r="AE408" s="4"/>
      <c r="AF408" s="4"/>
      <c r="AG408" s="4"/>
      <c r="AH408" s="4"/>
      <c r="AI408" s="4"/>
      <c r="AJ408" s="4"/>
      <c r="AK408" s="4"/>
      <c r="AL408" s="4"/>
      <c r="AP408" s="4"/>
      <c r="AX408" s="4"/>
      <c r="AY408" s="4"/>
      <c r="AZ408" s="4"/>
      <c r="BA408" s="4"/>
      <c r="BB408" s="4"/>
      <c r="BC408" s="4"/>
      <c r="BD408" s="4"/>
      <c r="BE408" s="4"/>
      <c r="BF408" s="4"/>
      <c r="BG408" s="4"/>
      <c r="BI408" s="4"/>
      <c r="BP408" s="4"/>
      <c r="BS408" s="4"/>
      <c r="BW408" s="4"/>
      <c r="BX408" s="4"/>
    </row>
    <row r="409" spans="1:76" ht="12.75" x14ac:dyDescent="0.2">
      <c r="A409" s="4" t="s">
        <v>271</v>
      </c>
      <c r="B409" s="4" t="s">
        <v>253</v>
      </c>
      <c r="C409" s="4" t="s">
        <v>1350</v>
      </c>
      <c r="D409" s="4">
        <v>2582</v>
      </c>
      <c r="E409" s="4" t="s">
        <v>47</v>
      </c>
      <c r="F409" s="4" t="s">
        <v>1672</v>
      </c>
      <c r="G409" s="113">
        <v>0.25</v>
      </c>
      <c r="H409" t="s">
        <v>1781</v>
      </c>
      <c r="I409" s="4">
        <v>1.1111111111111112</v>
      </c>
      <c r="J409">
        <v>2.7E-2</v>
      </c>
      <c r="K409">
        <v>0.06</v>
      </c>
      <c r="L409" s="4" t="s">
        <v>1537</v>
      </c>
      <c r="M409" s="4" t="s">
        <v>109</v>
      </c>
      <c r="N409" s="4" t="s">
        <v>1671</v>
      </c>
      <c r="O409" s="4"/>
      <c r="P409" s="4" t="s">
        <v>1693</v>
      </c>
      <c r="Q409" t="s">
        <v>109</v>
      </c>
      <c r="R409" s="4"/>
      <c r="S409" s="4"/>
      <c r="U409" s="4"/>
      <c r="Y409" s="4"/>
      <c r="Z409" s="4"/>
      <c r="AA409" s="4"/>
      <c r="AB409" s="4"/>
      <c r="AC409" s="4"/>
      <c r="AD409" s="4"/>
      <c r="AE409" s="4"/>
      <c r="AF409" s="4"/>
      <c r="AG409" s="4"/>
      <c r="AH409" s="4"/>
      <c r="AI409" s="4"/>
      <c r="AJ409" s="4"/>
      <c r="AK409" s="4"/>
      <c r="AL409" s="4"/>
      <c r="AP409" s="4"/>
      <c r="AX409" s="4"/>
      <c r="AY409" s="4"/>
      <c r="AZ409" s="4"/>
      <c r="BA409" s="4"/>
      <c r="BB409" s="4"/>
      <c r="BC409" s="4"/>
      <c r="BD409" s="4"/>
      <c r="BE409" s="4"/>
      <c r="BF409" s="4"/>
      <c r="BG409" s="4"/>
      <c r="BI409" s="4"/>
      <c r="BP409" s="4"/>
      <c r="BS409" s="4"/>
      <c r="BW409" s="4"/>
      <c r="BX409" s="4"/>
    </row>
    <row r="410" spans="1:76" ht="12.75" x14ac:dyDescent="0.2">
      <c r="A410" s="4" t="s">
        <v>271</v>
      </c>
      <c r="B410" s="4" t="s">
        <v>253</v>
      </c>
      <c r="C410" s="4" t="s">
        <v>1350</v>
      </c>
      <c r="D410" s="4">
        <v>2582</v>
      </c>
      <c r="E410" s="4" t="s">
        <v>47</v>
      </c>
      <c r="F410" s="4" t="s">
        <v>1672</v>
      </c>
      <c r="G410" s="113">
        <v>0.25</v>
      </c>
      <c r="H410" t="s">
        <v>1781</v>
      </c>
      <c r="I410" s="4">
        <v>1.1111111111111112</v>
      </c>
      <c r="J410">
        <v>2.7E-2</v>
      </c>
      <c r="K410">
        <v>0.06</v>
      </c>
      <c r="L410" s="4" t="s">
        <v>1537</v>
      </c>
      <c r="M410" s="4" t="s">
        <v>109</v>
      </c>
      <c r="N410" s="4" t="s">
        <v>1671</v>
      </c>
      <c r="O410" s="4"/>
      <c r="P410" s="4" t="s">
        <v>1693</v>
      </c>
      <c r="Q410" t="s">
        <v>109</v>
      </c>
      <c r="R410" s="4"/>
      <c r="S410" s="4"/>
      <c r="U410" s="4"/>
      <c r="Y410" s="4"/>
      <c r="Z410" s="4"/>
      <c r="AA410" s="4"/>
      <c r="AB410" s="4"/>
      <c r="AC410" s="4"/>
      <c r="AD410" s="4"/>
      <c r="AE410" s="4"/>
      <c r="AF410" s="4"/>
      <c r="AG410" s="4"/>
      <c r="AH410" s="4"/>
      <c r="AI410" s="4"/>
      <c r="AJ410" s="4"/>
      <c r="AK410" s="4"/>
      <c r="AL410" s="4"/>
      <c r="AP410" s="4"/>
      <c r="AX410" s="4"/>
      <c r="AY410" s="4"/>
      <c r="AZ410" s="4"/>
      <c r="BA410" s="4"/>
      <c r="BB410" s="4"/>
      <c r="BC410" s="4"/>
      <c r="BD410" s="4"/>
      <c r="BE410" s="4"/>
      <c r="BF410" s="4"/>
      <c r="BG410" s="4"/>
      <c r="BI410" s="4"/>
      <c r="BP410" s="4"/>
      <c r="BS410" s="4"/>
      <c r="BW410" s="4"/>
      <c r="BX410" s="4"/>
    </row>
    <row r="411" spans="1:76" ht="12.75" x14ac:dyDescent="0.2">
      <c r="A411" s="4" t="s">
        <v>271</v>
      </c>
      <c r="B411" s="4" t="s">
        <v>114</v>
      </c>
      <c r="C411" s="4" t="s">
        <v>1349</v>
      </c>
      <c r="D411" s="4">
        <v>2582</v>
      </c>
      <c r="E411" s="4" t="s">
        <v>47</v>
      </c>
      <c r="F411" s="4" t="s">
        <v>1672</v>
      </c>
      <c r="G411" s="113">
        <v>1</v>
      </c>
      <c r="H411" t="s">
        <v>1781</v>
      </c>
      <c r="I411" s="4">
        <v>1.1318150448585234</v>
      </c>
      <c r="J411">
        <v>2.7E-2</v>
      </c>
      <c r="K411">
        <v>0.06</v>
      </c>
      <c r="L411" s="4" t="s">
        <v>1544</v>
      </c>
      <c r="M411" s="4" t="s">
        <v>109</v>
      </c>
      <c r="N411" s="4" t="s">
        <v>1671</v>
      </c>
      <c r="O411" s="4"/>
      <c r="P411" s="4" t="s">
        <v>1693</v>
      </c>
      <c r="Q411" t="s">
        <v>109</v>
      </c>
      <c r="R411" s="4"/>
      <c r="S411" s="4"/>
      <c r="U411" s="4"/>
      <c r="Y411" s="4"/>
      <c r="Z411" s="4"/>
      <c r="AA411" s="4"/>
      <c r="AB411" s="4"/>
      <c r="AC411" s="4"/>
      <c r="AD411" s="4"/>
      <c r="AE411" s="4"/>
      <c r="AF411" s="4"/>
      <c r="AG411" s="4"/>
      <c r="AH411" s="4"/>
      <c r="AI411" s="4"/>
      <c r="AJ411" s="4"/>
      <c r="AK411" s="4"/>
      <c r="AL411" s="4"/>
      <c r="AP411" s="4"/>
      <c r="AX411" s="4"/>
      <c r="AY411" s="4"/>
      <c r="AZ411" s="4"/>
      <c r="BA411" s="4"/>
      <c r="BB411" s="4"/>
      <c r="BC411" s="4"/>
      <c r="BD411" s="4"/>
      <c r="BE411" s="4"/>
      <c r="BF411" s="4"/>
      <c r="BG411" s="4"/>
      <c r="BI411" s="4"/>
      <c r="BP411" s="4"/>
      <c r="BS411" s="4"/>
      <c r="BW411" s="4"/>
      <c r="BX411" s="4"/>
    </row>
    <row r="412" spans="1:76" ht="12.75" x14ac:dyDescent="0.2">
      <c r="A412" s="4" t="s">
        <v>1347</v>
      </c>
      <c r="B412" s="4" t="s">
        <v>143</v>
      </c>
      <c r="C412" s="4" t="s">
        <v>111</v>
      </c>
      <c r="D412" s="4">
        <v>2582</v>
      </c>
      <c r="E412" s="4" t="s">
        <v>47</v>
      </c>
      <c r="F412" s="4" t="s">
        <v>1672</v>
      </c>
      <c r="G412" s="113">
        <v>0.5</v>
      </c>
      <c r="H412" t="s">
        <v>1781</v>
      </c>
      <c r="I412" s="4">
        <v>1.2478322222222222</v>
      </c>
      <c r="J412">
        <v>2.7E-2</v>
      </c>
      <c r="K412">
        <v>0.06</v>
      </c>
      <c r="L412" s="4" t="s">
        <v>1539</v>
      </c>
      <c r="M412" s="4" t="s">
        <v>109</v>
      </c>
      <c r="N412" s="4" t="s">
        <v>1671</v>
      </c>
      <c r="O412" s="4"/>
      <c r="P412" s="4" t="s">
        <v>1693</v>
      </c>
      <c r="Q412" t="s">
        <v>109</v>
      </c>
      <c r="R412" s="4"/>
      <c r="S412" s="4"/>
      <c r="U412" s="4"/>
      <c r="Y412" s="4"/>
      <c r="Z412" s="4"/>
      <c r="AA412" s="4"/>
      <c r="AB412" s="4"/>
      <c r="AC412" s="4"/>
      <c r="AD412" s="4"/>
      <c r="AE412" s="4"/>
      <c r="AF412" s="4"/>
      <c r="AG412" s="4"/>
      <c r="AH412" s="4"/>
      <c r="AI412" s="4"/>
      <c r="AJ412" s="4"/>
      <c r="AK412" s="4"/>
      <c r="AL412" s="4"/>
      <c r="AP412" s="4"/>
      <c r="AX412" s="4"/>
      <c r="AY412" s="4"/>
      <c r="AZ412" s="4"/>
      <c r="BA412" s="4"/>
      <c r="BB412" s="4"/>
      <c r="BC412" s="4"/>
      <c r="BD412" s="4"/>
      <c r="BE412" s="4"/>
      <c r="BF412" s="4"/>
      <c r="BG412" s="4"/>
      <c r="BI412" s="4"/>
      <c r="BP412" s="4"/>
      <c r="BS412" s="4"/>
      <c r="BW412" s="4"/>
      <c r="BX412" s="4"/>
    </row>
    <row r="413" spans="1:76" ht="12.75" x14ac:dyDescent="0.2">
      <c r="A413" s="4" t="s">
        <v>525</v>
      </c>
      <c r="B413" s="4" t="s">
        <v>540</v>
      </c>
      <c r="C413" s="4" t="s">
        <v>230</v>
      </c>
      <c r="D413" s="4">
        <v>2601</v>
      </c>
      <c r="E413" s="4" t="s">
        <v>9</v>
      </c>
      <c r="F413" s="4" t="s">
        <v>4</v>
      </c>
      <c r="G413" s="113">
        <v>0.5</v>
      </c>
      <c r="H413" t="s">
        <v>1781</v>
      </c>
      <c r="I413" s="4">
        <v>2.1999999999999999E-2</v>
      </c>
      <c r="L413" s="4" t="s">
        <v>1585</v>
      </c>
      <c r="M413" s="4" t="s">
        <v>109</v>
      </c>
      <c r="N413" s="4" t="s">
        <v>4</v>
      </c>
      <c r="O413" s="4"/>
      <c r="P413" s="4" t="s">
        <v>1693</v>
      </c>
      <c r="Q413" t="s">
        <v>109</v>
      </c>
      <c r="R413" s="4"/>
      <c r="S413" s="4"/>
      <c r="U413" s="4"/>
      <c r="Y413" s="4"/>
      <c r="Z413" s="4"/>
      <c r="AA413" s="4"/>
      <c r="AB413" s="4"/>
      <c r="AC413" s="4"/>
      <c r="AD413" s="4"/>
      <c r="AE413" s="4"/>
      <c r="AF413" s="4"/>
      <c r="AG413" s="4"/>
      <c r="AH413" s="4"/>
      <c r="AI413" s="4"/>
      <c r="AJ413" s="4"/>
      <c r="AK413" s="4"/>
      <c r="AL413" s="4"/>
      <c r="AP413" s="4"/>
      <c r="AX413" s="4"/>
      <c r="AY413" s="4"/>
      <c r="AZ413" s="4"/>
      <c r="BA413" s="4"/>
      <c r="BB413" s="4"/>
      <c r="BC413" s="4"/>
      <c r="BD413" s="4"/>
      <c r="BE413" s="4"/>
      <c r="BF413" s="4"/>
      <c r="BG413" s="4"/>
      <c r="BI413" s="4"/>
      <c r="BP413" s="4"/>
      <c r="BS413" s="4"/>
      <c r="BW413" s="4"/>
      <c r="BX413" s="4"/>
    </row>
    <row r="414" spans="1:76" ht="12.75" x14ac:dyDescent="0.2">
      <c r="A414" s="4" t="s">
        <v>525</v>
      </c>
      <c r="B414" s="4" t="s">
        <v>345</v>
      </c>
      <c r="C414" s="4" t="s">
        <v>101</v>
      </c>
      <c r="D414" s="4">
        <v>2601</v>
      </c>
      <c r="E414" s="4" t="s">
        <v>9</v>
      </c>
      <c r="F414" s="4" t="s">
        <v>4</v>
      </c>
      <c r="G414" s="113">
        <v>0.5</v>
      </c>
      <c r="H414" t="s">
        <v>1781</v>
      </c>
      <c r="I414" s="4">
        <v>6.7000000000000004E-2</v>
      </c>
      <c r="L414" s="4" t="s">
        <v>1542</v>
      </c>
      <c r="M414" s="4" t="s">
        <v>109</v>
      </c>
      <c r="N414" s="4" t="s">
        <v>4</v>
      </c>
      <c r="O414" s="4"/>
      <c r="P414" s="4" t="s">
        <v>1693</v>
      </c>
      <c r="Q414" t="s">
        <v>109</v>
      </c>
      <c r="R414" s="4"/>
      <c r="S414" s="4"/>
      <c r="U414" s="4"/>
      <c r="Y414" s="4"/>
      <c r="Z414" s="4"/>
      <c r="AA414" s="4"/>
      <c r="AB414" s="4"/>
      <c r="AC414" s="4"/>
      <c r="AD414" s="4"/>
      <c r="AE414" s="4"/>
      <c r="AF414" s="4"/>
      <c r="AG414" s="4"/>
      <c r="AH414" s="4"/>
      <c r="AI414" s="4"/>
      <c r="AJ414" s="4"/>
      <c r="AK414" s="4"/>
      <c r="AL414" s="4"/>
      <c r="AP414" s="4"/>
      <c r="AX414" s="4"/>
      <c r="AY414" s="4"/>
      <c r="AZ414" s="4"/>
      <c r="BA414" s="4"/>
      <c r="BB414" s="4"/>
      <c r="BC414" s="4"/>
      <c r="BD414" s="4"/>
      <c r="BE414" s="4"/>
      <c r="BF414" s="4"/>
      <c r="BG414" s="4"/>
      <c r="BI414" s="4"/>
      <c r="BP414" s="4"/>
      <c r="BS414" s="4"/>
      <c r="BW414" s="4"/>
      <c r="BX414" s="4"/>
    </row>
    <row r="415" spans="1:76" ht="12.75" x14ac:dyDescent="0.2">
      <c r="A415" s="4" t="s">
        <v>503</v>
      </c>
      <c r="B415" s="4" t="s">
        <v>218</v>
      </c>
      <c r="C415" s="4" t="s">
        <v>230</v>
      </c>
      <c r="D415" s="4">
        <v>2601</v>
      </c>
      <c r="E415" s="4" t="s">
        <v>9</v>
      </c>
      <c r="F415" s="4" t="s">
        <v>4</v>
      </c>
      <c r="G415" s="113">
        <v>1</v>
      </c>
      <c r="H415" t="s">
        <v>1781</v>
      </c>
      <c r="I415" s="4">
        <v>7.3999999999999996E-2</v>
      </c>
      <c r="L415" s="4" t="s">
        <v>1589</v>
      </c>
      <c r="M415" s="4" t="s">
        <v>109</v>
      </c>
      <c r="N415" s="4" t="s">
        <v>4</v>
      </c>
      <c r="O415" s="4"/>
      <c r="P415" s="4" t="s">
        <v>1693</v>
      </c>
      <c r="Q415" t="s">
        <v>109</v>
      </c>
      <c r="R415" s="4"/>
      <c r="S415" s="4"/>
      <c r="U415" s="4"/>
      <c r="Y415" s="4"/>
      <c r="Z415" s="4"/>
      <c r="AA415" s="4"/>
      <c r="AB415" s="4"/>
      <c r="AC415" s="4"/>
      <c r="AD415" s="4"/>
      <c r="AE415" s="4"/>
      <c r="AF415" s="4"/>
      <c r="AG415" s="4"/>
      <c r="AH415" s="4"/>
      <c r="AI415" s="4"/>
      <c r="AJ415" s="4"/>
      <c r="AK415" s="4"/>
      <c r="AL415" s="4"/>
      <c r="AP415" s="4"/>
      <c r="AX415" s="4"/>
      <c r="AY415" s="4"/>
      <c r="AZ415" s="4"/>
      <c r="BA415" s="4"/>
      <c r="BB415" s="4"/>
      <c r="BC415" s="4"/>
      <c r="BD415" s="4"/>
      <c r="BE415" s="4"/>
      <c r="BF415" s="4"/>
      <c r="BG415" s="4"/>
      <c r="BI415" s="4"/>
      <c r="BP415" s="4"/>
      <c r="BS415" s="4"/>
      <c r="BW415" s="4"/>
      <c r="BX415" s="4"/>
    </row>
    <row r="416" spans="1:76" ht="12.75" x14ac:dyDescent="0.2">
      <c r="A416" s="4" t="s">
        <v>525</v>
      </c>
      <c r="B416" s="4" t="s">
        <v>314</v>
      </c>
      <c r="C416" s="4" t="s">
        <v>590</v>
      </c>
      <c r="D416" s="4">
        <v>2601</v>
      </c>
      <c r="E416" s="4" t="s">
        <v>9</v>
      </c>
      <c r="F416" s="4" t="s">
        <v>4</v>
      </c>
      <c r="G416" s="113">
        <v>1</v>
      </c>
      <c r="H416" t="s">
        <v>1781</v>
      </c>
      <c r="I416" s="4">
        <v>8.6000000000000007E-2</v>
      </c>
      <c r="L416" s="4" t="s">
        <v>1585</v>
      </c>
      <c r="M416" s="4" t="s">
        <v>109</v>
      </c>
      <c r="N416" s="4" t="s">
        <v>4</v>
      </c>
      <c r="O416" s="4"/>
      <c r="P416" s="4" t="s">
        <v>1693</v>
      </c>
      <c r="Q416" t="s">
        <v>109</v>
      </c>
      <c r="R416" s="4"/>
      <c r="S416" s="4"/>
      <c r="U416" s="4"/>
      <c r="Y416" s="4"/>
      <c r="Z416" s="4"/>
      <c r="AA416" s="4"/>
      <c r="AB416" s="4"/>
      <c r="AC416" s="4"/>
      <c r="AD416" s="4"/>
      <c r="AE416" s="4"/>
      <c r="AF416" s="4"/>
      <c r="AG416" s="4"/>
      <c r="AH416" s="4"/>
      <c r="AI416" s="4"/>
      <c r="AJ416" s="4"/>
      <c r="AK416" s="4"/>
      <c r="AL416" s="4"/>
      <c r="AP416" s="4"/>
      <c r="AX416" s="4"/>
      <c r="AY416" s="4"/>
      <c r="AZ416" s="4"/>
      <c r="BA416" s="4"/>
      <c r="BB416" s="4"/>
      <c r="BC416" s="4"/>
      <c r="BD416" s="4"/>
      <c r="BE416" s="4"/>
      <c r="BF416" s="4"/>
      <c r="BG416" s="4"/>
      <c r="BI416" s="4"/>
      <c r="BP416" s="4"/>
      <c r="BS416" s="4"/>
      <c r="BW416" s="4"/>
      <c r="BX416" s="4"/>
    </row>
    <row r="417" spans="1:76" ht="12.75" x14ac:dyDescent="0.2">
      <c r="A417" s="4" t="s">
        <v>525</v>
      </c>
      <c r="B417" s="4" t="s">
        <v>345</v>
      </c>
      <c r="C417" s="4" t="s">
        <v>111</v>
      </c>
      <c r="D417" s="4">
        <v>2601</v>
      </c>
      <c r="E417" s="4" t="s">
        <v>9</v>
      </c>
      <c r="F417" s="4" t="s">
        <v>4</v>
      </c>
      <c r="G417" s="113">
        <v>0.5</v>
      </c>
      <c r="H417" t="s">
        <v>1781</v>
      </c>
      <c r="I417" s="4">
        <v>8.6999999999999994E-2</v>
      </c>
      <c r="L417" s="4" t="s">
        <v>1542</v>
      </c>
      <c r="M417" s="4" t="s">
        <v>109</v>
      </c>
      <c r="N417" s="4" t="s">
        <v>4</v>
      </c>
      <c r="O417" s="4"/>
      <c r="P417" s="4" t="s">
        <v>1693</v>
      </c>
      <c r="Q417" t="s">
        <v>109</v>
      </c>
      <c r="R417" s="4"/>
      <c r="S417" s="4"/>
      <c r="U417" s="4"/>
      <c r="Y417" s="4"/>
      <c r="Z417" s="4"/>
      <c r="AA417" s="4"/>
      <c r="AB417" s="4"/>
      <c r="AC417" s="4"/>
      <c r="AD417" s="4"/>
      <c r="AE417" s="4"/>
      <c r="AF417" s="4"/>
      <c r="AG417" s="4"/>
      <c r="AH417" s="4"/>
      <c r="AI417" s="4"/>
      <c r="AJ417" s="4"/>
      <c r="AK417" s="4"/>
      <c r="AL417" s="4"/>
      <c r="AP417" s="4"/>
      <c r="AX417" s="4"/>
      <c r="AY417" s="4"/>
      <c r="AZ417" s="4"/>
      <c r="BA417" s="4"/>
      <c r="BB417" s="4"/>
      <c r="BC417" s="4"/>
      <c r="BD417" s="4"/>
      <c r="BE417" s="4"/>
      <c r="BF417" s="4"/>
      <c r="BG417" s="4"/>
      <c r="BI417" s="4"/>
      <c r="BP417" s="4"/>
      <c r="BS417" s="4"/>
      <c r="BW417" s="4"/>
      <c r="BX417" s="4"/>
    </row>
    <row r="418" spans="1:76" ht="12.75" x14ac:dyDescent="0.2">
      <c r="A418" s="4" t="s">
        <v>503</v>
      </c>
      <c r="B418" s="4" t="s">
        <v>170</v>
      </c>
      <c r="C418" s="4" t="s">
        <v>230</v>
      </c>
      <c r="D418" s="4">
        <v>2601</v>
      </c>
      <c r="E418" s="4" t="s">
        <v>9</v>
      </c>
      <c r="F418" s="4" t="s">
        <v>4</v>
      </c>
      <c r="G418" s="113">
        <v>1</v>
      </c>
      <c r="H418" t="s">
        <v>1781</v>
      </c>
      <c r="I418" s="4">
        <v>0.12938999999999998</v>
      </c>
      <c r="L418" s="4" t="s">
        <v>1592</v>
      </c>
      <c r="M418" s="4" t="s">
        <v>109</v>
      </c>
      <c r="N418" s="4" t="s">
        <v>4</v>
      </c>
      <c r="O418" s="4"/>
      <c r="P418" s="4" t="s">
        <v>1693</v>
      </c>
      <c r="Q418" t="s">
        <v>109</v>
      </c>
      <c r="R418" s="4"/>
      <c r="S418" s="4"/>
      <c r="U418" s="4"/>
      <c r="Y418" s="4"/>
      <c r="Z418" s="4"/>
      <c r="AA418" s="4"/>
      <c r="AB418" s="4"/>
      <c r="AC418" s="4"/>
      <c r="AD418" s="4"/>
      <c r="AE418" s="4"/>
      <c r="AF418" s="4"/>
      <c r="AG418" s="4"/>
      <c r="AH418" s="4"/>
      <c r="AI418" s="4"/>
      <c r="AJ418" s="4"/>
      <c r="AK418" s="4"/>
      <c r="AL418" s="4"/>
      <c r="AP418" s="4"/>
      <c r="AX418" s="4"/>
      <c r="AY418" s="4"/>
      <c r="AZ418" s="4"/>
      <c r="BA418" s="4"/>
      <c r="BB418" s="4"/>
      <c r="BC418" s="4"/>
      <c r="BD418" s="4"/>
      <c r="BE418" s="4"/>
      <c r="BF418" s="4"/>
      <c r="BG418" s="4"/>
      <c r="BI418" s="4"/>
      <c r="BP418" s="4"/>
      <c r="BS418" s="4"/>
      <c r="BW418" s="4"/>
      <c r="BX418" s="4"/>
    </row>
    <row r="419" spans="1:76" ht="12.75" x14ac:dyDescent="0.2">
      <c r="A419" s="4" t="s">
        <v>503</v>
      </c>
      <c r="B419" s="4" t="s">
        <v>314</v>
      </c>
      <c r="C419" s="4" t="s">
        <v>690</v>
      </c>
      <c r="D419" s="4">
        <v>2601</v>
      </c>
      <c r="E419" s="4" t="s">
        <v>9</v>
      </c>
      <c r="F419" s="4" t="s">
        <v>4</v>
      </c>
      <c r="G419" s="113">
        <v>1</v>
      </c>
      <c r="H419" t="s">
        <v>1781</v>
      </c>
      <c r="I419" s="4">
        <v>0.1302158273381295</v>
      </c>
      <c r="L419" s="4" t="s">
        <v>1591</v>
      </c>
      <c r="M419" s="4" t="s">
        <v>109</v>
      </c>
      <c r="N419" s="4" t="s">
        <v>4</v>
      </c>
      <c r="O419" s="4"/>
      <c r="P419" s="4" t="s">
        <v>1693</v>
      </c>
      <c r="Q419" t="s">
        <v>109</v>
      </c>
      <c r="R419" s="4"/>
      <c r="S419" s="4"/>
      <c r="U419" s="4"/>
      <c r="Y419" s="4"/>
      <c r="Z419" s="4"/>
      <c r="AA419" s="4"/>
      <c r="AB419" s="4"/>
      <c r="AC419" s="4"/>
      <c r="AD419" s="4"/>
      <c r="AE419" s="4"/>
      <c r="AF419" s="4"/>
      <c r="AG419" s="4"/>
      <c r="AH419" s="4"/>
      <c r="AI419" s="4"/>
      <c r="AJ419" s="4"/>
      <c r="AK419" s="4"/>
      <c r="AL419" s="4"/>
      <c r="AP419" s="4"/>
      <c r="AX419" s="4"/>
      <c r="AY419" s="4"/>
      <c r="AZ419" s="4"/>
      <c r="BA419" s="4"/>
      <c r="BB419" s="4"/>
      <c r="BC419" s="4"/>
      <c r="BD419" s="4"/>
      <c r="BE419" s="4"/>
      <c r="BF419" s="4"/>
      <c r="BG419" s="4"/>
      <c r="BI419" s="4"/>
      <c r="BP419" s="4"/>
      <c r="BS419" s="4"/>
      <c r="BW419" s="4"/>
      <c r="BX419" s="4"/>
    </row>
    <row r="420" spans="1:76" ht="12.75" x14ac:dyDescent="0.2">
      <c r="A420" s="4" t="s">
        <v>503</v>
      </c>
      <c r="B420" s="4" t="s">
        <v>77</v>
      </c>
      <c r="C420" s="4" t="s">
        <v>230</v>
      </c>
      <c r="D420" s="4">
        <v>2601</v>
      </c>
      <c r="E420" s="4" t="s">
        <v>9</v>
      </c>
      <c r="F420" s="4" t="s">
        <v>4</v>
      </c>
      <c r="G420" s="113">
        <v>0.5</v>
      </c>
      <c r="H420" t="s">
        <v>1781</v>
      </c>
      <c r="I420" s="4">
        <v>0.15259999999999999</v>
      </c>
      <c r="L420" s="4" t="s">
        <v>1590</v>
      </c>
      <c r="M420" s="4" t="s">
        <v>109</v>
      </c>
      <c r="N420" s="4" t="s">
        <v>4</v>
      </c>
      <c r="O420" s="4"/>
      <c r="P420" s="4" t="s">
        <v>1693</v>
      </c>
      <c r="Q420" t="s">
        <v>109</v>
      </c>
      <c r="R420" s="4"/>
      <c r="S420" s="4"/>
      <c r="U420" s="4"/>
      <c r="Y420" s="4"/>
      <c r="Z420" s="4"/>
      <c r="AA420" s="4"/>
      <c r="AB420" s="4"/>
      <c r="AC420" s="4"/>
      <c r="AD420" s="4"/>
      <c r="AE420" s="4"/>
      <c r="AF420" s="4"/>
      <c r="AG420" s="4"/>
      <c r="AH420" s="4"/>
      <c r="AI420" s="4"/>
      <c r="AJ420" s="4"/>
      <c r="AK420" s="4"/>
      <c r="AL420" s="4"/>
      <c r="AP420" s="4"/>
      <c r="AX420" s="4"/>
      <c r="AY420" s="4"/>
      <c r="AZ420" s="4"/>
      <c r="BA420" s="4"/>
      <c r="BB420" s="4"/>
      <c r="BC420" s="4"/>
      <c r="BD420" s="4"/>
      <c r="BE420" s="4"/>
      <c r="BF420" s="4"/>
      <c r="BG420" s="4"/>
      <c r="BI420" s="4"/>
      <c r="BP420" s="4"/>
      <c r="BS420" s="4"/>
      <c r="BW420" s="4"/>
      <c r="BX420" s="4"/>
    </row>
    <row r="421" spans="1:76" ht="12.75" x14ac:dyDescent="0.2">
      <c r="A421" s="4" t="s">
        <v>503</v>
      </c>
      <c r="B421" s="4" t="s">
        <v>77</v>
      </c>
      <c r="C421" s="4" t="s">
        <v>590</v>
      </c>
      <c r="D421" s="4">
        <v>2601</v>
      </c>
      <c r="E421" s="4" t="s">
        <v>9</v>
      </c>
      <c r="F421" s="4" t="s">
        <v>4</v>
      </c>
      <c r="G421" s="113">
        <v>0.5</v>
      </c>
      <c r="H421" t="s">
        <v>1781</v>
      </c>
      <c r="I421" s="4">
        <v>0.1555</v>
      </c>
      <c r="L421" s="4" t="s">
        <v>1590</v>
      </c>
      <c r="M421" s="4" t="s">
        <v>109</v>
      </c>
      <c r="N421" s="4" t="s">
        <v>4</v>
      </c>
      <c r="O421" s="4"/>
      <c r="P421" s="4" t="s">
        <v>1693</v>
      </c>
      <c r="Q421" t="s">
        <v>109</v>
      </c>
      <c r="R421" s="4"/>
      <c r="S421" s="4"/>
      <c r="U421" s="4"/>
      <c r="Y421" s="4"/>
      <c r="Z421" s="4"/>
      <c r="AA421" s="4"/>
      <c r="AB421" s="4"/>
      <c r="AC421" s="4"/>
      <c r="AD421" s="4"/>
      <c r="AE421" s="4"/>
      <c r="AF421" s="4"/>
      <c r="AG421" s="4"/>
      <c r="AH421" s="4"/>
      <c r="AI421" s="4"/>
      <c r="AJ421" s="4"/>
      <c r="AK421" s="4"/>
      <c r="AL421" s="4"/>
      <c r="AP421" s="4"/>
      <c r="AX421" s="4"/>
      <c r="AY421" s="4"/>
      <c r="AZ421" s="4"/>
      <c r="BA421" s="4"/>
      <c r="BB421" s="4"/>
      <c r="BC421" s="4"/>
      <c r="BD421" s="4"/>
      <c r="BE421" s="4"/>
      <c r="BF421" s="4"/>
      <c r="BG421" s="4"/>
      <c r="BI421" s="4"/>
      <c r="BP421" s="4"/>
      <c r="BS421" s="4"/>
      <c r="BW421" s="4"/>
      <c r="BX421" s="4"/>
    </row>
    <row r="422" spans="1:76" ht="12.75" x14ac:dyDescent="0.2">
      <c r="A422" s="4" t="s">
        <v>503</v>
      </c>
      <c r="B422" s="4" t="s">
        <v>253</v>
      </c>
      <c r="C422" s="4" t="s">
        <v>1360</v>
      </c>
      <c r="D422" s="4">
        <v>2601</v>
      </c>
      <c r="E422" s="4" t="s">
        <v>9</v>
      </c>
      <c r="F422" s="4" t="s">
        <v>4</v>
      </c>
      <c r="G422" s="113">
        <v>0.25</v>
      </c>
      <c r="H422" t="s">
        <v>1781</v>
      </c>
      <c r="I422" s="4">
        <v>0.19</v>
      </c>
      <c r="L422" s="4" t="s">
        <v>1586</v>
      </c>
      <c r="M422" s="4" t="s">
        <v>109</v>
      </c>
      <c r="N422" s="4" t="s">
        <v>4</v>
      </c>
      <c r="O422" s="4"/>
      <c r="P422" s="4" t="s">
        <v>1693</v>
      </c>
      <c r="Q422" t="s">
        <v>109</v>
      </c>
      <c r="R422" s="4"/>
      <c r="S422" s="4"/>
      <c r="U422" s="4"/>
      <c r="Y422" s="4"/>
      <c r="Z422" s="4"/>
      <c r="AA422" s="4"/>
      <c r="AB422" s="4"/>
      <c r="AC422" s="4"/>
      <c r="AD422" s="4"/>
      <c r="AE422" s="4"/>
      <c r="AF422" s="4"/>
      <c r="AG422" s="4"/>
      <c r="AH422" s="4"/>
      <c r="AI422" s="4"/>
      <c r="AJ422" s="4"/>
      <c r="AK422" s="4"/>
      <c r="AL422" s="4"/>
      <c r="AP422" s="4"/>
      <c r="AX422" s="4"/>
      <c r="AY422" s="4"/>
      <c r="AZ422" s="4"/>
      <c r="BA422" s="4"/>
      <c r="BB422" s="4"/>
      <c r="BC422" s="4"/>
      <c r="BD422" s="4"/>
      <c r="BE422" s="4"/>
      <c r="BF422" s="4"/>
      <c r="BG422" s="4"/>
      <c r="BI422" s="4"/>
      <c r="BP422" s="4"/>
      <c r="BS422" s="4"/>
      <c r="BW422" s="4"/>
      <c r="BX422" s="4"/>
    </row>
    <row r="423" spans="1:76" ht="12.75" x14ac:dyDescent="0.2">
      <c r="A423" s="4" t="s">
        <v>503</v>
      </c>
      <c r="B423" s="4" t="s">
        <v>1372</v>
      </c>
      <c r="C423" s="4" t="s">
        <v>230</v>
      </c>
      <c r="D423" s="4">
        <v>2601</v>
      </c>
      <c r="E423" s="4" t="s">
        <v>9</v>
      </c>
      <c r="F423" s="4" t="s">
        <v>4</v>
      </c>
      <c r="G423" s="113">
        <v>1</v>
      </c>
      <c r="H423" t="s">
        <v>1781</v>
      </c>
      <c r="I423" s="4">
        <v>0.2021</v>
      </c>
      <c r="L423" s="4" t="s">
        <v>1588</v>
      </c>
      <c r="M423" s="4" t="s">
        <v>109</v>
      </c>
      <c r="N423" s="4" t="s">
        <v>4</v>
      </c>
      <c r="O423" s="4"/>
      <c r="P423" s="4" t="s">
        <v>1693</v>
      </c>
      <c r="Q423" t="s">
        <v>109</v>
      </c>
      <c r="R423" s="4"/>
      <c r="S423" s="4"/>
      <c r="U423" s="4"/>
      <c r="Y423" s="4"/>
      <c r="Z423" s="4"/>
      <c r="AA423" s="4"/>
      <c r="AB423" s="4"/>
      <c r="AC423" s="4"/>
      <c r="AD423" s="4"/>
      <c r="AE423" s="4"/>
      <c r="AF423" s="4"/>
      <c r="AG423" s="4"/>
      <c r="AH423" s="4"/>
      <c r="AI423" s="4"/>
      <c r="AJ423" s="4"/>
      <c r="AK423" s="4"/>
      <c r="AL423" s="4"/>
      <c r="AP423" s="4"/>
      <c r="AX423" s="4"/>
      <c r="AY423" s="4"/>
      <c r="AZ423" s="4"/>
      <c r="BA423" s="4"/>
      <c r="BB423" s="4"/>
      <c r="BC423" s="4"/>
      <c r="BD423" s="4"/>
      <c r="BE423" s="4"/>
      <c r="BF423" s="4"/>
      <c r="BG423" s="4"/>
      <c r="BI423" s="4"/>
      <c r="BP423" s="4"/>
      <c r="BS423" s="4"/>
      <c r="BW423" s="4"/>
      <c r="BX423" s="4"/>
    </row>
    <row r="424" spans="1:76" ht="12.75" x14ac:dyDescent="0.2">
      <c r="A424" s="4" t="s">
        <v>503</v>
      </c>
      <c r="B424" s="4" t="s">
        <v>253</v>
      </c>
      <c r="C424" s="4" t="s">
        <v>1360</v>
      </c>
      <c r="D424" s="4">
        <v>2601</v>
      </c>
      <c r="E424" s="4" t="s">
        <v>9</v>
      </c>
      <c r="F424" s="4" t="s">
        <v>4</v>
      </c>
      <c r="G424" s="113">
        <v>0.25</v>
      </c>
      <c r="H424" t="s">
        <v>1781</v>
      </c>
      <c r="I424" s="4">
        <v>0.21</v>
      </c>
      <c r="L424" s="4" t="s">
        <v>1586</v>
      </c>
      <c r="M424" s="4" t="s">
        <v>109</v>
      </c>
      <c r="N424" s="4" t="s">
        <v>4</v>
      </c>
      <c r="O424" s="4"/>
      <c r="P424" s="4" t="s">
        <v>1693</v>
      </c>
      <c r="Q424" t="s">
        <v>109</v>
      </c>
      <c r="R424" s="4"/>
      <c r="S424" s="4"/>
      <c r="U424" s="4"/>
      <c r="Y424" s="4"/>
      <c r="Z424" s="4"/>
      <c r="AA424" s="4"/>
      <c r="AB424" s="4"/>
      <c r="AC424" s="4"/>
      <c r="AD424" s="4"/>
      <c r="AE424" s="4"/>
      <c r="AF424" s="4"/>
      <c r="AG424" s="4"/>
      <c r="AH424" s="4"/>
      <c r="AI424" s="4"/>
      <c r="AJ424" s="4"/>
      <c r="AK424" s="4"/>
      <c r="AL424" s="4"/>
      <c r="AP424" s="4"/>
      <c r="AX424" s="4"/>
      <c r="AY424" s="4"/>
      <c r="AZ424" s="4"/>
      <c r="BA424" s="4"/>
      <c r="BB424" s="4"/>
      <c r="BC424" s="4"/>
      <c r="BD424" s="4"/>
      <c r="BE424" s="4"/>
      <c r="BF424" s="4"/>
      <c r="BG424" s="4"/>
      <c r="BI424" s="4"/>
      <c r="BP424" s="4"/>
      <c r="BS424" s="4"/>
      <c r="BW424" s="4"/>
      <c r="BX424" s="4"/>
    </row>
    <row r="425" spans="1:76" ht="12.75" x14ac:dyDescent="0.2">
      <c r="A425" s="4" t="s">
        <v>503</v>
      </c>
      <c r="B425" s="4" t="s">
        <v>253</v>
      </c>
      <c r="C425" s="4" t="s">
        <v>1360</v>
      </c>
      <c r="D425" s="4">
        <v>2601</v>
      </c>
      <c r="E425" s="4" t="s">
        <v>9</v>
      </c>
      <c r="F425" s="4" t="s">
        <v>4</v>
      </c>
      <c r="G425" s="113">
        <v>0.25</v>
      </c>
      <c r="H425" t="s">
        <v>1781</v>
      </c>
      <c r="I425" s="4">
        <v>0.22</v>
      </c>
      <c r="L425" s="4" t="s">
        <v>1586</v>
      </c>
      <c r="M425" s="4" t="s">
        <v>109</v>
      </c>
      <c r="N425" s="4" t="s">
        <v>4</v>
      </c>
      <c r="O425" s="4"/>
      <c r="P425" s="4" t="s">
        <v>1693</v>
      </c>
      <c r="Q425" t="s">
        <v>109</v>
      </c>
      <c r="R425" s="4"/>
      <c r="S425" s="4"/>
      <c r="U425" s="4"/>
      <c r="Y425" s="4"/>
      <c r="Z425" s="4"/>
      <c r="AA425" s="4"/>
      <c r="AB425" s="4"/>
      <c r="AC425" s="4"/>
      <c r="AD425" s="4"/>
      <c r="AE425" s="4"/>
      <c r="AF425" s="4"/>
      <c r="AG425" s="4"/>
      <c r="AH425" s="4"/>
      <c r="AI425" s="4"/>
      <c r="AJ425" s="4"/>
      <c r="AK425" s="4"/>
      <c r="AL425" s="4"/>
      <c r="AP425" s="4"/>
      <c r="AX425" s="4"/>
      <c r="AY425" s="4"/>
      <c r="AZ425" s="4"/>
      <c r="BA425" s="4"/>
      <c r="BB425" s="4"/>
      <c r="BC425" s="4"/>
      <c r="BD425" s="4"/>
      <c r="BE425" s="4"/>
      <c r="BF425" s="4"/>
      <c r="BG425" s="4"/>
      <c r="BI425" s="4"/>
      <c r="BP425" s="4"/>
      <c r="BS425" s="4"/>
      <c r="BW425" s="4"/>
      <c r="BX425" s="4"/>
    </row>
    <row r="426" spans="1:76" ht="12.75" x14ac:dyDescent="0.2">
      <c r="A426" s="4" t="s">
        <v>525</v>
      </c>
      <c r="B426" s="4" t="s">
        <v>225</v>
      </c>
      <c r="C426" s="4" t="s">
        <v>111</v>
      </c>
      <c r="D426" s="4">
        <v>2601</v>
      </c>
      <c r="E426" s="4" t="s">
        <v>9</v>
      </c>
      <c r="F426" s="4" t="s">
        <v>4</v>
      </c>
      <c r="G426" s="113">
        <v>1</v>
      </c>
      <c r="H426" t="s">
        <v>1781</v>
      </c>
      <c r="I426" s="4">
        <v>0.22</v>
      </c>
      <c r="L426" s="4" t="s">
        <v>1563</v>
      </c>
      <c r="M426" s="4" t="s">
        <v>109</v>
      </c>
      <c r="N426" s="4" t="s">
        <v>4</v>
      </c>
      <c r="O426" s="4"/>
      <c r="P426" s="4" t="s">
        <v>1693</v>
      </c>
      <c r="Q426" t="s">
        <v>109</v>
      </c>
      <c r="R426" s="4"/>
      <c r="S426" s="4"/>
      <c r="U426" s="4"/>
      <c r="Y426" s="4"/>
      <c r="Z426" s="4"/>
      <c r="AA426" s="4"/>
      <c r="AB426" s="4"/>
      <c r="AC426" s="4"/>
      <c r="AD426" s="4"/>
      <c r="AE426" s="4"/>
      <c r="AF426" s="4"/>
      <c r="AG426" s="4"/>
      <c r="AH426" s="4"/>
      <c r="AI426" s="4"/>
      <c r="AJ426" s="4"/>
      <c r="AK426" s="4"/>
      <c r="AL426" s="4"/>
      <c r="AP426" s="4"/>
      <c r="AX426" s="4"/>
      <c r="AY426" s="4"/>
      <c r="AZ426" s="4"/>
      <c r="BA426" s="4"/>
      <c r="BB426" s="4"/>
      <c r="BC426" s="4"/>
      <c r="BD426" s="4"/>
      <c r="BE426" s="4"/>
      <c r="BF426" s="4"/>
      <c r="BG426" s="4"/>
      <c r="BI426" s="4"/>
      <c r="BP426" s="4"/>
      <c r="BS426" s="4"/>
      <c r="BW426" s="4"/>
      <c r="BX426" s="4"/>
    </row>
    <row r="427" spans="1:76" ht="12.75" x14ac:dyDescent="0.2">
      <c r="A427" s="4" t="s">
        <v>503</v>
      </c>
      <c r="B427" s="4" t="s">
        <v>77</v>
      </c>
      <c r="C427" s="4" t="s">
        <v>230</v>
      </c>
      <c r="D427" s="4">
        <v>2601</v>
      </c>
      <c r="E427" s="4" t="s">
        <v>9</v>
      </c>
      <c r="F427" s="4" t="s">
        <v>4</v>
      </c>
      <c r="G427" s="113">
        <v>1</v>
      </c>
      <c r="H427" t="s">
        <v>1781</v>
      </c>
      <c r="I427" s="4">
        <v>0.25</v>
      </c>
      <c r="L427" s="4" t="s">
        <v>1593</v>
      </c>
      <c r="M427" s="4" t="s">
        <v>109</v>
      </c>
      <c r="N427" s="4" t="s">
        <v>4</v>
      </c>
      <c r="O427" s="4"/>
      <c r="P427" s="4" t="s">
        <v>1693</v>
      </c>
      <c r="Q427" t="s">
        <v>109</v>
      </c>
      <c r="R427" s="4"/>
      <c r="S427" s="4"/>
      <c r="U427" s="4"/>
      <c r="Y427" s="4"/>
      <c r="Z427" s="4"/>
      <c r="AA427" s="4"/>
      <c r="AB427" s="4"/>
      <c r="AC427" s="4"/>
      <c r="AD427" s="4"/>
      <c r="AE427" s="4"/>
      <c r="AF427" s="4"/>
      <c r="AG427" s="4"/>
      <c r="AH427" s="4"/>
      <c r="AI427" s="4"/>
      <c r="AJ427" s="4"/>
      <c r="AK427" s="4"/>
      <c r="AL427" s="4"/>
      <c r="AP427" s="4"/>
      <c r="AX427" s="4"/>
      <c r="AY427" s="4"/>
      <c r="AZ427" s="4"/>
      <c r="BA427" s="4"/>
      <c r="BB427" s="4"/>
      <c r="BC427" s="4"/>
      <c r="BD427" s="4"/>
      <c r="BE427" s="4"/>
      <c r="BF427" s="4"/>
      <c r="BG427" s="4"/>
      <c r="BI427" s="4"/>
      <c r="BP427" s="4"/>
      <c r="BS427" s="4"/>
      <c r="BW427" s="4"/>
      <c r="BX427" s="4"/>
    </row>
    <row r="428" spans="1:76" ht="12.75" x14ac:dyDescent="0.2">
      <c r="A428" s="4" t="s">
        <v>503</v>
      </c>
      <c r="B428" s="4" t="s">
        <v>253</v>
      </c>
      <c r="C428" s="4" t="s">
        <v>1360</v>
      </c>
      <c r="D428" s="4">
        <v>2601</v>
      </c>
      <c r="E428" s="4" t="s">
        <v>9</v>
      </c>
      <c r="F428" s="4" t="s">
        <v>4</v>
      </c>
      <c r="G428" s="113">
        <v>0.25</v>
      </c>
      <c r="H428" t="s">
        <v>1781</v>
      </c>
      <c r="I428" s="4">
        <v>0.27</v>
      </c>
      <c r="L428" s="4" t="s">
        <v>1586</v>
      </c>
      <c r="M428" s="4" t="s">
        <v>109</v>
      </c>
      <c r="N428" s="4" t="s">
        <v>4</v>
      </c>
      <c r="O428" s="4"/>
      <c r="P428" s="4" t="s">
        <v>1693</v>
      </c>
      <c r="Q428" t="s">
        <v>109</v>
      </c>
      <c r="R428" s="4"/>
      <c r="S428" s="4"/>
      <c r="U428" s="4"/>
      <c r="Y428" s="4"/>
      <c r="Z428" s="4"/>
      <c r="AA428" s="4"/>
      <c r="AB428" s="4"/>
      <c r="AC428" s="4"/>
      <c r="AD428" s="4"/>
      <c r="AE428" s="4"/>
      <c r="AF428" s="4"/>
      <c r="AG428" s="4"/>
      <c r="AH428" s="4"/>
      <c r="AI428" s="4"/>
      <c r="AJ428" s="4"/>
      <c r="AK428" s="4"/>
      <c r="AL428" s="4"/>
      <c r="AP428" s="4"/>
      <c r="AX428" s="4"/>
      <c r="AY428" s="4"/>
      <c r="AZ428" s="4"/>
      <c r="BA428" s="4"/>
      <c r="BB428" s="4"/>
      <c r="BC428" s="4"/>
      <c r="BD428" s="4"/>
      <c r="BE428" s="4"/>
      <c r="BF428" s="4"/>
      <c r="BG428" s="4"/>
      <c r="BI428" s="4"/>
      <c r="BP428" s="4"/>
      <c r="BS428" s="4"/>
      <c r="BW428" s="4"/>
      <c r="BX428" s="4"/>
    </row>
    <row r="429" spans="1:76" ht="12.75" x14ac:dyDescent="0.2">
      <c r="A429" s="4" t="s">
        <v>525</v>
      </c>
      <c r="B429" s="4" t="s">
        <v>77</v>
      </c>
      <c r="C429" s="4" t="s">
        <v>230</v>
      </c>
      <c r="D429" s="4">
        <v>2601</v>
      </c>
      <c r="E429" s="4" t="s">
        <v>9</v>
      </c>
      <c r="F429" s="4" t="s">
        <v>4</v>
      </c>
      <c r="G429" s="113">
        <v>1</v>
      </c>
      <c r="H429" t="s">
        <v>1781</v>
      </c>
      <c r="I429" s="4">
        <v>0.29299999999999998</v>
      </c>
      <c r="L429" s="4" t="s">
        <v>1585</v>
      </c>
      <c r="M429" s="4" t="s">
        <v>109</v>
      </c>
      <c r="N429" s="4" t="s">
        <v>4</v>
      </c>
      <c r="O429" s="4"/>
      <c r="P429" s="4" t="s">
        <v>1693</v>
      </c>
      <c r="Q429" t="s">
        <v>109</v>
      </c>
      <c r="R429" s="4"/>
      <c r="S429" s="4"/>
      <c r="U429" s="4"/>
      <c r="Y429" s="4"/>
      <c r="Z429" s="4"/>
      <c r="AA429" s="4"/>
      <c r="AB429" s="4"/>
      <c r="AC429" s="4"/>
      <c r="AD429" s="4"/>
      <c r="AE429" s="4"/>
      <c r="AF429" s="4"/>
      <c r="AG429" s="4"/>
      <c r="AH429" s="4"/>
      <c r="AI429" s="4"/>
      <c r="AJ429" s="4"/>
      <c r="AK429" s="4"/>
      <c r="AL429" s="4"/>
      <c r="AP429" s="4"/>
      <c r="AX429" s="4"/>
      <c r="AY429" s="4"/>
      <c r="AZ429" s="4"/>
      <c r="BA429" s="4"/>
      <c r="BB429" s="4"/>
      <c r="BC429" s="4"/>
      <c r="BD429" s="4"/>
      <c r="BE429" s="4"/>
      <c r="BF429" s="4"/>
      <c r="BG429" s="4"/>
      <c r="BI429" s="4"/>
      <c r="BP429" s="4"/>
      <c r="BS429" s="4"/>
      <c r="BW429" s="4"/>
      <c r="BX429" s="4"/>
    </row>
    <row r="430" spans="1:76" ht="12.75" x14ac:dyDescent="0.2">
      <c r="A430" s="4" t="s">
        <v>525</v>
      </c>
      <c r="B430" s="4" t="s">
        <v>225</v>
      </c>
      <c r="C430" s="4" t="s">
        <v>1302</v>
      </c>
      <c r="D430" s="4">
        <v>2601</v>
      </c>
      <c r="E430" s="4" t="s">
        <v>9</v>
      </c>
      <c r="F430" s="4" t="s">
        <v>4</v>
      </c>
      <c r="G430" s="113">
        <v>0.25</v>
      </c>
      <c r="H430" t="s">
        <v>1781</v>
      </c>
      <c r="I430" s="4">
        <v>0.3</v>
      </c>
      <c r="L430" s="4" t="s">
        <v>1587</v>
      </c>
      <c r="M430" s="4" t="s">
        <v>109</v>
      </c>
      <c r="N430" s="4" t="s">
        <v>4</v>
      </c>
      <c r="O430" s="4"/>
      <c r="P430" s="4" t="s">
        <v>1693</v>
      </c>
      <c r="Q430" t="s">
        <v>109</v>
      </c>
      <c r="R430" s="4"/>
      <c r="S430" s="4"/>
      <c r="U430" s="4"/>
      <c r="Y430" s="4"/>
      <c r="Z430" s="4"/>
      <c r="AA430" s="4"/>
      <c r="AB430" s="4"/>
      <c r="AC430" s="4"/>
      <c r="AD430" s="4"/>
      <c r="AE430" s="4"/>
      <c r="AF430" s="4"/>
      <c r="AG430" s="4"/>
      <c r="AH430" s="4"/>
      <c r="AI430" s="4"/>
      <c r="AJ430" s="4"/>
      <c r="AK430" s="4"/>
      <c r="AL430" s="4"/>
      <c r="AP430" s="4"/>
      <c r="AX430" s="4"/>
      <c r="AY430" s="4"/>
      <c r="AZ430" s="4"/>
      <c r="BA430" s="4"/>
      <c r="BB430" s="4"/>
      <c r="BC430" s="4"/>
      <c r="BD430" s="4"/>
      <c r="BE430" s="4"/>
      <c r="BF430" s="4"/>
      <c r="BG430" s="4"/>
      <c r="BI430" s="4"/>
      <c r="BP430" s="4"/>
      <c r="BS430" s="4"/>
      <c r="BW430" s="4"/>
      <c r="BX430" s="4"/>
    </row>
    <row r="431" spans="1:76" ht="12.75" x14ac:dyDescent="0.2">
      <c r="A431" s="4" t="s">
        <v>525</v>
      </c>
      <c r="B431" s="4" t="s">
        <v>225</v>
      </c>
      <c r="C431" s="4" t="s">
        <v>590</v>
      </c>
      <c r="D431" s="4">
        <v>2601</v>
      </c>
      <c r="E431" s="4" t="s">
        <v>9</v>
      </c>
      <c r="F431" s="4" t="s">
        <v>4</v>
      </c>
      <c r="G431" s="113">
        <v>0.25</v>
      </c>
      <c r="H431" t="s">
        <v>1781</v>
      </c>
      <c r="I431" s="4">
        <v>0.3</v>
      </c>
      <c r="L431" s="4" t="s">
        <v>1584</v>
      </c>
      <c r="M431" s="4" t="s">
        <v>109</v>
      </c>
      <c r="N431" s="4" t="s">
        <v>4</v>
      </c>
      <c r="O431" s="4"/>
      <c r="P431" s="4" t="s">
        <v>1693</v>
      </c>
      <c r="Q431" t="s">
        <v>109</v>
      </c>
      <c r="R431" s="4"/>
      <c r="S431" s="4"/>
      <c r="U431" s="4"/>
      <c r="Y431" s="4"/>
      <c r="Z431" s="4"/>
      <c r="AA431" s="4"/>
      <c r="AB431" s="4"/>
      <c r="AC431" s="4"/>
      <c r="AD431" s="4"/>
      <c r="AE431" s="4"/>
      <c r="AF431" s="4"/>
      <c r="AG431" s="4"/>
      <c r="AH431" s="4"/>
      <c r="AI431" s="4"/>
      <c r="AJ431" s="4"/>
      <c r="AK431" s="4"/>
      <c r="AL431" s="4"/>
      <c r="AP431" s="4"/>
      <c r="AX431" s="4"/>
      <c r="AY431" s="4"/>
      <c r="AZ431" s="4"/>
      <c r="BA431" s="4"/>
      <c r="BB431" s="4"/>
      <c r="BC431" s="4"/>
      <c r="BD431" s="4"/>
      <c r="BE431" s="4"/>
      <c r="BF431" s="4"/>
      <c r="BG431" s="4"/>
      <c r="BI431" s="4"/>
      <c r="BP431" s="4"/>
      <c r="BS431" s="4"/>
      <c r="BW431" s="4"/>
      <c r="BX431" s="4"/>
    </row>
    <row r="432" spans="1:76" ht="12.75" x14ac:dyDescent="0.2">
      <c r="A432" s="4" t="s">
        <v>525</v>
      </c>
      <c r="B432" s="4" t="s">
        <v>225</v>
      </c>
      <c r="C432" s="4" t="s">
        <v>230</v>
      </c>
      <c r="D432" s="4">
        <v>2601</v>
      </c>
      <c r="E432" s="4" t="s">
        <v>9</v>
      </c>
      <c r="F432" s="4" t="s">
        <v>4</v>
      </c>
      <c r="G432" s="113">
        <v>0.25</v>
      </c>
      <c r="H432" t="s">
        <v>1781</v>
      </c>
      <c r="I432" s="4">
        <v>0.43</v>
      </c>
      <c r="L432" s="4" t="s">
        <v>1584</v>
      </c>
      <c r="M432" s="4" t="s">
        <v>109</v>
      </c>
      <c r="N432" s="4" t="s">
        <v>4</v>
      </c>
      <c r="O432" s="4"/>
      <c r="P432" s="4" t="s">
        <v>1693</v>
      </c>
      <c r="Q432" t="s">
        <v>109</v>
      </c>
      <c r="R432" s="4"/>
      <c r="S432" s="4"/>
      <c r="U432" s="4"/>
      <c r="Y432" s="4"/>
      <c r="Z432" s="4"/>
      <c r="AA432" s="4"/>
      <c r="AB432" s="4"/>
      <c r="AC432" s="4"/>
      <c r="AD432" s="4"/>
      <c r="AE432" s="4"/>
      <c r="AF432" s="4"/>
      <c r="AG432" s="4"/>
      <c r="AH432" s="4"/>
      <c r="AI432" s="4"/>
      <c r="AJ432" s="4"/>
      <c r="AK432" s="4"/>
      <c r="AL432" s="4"/>
      <c r="AP432" s="4"/>
      <c r="AX432" s="4"/>
      <c r="AY432" s="4"/>
      <c r="AZ432" s="4"/>
      <c r="BA432" s="4"/>
      <c r="BB432" s="4"/>
      <c r="BC432" s="4"/>
      <c r="BD432" s="4"/>
      <c r="BE432" s="4"/>
      <c r="BF432" s="4"/>
      <c r="BG432" s="4"/>
      <c r="BI432" s="4"/>
      <c r="BP432" s="4"/>
      <c r="BS432" s="4"/>
      <c r="BW432" s="4"/>
      <c r="BX432" s="4"/>
    </row>
    <row r="433" spans="1:76" ht="12.75" x14ac:dyDescent="0.2">
      <c r="A433" s="4" t="s">
        <v>503</v>
      </c>
      <c r="B433" s="4" t="s">
        <v>550</v>
      </c>
      <c r="C433" s="4" t="s">
        <v>230</v>
      </c>
      <c r="D433" s="4">
        <v>2601</v>
      </c>
      <c r="E433" s="4" t="s">
        <v>9</v>
      </c>
      <c r="F433" s="4" t="s">
        <v>4</v>
      </c>
      <c r="G433" s="113">
        <v>0.5</v>
      </c>
      <c r="H433" t="s">
        <v>1781</v>
      </c>
      <c r="I433" s="4">
        <v>0.44</v>
      </c>
      <c r="L433" s="4" t="s">
        <v>1593</v>
      </c>
      <c r="M433" s="4" t="s">
        <v>109</v>
      </c>
      <c r="N433" s="4" t="s">
        <v>4</v>
      </c>
      <c r="O433" s="4"/>
      <c r="P433" s="4" t="s">
        <v>1693</v>
      </c>
      <c r="Q433" t="s">
        <v>109</v>
      </c>
      <c r="R433" s="4"/>
      <c r="S433" s="4"/>
      <c r="U433" s="4"/>
      <c r="Y433" s="4"/>
      <c r="Z433" s="4"/>
      <c r="AA433" s="4"/>
      <c r="AB433" s="4"/>
      <c r="AC433" s="4"/>
      <c r="AD433" s="4"/>
      <c r="AE433" s="4"/>
      <c r="AF433" s="4"/>
      <c r="AG433" s="4"/>
      <c r="AH433" s="4"/>
      <c r="AI433" s="4"/>
      <c r="AJ433" s="4"/>
      <c r="AK433" s="4"/>
      <c r="AL433" s="4"/>
      <c r="AP433" s="4"/>
      <c r="AX433" s="4"/>
      <c r="AY433" s="4"/>
      <c r="AZ433" s="4"/>
      <c r="BA433" s="4"/>
      <c r="BB433" s="4"/>
      <c r="BC433" s="4"/>
      <c r="BD433" s="4"/>
      <c r="BE433" s="4"/>
      <c r="BF433" s="4"/>
      <c r="BG433" s="4"/>
      <c r="BI433" s="4"/>
      <c r="BP433" s="4"/>
      <c r="BS433" s="4"/>
      <c r="BW433" s="4"/>
      <c r="BX433" s="4"/>
    </row>
    <row r="434" spans="1:76" ht="12.75" x14ac:dyDescent="0.2">
      <c r="A434" s="4" t="s">
        <v>525</v>
      </c>
      <c r="B434" s="4" t="s">
        <v>225</v>
      </c>
      <c r="C434" s="4" t="s">
        <v>230</v>
      </c>
      <c r="D434" s="4">
        <v>2601</v>
      </c>
      <c r="E434" s="4" t="s">
        <v>9</v>
      </c>
      <c r="F434" s="4" t="s">
        <v>4</v>
      </c>
      <c r="G434" s="113">
        <v>0.25</v>
      </c>
      <c r="H434" t="s">
        <v>1781</v>
      </c>
      <c r="I434" s="4">
        <v>0.47</v>
      </c>
      <c r="L434" s="4" t="s">
        <v>1587</v>
      </c>
      <c r="M434" s="4" t="s">
        <v>109</v>
      </c>
      <c r="N434" s="4" t="s">
        <v>4</v>
      </c>
      <c r="O434" s="4"/>
      <c r="P434" s="4" t="s">
        <v>1693</v>
      </c>
      <c r="Q434" t="s">
        <v>109</v>
      </c>
      <c r="R434" s="4"/>
      <c r="S434" s="4"/>
      <c r="U434" s="4"/>
      <c r="Y434" s="4"/>
      <c r="Z434" s="4"/>
      <c r="AA434" s="4"/>
      <c r="AB434" s="4"/>
      <c r="AC434" s="4"/>
      <c r="AD434" s="4"/>
      <c r="AE434" s="4"/>
      <c r="AF434" s="4"/>
      <c r="AG434" s="4"/>
      <c r="AH434" s="4"/>
      <c r="AI434" s="4"/>
      <c r="AJ434" s="4"/>
      <c r="AK434" s="4"/>
      <c r="AL434" s="4"/>
      <c r="AP434" s="4"/>
      <c r="AX434" s="4"/>
      <c r="AY434" s="4"/>
      <c r="AZ434" s="4"/>
      <c r="BA434" s="4"/>
      <c r="BB434" s="4"/>
      <c r="BC434" s="4"/>
      <c r="BD434" s="4"/>
      <c r="BE434" s="4"/>
      <c r="BF434" s="4"/>
      <c r="BG434" s="4"/>
      <c r="BI434" s="4"/>
      <c r="BP434" s="4"/>
      <c r="BS434" s="4"/>
      <c r="BW434" s="4"/>
      <c r="BX434" s="4"/>
    </row>
    <row r="435" spans="1:76" ht="12.75" x14ac:dyDescent="0.2">
      <c r="A435" s="4" t="s">
        <v>503</v>
      </c>
      <c r="B435" s="4" t="s">
        <v>554</v>
      </c>
      <c r="C435" s="4" t="s">
        <v>230</v>
      </c>
      <c r="D435" s="4">
        <v>2601</v>
      </c>
      <c r="E435" s="4" t="s">
        <v>9</v>
      </c>
      <c r="F435" s="4" t="s">
        <v>4</v>
      </c>
      <c r="G435" s="113">
        <v>0.5</v>
      </c>
      <c r="H435" t="s">
        <v>1781</v>
      </c>
      <c r="I435" s="4">
        <v>0.78</v>
      </c>
      <c r="L435" s="4" t="s">
        <v>1593</v>
      </c>
      <c r="M435" s="4" t="s">
        <v>109</v>
      </c>
      <c r="N435" s="4" t="s">
        <v>4</v>
      </c>
      <c r="O435" s="4"/>
      <c r="P435" s="4" t="s">
        <v>1693</v>
      </c>
      <c r="Q435" t="s">
        <v>109</v>
      </c>
      <c r="R435" s="4"/>
      <c r="S435" s="4"/>
      <c r="U435" s="4"/>
      <c r="Y435" s="4"/>
      <c r="Z435" s="4"/>
      <c r="AA435" s="4"/>
      <c r="AB435" s="4"/>
      <c r="AC435" s="4"/>
      <c r="AD435" s="4"/>
      <c r="AE435" s="4"/>
      <c r="AF435" s="4"/>
      <c r="AG435" s="4"/>
      <c r="AH435" s="4"/>
      <c r="AI435" s="4"/>
      <c r="AJ435" s="4"/>
      <c r="AK435" s="4"/>
      <c r="AL435" s="4"/>
      <c r="AP435" s="4"/>
      <c r="AX435" s="4"/>
      <c r="AY435" s="4"/>
      <c r="AZ435" s="4"/>
      <c r="BA435" s="4"/>
      <c r="BB435" s="4"/>
      <c r="BC435" s="4"/>
      <c r="BD435" s="4"/>
      <c r="BE435" s="4"/>
      <c r="BF435" s="4"/>
      <c r="BG435" s="4"/>
      <c r="BI435" s="4"/>
      <c r="BP435" s="4"/>
      <c r="BS435" s="4"/>
      <c r="BW435" s="4"/>
      <c r="BX435" s="4"/>
    </row>
    <row r="436" spans="1:76" ht="12.75" x14ac:dyDescent="0.2">
      <c r="A436" s="4" t="s">
        <v>525</v>
      </c>
      <c r="B436" s="4" t="s">
        <v>540</v>
      </c>
      <c r="C436" s="4" t="s">
        <v>230</v>
      </c>
      <c r="D436" s="4">
        <v>2601</v>
      </c>
      <c r="E436" s="4" t="s">
        <v>9</v>
      </c>
      <c r="F436" s="4" t="s">
        <v>4</v>
      </c>
      <c r="G436" s="113">
        <v>0.5</v>
      </c>
      <c r="H436" t="s">
        <v>1781</v>
      </c>
      <c r="I436" s="4">
        <v>1.2849999999999999</v>
      </c>
      <c r="L436" s="4" t="s">
        <v>1585</v>
      </c>
      <c r="M436" s="4" t="s">
        <v>109</v>
      </c>
      <c r="N436" s="4" t="s">
        <v>4</v>
      </c>
      <c r="O436" s="4"/>
      <c r="P436" s="4" t="s">
        <v>1693</v>
      </c>
      <c r="Q436" t="s">
        <v>109</v>
      </c>
      <c r="R436" s="4"/>
      <c r="S436" s="4"/>
      <c r="U436" s="4"/>
      <c r="Y436" s="4"/>
      <c r="Z436" s="4"/>
      <c r="AA436" s="4"/>
      <c r="AB436" s="4"/>
      <c r="AC436" s="4"/>
      <c r="AD436" s="4"/>
      <c r="AE436" s="4"/>
      <c r="AF436" s="4"/>
      <c r="AG436" s="4"/>
      <c r="AH436" s="4"/>
      <c r="AI436" s="4"/>
      <c r="AJ436" s="4"/>
      <c r="AK436" s="4"/>
      <c r="AL436" s="4"/>
      <c r="AP436" s="4"/>
      <c r="AX436" s="4"/>
      <c r="AY436" s="4"/>
      <c r="AZ436" s="4"/>
      <c r="BA436" s="4"/>
      <c r="BB436" s="4"/>
      <c r="BC436" s="4"/>
      <c r="BD436" s="4"/>
      <c r="BE436" s="4"/>
      <c r="BF436" s="4"/>
      <c r="BG436" s="4"/>
      <c r="BI436" s="4"/>
      <c r="BP436" s="4"/>
      <c r="BS436" s="4"/>
      <c r="BW436" s="4"/>
      <c r="BX436" s="4"/>
    </row>
    <row r="437" spans="1:76" ht="12.75" x14ac:dyDescent="0.2">
      <c r="A437" s="4" t="s">
        <v>525</v>
      </c>
      <c r="B437" s="4" t="s">
        <v>225</v>
      </c>
      <c r="C437" s="4" t="s">
        <v>230</v>
      </c>
      <c r="D437" s="4">
        <v>2601</v>
      </c>
      <c r="E437" s="4" t="s">
        <v>9</v>
      </c>
      <c r="F437" s="4" t="s">
        <v>4</v>
      </c>
      <c r="G437" s="113">
        <v>0.25</v>
      </c>
      <c r="H437" t="s">
        <v>1781</v>
      </c>
      <c r="I437" s="4">
        <v>1.8599999999999999</v>
      </c>
      <c r="L437" s="4" t="s">
        <v>1584</v>
      </c>
      <c r="M437" s="4" t="s">
        <v>109</v>
      </c>
      <c r="N437" s="4" t="s">
        <v>4</v>
      </c>
      <c r="O437" s="4"/>
      <c r="P437" s="4" t="s">
        <v>1693</v>
      </c>
      <c r="Q437" t="s">
        <v>109</v>
      </c>
      <c r="R437" s="4"/>
      <c r="S437" s="4"/>
      <c r="U437" s="4"/>
      <c r="Y437" s="4"/>
      <c r="Z437" s="4"/>
      <c r="AA437" s="4"/>
      <c r="AB437" s="4"/>
      <c r="AC437" s="4"/>
      <c r="AD437" s="4"/>
      <c r="AE437" s="4"/>
      <c r="AF437" s="4"/>
      <c r="AG437" s="4"/>
      <c r="AH437" s="4"/>
      <c r="AI437" s="4"/>
      <c r="AJ437" s="4"/>
      <c r="AK437" s="4"/>
      <c r="AL437" s="4"/>
      <c r="AP437" s="4"/>
      <c r="AX437" s="4"/>
      <c r="AY437" s="4"/>
      <c r="AZ437" s="4"/>
      <c r="BA437" s="4"/>
      <c r="BB437" s="4"/>
      <c r="BC437" s="4"/>
      <c r="BD437" s="4"/>
      <c r="BE437" s="4"/>
      <c r="BF437" s="4"/>
      <c r="BG437" s="4"/>
      <c r="BI437" s="4"/>
      <c r="BP437" s="4"/>
      <c r="BS437" s="4"/>
      <c r="BW437" s="4"/>
      <c r="BX437" s="4"/>
    </row>
    <row r="438" spans="1:76" ht="12.75" x14ac:dyDescent="0.2">
      <c r="A438" s="4" t="s">
        <v>525</v>
      </c>
      <c r="B438" s="4" t="s">
        <v>225</v>
      </c>
      <c r="C438" s="4" t="s">
        <v>230</v>
      </c>
      <c r="D438" s="4">
        <v>2601</v>
      </c>
      <c r="E438" s="4" t="s">
        <v>9</v>
      </c>
      <c r="F438" s="4" t="s">
        <v>4</v>
      </c>
      <c r="G438" s="113">
        <v>0.25</v>
      </c>
      <c r="H438" t="s">
        <v>1781</v>
      </c>
      <c r="I438" s="4">
        <v>1.89</v>
      </c>
      <c r="L438" s="4" t="s">
        <v>1587</v>
      </c>
      <c r="M438" s="4" t="s">
        <v>109</v>
      </c>
      <c r="N438" s="4" t="s">
        <v>4</v>
      </c>
      <c r="O438" s="4"/>
      <c r="P438" s="4" t="s">
        <v>1693</v>
      </c>
      <c r="Q438" t="s">
        <v>109</v>
      </c>
      <c r="R438" s="4"/>
      <c r="S438" s="4"/>
      <c r="U438" s="4"/>
      <c r="Y438" s="4"/>
      <c r="Z438" s="4"/>
      <c r="AA438" s="4"/>
      <c r="AB438" s="4"/>
      <c r="AC438" s="4"/>
      <c r="AD438" s="4"/>
      <c r="AE438" s="4"/>
      <c r="AF438" s="4"/>
      <c r="AG438" s="4"/>
      <c r="AH438" s="4"/>
      <c r="AI438" s="4"/>
      <c r="AJ438" s="4"/>
      <c r="AK438" s="4"/>
      <c r="AL438" s="4"/>
      <c r="AP438" s="4"/>
      <c r="AX438" s="4"/>
      <c r="AY438" s="4"/>
      <c r="AZ438" s="4"/>
      <c r="BA438" s="4"/>
      <c r="BB438" s="4"/>
      <c r="BC438" s="4"/>
      <c r="BD438" s="4"/>
      <c r="BE438" s="4"/>
      <c r="BF438" s="4"/>
      <c r="BG438" s="4"/>
      <c r="BI438" s="4"/>
      <c r="BP438" s="4"/>
      <c r="BS438" s="4"/>
      <c r="BW438" s="4"/>
      <c r="BX438" s="4"/>
    </row>
    <row r="439" spans="1:76" ht="12.75" x14ac:dyDescent="0.2">
      <c r="A439" s="4" t="s">
        <v>503</v>
      </c>
      <c r="B439" s="4" t="s">
        <v>1373</v>
      </c>
      <c r="C439" s="4" t="s">
        <v>230</v>
      </c>
      <c r="D439" s="4">
        <v>2601</v>
      </c>
      <c r="E439" s="4" t="s">
        <v>9</v>
      </c>
      <c r="F439" s="4" t="s">
        <v>4</v>
      </c>
      <c r="G439" s="113">
        <v>1</v>
      </c>
      <c r="H439" t="s">
        <v>1781</v>
      </c>
      <c r="I439" s="4">
        <v>1.9279999999999999</v>
      </c>
      <c r="L439" s="4" t="s">
        <v>1588</v>
      </c>
      <c r="M439" s="4" t="s">
        <v>109</v>
      </c>
      <c r="N439" s="4" t="s">
        <v>4</v>
      </c>
      <c r="O439" s="4"/>
      <c r="P439" s="4" t="s">
        <v>1693</v>
      </c>
      <c r="Q439" t="s">
        <v>109</v>
      </c>
      <c r="R439" s="4"/>
      <c r="S439" s="4"/>
      <c r="U439" s="4"/>
      <c r="Y439" s="4"/>
      <c r="Z439" s="4"/>
      <c r="AA439" s="4"/>
      <c r="AB439" s="4"/>
      <c r="AC439" s="4"/>
      <c r="AD439" s="4"/>
      <c r="AE439" s="4"/>
      <c r="AF439" s="4"/>
      <c r="AG439" s="4"/>
      <c r="AH439" s="4"/>
      <c r="AI439" s="4"/>
      <c r="AJ439" s="4"/>
      <c r="AK439" s="4"/>
      <c r="AL439" s="4"/>
      <c r="AP439" s="4"/>
      <c r="AX439" s="4"/>
      <c r="AY439" s="4"/>
      <c r="AZ439" s="4"/>
      <c r="BA439" s="4"/>
      <c r="BB439" s="4"/>
      <c r="BC439" s="4"/>
      <c r="BD439" s="4"/>
      <c r="BE439" s="4"/>
      <c r="BF439" s="4"/>
      <c r="BG439" s="4"/>
      <c r="BI439" s="4"/>
      <c r="BP439" s="4"/>
      <c r="BS439" s="4"/>
      <c r="BW439" s="4"/>
      <c r="BX439" s="4"/>
    </row>
    <row r="440" spans="1:76" ht="12.75" x14ac:dyDescent="0.2">
      <c r="A440" s="4" t="s">
        <v>503</v>
      </c>
      <c r="B440" s="4" t="s">
        <v>554</v>
      </c>
      <c r="C440" s="4" t="s">
        <v>230</v>
      </c>
      <c r="D440" s="4">
        <v>2601</v>
      </c>
      <c r="E440" s="4" t="s">
        <v>9</v>
      </c>
      <c r="F440" s="4" t="s">
        <v>4</v>
      </c>
      <c r="G440" s="113">
        <v>0.5</v>
      </c>
      <c r="H440" t="s">
        <v>1781</v>
      </c>
      <c r="I440" s="4">
        <v>2</v>
      </c>
      <c r="L440" s="4" t="s">
        <v>1593</v>
      </c>
      <c r="M440" s="4" t="s">
        <v>109</v>
      </c>
      <c r="N440" s="4" t="s">
        <v>4</v>
      </c>
      <c r="O440" s="4"/>
      <c r="P440" s="4" t="s">
        <v>1693</v>
      </c>
      <c r="Q440" t="s">
        <v>109</v>
      </c>
      <c r="R440" s="4"/>
      <c r="S440" s="4"/>
      <c r="U440" s="4"/>
      <c r="Y440" s="4"/>
      <c r="Z440" s="4"/>
      <c r="AA440" s="4"/>
      <c r="AB440" s="4"/>
      <c r="AC440" s="4"/>
      <c r="AD440" s="4"/>
      <c r="AE440" s="4"/>
      <c r="AF440" s="4"/>
      <c r="AG440" s="4"/>
      <c r="AH440" s="4"/>
      <c r="AI440" s="4"/>
      <c r="AJ440" s="4"/>
      <c r="AK440" s="4"/>
      <c r="AL440" s="4"/>
      <c r="AP440" s="4"/>
      <c r="AX440" s="4"/>
      <c r="AY440" s="4"/>
      <c r="AZ440" s="4"/>
      <c r="BA440" s="4"/>
      <c r="BB440" s="4"/>
      <c r="BC440" s="4"/>
      <c r="BD440" s="4"/>
      <c r="BE440" s="4"/>
      <c r="BF440" s="4"/>
      <c r="BG440" s="4"/>
      <c r="BI440" s="4"/>
      <c r="BP440" s="4"/>
      <c r="BS440" s="4"/>
      <c r="BW440" s="4"/>
      <c r="BX440" s="4"/>
    </row>
    <row r="441" spans="1:76" ht="12.75" x14ac:dyDescent="0.2">
      <c r="A441" s="4" t="s">
        <v>525</v>
      </c>
      <c r="B441" s="4" t="s">
        <v>225</v>
      </c>
      <c r="C441" s="4" t="s">
        <v>230</v>
      </c>
      <c r="D441" s="4">
        <v>2601</v>
      </c>
      <c r="E441" s="4" t="s">
        <v>9</v>
      </c>
      <c r="F441" s="4" t="s">
        <v>4</v>
      </c>
      <c r="G441" s="113">
        <v>0.25</v>
      </c>
      <c r="H441" t="s">
        <v>1781</v>
      </c>
      <c r="I441" s="4">
        <v>2.0100000000000002</v>
      </c>
      <c r="L441" s="4" t="s">
        <v>1584</v>
      </c>
      <c r="M441" s="4" t="s">
        <v>109</v>
      </c>
      <c r="N441" s="4" t="s">
        <v>4</v>
      </c>
      <c r="O441" s="4"/>
      <c r="P441" s="4" t="s">
        <v>1693</v>
      </c>
      <c r="Q441" t="s">
        <v>109</v>
      </c>
      <c r="R441" s="4"/>
      <c r="S441" s="4"/>
      <c r="U441" s="4"/>
      <c r="Y441" s="4"/>
      <c r="Z441" s="4"/>
      <c r="AA441" s="4"/>
      <c r="AB441" s="4"/>
      <c r="AC441" s="4"/>
      <c r="AD441" s="4"/>
      <c r="AE441" s="4"/>
      <c r="AF441" s="4"/>
      <c r="AG441" s="4"/>
      <c r="AH441" s="4"/>
      <c r="AI441" s="4"/>
      <c r="AJ441" s="4"/>
      <c r="AK441" s="4"/>
      <c r="AL441" s="4"/>
      <c r="AP441" s="4"/>
      <c r="AX441" s="4"/>
      <c r="AY441" s="4"/>
      <c r="AZ441" s="4"/>
      <c r="BA441" s="4"/>
      <c r="BB441" s="4"/>
      <c r="BC441" s="4"/>
      <c r="BD441" s="4"/>
      <c r="BE441" s="4"/>
      <c r="BF441" s="4"/>
      <c r="BG441" s="4"/>
      <c r="BI441" s="4"/>
      <c r="BP441" s="4"/>
      <c r="BS441" s="4"/>
      <c r="BW441" s="4"/>
      <c r="BX441" s="4"/>
    </row>
    <row r="442" spans="1:76" ht="12.75" x14ac:dyDescent="0.2">
      <c r="A442" s="4" t="s">
        <v>525</v>
      </c>
      <c r="B442" s="4" t="s">
        <v>225</v>
      </c>
      <c r="C442" s="4" t="s">
        <v>230</v>
      </c>
      <c r="D442" s="4">
        <v>2601</v>
      </c>
      <c r="E442" s="4" t="s">
        <v>9</v>
      </c>
      <c r="F442" s="4" t="s">
        <v>4</v>
      </c>
      <c r="G442" s="113">
        <v>0.25</v>
      </c>
      <c r="H442" t="s">
        <v>1781</v>
      </c>
      <c r="I442" s="4">
        <v>2.0499999999999998</v>
      </c>
      <c r="L442" s="4" t="s">
        <v>1587</v>
      </c>
      <c r="M442" s="4" t="s">
        <v>109</v>
      </c>
      <c r="N442" s="4" t="s">
        <v>4</v>
      </c>
      <c r="O442" s="4"/>
      <c r="P442" s="4" t="s">
        <v>1693</v>
      </c>
      <c r="Q442" t="s">
        <v>109</v>
      </c>
      <c r="R442" s="4"/>
      <c r="S442" s="4"/>
      <c r="U442" s="4"/>
      <c r="Y442" s="4"/>
      <c r="Z442" s="4"/>
      <c r="AA442" s="4"/>
      <c r="AB442" s="4"/>
      <c r="AC442" s="4"/>
      <c r="AD442" s="4"/>
      <c r="AE442" s="4"/>
      <c r="AF442" s="4"/>
      <c r="AG442" s="4"/>
      <c r="AH442" s="4"/>
      <c r="AI442" s="4"/>
      <c r="AJ442" s="4"/>
      <c r="AK442" s="4"/>
      <c r="AL442" s="4"/>
      <c r="AP442" s="4"/>
      <c r="AX442" s="4"/>
      <c r="AY442" s="4"/>
      <c r="AZ442" s="4"/>
      <c r="BA442" s="4"/>
      <c r="BB442" s="4"/>
      <c r="BC442" s="4"/>
      <c r="BD442" s="4"/>
      <c r="BE442" s="4"/>
      <c r="BF442" s="4"/>
      <c r="BG442" s="4"/>
      <c r="BI442" s="4"/>
      <c r="BP442" s="4"/>
      <c r="BS442" s="4"/>
      <c r="BW442" s="4"/>
      <c r="BX442" s="4"/>
    </row>
    <row r="443" spans="1:76" ht="12.75" x14ac:dyDescent="0.2">
      <c r="A443" s="4" t="s">
        <v>503</v>
      </c>
      <c r="B443" s="4" t="s">
        <v>550</v>
      </c>
      <c r="C443" s="4" t="s">
        <v>230</v>
      </c>
      <c r="D443" s="4">
        <v>2601</v>
      </c>
      <c r="E443" s="4" t="s">
        <v>9</v>
      </c>
      <c r="F443" s="4" t="s">
        <v>4</v>
      </c>
      <c r="G443" s="113">
        <v>0.5</v>
      </c>
      <c r="H443" t="s">
        <v>1781</v>
      </c>
      <c r="I443" s="4">
        <v>5</v>
      </c>
      <c r="L443" s="4" t="s">
        <v>1593</v>
      </c>
      <c r="M443" s="4" t="s">
        <v>109</v>
      </c>
      <c r="N443" s="4" t="s">
        <v>4</v>
      </c>
      <c r="O443" s="4"/>
      <c r="P443" s="4" t="s">
        <v>1693</v>
      </c>
      <c r="Q443" t="s">
        <v>109</v>
      </c>
      <c r="R443" s="4"/>
      <c r="S443" s="4"/>
      <c r="U443" s="4"/>
      <c r="Y443" s="4"/>
      <c r="Z443" s="4"/>
      <c r="AA443" s="4"/>
      <c r="AB443" s="4"/>
      <c r="AC443" s="4"/>
      <c r="AD443" s="4"/>
      <c r="AE443" s="4"/>
      <c r="AF443" s="4"/>
      <c r="AG443" s="4"/>
      <c r="AH443" s="4"/>
      <c r="AI443" s="4"/>
      <c r="AJ443" s="4"/>
      <c r="AK443" s="4"/>
      <c r="AL443" s="4"/>
      <c r="AP443" s="4"/>
      <c r="AX443" s="4"/>
      <c r="AY443" s="4"/>
      <c r="AZ443" s="4"/>
      <c r="BA443" s="4"/>
      <c r="BB443" s="4"/>
      <c r="BC443" s="4"/>
      <c r="BD443" s="4"/>
      <c r="BE443" s="4"/>
      <c r="BF443" s="4"/>
      <c r="BG443" s="4"/>
      <c r="BI443" s="4"/>
      <c r="BP443" s="4"/>
      <c r="BS443" s="4"/>
      <c r="BW443" s="4"/>
      <c r="BX443" s="4"/>
    </row>
    <row r="444" spans="1:76" ht="12.75" x14ac:dyDescent="0.2">
      <c r="A444" s="4" t="s">
        <v>344</v>
      </c>
      <c r="B444" s="4" t="s">
        <v>345</v>
      </c>
      <c r="C444" s="4" t="s">
        <v>111</v>
      </c>
      <c r="D444" s="4">
        <v>2602</v>
      </c>
      <c r="E444" s="4" t="s">
        <v>15</v>
      </c>
      <c r="F444" s="4" t="s">
        <v>4</v>
      </c>
      <c r="G444" s="113">
        <v>0.5</v>
      </c>
      <c r="H444" t="s">
        <v>1781</v>
      </c>
      <c r="I444" s="4">
        <v>8.3000000000000004E-2</v>
      </c>
      <c r="L444" s="4" t="s">
        <v>1542</v>
      </c>
      <c r="M444" s="4" t="s">
        <v>109</v>
      </c>
      <c r="N444" s="4" t="s">
        <v>4</v>
      </c>
      <c r="O444" s="4"/>
      <c r="P444" s="4" t="s">
        <v>1693</v>
      </c>
      <c r="Q444" t="s">
        <v>109</v>
      </c>
      <c r="R444" s="4"/>
      <c r="S444" s="4"/>
      <c r="U444" s="4"/>
      <c r="Y444" s="4"/>
      <c r="Z444" s="4"/>
      <c r="AA444" s="4"/>
      <c r="AB444" s="4"/>
      <c r="AC444" s="4"/>
      <c r="AD444" s="4"/>
      <c r="AE444" s="4"/>
      <c r="AF444" s="4"/>
      <c r="AG444" s="4"/>
      <c r="AH444" s="4"/>
      <c r="AI444" s="4"/>
      <c r="AJ444" s="4"/>
      <c r="AK444" s="4"/>
      <c r="AL444" s="4"/>
      <c r="AP444" s="4"/>
      <c r="AX444" s="4"/>
      <c r="AY444" s="4"/>
      <c r="AZ444" s="4"/>
      <c r="BA444" s="4"/>
      <c r="BB444" s="4"/>
      <c r="BC444" s="4"/>
      <c r="BD444" s="4"/>
      <c r="BE444" s="4"/>
      <c r="BF444" s="4"/>
      <c r="BG444" s="4"/>
      <c r="BI444" s="4"/>
      <c r="BP444" s="4"/>
      <c r="BS444" s="4"/>
      <c r="BW444" s="4"/>
      <c r="BX444" s="4"/>
    </row>
    <row r="445" spans="1:76" ht="12.75" x14ac:dyDescent="0.2">
      <c r="A445" s="4" t="s">
        <v>344</v>
      </c>
      <c r="B445" s="4" t="s">
        <v>345</v>
      </c>
      <c r="C445" s="4" t="s">
        <v>101</v>
      </c>
      <c r="D445" s="4">
        <v>2602</v>
      </c>
      <c r="E445" s="4" t="s">
        <v>15</v>
      </c>
      <c r="F445" s="4" t="s">
        <v>4</v>
      </c>
      <c r="G445" s="113">
        <v>0.5</v>
      </c>
      <c r="H445" t="s">
        <v>1781</v>
      </c>
      <c r="I445" s="4">
        <v>0.1</v>
      </c>
      <c r="L445" s="4" t="s">
        <v>1542</v>
      </c>
      <c r="M445" s="4" t="s">
        <v>109</v>
      </c>
      <c r="N445" s="4" t="s">
        <v>4</v>
      </c>
      <c r="O445" s="4"/>
      <c r="P445" s="4" t="s">
        <v>1693</v>
      </c>
      <c r="Q445" t="s">
        <v>109</v>
      </c>
      <c r="R445" s="4"/>
      <c r="S445" s="4"/>
      <c r="U445" s="4"/>
      <c r="Y445" s="4"/>
      <c r="Z445" s="4"/>
      <c r="AA445" s="4"/>
      <c r="AB445" s="4"/>
      <c r="AC445" s="4"/>
      <c r="AD445" s="4"/>
      <c r="AE445" s="4"/>
      <c r="AF445" s="4"/>
      <c r="AG445" s="4"/>
      <c r="AH445" s="4"/>
      <c r="AI445" s="4"/>
      <c r="AJ445" s="4"/>
      <c r="AK445" s="4"/>
      <c r="AL445" s="4"/>
      <c r="AP445" s="4"/>
      <c r="AX445" s="4"/>
      <c r="AY445" s="4"/>
      <c r="AZ445" s="4"/>
      <c r="BA445" s="4"/>
      <c r="BB445" s="4"/>
      <c r="BC445" s="4"/>
      <c r="BD445" s="4"/>
      <c r="BE445" s="4"/>
      <c r="BF445" s="4"/>
      <c r="BG445" s="4"/>
      <c r="BI445" s="4"/>
      <c r="BP445" s="4"/>
      <c r="BS445" s="4"/>
      <c r="BW445" s="4"/>
      <c r="BX445" s="4"/>
    </row>
    <row r="446" spans="1:76" ht="12.75" x14ac:dyDescent="0.2">
      <c r="A446" s="4" t="s">
        <v>344</v>
      </c>
      <c r="B446" s="4" t="s">
        <v>225</v>
      </c>
      <c r="C446" s="4" t="s">
        <v>111</v>
      </c>
      <c r="D446" s="4">
        <v>2602</v>
      </c>
      <c r="E446" s="4" t="s">
        <v>15</v>
      </c>
      <c r="F446" s="4" t="s">
        <v>4</v>
      </c>
      <c r="G446" s="113">
        <v>1</v>
      </c>
      <c r="H446" t="s">
        <v>1781</v>
      </c>
      <c r="I446" s="4">
        <v>0.21</v>
      </c>
      <c r="L446" s="4" t="s">
        <v>1563</v>
      </c>
      <c r="M446" s="4" t="s">
        <v>109</v>
      </c>
      <c r="N446" s="4" t="s">
        <v>4</v>
      </c>
      <c r="O446" s="4"/>
      <c r="P446" s="4" t="s">
        <v>1693</v>
      </c>
      <c r="Q446" t="s">
        <v>109</v>
      </c>
      <c r="R446" s="4"/>
      <c r="S446" s="4"/>
      <c r="U446" s="4"/>
      <c r="Y446" s="4"/>
      <c r="Z446" s="4"/>
      <c r="AA446" s="4"/>
      <c r="AB446" s="4"/>
      <c r="AC446" s="4"/>
      <c r="AD446" s="4"/>
      <c r="AE446" s="4"/>
      <c r="AF446" s="4"/>
      <c r="AG446" s="4"/>
      <c r="AH446" s="4"/>
      <c r="AI446" s="4"/>
      <c r="AJ446" s="4"/>
      <c r="AK446" s="4"/>
      <c r="AL446" s="4"/>
      <c r="AP446" s="4"/>
      <c r="AX446" s="4"/>
      <c r="AY446" s="4"/>
      <c r="AZ446" s="4"/>
      <c r="BA446" s="4"/>
      <c r="BB446" s="4"/>
      <c r="BC446" s="4"/>
      <c r="BD446" s="4"/>
      <c r="BE446" s="4"/>
      <c r="BF446" s="4"/>
      <c r="BG446" s="4"/>
      <c r="BI446" s="4"/>
      <c r="BP446" s="4"/>
      <c r="BS446" s="4"/>
      <c r="BW446" s="4"/>
      <c r="BX446" s="4"/>
    </row>
    <row r="447" spans="1:76" ht="12.75" x14ac:dyDescent="0.2">
      <c r="A447" s="4" t="s">
        <v>1330</v>
      </c>
      <c r="B447" s="4" t="s">
        <v>345</v>
      </c>
      <c r="C447" s="4" t="s">
        <v>101</v>
      </c>
      <c r="D447" s="4">
        <v>2605</v>
      </c>
      <c r="E447" s="4" t="s">
        <v>3</v>
      </c>
      <c r="F447" s="4" t="s">
        <v>4</v>
      </c>
      <c r="G447" s="113">
        <v>0.5</v>
      </c>
      <c r="H447" t="s">
        <v>1781</v>
      </c>
      <c r="I447" s="4">
        <v>4.1000000000000002E-2</v>
      </c>
      <c r="L447" s="4" t="s">
        <v>1542</v>
      </c>
      <c r="M447" s="4" t="s">
        <v>109</v>
      </c>
      <c r="N447" s="4" t="s">
        <v>4</v>
      </c>
      <c r="O447" s="4"/>
      <c r="P447" s="4" t="s">
        <v>1693</v>
      </c>
      <c r="Q447" t="s">
        <v>109</v>
      </c>
      <c r="R447" s="4"/>
      <c r="S447" s="4"/>
      <c r="U447" s="4"/>
      <c r="Y447" s="4"/>
      <c r="Z447" s="4"/>
      <c r="AA447" s="4"/>
      <c r="AB447" s="4"/>
      <c r="AC447" s="4"/>
      <c r="AD447" s="4"/>
      <c r="AE447" s="4"/>
      <c r="AF447" s="4"/>
      <c r="AG447" s="4"/>
      <c r="AH447" s="4"/>
      <c r="AI447" s="4"/>
      <c r="AJ447" s="4"/>
      <c r="AK447" s="4"/>
      <c r="AL447" s="4"/>
      <c r="AP447" s="4"/>
      <c r="AX447" s="4"/>
      <c r="AY447" s="4"/>
      <c r="AZ447" s="4"/>
      <c r="BA447" s="4"/>
      <c r="BB447" s="4"/>
      <c r="BC447" s="4"/>
      <c r="BD447" s="4"/>
      <c r="BE447" s="4"/>
      <c r="BF447" s="4"/>
      <c r="BG447" s="4"/>
      <c r="BI447" s="4"/>
      <c r="BP447" s="4"/>
      <c r="BS447" s="4"/>
      <c r="BW447" s="4"/>
      <c r="BX447" s="4"/>
    </row>
    <row r="448" spans="1:76" ht="12.75" x14ac:dyDescent="0.2">
      <c r="A448" s="4" t="s">
        <v>565</v>
      </c>
      <c r="B448" s="4" t="s">
        <v>566</v>
      </c>
      <c r="C448" s="4" t="s">
        <v>101</v>
      </c>
      <c r="D448" s="4">
        <v>2605</v>
      </c>
      <c r="E448" s="4" t="s">
        <v>3</v>
      </c>
      <c r="F448" s="4" t="s">
        <v>4</v>
      </c>
      <c r="G448" s="113">
        <v>0.5</v>
      </c>
      <c r="H448" t="s">
        <v>1781</v>
      </c>
      <c r="I448" s="4">
        <v>4.3499999999999997E-2</v>
      </c>
      <c r="L448" s="4" t="s">
        <v>1594</v>
      </c>
      <c r="M448" s="4" t="s">
        <v>109</v>
      </c>
      <c r="N448" s="4" t="s">
        <v>4</v>
      </c>
      <c r="O448" s="4"/>
      <c r="P448" s="4" t="s">
        <v>1693</v>
      </c>
      <c r="Q448" t="s">
        <v>109</v>
      </c>
      <c r="R448" s="4"/>
      <c r="S448" s="4"/>
      <c r="U448" s="4"/>
      <c r="Y448" s="4"/>
      <c r="Z448" s="4"/>
      <c r="AA448" s="4"/>
      <c r="AB448" s="4"/>
      <c r="AC448" s="4"/>
      <c r="AD448" s="4"/>
      <c r="AE448" s="4"/>
      <c r="AF448" s="4"/>
      <c r="AG448" s="4"/>
      <c r="AH448" s="4"/>
      <c r="AI448" s="4"/>
      <c r="AJ448" s="4"/>
      <c r="AK448" s="4"/>
      <c r="AL448" s="4"/>
      <c r="AP448" s="4"/>
      <c r="AX448" s="4"/>
      <c r="AY448" s="4"/>
      <c r="AZ448" s="4"/>
      <c r="BA448" s="4"/>
      <c r="BB448" s="4"/>
      <c r="BC448" s="4"/>
      <c r="BD448" s="4"/>
      <c r="BE448" s="4"/>
      <c r="BF448" s="4"/>
      <c r="BG448" s="4"/>
      <c r="BI448" s="4"/>
      <c r="BP448" s="4"/>
      <c r="BS448" s="4"/>
      <c r="BW448" s="4"/>
      <c r="BX448" s="4"/>
    </row>
    <row r="449" spans="1:76" ht="12.75" x14ac:dyDescent="0.2">
      <c r="A449" s="4" t="s">
        <v>569</v>
      </c>
      <c r="B449" s="4" t="s">
        <v>225</v>
      </c>
      <c r="C449" s="4" t="s">
        <v>111</v>
      </c>
      <c r="D449" s="4">
        <v>2605</v>
      </c>
      <c r="E449" s="4" t="s">
        <v>3</v>
      </c>
      <c r="F449" s="4" t="s">
        <v>4</v>
      </c>
      <c r="G449" s="113">
        <v>1</v>
      </c>
      <c r="H449" t="s">
        <v>1781</v>
      </c>
      <c r="I449" s="4">
        <v>0.06</v>
      </c>
      <c r="L449" s="4" t="s">
        <v>1563</v>
      </c>
      <c r="M449" s="4" t="s">
        <v>109</v>
      </c>
      <c r="N449" s="4" t="s">
        <v>4</v>
      </c>
      <c r="O449" s="4"/>
      <c r="P449" s="4" t="s">
        <v>1693</v>
      </c>
      <c r="Q449" t="s">
        <v>109</v>
      </c>
      <c r="R449" s="4"/>
      <c r="S449" s="4"/>
      <c r="U449" s="4"/>
      <c r="Y449" s="4"/>
      <c r="Z449" s="4"/>
      <c r="AA449" s="4"/>
      <c r="AB449" s="4"/>
      <c r="AC449" s="4"/>
      <c r="AD449" s="4"/>
      <c r="AE449" s="4"/>
      <c r="AF449" s="4"/>
      <c r="AG449" s="4"/>
      <c r="AH449" s="4"/>
      <c r="AI449" s="4"/>
      <c r="AJ449" s="4"/>
      <c r="AK449" s="4"/>
      <c r="AL449" s="4"/>
      <c r="AP449" s="4"/>
      <c r="AX449" s="4"/>
      <c r="AY449" s="4"/>
      <c r="AZ449" s="4"/>
      <c r="BA449" s="4"/>
      <c r="BB449" s="4"/>
      <c r="BC449" s="4"/>
      <c r="BD449" s="4"/>
      <c r="BE449" s="4"/>
      <c r="BF449" s="4"/>
      <c r="BG449" s="4"/>
      <c r="BI449" s="4"/>
      <c r="BP449" s="4"/>
      <c r="BS449" s="4"/>
      <c r="BW449" s="4"/>
      <c r="BX449" s="4"/>
    </row>
    <row r="450" spans="1:76" ht="12.75" x14ac:dyDescent="0.2">
      <c r="A450" s="4" t="s">
        <v>565</v>
      </c>
      <c r="B450" s="4" t="s">
        <v>566</v>
      </c>
      <c r="C450" s="4" t="s">
        <v>111</v>
      </c>
      <c r="D450" s="4">
        <v>2605</v>
      </c>
      <c r="E450" s="4" t="s">
        <v>3</v>
      </c>
      <c r="F450" s="4" t="s">
        <v>4</v>
      </c>
      <c r="G450" s="113">
        <v>0.5</v>
      </c>
      <c r="H450" t="s">
        <v>1781</v>
      </c>
      <c r="I450" s="4">
        <v>9.4399999999999998E-2</v>
      </c>
      <c r="L450" s="4" t="s">
        <v>1594</v>
      </c>
      <c r="M450" s="4" t="s">
        <v>109</v>
      </c>
      <c r="N450" s="4" t="s">
        <v>4</v>
      </c>
      <c r="O450" s="4"/>
      <c r="P450" s="4" t="s">
        <v>1693</v>
      </c>
      <c r="Q450" t="s">
        <v>109</v>
      </c>
      <c r="R450" s="4"/>
      <c r="S450" s="4"/>
      <c r="U450" s="4"/>
      <c r="Y450" s="4"/>
      <c r="Z450" s="4"/>
      <c r="AA450" s="4"/>
      <c r="AB450" s="4"/>
      <c r="AC450" s="4"/>
      <c r="AD450" s="4"/>
      <c r="AE450" s="4"/>
      <c r="AF450" s="4"/>
      <c r="AG450" s="4"/>
      <c r="AH450" s="4"/>
      <c r="AI450" s="4"/>
      <c r="AJ450" s="4"/>
      <c r="AK450" s="4"/>
      <c r="AL450" s="4"/>
      <c r="AP450" s="4"/>
      <c r="AX450" s="4"/>
      <c r="AY450" s="4"/>
      <c r="AZ450" s="4"/>
      <c r="BA450" s="4"/>
      <c r="BB450" s="4"/>
      <c r="BC450" s="4"/>
      <c r="BD450" s="4"/>
      <c r="BE450" s="4"/>
      <c r="BF450" s="4"/>
      <c r="BG450" s="4"/>
      <c r="BI450" s="4"/>
      <c r="BP450" s="4"/>
      <c r="BS450" s="4"/>
      <c r="BW450" s="4"/>
      <c r="BX450" s="4"/>
    </row>
    <row r="451" spans="1:76" ht="12.75" x14ac:dyDescent="0.2">
      <c r="A451" s="4" t="s">
        <v>589</v>
      </c>
      <c r="B451" s="4" t="s">
        <v>77</v>
      </c>
      <c r="C451" s="4" t="s">
        <v>596</v>
      </c>
      <c r="D451" s="4">
        <v>2605</v>
      </c>
      <c r="E451" s="4" t="s">
        <v>3</v>
      </c>
      <c r="F451" s="4" t="s">
        <v>4</v>
      </c>
      <c r="G451" s="113">
        <v>0.33333333333333331</v>
      </c>
      <c r="H451" t="s">
        <v>1781</v>
      </c>
      <c r="I451" s="4">
        <v>9.9000000000000005E-2</v>
      </c>
      <c r="L451" s="4" t="s">
        <v>1595</v>
      </c>
      <c r="M451" s="4" t="s">
        <v>109</v>
      </c>
      <c r="N451" s="4" t="s">
        <v>4</v>
      </c>
      <c r="O451" s="4"/>
      <c r="P451" s="4" t="s">
        <v>1693</v>
      </c>
      <c r="Q451" t="s">
        <v>109</v>
      </c>
      <c r="R451" s="4"/>
      <c r="S451" s="4"/>
      <c r="U451" s="4"/>
      <c r="Y451" s="4"/>
      <c r="Z451" s="4"/>
      <c r="AA451" s="4"/>
      <c r="AB451" s="4"/>
      <c r="AC451" s="4"/>
      <c r="AD451" s="4"/>
      <c r="AE451" s="4"/>
      <c r="AF451" s="4"/>
      <c r="AG451" s="4"/>
      <c r="AH451" s="4"/>
      <c r="AI451" s="4"/>
      <c r="AJ451" s="4"/>
      <c r="AK451" s="4"/>
      <c r="AL451" s="4"/>
      <c r="AP451" s="4"/>
      <c r="AX451" s="4"/>
      <c r="AY451" s="4"/>
      <c r="AZ451" s="4"/>
      <c r="BA451" s="4"/>
      <c r="BB451" s="4"/>
      <c r="BC451" s="4"/>
      <c r="BD451" s="4"/>
      <c r="BE451" s="4"/>
      <c r="BF451" s="4"/>
      <c r="BG451" s="4"/>
      <c r="BI451" s="4"/>
      <c r="BP451" s="4"/>
      <c r="BS451" s="4"/>
      <c r="BW451" s="4"/>
      <c r="BX451" s="4"/>
    </row>
    <row r="452" spans="1:76" ht="12.75" x14ac:dyDescent="0.2">
      <c r="A452" s="4" t="s">
        <v>1330</v>
      </c>
      <c r="B452" s="4" t="s">
        <v>345</v>
      </c>
      <c r="C452" s="4" t="s">
        <v>111</v>
      </c>
      <c r="D452" s="4">
        <v>2605</v>
      </c>
      <c r="E452" s="4" t="s">
        <v>3</v>
      </c>
      <c r="F452" s="4" t="s">
        <v>4</v>
      </c>
      <c r="G452" s="113">
        <v>0.5</v>
      </c>
      <c r="H452" t="s">
        <v>1781</v>
      </c>
      <c r="I452" s="4">
        <v>9.9000000000000005E-2</v>
      </c>
      <c r="L452" s="4" t="s">
        <v>1542</v>
      </c>
      <c r="M452" s="4" t="s">
        <v>109</v>
      </c>
      <c r="N452" s="4" t="s">
        <v>4</v>
      </c>
      <c r="O452" s="4"/>
      <c r="P452" s="4" t="s">
        <v>1693</v>
      </c>
      <c r="Q452" t="s">
        <v>109</v>
      </c>
      <c r="R452" s="4"/>
      <c r="S452" s="4"/>
      <c r="U452" s="4"/>
      <c r="Y452" s="4"/>
      <c r="Z452" s="4"/>
      <c r="AA452" s="4"/>
      <c r="AB452" s="4"/>
      <c r="AC452" s="4"/>
      <c r="AD452" s="4"/>
      <c r="AE452" s="4"/>
      <c r="AF452" s="4"/>
      <c r="AG452" s="4"/>
      <c r="AH452" s="4"/>
      <c r="AI452" s="4"/>
      <c r="AJ452" s="4"/>
      <c r="AK452" s="4"/>
      <c r="AL452" s="4"/>
      <c r="AP452" s="4"/>
      <c r="AX452" s="4"/>
      <c r="AY452" s="4"/>
      <c r="AZ452" s="4"/>
      <c r="BA452" s="4"/>
      <c r="BB452" s="4"/>
      <c r="BC452" s="4"/>
      <c r="BD452" s="4"/>
      <c r="BE452" s="4"/>
      <c r="BF452" s="4"/>
      <c r="BG452" s="4"/>
      <c r="BI452" s="4"/>
      <c r="BP452" s="4"/>
      <c r="BS452" s="4"/>
      <c r="BW452" s="4"/>
      <c r="BX452" s="4"/>
    </row>
    <row r="453" spans="1:76" ht="12.75" x14ac:dyDescent="0.2">
      <c r="A453" s="4" t="s">
        <v>589</v>
      </c>
      <c r="B453" s="4" t="s">
        <v>77</v>
      </c>
      <c r="C453" s="4" t="s">
        <v>596</v>
      </c>
      <c r="D453" s="4">
        <v>2605</v>
      </c>
      <c r="E453" s="4" t="s">
        <v>3</v>
      </c>
      <c r="F453" s="4" t="s">
        <v>4</v>
      </c>
      <c r="G453" s="113">
        <v>0.33333333333333331</v>
      </c>
      <c r="H453" t="s">
        <v>1781</v>
      </c>
      <c r="I453" s="4">
        <v>0.10100000000000001</v>
      </c>
      <c r="L453" s="4" t="s">
        <v>1595</v>
      </c>
      <c r="M453" s="4" t="s">
        <v>109</v>
      </c>
      <c r="N453" s="4" t="s">
        <v>4</v>
      </c>
      <c r="O453" s="4"/>
      <c r="P453" s="4" t="s">
        <v>1693</v>
      </c>
      <c r="Q453" t="s">
        <v>109</v>
      </c>
      <c r="R453" s="4"/>
      <c r="S453" s="4"/>
      <c r="U453" s="4"/>
      <c r="Y453" s="4"/>
      <c r="Z453" s="4"/>
      <c r="AA453" s="4"/>
      <c r="AB453" s="4"/>
      <c r="AC453" s="4"/>
      <c r="AD453" s="4"/>
      <c r="AE453" s="4"/>
      <c r="AF453" s="4"/>
      <c r="AG453" s="4"/>
      <c r="AH453" s="4"/>
      <c r="AI453" s="4"/>
      <c r="AJ453" s="4"/>
      <c r="AK453" s="4"/>
      <c r="AL453" s="4"/>
      <c r="AP453" s="4"/>
      <c r="AX453" s="4"/>
      <c r="AY453" s="4"/>
      <c r="AZ453" s="4"/>
      <c r="BA453" s="4"/>
      <c r="BB453" s="4"/>
      <c r="BC453" s="4"/>
      <c r="BD453" s="4"/>
      <c r="BE453" s="4"/>
      <c r="BF453" s="4"/>
      <c r="BG453" s="4"/>
      <c r="BI453" s="4"/>
      <c r="BP453" s="4"/>
      <c r="BS453" s="4"/>
      <c r="BW453" s="4"/>
      <c r="BX453" s="4"/>
    </row>
    <row r="454" spans="1:76" ht="12.75" x14ac:dyDescent="0.2">
      <c r="A454" s="4" t="s">
        <v>583</v>
      </c>
      <c r="B454" s="4" t="s">
        <v>77</v>
      </c>
      <c r="C454" s="4" t="s">
        <v>266</v>
      </c>
      <c r="D454" s="4">
        <v>2605</v>
      </c>
      <c r="E454" s="4" t="s">
        <v>3</v>
      </c>
      <c r="F454" s="4" t="s">
        <v>4</v>
      </c>
      <c r="G454" s="113">
        <v>1</v>
      </c>
      <c r="H454" t="s">
        <v>1781</v>
      </c>
      <c r="I454" s="4">
        <v>0.12</v>
      </c>
      <c r="L454" s="4" t="s">
        <v>1597</v>
      </c>
      <c r="M454" s="4" t="s">
        <v>109</v>
      </c>
      <c r="N454" s="4" t="s">
        <v>4</v>
      </c>
      <c r="O454" s="4"/>
      <c r="P454" s="4" t="s">
        <v>1693</v>
      </c>
      <c r="Q454" t="s">
        <v>109</v>
      </c>
      <c r="R454" s="4"/>
      <c r="S454" s="4"/>
      <c r="U454" s="4"/>
      <c r="Y454" s="4"/>
      <c r="Z454" s="4"/>
      <c r="AA454" s="4"/>
      <c r="AB454" s="4"/>
      <c r="AC454" s="4"/>
      <c r="AD454" s="4"/>
      <c r="AE454" s="4"/>
      <c r="AF454" s="4"/>
      <c r="AG454" s="4"/>
      <c r="AH454" s="4"/>
      <c r="AI454" s="4"/>
      <c r="AJ454" s="4"/>
      <c r="AK454" s="4"/>
      <c r="AL454" s="4"/>
      <c r="AP454" s="4"/>
      <c r="AX454" s="4"/>
      <c r="AY454" s="4"/>
      <c r="AZ454" s="4"/>
      <c r="BA454" s="4"/>
      <c r="BB454" s="4"/>
      <c r="BC454" s="4"/>
      <c r="BD454" s="4"/>
      <c r="BE454" s="4"/>
      <c r="BF454" s="4"/>
      <c r="BG454" s="4"/>
      <c r="BI454" s="4"/>
      <c r="BP454" s="4"/>
      <c r="BS454" s="4"/>
      <c r="BW454" s="4"/>
      <c r="BX454" s="4"/>
    </row>
    <row r="455" spans="1:76" ht="12.75" x14ac:dyDescent="0.2">
      <c r="A455" s="4" t="s">
        <v>1334</v>
      </c>
      <c r="B455" s="4" t="s">
        <v>225</v>
      </c>
      <c r="C455" s="4" t="s">
        <v>111</v>
      </c>
      <c r="D455" s="4">
        <v>2605</v>
      </c>
      <c r="E455" s="4" t="s">
        <v>3</v>
      </c>
      <c r="F455" s="4" t="s">
        <v>4</v>
      </c>
      <c r="G455" s="113">
        <v>1</v>
      </c>
      <c r="H455" t="s">
        <v>1781</v>
      </c>
      <c r="I455" s="4">
        <v>0.13</v>
      </c>
      <c r="L455" s="4" t="s">
        <v>1563</v>
      </c>
      <c r="M455" s="4" t="s">
        <v>109</v>
      </c>
      <c r="N455" s="4" t="s">
        <v>4</v>
      </c>
      <c r="O455" s="4"/>
      <c r="P455" s="4" t="s">
        <v>1693</v>
      </c>
      <c r="Q455" t="s">
        <v>109</v>
      </c>
      <c r="R455" s="4"/>
      <c r="S455" s="4"/>
      <c r="U455" s="4"/>
      <c r="Y455" s="4"/>
      <c r="Z455" s="4"/>
      <c r="AA455" s="4"/>
      <c r="AB455" s="4"/>
      <c r="AC455" s="4"/>
      <c r="AD455" s="4"/>
      <c r="AE455" s="4"/>
      <c r="AF455" s="4"/>
      <c r="AG455" s="4"/>
      <c r="AH455" s="4"/>
      <c r="AI455" s="4"/>
      <c r="AJ455" s="4"/>
      <c r="AK455" s="4"/>
      <c r="AL455" s="4"/>
      <c r="AP455" s="4"/>
      <c r="AX455" s="4"/>
      <c r="AY455" s="4"/>
      <c r="AZ455" s="4"/>
      <c r="BA455" s="4"/>
      <c r="BB455" s="4"/>
      <c r="BC455" s="4"/>
      <c r="BD455" s="4"/>
      <c r="BE455" s="4"/>
      <c r="BF455" s="4"/>
      <c r="BG455" s="4"/>
      <c r="BI455" s="4"/>
      <c r="BP455" s="4"/>
      <c r="BS455" s="4"/>
      <c r="BW455" s="4"/>
      <c r="BX455" s="4"/>
    </row>
    <row r="456" spans="1:76" ht="12.75" x14ac:dyDescent="0.2">
      <c r="A456" s="4" t="s">
        <v>589</v>
      </c>
      <c r="B456" s="4" t="s">
        <v>77</v>
      </c>
      <c r="C456" s="4" t="s">
        <v>590</v>
      </c>
      <c r="D456" s="4">
        <v>2605</v>
      </c>
      <c r="E456" s="4" t="s">
        <v>3</v>
      </c>
      <c r="F456" s="4" t="s">
        <v>4</v>
      </c>
      <c r="G456" s="113">
        <v>0.33333333333333331</v>
      </c>
      <c r="H456" t="s">
        <v>1781</v>
      </c>
      <c r="I456" s="4">
        <v>0.13300000000000001</v>
      </c>
      <c r="L456" s="4" t="s">
        <v>1595</v>
      </c>
      <c r="M456" s="4" t="s">
        <v>109</v>
      </c>
      <c r="N456" s="4" t="s">
        <v>4</v>
      </c>
      <c r="O456" s="4"/>
      <c r="P456" s="4" t="s">
        <v>1693</v>
      </c>
      <c r="Q456" t="s">
        <v>109</v>
      </c>
      <c r="R456" s="4"/>
      <c r="S456" s="4"/>
      <c r="U456" s="4"/>
      <c r="Y456" s="4"/>
      <c r="Z456" s="4"/>
      <c r="AA456" s="4"/>
      <c r="AB456" s="4"/>
      <c r="AC456" s="4"/>
      <c r="AD456" s="4"/>
      <c r="AE456" s="4"/>
      <c r="AF456" s="4"/>
      <c r="AG456" s="4"/>
      <c r="AH456" s="4"/>
      <c r="AI456" s="4"/>
      <c r="AJ456" s="4"/>
      <c r="AK456" s="4"/>
      <c r="AL456" s="4"/>
      <c r="AP456" s="4"/>
      <c r="AX456" s="4"/>
      <c r="AY456" s="4"/>
      <c r="AZ456" s="4"/>
      <c r="BA456" s="4"/>
      <c r="BB456" s="4"/>
      <c r="BC456" s="4"/>
      <c r="BD456" s="4"/>
      <c r="BE456" s="4"/>
      <c r="BF456" s="4"/>
      <c r="BG456" s="4"/>
      <c r="BI456" s="4"/>
      <c r="BP456" s="4"/>
      <c r="BS456" s="4"/>
      <c r="BW456" s="4"/>
      <c r="BX456" s="4"/>
    </row>
    <row r="457" spans="1:76" ht="12.75" x14ac:dyDescent="0.2">
      <c r="A457" s="4" t="s">
        <v>568</v>
      </c>
      <c r="B457" s="4" t="s">
        <v>77</v>
      </c>
      <c r="C457" s="4" t="s">
        <v>266</v>
      </c>
      <c r="D457" s="4">
        <v>2605</v>
      </c>
      <c r="E457" s="4" t="s">
        <v>3</v>
      </c>
      <c r="F457" s="4" t="s">
        <v>4</v>
      </c>
      <c r="G457" s="113">
        <v>1</v>
      </c>
      <c r="H457" t="s">
        <v>1781</v>
      </c>
      <c r="I457" s="4">
        <v>0.15</v>
      </c>
      <c r="L457" s="4" t="s">
        <v>1597</v>
      </c>
      <c r="M457" s="4" t="s">
        <v>109</v>
      </c>
      <c r="N457" s="4" t="s">
        <v>4</v>
      </c>
      <c r="O457" s="4"/>
      <c r="P457" s="4" t="s">
        <v>1693</v>
      </c>
      <c r="Q457" t="s">
        <v>109</v>
      </c>
      <c r="R457" s="4"/>
      <c r="S457" s="4"/>
      <c r="U457" s="4"/>
      <c r="Y457" s="4"/>
      <c r="Z457" s="4"/>
      <c r="AA457" s="4"/>
      <c r="AB457" s="4"/>
      <c r="AC457" s="4"/>
      <c r="AD457" s="4"/>
      <c r="AE457" s="4"/>
      <c r="AF457" s="4"/>
      <c r="AG457" s="4"/>
      <c r="AH457" s="4"/>
      <c r="AI457" s="4"/>
      <c r="AJ457" s="4"/>
      <c r="AK457" s="4"/>
      <c r="AL457" s="4"/>
      <c r="AP457" s="4"/>
      <c r="AX457" s="4"/>
      <c r="AY457" s="4"/>
      <c r="AZ457" s="4"/>
      <c r="BA457" s="4"/>
      <c r="BB457" s="4"/>
      <c r="BC457" s="4"/>
      <c r="BD457" s="4"/>
      <c r="BE457" s="4"/>
      <c r="BF457" s="4"/>
      <c r="BG457" s="4"/>
      <c r="BI457" s="4"/>
      <c r="BP457" s="4"/>
      <c r="BS457" s="4"/>
      <c r="BW457" s="4"/>
      <c r="BX457" s="4"/>
    </row>
    <row r="458" spans="1:76" ht="12.75" x14ac:dyDescent="0.2">
      <c r="A458" s="4" t="s">
        <v>567</v>
      </c>
      <c r="B458" s="4" t="s">
        <v>218</v>
      </c>
      <c r="C458" s="4" t="s">
        <v>219</v>
      </c>
      <c r="D458" s="4">
        <v>2605</v>
      </c>
      <c r="E458" s="4" t="s">
        <v>3</v>
      </c>
      <c r="F458" s="4" t="s">
        <v>4</v>
      </c>
      <c r="G458" s="113">
        <v>1</v>
      </c>
      <c r="H458" t="s">
        <v>1781</v>
      </c>
      <c r="I458" s="4">
        <v>0.16675999999999999</v>
      </c>
      <c r="L458" s="4" t="s">
        <v>1596</v>
      </c>
      <c r="M458" s="4" t="s">
        <v>109</v>
      </c>
      <c r="N458" s="4" t="s">
        <v>4</v>
      </c>
      <c r="O458" s="4"/>
      <c r="P458" s="4" t="s">
        <v>1693</v>
      </c>
      <c r="Q458" t="s">
        <v>109</v>
      </c>
      <c r="R458" s="4"/>
      <c r="S458" s="4"/>
      <c r="U458" s="4"/>
      <c r="Y458" s="4"/>
      <c r="Z458" s="4"/>
      <c r="AA458" s="4"/>
      <c r="AB458" s="4"/>
      <c r="AC458" s="4"/>
      <c r="AD458" s="4"/>
      <c r="AE458" s="4"/>
      <c r="AF458" s="4"/>
      <c r="AG458" s="4"/>
      <c r="AH458" s="4"/>
      <c r="AI458" s="4"/>
      <c r="AJ458" s="4"/>
      <c r="AK458" s="4"/>
      <c r="AL458" s="4"/>
      <c r="AP458" s="4"/>
      <c r="AX458" s="4"/>
      <c r="AY458" s="4"/>
      <c r="AZ458" s="4"/>
      <c r="BA458" s="4"/>
      <c r="BB458" s="4"/>
      <c r="BC458" s="4"/>
      <c r="BD458" s="4"/>
      <c r="BE458" s="4"/>
      <c r="BF458" s="4"/>
      <c r="BG458" s="4"/>
      <c r="BI458" s="4"/>
      <c r="BP458" s="4"/>
      <c r="BS458" s="4"/>
      <c r="BW458" s="4"/>
      <c r="BX458" s="4"/>
    </row>
    <row r="459" spans="1:76" ht="12.75" x14ac:dyDescent="0.2">
      <c r="A459" s="4" t="s">
        <v>568</v>
      </c>
      <c r="B459" s="4" t="s">
        <v>225</v>
      </c>
      <c r="C459" s="4" t="s">
        <v>1353</v>
      </c>
      <c r="D459" s="4">
        <v>2605</v>
      </c>
      <c r="E459" s="4" t="s">
        <v>3</v>
      </c>
      <c r="F459" s="4" t="s">
        <v>4</v>
      </c>
      <c r="G459" s="113">
        <v>0.5</v>
      </c>
      <c r="H459" t="s">
        <v>1781</v>
      </c>
      <c r="I459" s="4">
        <v>0.17</v>
      </c>
      <c r="L459" s="4" t="s">
        <v>1598</v>
      </c>
      <c r="M459" s="4" t="s">
        <v>109</v>
      </c>
      <c r="N459" s="4" t="s">
        <v>4</v>
      </c>
      <c r="O459" s="4"/>
      <c r="P459" s="4" t="s">
        <v>1693</v>
      </c>
      <c r="Q459" t="s">
        <v>109</v>
      </c>
      <c r="R459" s="4"/>
      <c r="S459" s="4"/>
      <c r="U459" s="4"/>
      <c r="Y459" s="4"/>
      <c r="Z459" s="4"/>
      <c r="AA459" s="4"/>
      <c r="AB459" s="4"/>
      <c r="AC459" s="4"/>
      <c r="AD459" s="4"/>
      <c r="AE459" s="4"/>
      <c r="AF459" s="4"/>
      <c r="AG459" s="4"/>
      <c r="AH459" s="4"/>
      <c r="AI459" s="4"/>
      <c r="AJ459" s="4"/>
      <c r="AK459" s="4"/>
      <c r="AL459" s="4"/>
      <c r="AP459" s="4"/>
      <c r="AX459" s="4"/>
      <c r="AY459" s="4"/>
      <c r="AZ459" s="4"/>
      <c r="BA459" s="4"/>
      <c r="BB459" s="4"/>
      <c r="BC459" s="4"/>
      <c r="BD459" s="4"/>
      <c r="BE459" s="4"/>
      <c r="BF459" s="4"/>
      <c r="BG459" s="4"/>
      <c r="BI459" s="4"/>
      <c r="BP459" s="4"/>
      <c r="BS459" s="4"/>
      <c r="BW459" s="4"/>
      <c r="BX459" s="4"/>
    </row>
    <row r="460" spans="1:76" ht="12.75" x14ac:dyDescent="0.2">
      <c r="A460" s="4" t="s">
        <v>1332</v>
      </c>
      <c r="B460" s="4" t="s">
        <v>225</v>
      </c>
      <c r="C460" s="4" t="s">
        <v>111</v>
      </c>
      <c r="D460" s="4">
        <v>2605</v>
      </c>
      <c r="E460" s="4" t="s">
        <v>3</v>
      </c>
      <c r="F460" s="4" t="s">
        <v>4</v>
      </c>
      <c r="G460" s="113">
        <v>1</v>
      </c>
      <c r="H460" t="s">
        <v>1781</v>
      </c>
      <c r="I460" s="4">
        <v>0.18</v>
      </c>
      <c r="L460" s="4" t="s">
        <v>1563</v>
      </c>
      <c r="M460" s="4" t="s">
        <v>109</v>
      </c>
      <c r="N460" s="4" t="s">
        <v>4</v>
      </c>
      <c r="O460" s="4"/>
      <c r="P460" s="4" t="s">
        <v>1693</v>
      </c>
      <c r="Q460" t="s">
        <v>109</v>
      </c>
      <c r="R460" s="4"/>
      <c r="S460" s="4"/>
      <c r="U460" s="4"/>
      <c r="Y460" s="4"/>
      <c r="Z460" s="4"/>
      <c r="AA460" s="4"/>
      <c r="AB460" s="4"/>
      <c r="AC460" s="4"/>
      <c r="AD460" s="4"/>
      <c r="AE460" s="4"/>
      <c r="AF460" s="4"/>
      <c r="AG460" s="4"/>
      <c r="AH460" s="4"/>
      <c r="AI460" s="4"/>
      <c r="AJ460" s="4"/>
      <c r="AK460" s="4"/>
      <c r="AL460" s="4"/>
      <c r="AP460" s="4"/>
      <c r="AX460" s="4"/>
      <c r="AY460" s="4"/>
      <c r="AZ460" s="4"/>
      <c r="BA460" s="4"/>
      <c r="BB460" s="4"/>
      <c r="BC460" s="4"/>
      <c r="BD460" s="4"/>
      <c r="BE460" s="4"/>
      <c r="BF460" s="4"/>
      <c r="BG460" s="4"/>
      <c r="BI460" s="4"/>
      <c r="BP460" s="4"/>
      <c r="BS460" s="4"/>
      <c r="BW460" s="4"/>
      <c r="BX460" s="4"/>
    </row>
    <row r="461" spans="1:76" ht="12.75" x14ac:dyDescent="0.2">
      <c r="A461" s="4" t="s">
        <v>568</v>
      </c>
      <c r="B461" s="4" t="s">
        <v>253</v>
      </c>
      <c r="C461" s="4" t="s">
        <v>138</v>
      </c>
      <c r="D461" s="4">
        <v>2605</v>
      </c>
      <c r="E461" s="4" t="s">
        <v>3</v>
      </c>
      <c r="F461" s="4" t="s">
        <v>4</v>
      </c>
      <c r="G461" s="113">
        <v>0.5</v>
      </c>
      <c r="H461" t="s">
        <v>1781</v>
      </c>
      <c r="I461" s="4">
        <v>0.192</v>
      </c>
      <c r="L461" s="4" t="s">
        <v>1569</v>
      </c>
      <c r="M461" s="4" t="s">
        <v>109</v>
      </c>
      <c r="N461" s="4" t="s">
        <v>4</v>
      </c>
      <c r="O461" s="4"/>
      <c r="P461" s="4" t="s">
        <v>1693</v>
      </c>
      <c r="Q461" t="s">
        <v>109</v>
      </c>
      <c r="R461" s="4"/>
      <c r="S461" s="4"/>
      <c r="U461" s="4"/>
      <c r="Y461" s="4"/>
      <c r="Z461" s="4"/>
      <c r="AA461" s="4"/>
      <c r="AB461" s="4"/>
      <c r="AC461" s="4"/>
      <c r="AD461" s="4"/>
      <c r="AE461" s="4"/>
      <c r="AF461" s="4"/>
      <c r="AG461" s="4"/>
      <c r="AH461" s="4"/>
      <c r="AI461" s="4"/>
      <c r="AJ461" s="4"/>
      <c r="AK461" s="4"/>
      <c r="AL461" s="4"/>
      <c r="AP461" s="4"/>
      <c r="AX461" s="4"/>
      <c r="AY461" s="4"/>
      <c r="AZ461" s="4"/>
      <c r="BA461" s="4"/>
      <c r="BB461" s="4"/>
      <c r="BC461" s="4"/>
      <c r="BD461" s="4"/>
      <c r="BE461" s="4"/>
      <c r="BF461" s="4"/>
      <c r="BG461" s="4"/>
      <c r="BI461" s="4"/>
      <c r="BP461" s="4"/>
      <c r="BS461" s="4"/>
      <c r="BW461" s="4"/>
      <c r="BX461" s="4"/>
    </row>
    <row r="462" spans="1:76" ht="12.75" x14ac:dyDescent="0.2">
      <c r="A462" s="4" t="s">
        <v>1314</v>
      </c>
      <c r="B462" s="4" t="s">
        <v>77</v>
      </c>
      <c r="C462" s="4" t="s">
        <v>1311</v>
      </c>
      <c r="D462" s="4">
        <v>2605</v>
      </c>
      <c r="E462" s="4" t="s">
        <v>3</v>
      </c>
      <c r="F462" s="4" t="s">
        <v>4</v>
      </c>
      <c r="G462" s="113">
        <v>0.5</v>
      </c>
      <c r="H462" t="s">
        <v>1781</v>
      </c>
      <c r="I462" s="4">
        <v>0.19900000000000001</v>
      </c>
      <c r="L462" s="4" t="s">
        <v>1555</v>
      </c>
      <c r="M462" s="4" t="s">
        <v>109</v>
      </c>
      <c r="N462" s="4" t="s">
        <v>4</v>
      </c>
      <c r="O462" s="4"/>
      <c r="P462" s="4" t="s">
        <v>1693</v>
      </c>
      <c r="Q462" t="s">
        <v>109</v>
      </c>
      <c r="R462" s="4"/>
      <c r="S462" s="4"/>
      <c r="U462" s="4"/>
      <c r="Y462" s="4"/>
      <c r="Z462" s="4"/>
      <c r="AA462" s="4"/>
      <c r="AB462" s="4"/>
      <c r="AC462" s="4"/>
      <c r="AD462" s="4"/>
      <c r="AE462" s="4"/>
      <c r="AF462" s="4"/>
      <c r="AG462" s="4"/>
      <c r="AH462" s="4"/>
      <c r="AI462" s="4"/>
      <c r="AJ462" s="4"/>
      <c r="AK462" s="4"/>
      <c r="AL462" s="4"/>
      <c r="AP462" s="4"/>
      <c r="AX462" s="4"/>
      <c r="AY462" s="4"/>
      <c r="AZ462" s="4"/>
      <c r="BA462" s="4"/>
      <c r="BB462" s="4"/>
      <c r="BC462" s="4"/>
      <c r="BD462" s="4"/>
      <c r="BE462" s="4"/>
      <c r="BF462" s="4"/>
      <c r="BG462" s="4"/>
      <c r="BI462" s="4"/>
      <c r="BP462" s="4"/>
      <c r="BS462" s="4"/>
      <c r="BW462" s="4"/>
      <c r="BX462" s="4"/>
    </row>
    <row r="463" spans="1:76" ht="12.75" x14ac:dyDescent="0.2">
      <c r="A463" s="4" t="s">
        <v>1330</v>
      </c>
      <c r="B463" s="4" t="s">
        <v>225</v>
      </c>
      <c r="C463" s="4" t="s">
        <v>111</v>
      </c>
      <c r="D463" s="4">
        <v>2605</v>
      </c>
      <c r="E463" s="4" t="s">
        <v>3</v>
      </c>
      <c r="F463" s="4" t="s">
        <v>4</v>
      </c>
      <c r="G463" s="113">
        <v>1</v>
      </c>
      <c r="H463" t="s">
        <v>1781</v>
      </c>
      <c r="I463" s="4">
        <v>0.2</v>
      </c>
      <c r="L463" s="4" t="s">
        <v>1563</v>
      </c>
      <c r="M463" s="4" t="s">
        <v>109</v>
      </c>
      <c r="N463" s="4" t="s">
        <v>4</v>
      </c>
      <c r="O463" s="4"/>
      <c r="P463" s="4" t="s">
        <v>1693</v>
      </c>
      <c r="Q463" t="s">
        <v>109</v>
      </c>
      <c r="R463" s="4"/>
      <c r="S463" s="4"/>
      <c r="U463" s="4"/>
      <c r="Y463" s="4"/>
      <c r="Z463" s="4"/>
      <c r="AA463" s="4"/>
      <c r="AB463" s="4"/>
      <c r="AC463" s="4"/>
      <c r="AD463" s="4"/>
      <c r="AE463" s="4"/>
      <c r="AF463" s="4"/>
      <c r="AG463" s="4"/>
      <c r="AH463" s="4"/>
      <c r="AI463" s="4"/>
      <c r="AJ463" s="4"/>
      <c r="AK463" s="4"/>
      <c r="AL463" s="4"/>
      <c r="AP463" s="4"/>
      <c r="AX463" s="4"/>
      <c r="AY463" s="4"/>
      <c r="AZ463" s="4"/>
      <c r="BA463" s="4"/>
      <c r="BB463" s="4"/>
      <c r="BC463" s="4"/>
      <c r="BD463" s="4"/>
      <c r="BE463" s="4"/>
      <c r="BF463" s="4"/>
      <c r="BG463" s="4"/>
      <c r="BI463" s="4"/>
      <c r="BP463" s="4"/>
      <c r="BS463" s="4"/>
      <c r="BW463" s="4"/>
      <c r="BX463" s="4"/>
    </row>
    <row r="464" spans="1:76" ht="12.75" x14ac:dyDescent="0.2">
      <c r="A464" s="4" t="s">
        <v>1314</v>
      </c>
      <c r="B464" s="4" t="s">
        <v>77</v>
      </c>
      <c r="C464" s="4" t="s">
        <v>1312</v>
      </c>
      <c r="D464" s="4">
        <v>2605</v>
      </c>
      <c r="E464" s="4" t="s">
        <v>3</v>
      </c>
      <c r="F464" s="4" t="s">
        <v>4</v>
      </c>
      <c r="G464" s="113">
        <v>0.5</v>
      </c>
      <c r="H464" t="s">
        <v>1781</v>
      </c>
      <c r="I464" s="4">
        <v>0.218</v>
      </c>
      <c r="L464" s="4" t="s">
        <v>1555</v>
      </c>
      <c r="M464" s="4" t="s">
        <v>109</v>
      </c>
      <c r="N464" s="4" t="s">
        <v>4</v>
      </c>
      <c r="O464" s="4"/>
      <c r="P464" s="4" t="s">
        <v>1693</v>
      </c>
      <c r="Q464" t="s">
        <v>109</v>
      </c>
      <c r="R464" s="4"/>
      <c r="S464" s="4"/>
      <c r="U464" s="4"/>
      <c r="Y464" s="4"/>
      <c r="Z464" s="4"/>
      <c r="AA464" s="4"/>
      <c r="AB464" s="4"/>
      <c r="AC464" s="4"/>
      <c r="AD464" s="4"/>
      <c r="AE464" s="4"/>
      <c r="AF464" s="4"/>
      <c r="AG464" s="4"/>
      <c r="AH464" s="4"/>
      <c r="AI464" s="4"/>
      <c r="AJ464" s="4"/>
      <c r="AK464" s="4"/>
      <c r="AL464" s="4"/>
      <c r="AP464" s="4"/>
      <c r="AX464" s="4"/>
      <c r="AY464" s="4"/>
      <c r="AZ464" s="4"/>
      <c r="BA464" s="4"/>
      <c r="BB464" s="4"/>
      <c r="BC464" s="4"/>
      <c r="BD464" s="4"/>
      <c r="BE464" s="4"/>
      <c r="BF464" s="4"/>
      <c r="BG464" s="4"/>
      <c r="BI464" s="4"/>
      <c r="BP464" s="4"/>
      <c r="BS464" s="4"/>
      <c r="BW464" s="4"/>
      <c r="BX464" s="4"/>
    </row>
    <row r="465" spans="1:76" ht="12.75" x14ac:dyDescent="0.2">
      <c r="A465" s="4" t="s">
        <v>568</v>
      </c>
      <c r="B465" s="4" t="s">
        <v>225</v>
      </c>
      <c r="C465" s="4" t="s">
        <v>1354</v>
      </c>
      <c r="D465" s="4">
        <v>2605</v>
      </c>
      <c r="E465" s="4" t="s">
        <v>3</v>
      </c>
      <c r="F465" s="4" t="s">
        <v>4</v>
      </c>
      <c r="G465" s="113">
        <v>0.5</v>
      </c>
      <c r="H465" t="s">
        <v>1781</v>
      </c>
      <c r="I465" s="4">
        <v>0.22</v>
      </c>
      <c r="L465" s="4" t="s">
        <v>1598</v>
      </c>
      <c r="M465" s="4" t="s">
        <v>109</v>
      </c>
      <c r="N465" s="4" t="s">
        <v>4</v>
      </c>
      <c r="O465" s="4"/>
      <c r="P465" s="4" t="s">
        <v>1693</v>
      </c>
      <c r="Q465" t="s">
        <v>109</v>
      </c>
      <c r="R465" s="4"/>
      <c r="S465" s="4"/>
      <c r="U465" s="4"/>
      <c r="Y465" s="4"/>
      <c r="Z465" s="4"/>
      <c r="AA465" s="4"/>
      <c r="AB465" s="4"/>
      <c r="AC465" s="4"/>
      <c r="AD465" s="4"/>
      <c r="AE465" s="4"/>
      <c r="AF465" s="4"/>
      <c r="AG465" s="4"/>
      <c r="AH465" s="4"/>
      <c r="AI465" s="4"/>
      <c r="AJ465" s="4"/>
      <c r="AK465" s="4"/>
      <c r="AL465" s="4"/>
      <c r="AP465" s="4"/>
      <c r="AX465" s="4"/>
      <c r="AY465" s="4"/>
      <c r="AZ465" s="4"/>
      <c r="BA465" s="4"/>
      <c r="BB465" s="4"/>
      <c r="BC465" s="4"/>
      <c r="BD465" s="4"/>
      <c r="BE465" s="4"/>
      <c r="BF465" s="4"/>
      <c r="BG465" s="4"/>
      <c r="BI465" s="4"/>
      <c r="BP465" s="4"/>
      <c r="BS465" s="4"/>
      <c r="BW465" s="4"/>
      <c r="BX465" s="4"/>
    </row>
    <row r="466" spans="1:76" ht="12.75" x14ac:dyDescent="0.2">
      <c r="A466" s="4" t="s">
        <v>1328</v>
      </c>
      <c r="B466" s="4" t="s">
        <v>225</v>
      </c>
      <c r="C466" s="4" t="s">
        <v>111</v>
      </c>
      <c r="D466" s="4">
        <v>2605</v>
      </c>
      <c r="E466" s="4" t="s">
        <v>3</v>
      </c>
      <c r="F466" s="4" t="s">
        <v>4</v>
      </c>
      <c r="G466" s="113">
        <v>1</v>
      </c>
      <c r="H466" t="s">
        <v>1781</v>
      </c>
      <c r="I466" s="4">
        <v>0.23</v>
      </c>
      <c r="L466" s="4" t="s">
        <v>1563</v>
      </c>
      <c r="M466" s="4" t="s">
        <v>109</v>
      </c>
      <c r="N466" s="4" t="s">
        <v>4</v>
      </c>
      <c r="O466" s="4"/>
      <c r="P466" s="4" t="s">
        <v>1693</v>
      </c>
      <c r="Q466" t="s">
        <v>109</v>
      </c>
      <c r="R466" s="4"/>
      <c r="S466" s="4"/>
      <c r="U466" s="4"/>
      <c r="Y466" s="4"/>
      <c r="Z466" s="4"/>
      <c r="AA466" s="4"/>
      <c r="AB466" s="4"/>
      <c r="AC466" s="4"/>
      <c r="AD466" s="4"/>
      <c r="AE466" s="4"/>
      <c r="AF466" s="4"/>
      <c r="AG466" s="4"/>
      <c r="AH466" s="4"/>
      <c r="AI466" s="4"/>
      <c r="AJ466" s="4"/>
      <c r="AK466" s="4"/>
      <c r="AL466" s="4"/>
      <c r="AP466" s="4"/>
      <c r="AX466" s="4"/>
      <c r="AY466" s="4"/>
      <c r="AZ466" s="4"/>
      <c r="BA466" s="4"/>
      <c r="BB466" s="4"/>
      <c r="BC466" s="4"/>
      <c r="BD466" s="4"/>
      <c r="BE466" s="4"/>
      <c r="BF466" s="4"/>
      <c r="BG466" s="4"/>
      <c r="BI466" s="4"/>
      <c r="BP466" s="4"/>
      <c r="BS466" s="4"/>
      <c r="BW466" s="4"/>
      <c r="BX466" s="4"/>
    </row>
    <row r="467" spans="1:76" ht="12.75" x14ac:dyDescent="0.2">
      <c r="A467" s="4" t="s">
        <v>570</v>
      </c>
      <c r="B467" s="4" t="s">
        <v>170</v>
      </c>
      <c r="C467" s="4" t="s">
        <v>230</v>
      </c>
      <c r="D467" s="4">
        <v>2605</v>
      </c>
      <c r="E467" s="4" t="s">
        <v>3</v>
      </c>
      <c r="F467" s="4" t="s">
        <v>4</v>
      </c>
      <c r="G467" s="113">
        <v>1</v>
      </c>
      <c r="H467" t="s">
        <v>1781</v>
      </c>
      <c r="I467" s="4">
        <v>0.24493000000000001</v>
      </c>
      <c r="L467" s="4" t="s">
        <v>1592</v>
      </c>
      <c r="M467" s="4" t="s">
        <v>109</v>
      </c>
      <c r="N467" s="4" t="s">
        <v>4</v>
      </c>
      <c r="O467" s="4"/>
      <c r="P467" s="4" t="s">
        <v>1693</v>
      </c>
      <c r="Q467" t="s">
        <v>109</v>
      </c>
      <c r="R467" s="4"/>
      <c r="S467" s="4"/>
      <c r="U467" s="4"/>
      <c r="Y467" s="4"/>
      <c r="Z467" s="4"/>
      <c r="AA467" s="4"/>
      <c r="AB467" s="4"/>
      <c r="AC467" s="4"/>
      <c r="AD467" s="4"/>
      <c r="AE467" s="4"/>
      <c r="AF467" s="4"/>
      <c r="AG467" s="4"/>
      <c r="AH467" s="4"/>
      <c r="AI467" s="4"/>
      <c r="AJ467" s="4"/>
      <c r="AK467" s="4"/>
      <c r="AL467" s="4"/>
      <c r="AP467" s="4"/>
      <c r="AX467" s="4"/>
      <c r="AY467" s="4"/>
      <c r="AZ467" s="4"/>
      <c r="BA467" s="4"/>
      <c r="BB467" s="4"/>
      <c r="BC467" s="4"/>
      <c r="BD467" s="4"/>
      <c r="BE467" s="4"/>
      <c r="BF467" s="4"/>
      <c r="BG467" s="4"/>
      <c r="BI467" s="4"/>
      <c r="BP467" s="4"/>
      <c r="BS467" s="4"/>
      <c r="BW467" s="4"/>
      <c r="BX467" s="4"/>
    </row>
    <row r="468" spans="1:76" ht="12.75" x14ac:dyDescent="0.2">
      <c r="A468" s="4" t="s">
        <v>1336</v>
      </c>
      <c r="B468" s="4" t="s">
        <v>225</v>
      </c>
      <c r="C468" s="4" t="s">
        <v>111</v>
      </c>
      <c r="D468" s="4">
        <v>2605</v>
      </c>
      <c r="E468" s="4" t="s">
        <v>3</v>
      </c>
      <c r="F468" s="4" t="s">
        <v>4</v>
      </c>
      <c r="G468" s="113">
        <v>1</v>
      </c>
      <c r="H468" t="s">
        <v>1781</v>
      </c>
      <c r="I468" s="4">
        <v>0.25</v>
      </c>
      <c r="L468" s="4" t="s">
        <v>1563</v>
      </c>
      <c r="M468" s="4" t="s">
        <v>109</v>
      </c>
      <c r="N468" s="4" t="s">
        <v>4</v>
      </c>
      <c r="O468" s="4"/>
      <c r="P468" s="4" t="s">
        <v>1693</v>
      </c>
      <c r="Q468" t="s">
        <v>109</v>
      </c>
      <c r="R468" s="4"/>
      <c r="S468" s="4"/>
      <c r="U468" s="4"/>
      <c r="Y468" s="4"/>
      <c r="Z468" s="4"/>
      <c r="AA468" s="4"/>
      <c r="AB468" s="4"/>
      <c r="AC468" s="4"/>
      <c r="AD468" s="4"/>
      <c r="AE468" s="4"/>
      <c r="AF468" s="4"/>
      <c r="AG468" s="4"/>
      <c r="AH468" s="4"/>
      <c r="AI468" s="4"/>
      <c r="AJ468" s="4"/>
      <c r="AK468" s="4"/>
      <c r="AL468" s="4"/>
      <c r="AP468" s="4"/>
      <c r="AX468" s="4"/>
      <c r="AY468" s="4"/>
      <c r="AZ468" s="4"/>
      <c r="BA468" s="4"/>
      <c r="BB468" s="4"/>
      <c r="BC468" s="4"/>
      <c r="BD468" s="4"/>
      <c r="BE468" s="4"/>
      <c r="BF468" s="4"/>
      <c r="BG468" s="4"/>
      <c r="BI468" s="4"/>
      <c r="BP468" s="4"/>
      <c r="BS468" s="4"/>
      <c r="BW468" s="4"/>
      <c r="BX468" s="4"/>
    </row>
    <row r="469" spans="1:76" ht="12.75" x14ac:dyDescent="0.2">
      <c r="A469" s="4" t="s">
        <v>1315</v>
      </c>
      <c r="B469" s="4" t="s">
        <v>77</v>
      </c>
      <c r="C469" s="4" t="s">
        <v>562</v>
      </c>
      <c r="D469" s="4">
        <v>2605</v>
      </c>
      <c r="E469" s="4" t="s">
        <v>3</v>
      </c>
      <c r="F469" s="4" t="s">
        <v>4</v>
      </c>
      <c r="G469" s="113">
        <v>0.5</v>
      </c>
      <c r="H469" t="s">
        <v>1781</v>
      </c>
      <c r="I469" s="4">
        <v>0.26400000000000001</v>
      </c>
      <c r="L469" s="4" t="s">
        <v>1555</v>
      </c>
      <c r="M469" s="4" t="s">
        <v>109</v>
      </c>
      <c r="N469" s="4" t="s">
        <v>4</v>
      </c>
      <c r="O469" s="4"/>
      <c r="P469" s="4" t="s">
        <v>1693</v>
      </c>
      <c r="Q469" t="s">
        <v>109</v>
      </c>
      <c r="R469" s="4"/>
      <c r="S469" s="4"/>
      <c r="U469" s="4"/>
      <c r="Y469" s="4"/>
      <c r="Z469" s="4"/>
      <c r="AA469" s="4"/>
      <c r="AB469" s="4"/>
      <c r="AC469" s="4"/>
      <c r="AD469" s="4"/>
      <c r="AE469" s="4"/>
      <c r="AF469" s="4"/>
      <c r="AG469" s="4"/>
      <c r="AH469" s="4"/>
      <c r="AI469" s="4"/>
      <c r="AJ469" s="4"/>
      <c r="AK469" s="4"/>
      <c r="AL469" s="4"/>
      <c r="AP469" s="4"/>
      <c r="AX469" s="4"/>
      <c r="AY469" s="4"/>
      <c r="AZ469" s="4"/>
      <c r="BA469" s="4"/>
      <c r="BB469" s="4"/>
      <c r="BC469" s="4"/>
      <c r="BD469" s="4"/>
      <c r="BE469" s="4"/>
      <c r="BF469" s="4"/>
      <c r="BG469" s="4"/>
      <c r="BI469" s="4"/>
      <c r="BP469" s="4"/>
      <c r="BS469" s="4"/>
      <c r="BW469" s="4"/>
      <c r="BX469" s="4"/>
    </row>
    <row r="470" spans="1:76" ht="12.75" x14ac:dyDescent="0.2">
      <c r="A470" s="4" t="s">
        <v>568</v>
      </c>
      <c r="B470" s="4" t="s">
        <v>253</v>
      </c>
      <c r="C470" s="4" t="s">
        <v>115</v>
      </c>
      <c r="D470" s="4">
        <v>2605</v>
      </c>
      <c r="E470" s="4" t="s">
        <v>3</v>
      </c>
      <c r="F470" s="4" t="s">
        <v>4</v>
      </c>
      <c r="G470" s="113">
        <v>0.5</v>
      </c>
      <c r="H470" t="s">
        <v>1781</v>
      </c>
      <c r="I470" s="4">
        <v>0.26800000000000002</v>
      </c>
      <c r="L470" s="4" t="s">
        <v>1569</v>
      </c>
      <c r="M470" s="4" t="s">
        <v>109</v>
      </c>
      <c r="N470" s="4" t="s">
        <v>4</v>
      </c>
      <c r="O470" s="4"/>
      <c r="P470" s="4" t="s">
        <v>1693</v>
      </c>
      <c r="Q470" t="s">
        <v>109</v>
      </c>
      <c r="R470" s="4"/>
      <c r="S470" s="4"/>
      <c r="U470" s="4"/>
      <c r="Y470" s="4"/>
      <c r="Z470" s="4"/>
      <c r="AA470" s="4"/>
      <c r="AB470" s="4"/>
      <c r="AC470" s="4"/>
      <c r="AD470" s="4"/>
      <c r="AE470" s="4"/>
      <c r="AF470" s="4"/>
      <c r="AG470" s="4"/>
      <c r="AH470" s="4"/>
      <c r="AI470" s="4"/>
      <c r="AJ470" s="4"/>
      <c r="AK470" s="4"/>
      <c r="AL470" s="4"/>
      <c r="AP470" s="4"/>
      <c r="AX470" s="4"/>
      <c r="AY470" s="4"/>
      <c r="AZ470" s="4"/>
      <c r="BA470" s="4"/>
      <c r="BB470" s="4"/>
      <c r="BC470" s="4"/>
      <c r="BD470" s="4"/>
      <c r="BE470" s="4"/>
      <c r="BF470" s="4"/>
      <c r="BG470" s="4"/>
      <c r="BI470" s="4"/>
      <c r="BP470" s="4"/>
      <c r="BS470" s="4"/>
      <c r="BW470" s="4"/>
      <c r="BX470" s="4"/>
    </row>
    <row r="471" spans="1:76" ht="12.75" x14ac:dyDescent="0.2">
      <c r="A471" s="4" t="s">
        <v>1315</v>
      </c>
      <c r="B471" s="4" t="s">
        <v>77</v>
      </c>
      <c r="C471" s="4" t="s">
        <v>1313</v>
      </c>
      <c r="D471" s="4">
        <v>2605</v>
      </c>
      <c r="E471" s="4" t="s">
        <v>3</v>
      </c>
      <c r="F471" s="4" t="s">
        <v>4</v>
      </c>
      <c r="G471" s="113">
        <v>0.5</v>
      </c>
      <c r="H471" t="s">
        <v>1781</v>
      </c>
      <c r="I471" s="4">
        <v>0.3</v>
      </c>
      <c r="L471" s="4" t="s">
        <v>1555</v>
      </c>
      <c r="M471" s="4" t="s">
        <v>109</v>
      </c>
      <c r="N471" s="4" t="s">
        <v>4</v>
      </c>
      <c r="O471" s="4"/>
      <c r="P471" s="4" t="s">
        <v>1693</v>
      </c>
      <c r="Q471" t="s">
        <v>109</v>
      </c>
      <c r="R471" s="4"/>
      <c r="S471" s="4"/>
      <c r="U471" s="4"/>
      <c r="Y471" s="4"/>
      <c r="Z471" s="4"/>
      <c r="AA471" s="4"/>
      <c r="AB471" s="4"/>
      <c r="AC471" s="4"/>
      <c r="AD471" s="4"/>
      <c r="AE471" s="4"/>
      <c r="AF471" s="4"/>
      <c r="AG471" s="4"/>
      <c r="AH471" s="4"/>
      <c r="AI471" s="4"/>
      <c r="AJ471" s="4"/>
      <c r="AK471" s="4"/>
      <c r="AL471" s="4"/>
      <c r="AP471" s="4"/>
      <c r="AX471" s="4"/>
      <c r="AY471" s="4"/>
      <c r="AZ471" s="4"/>
      <c r="BA471" s="4"/>
      <c r="BB471" s="4"/>
      <c r="BC471" s="4"/>
      <c r="BD471" s="4"/>
      <c r="BE471" s="4"/>
      <c r="BF471" s="4"/>
      <c r="BG471" s="4"/>
      <c r="BI471" s="4"/>
      <c r="BP471" s="4"/>
      <c r="BS471" s="4"/>
      <c r="BW471" s="4"/>
      <c r="BX471" s="4"/>
    </row>
    <row r="472" spans="1:76" ht="12.75" x14ac:dyDescent="0.2">
      <c r="A472" s="4" t="s">
        <v>568</v>
      </c>
      <c r="B472" s="4" t="s">
        <v>225</v>
      </c>
      <c r="C472" s="4" t="s">
        <v>111</v>
      </c>
      <c r="D472" s="4">
        <v>2605</v>
      </c>
      <c r="E472" s="4" t="s">
        <v>3</v>
      </c>
      <c r="F472" s="4" t="s">
        <v>4</v>
      </c>
      <c r="G472" s="113">
        <v>1</v>
      </c>
      <c r="H472" t="s">
        <v>1781</v>
      </c>
      <c r="I472" s="4">
        <v>0.32</v>
      </c>
      <c r="L472" s="4" t="s">
        <v>1563</v>
      </c>
      <c r="M472" s="4" t="s">
        <v>109</v>
      </c>
      <c r="N472" s="4" t="s">
        <v>4</v>
      </c>
      <c r="O472" s="4"/>
      <c r="P472" s="4" t="s">
        <v>1693</v>
      </c>
      <c r="Q472" t="s">
        <v>109</v>
      </c>
      <c r="R472" s="4"/>
      <c r="S472" s="4"/>
      <c r="U472" s="4"/>
      <c r="Y472" s="4"/>
      <c r="Z472" s="4"/>
      <c r="AA472" s="4"/>
      <c r="AB472" s="4"/>
      <c r="AC472" s="4"/>
      <c r="AD472" s="4"/>
      <c r="AE472" s="4"/>
      <c r="AF472" s="4"/>
      <c r="AG472" s="4"/>
      <c r="AH472" s="4"/>
      <c r="AI472" s="4"/>
      <c r="AJ472" s="4"/>
      <c r="AK472" s="4"/>
      <c r="AL472" s="4"/>
      <c r="AP472" s="4"/>
      <c r="AX472" s="4"/>
      <c r="AY472" s="4"/>
      <c r="AZ472" s="4"/>
      <c r="BA472" s="4"/>
      <c r="BB472" s="4"/>
      <c r="BC472" s="4"/>
      <c r="BD472" s="4"/>
      <c r="BE472" s="4"/>
      <c r="BF472" s="4"/>
      <c r="BG472" s="4"/>
      <c r="BI472" s="4"/>
      <c r="BP472" s="4"/>
      <c r="BS472" s="4"/>
      <c r="BW472" s="4"/>
      <c r="BX472" s="4"/>
    </row>
    <row r="473" spans="1:76" ht="12.75" x14ac:dyDescent="0.2">
      <c r="A473" s="4" t="s">
        <v>582</v>
      </c>
      <c r="B473" s="4" t="s">
        <v>77</v>
      </c>
      <c r="C473" s="4" t="s">
        <v>266</v>
      </c>
      <c r="D473" s="4">
        <v>2605</v>
      </c>
      <c r="E473" s="4" t="s">
        <v>3</v>
      </c>
      <c r="F473" s="4" t="s">
        <v>4</v>
      </c>
      <c r="G473" s="113">
        <v>1</v>
      </c>
      <c r="H473" t="s">
        <v>1781</v>
      </c>
      <c r="I473" s="4">
        <v>0.35</v>
      </c>
      <c r="L473" s="4" t="s">
        <v>1597</v>
      </c>
      <c r="M473" s="4" t="s">
        <v>109</v>
      </c>
      <c r="N473" s="4" t="s">
        <v>4</v>
      </c>
      <c r="O473" s="4"/>
      <c r="P473" s="4" t="s">
        <v>1693</v>
      </c>
      <c r="Q473" t="s">
        <v>109</v>
      </c>
      <c r="R473" s="4"/>
      <c r="S473" s="4"/>
      <c r="U473" s="4"/>
      <c r="Y473" s="4"/>
      <c r="Z473" s="4"/>
      <c r="AA473" s="4"/>
      <c r="AB473" s="4"/>
      <c r="AC473" s="4"/>
      <c r="AD473" s="4"/>
      <c r="AE473" s="4"/>
      <c r="AF473" s="4"/>
      <c r="AG473" s="4"/>
      <c r="AH473" s="4"/>
      <c r="AI473" s="4"/>
      <c r="AJ473" s="4"/>
      <c r="AK473" s="4"/>
      <c r="AL473" s="4"/>
      <c r="AP473" s="4"/>
      <c r="AX473" s="4"/>
      <c r="AY473" s="4"/>
      <c r="AZ473" s="4"/>
      <c r="BA473" s="4"/>
      <c r="BB473" s="4"/>
      <c r="BC473" s="4"/>
      <c r="BD473" s="4"/>
      <c r="BE473" s="4"/>
      <c r="BF473" s="4"/>
      <c r="BG473" s="4"/>
      <c r="BI473" s="4"/>
      <c r="BP473" s="4"/>
      <c r="BS473" s="4"/>
      <c r="BW473" s="4"/>
      <c r="BX473" s="4"/>
    </row>
    <row r="474" spans="1:76" ht="12.75" x14ac:dyDescent="0.2">
      <c r="A474" s="4" t="s">
        <v>582</v>
      </c>
      <c r="B474" s="4" t="s">
        <v>253</v>
      </c>
      <c r="C474" s="4" t="s">
        <v>138</v>
      </c>
      <c r="D474" s="4">
        <v>2605</v>
      </c>
      <c r="E474" s="4" t="s">
        <v>3</v>
      </c>
      <c r="F474" s="4" t="s">
        <v>4</v>
      </c>
      <c r="G474" s="113">
        <v>0.5</v>
      </c>
      <c r="H474" t="s">
        <v>1781</v>
      </c>
      <c r="I474" s="4">
        <v>0.35299999999999998</v>
      </c>
      <c r="L474" s="4" t="s">
        <v>1569</v>
      </c>
      <c r="M474" s="4" t="s">
        <v>109</v>
      </c>
      <c r="N474" s="4" t="s">
        <v>4</v>
      </c>
      <c r="O474" s="4"/>
      <c r="P474" s="4" t="s">
        <v>1693</v>
      </c>
      <c r="Q474" t="s">
        <v>109</v>
      </c>
      <c r="R474" s="4"/>
      <c r="S474" s="4"/>
      <c r="U474" s="4"/>
      <c r="Y474" s="4"/>
      <c r="Z474" s="4"/>
      <c r="AA474" s="4"/>
      <c r="AB474" s="4"/>
      <c r="AC474" s="4"/>
      <c r="AD474" s="4"/>
      <c r="AE474" s="4"/>
      <c r="AF474" s="4"/>
      <c r="AG474" s="4"/>
      <c r="AH474" s="4"/>
      <c r="AI474" s="4"/>
      <c r="AJ474" s="4"/>
      <c r="AK474" s="4"/>
      <c r="AL474" s="4"/>
      <c r="AP474" s="4"/>
      <c r="AX474" s="4"/>
      <c r="AY474" s="4"/>
      <c r="AZ474" s="4"/>
      <c r="BA474" s="4"/>
      <c r="BB474" s="4"/>
      <c r="BC474" s="4"/>
      <c r="BD474" s="4"/>
      <c r="BE474" s="4"/>
      <c r="BF474" s="4"/>
      <c r="BG474" s="4"/>
      <c r="BI474" s="4"/>
      <c r="BP474" s="4"/>
      <c r="BS474" s="4"/>
      <c r="BW474" s="4"/>
      <c r="BX474" s="4"/>
    </row>
    <row r="475" spans="1:76" ht="12.75" x14ac:dyDescent="0.2">
      <c r="A475" s="4" t="s">
        <v>1331</v>
      </c>
      <c r="B475" s="4" t="s">
        <v>225</v>
      </c>
      <c r="C475" s="4" t="s">
        <v>111</v>
      </c>
      <c r="D475" s="4">
        <v>2605</v>
      </c>
      <c r="E475" s="4" t="s">
        <v>3</v>
      </c>
      <c r="F475" s="4" t="s">
        <v>4</v>
      </c>
      <c r="G475" s="113">
        <v>1</v>
      </c>
      <c r="H475" t="s">
        <v>1781</v>
      </c>
      <c r="I475" s="4">
        <v>0.38</v>
      </c>
      <c r="L475" s="4" t="s">
        <v>1563</v>
      </c>
      <c r="M475" s="4" t="s">
        <v>109</v>
      </c>
      <c r="N475" s="4" t="s">
        <v>4</v>
      </c>
      <c r="O475" s="4"/>
      <c r="P475" s="4" t="s">
        <v>1693</v>
      </c>
      <c r="Q475" t="s">
        <v>109</v>
      </c>
      <c r="R475" s="4"/>
      <c r="S475" s="4"/>
      <c r="U475" s="4"/>
      <c r="Y475" s="4"/>
      <c r="Z475" s="4"/>
      <c r="AA475" s="4"/>
      <c r="AB475" s="4"/>
      <c r="AC475" s="4"/>
      <c r="AD475" s="4"/>
      <c r="AE475" s="4"/>
      <c r="AF475" s="4"/>
      <c r="AG475" s="4"/>
      <c r="AH475" s="4"/>
      <c r="AI475" s="4"/>
      <c r="AJ475" s="4"/>
      <c r="AK475" s="4"/>
      <c r="AL475" s="4"/>
      <c r="AP475" s="4"/>
      <c r="AX475" s="4"/>
      <c r="AY475" s="4"/>
      <c r="AZ475" s="4"/>
      <c r="BA475" s="4"/>
      <c r="BB475" s="4"/>
      <c r="BC475" s="4"/>
      <c r="BD475" s="4"/>
      <c r="BE475" s="4"/>
      <c r="BF475" s="4"/>
      <c r="BG475" s="4"/>
      <c r="BI475" s="4"/>
      <c r="BP475" s="4"/>
      <c r="BS475" s="4"/>
      <c r="BW475" s="4"/>
      <c r="BX475" s="4"/>
    </row>
    <row r="476" spans="1:76" ht="12.75" x14ac:dyDescent="0.2">
      <c r="A476" s="4" t="s">
        <v>1337</v>
      </c>
      <c r="B476" s="4" t="s">
        <v>225</v>
      </c>
      <c r="C476" s="4" t="s">
        <v>111</v>
      </c>
      <c r="D476" s="4">
        <v>2605</v>
      </c>
      <c r="E476" s="4" t="s">
        <v>3</v>
      </c>
      <c r="F476" s="4" t="s">
        <v>4</v>
      </c>
      <c r="G476" s="113">
        <v>1</v>
      </c>
      <c r="H476" t="s">
        <v>1781</v>
      </c>
      <c r="I476" s="4">
        <v>0.38</v>
      </c>
      <c r="L476" s="4" t="s">
        <v>1563</v>
      </c>
      <c r="M476" s="4" t="s">
        <v>109</v>
      </c>
      <c r="N476" s="4" t="s">
        <v>4</v>
      </c>
      <c r="O476" s="4"/>
      <c r="P476" s="4" t="s">
        <v>1693</v>
      </c>
      <c r="Q476" t="s">
        <v>109</v>
      </c>
      <c r="R476" s="4"/>
      <c r="S476" s="4"/>
      <c r="U476" s="4"/>
      <c r="Y476" s="4"/>
      <c r="Z476" s="4"/>
      <c r="AA476" s="4"/>
      <c r="AB476" s="4"/>
      <c r="AC476" s="4"/>
      <c r="AD476" s="4"/>
      <c r="AE476" s="4"/>
      <c r="AF476" s="4"/>
      <c r="AG476" s="4"/>
      <c r="AH476" s="4"/>
      <c r="AI476" s="4"/>
      <c r="AJ476" s="4"/>
      <c r="AK476" s="4"/>
      <c r="AL476" s="4"/>
      <c r="AP476" s="4"/>
      <c r="AX476" s="4"/>
      <c r="AY476" s="4"/>
      <c r="AZ476" s="4"/>
      <c r="BA476" s="4"/>
      <c r="BB476" s="4"/>
      <c r="BC476" s="4"/>
      <c r="BD476" s="4"/>
      <c r="BE476" s="4"/>
      <c r="BF476" s="4"/>
      <c r="BG476" s="4"/>
      <c r="BI476" s="4"/>
      <c r="BP476" s="4"/>
      <c r="BS476" s="4"/>
      <c r="BW476" s="4"/>
      <c r="BX476" s="4"/>
    </row>
    <row r="477" spans="1:76" ht="12.75" x14ac:dyDescent="0.2">
      <c r="A477" s="4" t="s">
        <v>582</v>
      </c>
      <c r="B477" s="4" t="s">
        <v>253</v>
      </c>
      <c r="C477" s="4" t="s">
        <v>115</v>
      </c>
      <c r="D477" s="4">
        <v>2605</v>
      </c>
      <c r="E477" s="4" t="s">
        <v>3</v>
      </c>
      <c r="F477" s="4" t="s">
        <v>4</v>
      </c>
      <c r="G477" s="113">
        <v>0.5</v>
      </c>
      <c r="H477" t="s">
        <v>1781</v>
      </c>
      <c r="I477" s="4">
        <v>0.40899999999999997</v>
      </c>
      <c r="L477" s="4" t="s">
        <v>1569</v>
      </c>
      <c r="M477" s="4" t="s">
        <v>109</v>
      </c>
      <c r="N477" s="4" t="s">
        <v>4</v>
      </c>
      <c r="O477" s="4"/>
      <c r="P477" s="4" t="s">
        <v>1693</v>
      </c>
      <c r="Q477" t="s">
        <v>109</v>
      </c>
      <c r="R477" s="4"/>
      <c r="S477" s="4"/>
      <c r="U477" s="4"/>
      <c r="Y477" s="4"/>
      <c r="Z477" s="4"/>
      <c r="AA477" s="4"/>
      <c r="AB477" s="4"/>
      <c r="AC477" s="4"/>
      <c r="AD477" s="4"/>
      <c r="AE477" s="4"/>
      <c r="AF477" s="4"/>
      <c r="AG477" s="4"/>
      <c r="AH477" s="4"/>
      <c r="AI477" s="4"/>
      <c r="AJ477" s="4"/>
      <c r="AK477" s="4"/>
      <c r="AL477" s="4"/>
      <c r="AP477" s="4"/>
      <c r="AX477" s="4"/>
      <c r="AY477" s="4"/>
      <c r="AZ477" s="4"/>
      <c r="BA477" s="4"/>
      <c r="BB477" s="4"/>
      <c r="BC477" s="4"/>
      <c r="BD477" s="4"/>
      <c r="BE477" s="4"/>
      <c r="BF477" s="4"/>
      <c r="BG477" s="4"/>
      <c r="BI477" s="4"/>
      <c r="BP477" s="4"/>
      <c r="BS477" s="4"/>
      <c r="BW477" s="4"/>
      <c r="BX477" s="4"/>
    </row>
    <row r="478" spans="1:76" ht="12.75" x14ac:dyDescent="0.2">
      <c r="A478" s="4" t="s">
        <v>581</v>
      </c>
      <c r="B478" s="4" t="s">
        <v>77</v>
      </c>
      <c r="C478" s="4" t="s">
        <v>266</v>
      </c>
      <c r="D478" s="4">
        <v>2605</v>
      </c>
      <c r="E478" s="4" t="s">
        <v>3</v>
      </c>
      <c r="F478" s="4" t="s">
        <v>4</v>
      </c>
      <c r="G478" s="113">
        <v>1</v>
      </c>
      <c r="H478" t="s">
        <v>1781</v>
      </c>
      <c r="I478" s="4">
        <v>0.41</v>
      </c>
      <c r="L478" s="4" t="s">
        <v>1597</v>
      </c>
      <c r="M478" s="4" t="s">
        <v>109</v>
      </c>
      <c r="N478" s="4" t="s">
        <v>4</v>
      </c>
      <c r="O478" s="4"/>
      <c r="P478" s="4" t="s">
        <v>1693</v>
      </c>
      <c r="Q478" t="s">
        <v>109</v>
      </c>
      <c r="R478" s="4"/>
      <c r="S478" s="4"/>
      <c r="U478" s="4"/>
      <c r="Y478" s="4"/>
      <c r="Z478" s="4"/>
      <c r="AA478" s="4"/>
      <c r="AB478" s="4"/>
      <c r="AC478" s="4"/>
      <c r="AD478" s="4"/>
      <c r="AE478" s="4"/>
      <c r="AF478" s="4"/>
      <c r="AG478" s="4"/>
      <c r="AH478" s="4"/>
      <c r="AI478" s="4"/>
      <c r="AJ478" s="4"/>
      <c r="AK478" s="4"/>
      <c r="AL478" s="4"/>
      <c r="AP478" s="4"/>
      <c r="AX478" s="4"/>
      <c r="AY478" s="4"/>
      <c r="AZ478" s="4"/>
      <c r="BA478" s="4"/>
      <c r="BB478" s="4"/>
      <c r="BC478" s="4"/>
      <c r="BD478" s="4"/>
      <c r="BE478" s="4"/>
      <c r="BF478" s="4"/>
      <c r="BG478" s="4"/>
      <c r="BI478" s="4"/>
      <c r="BP478" s="4"/>
      <c r="BS478" s="4"/>
      <c r="BW478" s="4"/>
      <c r="BX478" s="4"/>
    </row>
    <row r="479" spans="1:76" ht="12.75" x14ac:dyDescent="0.2">
      <c r="A479" s="4" t="s">
        <v>570</v>
      </c>
      <c r="B479" s="4" t="s">
        <v>170</v>
      </c>
      <c r="C479" s="4" t="s">
        <v>230</v>
      </c>
      <c r="D479" s="4">
        <v>2605</v>
      </c>
      <c r="E479" s="4" t="s">
        <v>3</v>
      </c>
      <c r="F479" s="4" t="s">
        <v>4</v>
      </c>
      <c r="G479" s="113">
        <v>0.33333333333333331</v>
      </c>
      <c r="H479" t="s">
        <v>1781</v>
      </c>
      <c r="I479" s="4">
        <v>0.49</v>
      </c>
      <c r="L479" s="4" t="s">
        <v>1599</v>
      </c>
      <c r="M479" s="4" t="s">
        <v>109</v>
      </c>
      <c r="N479" s="4" t="s">
        <v>4</v>
      </c>
      <c r="O479" s="4"/>
      <c r="P479" s="4" t="s">
        <v>1693</v>
      </c>
      <c r="Q479" t="s">
        <v>109</v>
      </c>
      <c r="R479" s="4"/>
      <c r="S479" s="4"/>
      <c r="U479" s="4"/>
      <c r="Y479" s="4"/>
      <c r="Z479" s="4"/>
      <c r="AA479" s="4"/>
      <c r="AB479" s="4"/>
      <c r="AC479" s="4"/>
      <c r="AD479" s="4"/>
      <c r="AE479" s="4"/>
      <c r="AF479" s="4"/>
      <c r="AG479" s="4"/>
      <c r="AH479" s="4"/>
      <c r="AI479" s="4"/>
      <c r="AJ479" s="4"/>
      <c r="AK479" s="4"/>
      <c r="AL479" s="4"/>
      <c r="AP479" s="4"/>
      <c r="AX479" s="4"/>
      <c r="AY479" s="4"/>
      <c r="AZ479" s="4"/>
      <c r="BA479" s="4"/>
      <c r="BB479" s="4"/>
      <c r="BC479" s="4"/>
      <c r="BD479" s="4"/>
      <c r="BE479" s="4"/>
      <c r="BF479" s="4"/>
      <c r="BG479" s="4"/>
      <c r="BI479" s="4"/>
      <c r="BP479" s="4"/>
      <c r="BS479" s="4"/>
      <c r="BW479" s="4"/>
      <c r="BX479" s="4"/>
    </row>
    <row r="480" spans="1:76" ht="12.75" x14ac:dyDescent="0.2">
      <c r="A480" s="4" t="s">
        <v>570</v>
      </c>
      <c r="B480" s="4" t="s">
        <v>170</v>
      </c>
      <c r="C480" s="4" t="s">
        <v>230</v>
      </c>
      <c r="D480" s="4">
        <v>2605</v>
      </c>
      <c r="E480" s="4" t="s">
        <v>3</v>
      </c>
      <c r="F480" s="4" t="s">
        <v>4</v>
      </c>
      <c r="G480" s="113">
        <v>0.33333333333333331</v>
      </c>
      <c r="H480" t="s">
        <v>1781</v>
      </c>
      <c r="I480" s="4">
        <v>0.53</v>
      </c>
      <c r="L480" s="4" t="s">
        <v>1599</v>
      </c>
      <c r="M480" s="4" t="s">
        <v>109</v>
      </c>
      <c r="N480" s="4" t="s">
        <v>4</v>
      </c>
      <c r="O480" s="4"/>
      <c r="P480" s="4" t="s">
        <v>1693</v>
      </c>
      <c r="Q480" t="s">
        <v>109</v>
      </c>
      <c r="R480" s="4"/>
      <c r="S480" s="4"/>
      <c r="U480" s="4"/>
      <c r="Y480" s="4"/>
      <c r="Z480" s="4"/>
      <c r="AA480" s="4"/>
      <c r="AB480" s="4"/>
      <c r="AC480" s="4"/>
      <c r="AD480" s="4"/>
      <c r="AE480" s="4"/>
      <c r="AF480" s="4"/>
      <c r="AG480" s="4"/>
      <c r="AH480" s="4"/>
      <c r="AI480" s="4"/>
      <c r="AJ480" s="4"/>
      <c r="AK480" s="4"/>
      <c r="AL480" s="4"/>
      <c r="AP480" s="4"/>
      <c r="AX480" s="4"/>
      <c r="AY480" s="4"/>
      <c r="AZ480" s="4"/>
      <c r="BA480" s="4"/>
      <c r="BB480" s="4"/>
      <c r="BC480" s="4"/>
      <c r="BD480" s="4"/>
      <c r="BE480" s="4"/>
      <c r="BF480" s="4"/>
      <c r="BG480" s="4"/>
      <c r="BI480" s="4"/>
      <c r="BP480" s="4"/>
      <c r="BS480" s="4"/>
      <c r="BW480" s="4"/>
      <c r="BX480" s="4"/>
    </row>
    <row r="481" spans="1:76" ht="12.75" x14ac:dyDescent="0.2">
      <c r="A481" s="4" t="s">
        <v>570</v>
      </c>
      <c r="B481" s="4" t="s">
        <v>170</v>
      </c>
      <c r="C481" s="4" t="s">
        <v>230</v>
      </c>
      <c r="D481" s="4">
        <v>2605</v>
      </c>
      <c r="E481" s="4" t="s">
        <v>3</v>
      </c>
      <c r="F481" s="4" t="s">
        <v>4</v>
      </c>
      <c r="G481" s="113">
        <v>0.33333333333333331</v>
      </c>
      <c r="H481" t="s">
        <v>1781</v>
      </c>
      <c r="I481" s="4">
        <v>0.56000000000000005</v>
      </c>
      <c r="L481" s="4" t="s">
        <v>1599</v>
      </c>
      <c r="M481" s="4" t="s">
        <v>109</v>
      </c>
      <c r="N481" s="4" t="s">
        <v>4</v>
      </c>
      <c r="O481" s="4"/>
      <c r="P481" s="4" t="s">
        <v>1693</v>
      </c>
      <c r="Q481" t="s">
        <v>109</v>
      </c>
      <c r="R481" s="4"/>
      <c r="S481" s="4"/>
      <c r="U481" s="4"/>
      <c r="Y481" s="4"/>
      <c r="Z481" s="4"/>
      <c r="AA481" s="4"/>
      <c r="AB481" s="4"/>
      <c r="AC481" s="4"/>
      <c r="AD481" s="4"/>
      <c r="AE481" s="4"/>
      <c r="AF481" s="4"/>
      <c r="AG481" s="4"/>
      <c r="AH481" s="4"/>
      <c r="AI481" s="4"/>
      <c r="AJ481" s="4"/>
      <c r="AK481" s="4"/>
      <c r="AL481" s="4"/>
      <c r="AP481" s="4"/>
      <c r="AX481" s="4"/>
      <c r="AY481" s="4"/>
      <c r="AZ481" s="4"/>
      <c r="BA481" s="4"/>
      <c r="BB481" s="4"/>
      <c r="BC481" s="4"/>
      <c r="BD481" s="4"/>
      <c r="BE481" s="4"/>
      <c r="BF481" s="4"/>
      <c r="BG481" s="4"/>
      <c r="BI481" s="4"/>
      <c r="BP481" s="4"/>
      <c r="BS481" s="4"/>
      <c r="BW481" s="4"/>
      <c r="BX481" s="4"/>
    </row>
    <row r="482" spans="1:76" ht="12.75" x14ac:dyDescent="0.2">
      <c r="A482" s="4" t="s">
        <v>1329</v>
      </c>
      <c r="B482" s="4" t="s">
        <v>225</v>
      </c>
      <c r="C482" s="4" t="s">
        <v>111</v>
      </c>
      <c r="D482" s="4">
        <v>2605</v>
      </c>
      <c r="E482" s="4" t="s">
        <v>3</v>
      </c>
      <c r="F482" s="4" t="s">
        <v>4</v>
      </c>
      <c r="G482" s="113">
        <v>1</v>
      </c>
      <c r="H482" t="s">
        <v>1781</v>
      </c>
      <c r="I482" s="4">
        <v>0.59</v>
      </c>
      <c r="L482" s="4" t="s">
        <v>1563</v>
      </c>
      <c r="M482" s="4" t="s">
        <v>109</v>
      </c>
      <c r="N482" s="4" t="s">
        <v>4</v>
      </c>
      <c r="O482" s="4"/>
      <c r="P482" s="4" t="s">
        <v>1693</v>
      </c>
      <c r="Q482" t="s">
        <v>109</v>
      </c>
      <c r="R482" s="4"/>
      <c r="S482" s="4"/>
      <c r="U482" s="4"/>
      <c r="Y482" s="4"/>
      <c r="Z482" s="4"/>
      <c r="AA482" s="4"/>
      <c r="AB482" s="4"/>
      <c r="AC482" s="4"/>
      <c r="AD482" s="4"/>
      <c r="AE482" s="4"/>
      <c r="AF482" s="4"/>
      <c r="AG482" s="4"/>
      <c r="AH482" s="4"/>
      <c r="AI482" s="4"/>
      <c r="AJ482" s="4"/>
      <c r="AK482" s="4"/>
      <c r="AL482" s="4"/>
      <c r="AP482" s="4"/>
      <c r="AX482" s="4"/>
      <c r="AY482" s="4"/>
      <c r="AZ482" s="4"/>
      <c r="BA482" s="4"/>
      <c r="BB482" s="4"/>
      <c r="BC482" s="4"/>
      <c r="BD482" s="4"/>
      <c r="BE482" s="4"/>
      <c r="BF482" s="4"/>
      <c r="BG482" s="4"/>
      <c r="BI482" s="4"/>
      <c r="BP482" s="4"/>
      <c r="BS482" s="4"/>
      <c r="BW482" s="4"/>
      <c r="BX482" s="4"/>
    </row>
    <row r="483" spans="1:76" ht="12.75" x14ac:dyDescent="0.2">
      <c r="A483" s="4" t="s">
        <v>1338</v>
      </c>
      <c r="B483" s="4" t="s">
        <v>225</v>
      </c>
      <c r="C483" s="4" t="s">
        <v>111</v>
      </c>
      <c r="D483" s="4">
        <v>2605</v>
      </c>
      <c r="E483" s="4" t="s">
        <v>3</v>
      </c>
      <c r="F483" s="4" t="s">
        <v>4</v>
      </c>
      <c r="G483" s="113">
        <v>1</v>
      </c>
      <c r="H483" t="s">
        <v>1781</v>
      </c>
      <c r="I483" s="4">
        <v>0.63</v>
      </c>
      <c r="L483" s="4" t="s">
        <v>1563</v>
      </c>
      <c r="M483" s="4" t="s">
        <v>109</v>
      </c>
      <c r="N483" s="4" t="s">
        <v>4</v>
      </c>
      <c r="O483" s="4"/>
      <c r="P483" s="4" t="s">
        <v>1693</v>
      </c>
      <c r="Q483" t="s">
        <v>109</v>
      </c>
      <c r="R483" s="4"/>
      <c r="S483" s="4"/>
      <c r="U483" s="4"/>
      <c r="Y483" s="4"/>
      <c r="Z483" s="4"/>
      <c r="AA483" s="4"/>
      <c r="AB483" s="4"/>
      <c r="AC483" s="4"/>
      <c r="AD483" s="4"/>
      <c r="AE483" s="4"/>
      <c r="AF483" s="4"/>
      <c r="AG483" s="4"/>
      <c r="AH483" s="4"/>
      <c r="AI483" s="4"/>
      <c r="AJ483" s="4"/>
      <c r="AK483" s="4"/>
      <c r="AL483" s="4"/>
      <c r="AP483" s="4"/>
      <c r="AX483" s="4"/>
      <c r="AY483" s="4"/>
      <c r="AZ483" s="4"/>
      <c r="BA483" s="4"/>
      <c r="BB483" s="4"/>
      <c r="BC483" s="4"/>
      <c r="BD483" s="4"/>
      <c r="BE483" s="4"/>
      <c r="BF483" s="4"/>
      <c r="BG483" s="4"/>
      <c r="BI483" s="4"/>
      <c r="BP483" s="4"/>
      <c r="BS483" s="4"/>
      <c r="BW483" s="4"/>
      <c r="BX483" s="4"/>
    </row>
    <row r="484" spans="1:76" ht="12.75" x14ac:dyDescent="0.2">
      <c r="A484" s="4" t="s">
        <v>563</v>
      </c>
      <c r="B484" s="4" t="s">
        <v>120</v>
      </c>
      <c r="C484" s="4" t="s">
        <v>111</v>
      </c>
      <c r="D484" s="4">
        <v>2605</v>
      </c>
      <c r="E484" s="4" t="s">
        <v>3</v>
      </c>
      <c r="F484" s="4" t="s">
        <v>4</v>
      </c>
      <c r="G484" s="113">
        <v>1</v>
      </c>
      <c r="H484" t="s">
        <v>1781</v>
      </c>
      <c r="I484" s="4">
        <v>0.65500000000000003</v>
      </c>
      <c r="L484" s="4" t="s">
        <v>1561</v>
      </c>
      <c r="M484" s="4" t="s">
        <v>109</v>
      </c>
      <c r="N484" s="4" t="s">
        <v>4</v>
      </c>
      <c r="O484" s="4"/>
      <c r="P484" s="4" t="s">
        <v>1693</v>
      </c>
      <c r="Q484" t="s">
        <v>109</v>
      </c>
      <c r="R484" s="4"/>
      <c r="S484" s="4"/>
      <c r="U484" s="4"/>
      <c r="Y484" s="4"/>
      <c r="Z484" s="4"/>
      <c r="AA484" s="4"/>
      <c r="AB484" s="4"/>
      <c r="AC484" s="4"/>
      <c r="AD484" s="4"/>
      <c r="AE484" s="4"/>
      <c r="AF484" s="4"/>
      <c r="AG484" s="4"/>
      <c r="AH484" s="4"/>
      <c r="AI484" s="4"/>
      <c r="AJ484" s="4"/>
      <c r="AK484" s="4"/>
      <c r="AL484" s="4"/>
      <c r="AP484" s="4"/>
      <c r="AX484" s="4"/>
      <c r="AY484" s="4"/>
      <c r="AZ484" s="4"/>
      <c r="BA484" s="4"/>
      <c r="BB484" s="4"/>
      <c r="BC484" s="4"/>
      <c r="BD484" s="4"/>
      <c r="BE484" s="4"/>
      <c r="BF484" s="4"/>
      <c r="BG484" s="4"/>
      <c r="BI484" s="4"/>
      <c r="BP484" s="4"/>
      <c r="BS484" s="4"/>
      <c r="BW484" s="4"/>
      <c r="BX484" s="4"/>
    </row>
    <row r="485" spans="1:76" ht="12.75" x14ac:dyDescent="0.2">
      <c r="A485" s="4" t="s">
        <v>1333</v>
      </c>
      <c r="B485" s="4" t="s">
        <v>225</v>
      </c>
      <c r="C485" s="4" t="s">
        <v>111</v>
      </c>
      <c r="D485" s="4">
        <v>2605</v>
      </c>
      <c r="E485" s="4" t="s">
        <v>3</v>
      </c>
      <c r="F485" s="4" t="s">
        <v>4</v>
      </c>
      <c r="G485" s="113">
        <v>1</v>
      </c>
      <c r="H485" t="s">
        <v>1781</v>
      </c>
      <c r="I485" s="4">
        <v>0.66</v>
      </c>
      <c r="L485" s="4" t="s">
        <v>1563</v>
      </c>
      <c r="M485" s="4" t="s">
        <v>109</v>
      </c>
      <c r="N485" s="4" t="s">
        <v>4</v>
      </c>
      <c r="O485" s="4"/>
      <c r="P485" s="4" t="s">
        <v>1693</v>
      </c>
      <c r="Q485" t="s">
        <v>109</v>
      </c>
      <c r="R485" s="4"/>
      <c r="S485" s="4"/>
      <c r="U485" s="4"/>
      <c r="Y485" s="4"/>
      <c r="Z485" s="4"/>
      <c r="AA485" s="4"/>
      <c r="AB485" s="4"/>
      <c r="AC485" s="4"/>
      <c r="AD485" s="4"/>
      <c r="AE485" s="4"/>
      <c r="AF485" s="4"/>
      <c r="AG485" s="4"/>
      <c r="AH485" s="4"/>
      <c r="AI485" s="4"/>
      <c r="AJ485" s="4"/>
      <c r="AK485" s="4"/>
      <c r="AL485" s="4"/>
      <c r="AP485" s="4"/>
      <c r="AX485" s="4"/>
      <c r="AY485" s="4"/>
      <c r="AZ485" s="4"/>
      <c r="BA485" s="4"/>
      <c r="BB485" s="4"/>
      <c r="BC485" s="4"/>
      <c r="BD485" s="4"/>
      <c r="BE485" s="4"/>
      <c r="BF485" s="4"/>
      <c r="BG485" s="4"/>
      <c r="BI485" s="4"/>
      <c r="BP485" s="4"/>
      <c r="BS485" s="4"/>
      <c r="BW485" s="4"/>
      <c r="BX485" s="4"/>
    </row>
    <row r="486" spans="1:76" ht="12.75" x14ac:dyDescent="0.2">
      <c r="A486" s="4" t="s">
        <v>1340</v>
      </c>
      <c r="B486" s="4" t="s">
        <v>225</v>
      </c>
      <c r="C486" s="4" t="s">
        <v>111</v>
      </c>
      <c r="D486" s="4">
        <v>2605</v>
      </c>
      <c r="E486" s="4" t="s">
        <v>3</v>
      </c>
      <c r="F486" s="4" t="s">
        <v>4</v>
      </c>
      <c r="G486" s="113">
        <v>1</v>
      </c>
      <c r="H486" t="s">
        <v>1781</v>
      </c>
      <c r="I486" s="4">
        <v>1.17</v>
      </c>
      <c r="L486" s="4" t="s">
        <v>1563</v>
      </c>
      <c r="M486" s="4" t="s">
        <v>109</v>
      </c>
      <c r="N486" s="4" t="s">
        <v>4</v>
      </c>
      <c r="O486" s="4"/>
      <c r="P486" s="4" t="s">
        <v>1693</v>
      </c>
      <c r="Q486" t="s">
        <v>109</v>
      </c>
      <c r="R486" s="4"/>
      <c r="S486" s="4"/>
      <c r="U486" s="4"/>
      <c r="Y486" s="4"/>
      <c r="Z486" s="4"/>
      <c r="AA486" s="4"/>
      <c r="AB486" s="4"/>
      <c r="AC486" s="4"/>
      <c r="AD486" s="4"/>
      <c r="AE486" s="4"/>
      <c r="AF486" s="4"/>
      <c r="AG486" s="4"/>
      <c r="AH486" s="4"/>
      <c r="AI486" s="4"/>
      <c r="AJ486" s="4"/>
      <c r="AK486" s="4"/>
      <c r="AL486" s="4"/>
      <c r="AP486" s="4"/>
      <c r="AX486" s="4"/>
      <c r="AY486" s="4"/>
      <c r="AZ486" s="4"/>
      <c r="BA486" s="4"/>
      <c r="BB486" s="4"/>
      <c r="BC486" s="4"/>
      <c r="BD486" s="4"/>
      <c r="BE486" s="4"/>
      <c r="BF486" s="4"/>
      <c r="BG486" s="4"/>
      <c r="BI486" s="4"/>
      <c r="BP486" s="4"/>
      <c r="BS486" s="4"/>
      <c r="BW486" s="4"/>
      <c r="BX486" s="4"/>
    </row>
    <row r="487" spans="1:76" ht="12.75" x14ac:dyDescent="0.2">
      <c r="A487" s="4" t="s">
        <v>1646</v>
      </c>
      <c r="B487" s="4" t="s">
        <v>225</v>
      </c>
      <c r="C487" s="4" t="s">
        <v>111</v>
      </c>
      <c r="D487" s="4">
        <v>2605</v>
      </c>
      <c r="E487" s="4" t="s">
        <v>3</v>
      </c>
      <c r="F487" s="4" t="s">
        <v>4</v>
      </c>
      <c r="G487" s="113">
        <v>1</v>
      </c>
      <c r="H487" t="s">
        <v>1781</v>
      </c>
      <c r="I487" s="4">
        <v>1.37</v>
      </c>
      <c r="L487" s="4" t="s">
        <v>1563</v>
      </c>
      <c r="M487" s="4" t="s">
        <v>109</v>
      </c>
      <c r="N487" s="4" t="s">
        <v>4</v>
      </c>
      <c r="O487" s="4"/>
      <c r="P487" s="4" t="s">
        <v>1693</v>
      </c>
      <c r="Q487" t="s">
        <v>109</v>
      </c>
      <c r="R487" s="4"/>
      <c r="S487" s="4"/>
      <c r="U487" s="4"/>
      <c r="Y487" s="4"/>
      <c r="Z487" s="4"/>
      <c r="AA487" s="4"/>
      <c r="AB487" s="4"/>
      <c r="AC487" s="4"/>
      <c r="AD487" s="4"/>
      <c r="AE487" s="4"/>
      <c r="AF487" s="4"/>
      <c r="AG487" s="4"/>
      <c r="AH487" s="4"/>
      <c r="AI487" s="4"/>
      <c r="AJ487" s="4"/>
      <c r="AK487" s="4"/>
      <c r="AL487" s="4"/>
      <c r="AP487" s="4"/>
      <c r="AX487" s="4"/>
      <c r="AY487" s="4"/>
      <c r="AZ487" s="4"/>
      <c r="BA487" s="4"/>
      <c r="BB487" s="4"/>
      <c r="BC487" s="4"/>
      <c r="BD487" s="4"/>
      <c r="BE487" s="4"/>
      <c r="BF487" s="4"/>
      <c r="BG487" s="4"/>
      <c r="BI487" s="4"/>
      <c r="BP487" s="4"/>
      <c r="BS487" s="4"/>
      <c r="BW487" s="4"/>
      <c r="BX487" s="4"/>
    </row>
    <row r="488" spans="1:76" ht="12.75" x14ac:dyDescent="0.2">
      <c r="A488" s="4" t="s">
        <v>1339</v>
      </c>
      <c r="B488" s="4" t="s">
        <v>225</v>
      </c>
      <c r="C488" s="4" t="s">
        <v>111</v>
      </c>
      <c r="D488" s="4">
        <v>2605</v>
      </c>
      <c r="E488" s="4" t="s">
        <v>3</v>
      </c>
      <c r="F488" s="4" t="s">
        <v>4</v>
      </c>
      <c r="G488" s="113">
        <v>1</v>
      </c>
      <c r="H488" t="s">
        <v>1781</v>
      </c>
      <c r="I488" s="4">
        <v>1.38</v>
      </c>
      <c r="L488" s="4" t="s">
        <v>1563</v>
      </c>
      <c r="M488" s="4" t="s">
        <v>109</v>
      </c>
      <c r="N488" s="4" t="s">
        <v>4</v>
      </c>
      <c r="O488" s="4"/>
      <c r="P488" s="4" t="s">
        <v>1693</v>
      </c>
      <c r="Q488" t="s">
        <v>109</v>
      </c>
      <c r="R488" s="4"/>
      <c r="S488" s="4"/>
      <c r="U488" s="4"/>
      <c r="Y488" s="4"/>
      <c r="Z488" s="4"/>
      <c r="AA488" s="4"/>
      <c r="AB488" s="4"/>
      <c r="AC488" s="4"/>
      <c r="AD488" s="4"/>
      <c r="AE488" s="4"/>
      <c r="AF488" s="4"/>
      <c r="AG488" s="4"/>
      <c r="AH488" s="4"/>
      <c r="AI488" s="4"/>
      <c r="AJ488" s="4"/>
      <c r="AK488" s="4"/>
      <c r="AL488" s="4"/>
      <c r="AP488" s="4"/>
      <c r="AX488" s="4"/>
      <c r="AY488" s="4"/>
      <c r="AZ488" s="4"/>
      <c r="BA488" s="4"/>
      <c r="BB488" s="4"/>
      <c r="BC488" s="4"/>
      <c r="BD488" s="4"/>
      <c r="BE488" s="4"/>
      <c r="BF488" s="4"/>
      <c r="BG488" s="4"/>
      <c r="BI488" s="4"/>
      <c r="BP488" s="4"/>
      <c r="BS488" s="4"/>
      <c r="BW488" s="4"/>
      <c r="BX488" s="4"/>
    </row>
    <row r="489" spans="1:76" ht="12.75" x14ac:dyDescent="0.2">
      <c r="A489" s="4" t="s">
        <v>582</v>
      </c>
      <c r="B489" s="4" t="s">
        <v>225</v>
      </c>
      <c r="C489" s="4" t="s">
        <v>111</v>
      </c>
      <c r="D489" s="4">
        <v>2605</v>
      </c>
      <c r="E489" s="4" t="s">
        <v>3</v>
      </c>
      <c r="F489" s="4" t="s">
        <v>4</v>
      </c>
      <c r="G489" s="113">
        <v>1</v>
      </c>
      <c r="H489" t="s">
        <v>1781</v>
      </c>
      <c r="I489" s="4">
        <v>1.73</v>
      </c>
      <c r="L489" s="4" t="s">
        <v>1563</v>
      </c>
      <c r="M489" s="4" t="s">
        <v>109</v>
      </c>
      <c r="N489" s="4" t="s">
        <v>4</v>
      </c>
      <c r="O489" s="4"/>
      <c r="P489" s="4" t="s">
        <v>1693</v>
      </c>
      <c r="Q489" t="s">
        <v>109</v>
      </c>
      <c r="R489" s="4"/>
      <c r="S489" s="4"/>
      <c r="U489" s="4"/>
      <c r="Y489" s="4"/>
      <c r="Z489" s="4"/>
      <c r="AA489" s="4"/>
      <c r="AB489" s="4"/>
      <c r="AC489" s="4"/>
      <c r="AD489" s="4"/>
      <c r="AE489" s="4"/>
      <c r="AF489" s="4"/>
      <c r="AG489" s="4"/>
      <c r="AH489" s="4"/>
      <c r="AI489" s="4"/>
      <c r="AJ489" s="4"/>
      <c r="AK489" s="4"/>
      <c r="AL489" s="4"/>
      <c r="AP489" s="4"/>
      <c r="AX489" s="4"/>
      <c r="AY489" s="4"/>
      <c r="AZ489" s="4"/>
      <c r="BA489" s="4"/>
      <c r="BB489" s="4"/>
      <c r="BC489" s="4"/>
      <c r="BD489" s="4"/>
      <c r="BE489" s="4"/>
      <c r="BF489" s="4"/>
      <c r="BG489" s="4"/>
      <c r="BI489" s="4"/>
      <c r="BP489" s="4"/>
      <c r="BS489" s="4"/>
      <c r="BW489" s="4"/>
      <c r="BX489" s="4"/>
    </row>
    <row r="490" spans="1:76" ht="12.75" x14ac:dyDescent="0.2">
      <c r="A490" s="4" t="s">
        <v>569</v>
      </c>
      <c r="B490" s="4" t="s">
        <v>225</v>
      </c>
      <c r="C490" s="4" t="s">
        <v>111</v>
      </c>
      <c r="D490" s="4">
        <v>2605</v>
      </c>
      <c r="E490" s="4" t="s">
        <v>3</v>
      </c>
      <c r="F490" s="4" t="s">
        <v>4</v>
      </c>
      <c r="G490" s="113">
        <v>1</v>
      </c>
      <c r="H490" t="s">
        <v>1781</v>
      </c>
      <c r="I490" s="4">
        <v>2.1467889908256876</v>
      </c>
      <c r="L490" s="4" t="s">
        <v>1600</v>
      </c>
      <c r="M490" s="4" t="s">
        <v>109</v>
      </c>
      <c r="N490" s="4" t="s">
        <v>4</v>
      </c>
      <c r="O490" s="4"/>
      <c r="P490" s="4" t="s">
        <v>1693</v>
      </c>
      <c r="Q490" t="s">
        <v>109</v>
      </c>
      <c r="R490" s="4"/>
      <c r="S490" s="4"/>
      <c r="U490" s="4"/>
      <c r="Y490" s="4"/>
      <c r="Z490" s="4"/>
      <c r="AA490" s="4"/>
      <c r="AB490" s="4"/>
      <c r="AC490" s="4"/>
      <c r="AD490" s="4"/>
      <c r="AE490" s="4"/>
      <c r="AF490" s="4"/>
      <c r="AG490" s="4"/>
      <c r="AH490" s="4"/>
      <c r="AI490" s="4"/>
      <c r="AJ490" s="4"/>
      <c r="AK490" s="4"/>
      <c r="AL490" s="4"/>
      <c r="AP490" s="4"/>
      <c r="AX490" s="4"/>
      <c r="AY490" s="4"/>
      <c r="AZ490" s="4"/>
      <c r="BA490" s="4"/>
      <c r="BB490" s="4"/>
      <c r="BC490" s="4"/>
      <c r="BD490" s="4"/>
      <c r="BE490" s="4"/>
      <c r="BF490" s="4"/>
      <c r="BG490" s="4"/>
      <c r="BI490" s="4"/>
      <c r="BP490" s="4"/>
      <c r="BS490" s="4"/>
      <c r="BW490" s="4"/>
      <c r="BX490" s="4"/>
    </row>
    <row r="491" spans="1:76" ht="12.75" x14ac:dyDescent="0.2">
      <c r="A491" s="4" t="s">
        <v>568</v>
      </c>
      <c r="B491" s="4" t="s">
        <v>225</v>
      </c>
      <c r="C491" s="4" t="s">
        <v>111</v>
      </c>
      <c r="D491" s="4">
        <v>2605</v>
      </c>
      <c r="E491" s="4" t="s">
        <v>3</v>
      </c>
      <c r="F491" s="4" t="s">
        <v>4</v>
      </c>
      <c r="G491" s="113">
        <v>1</v>
      </c>
      <c r="H491" t="s">
        <v>1781</v>
      </c>
      <c r="I491" s="4">
        <v>2.2971014492753628</v>
      </c>
      <c r="L491" s="4" t="s">
        <v>1600</v>
      </c>
      <c r="M491" s="4" t="s">
        <v>109</v>
      </c>
      <c r="N491" s="4" t="s">
        <v>4</v>
      </c>
      <c r="O491" s="4"/>
      <c r="P491" s="4" t="s">
        <v>1693</v>
      </c>
      <c r="Q491" t="s">
        <v>109</v>
      </c>
      <c r="R491" s="4"/>
      <c r="S491" s="4"/>
      <c r="U491" s="4"/>
      <c r="Y491" s="4"/>
      <c r="Z491" s="4"/>
      <c r="AA491" s="4"/>
      <c r="AB491" s="4"/>
      <c r="AC491" s="4"/>
      <c r="AD491" s="4"/>
      <c r="AE491" s="4"/>
      <c r="AF491" s="4"/>
      <c r="AG491" s="4"/>
      <c r="AH491" s="4"/>
      <c r="AI491" s="4"/>
      <c r="AJ491" s="4"/>
      <c r="AK491" s="4"/>
      <c r="AL491" s="4"/>
      <c r="AP491" s="4"/>
      <c r="AX491" s="4"/>
      <c r="AY491" s="4"/>
      <c r="AZ491" s="4"/>
      <c r="BA491" s="4"/>
      <c r="BB491" s="4"/>
      <c r="BC491" s="4"/>
      <c r="BD491" s="4"/>
      <c r="BE491" s="4"/>
      <c r="BF491" s="4"/>
      <c r="BG491" s="4"/>
      <c r="BI491" s="4"/>
      <c r="BP491" s="4"/>
      <c r="BS491" s="4"/>
      <c r="BW491" s="4"/>
      <c r="BX491" s="4"/>
    </row>
    <row r="492" spans="1:76" ht="12.75" x14ac:dyDescent="0.2">
      <c r="A492" s="4" t="s">
        <v>1528</v>
      </c>
      <c r="B492" s="4" t="s">
        <v>225</v>
      </c>
      <c r="C492" s="4" t="s">
        <v>111</v>
      </c>
      <c r="D492" s="4">
        <v>2605</v>
      </c>
      <c r="E492" s="4" t="s">
        <v>3</v>
      </c>
      <c r="F492" s="4" t="s">
        <v>4</v>
      </c>
      <c r="G492" s="113">
        <v>1</v>
      </c>
      <c r="H492" t="s">
        <v>1781</v>
      </c>
      <c r="I492" s="4">
        <v>2.46</v>
      </c>
      <c r="L492" s="4" t="s">
        <v>1563</v>
      </c>
      <c r="M492" s="4" t="s">
        <v>109</v>
      </c>
      <c r="N492" s="4" t="s">
        <v>4</v>
      </c>
      <c r="O492" s="4"/>
      <c r="P492" s="4" t="s">
        <v>1693</v>
      </c>
      <c r="Q492" t="s">
        <v>109</v>
      </c>
      <c r="R492" s="4"/>
      <c r="S492" s="4"/>
      <c r="U492" s="4"/>
      <c r="Y492" s="4"/>
      <c r="Z492" s="4"/>
      <c r="AA492" s="4"/>
      <c r="AB492" s="4"/>
      <c r="AC492" s="4"/>
      <c r="AD492" s="4"/>
      <c r="AE492" s="4"/>
      <c r="AF492" s="4"/>
      <c r="AG492" s="4"/>
      <c r="AH492" s="4"/>
      <c r="AI492" s="4"/>
      <c r="AJ492" s="4"/>
      <c r="AK492" s="4"/>
      <c r="AL492" s="4"/>
      <c r="AP492" s="4"/>
      <c r="AX492" s="4"/>
      <c r="AY492" s="4"/>
      <c r="AZ492" s="4"/>
      <c r="BA492" s="4"/>
      <c r="BB492" s="4"/>
      <c r="BC492" s="4"/>
      <c r="BD492" s="4"/>
      <c r="BE492" s="4"/>
      <c r="BF492" s="4"/>
      <c r="BG492" s="4"/>
      <c r="BI492" s="4"/>
      <c r="BP492" s="4"/>
      <c r="BS492" s="4"/>
      <c r="BW492" s="4"/>
      <c r="BX492" s="4"/>
    </row>
    <row r="493" spans="1:76" ht="12.75" x14ac:dyDescent="0.2">
      <c r="A493" s="4" t="s">
        <v>1326</v>
      </c>
      <c r="B493" s="4" t="s">
        <v>225</v>
      </c>
      <c r="C493" s="4" t="s">
        <v>111</v>
      </c>
      <c r="D493" s="4">
        <v>2605</v>
      </c>
      <c r="E493" s="4" t="s">
        <v>3</v>
      </c>
      <c r="F493" s="4" t="s">
        <v>4</v>
      </c>
      <c r="G493" s="113">
        <v>1</v>
      </c>
      <c r="H493" t="s">
        <v>1781</v>
      </c>
      <c r="I493" s="4">
        <v>2.54</v>
      </c>
      <c r="L493" s="4" t="s">
        <v>1563</v>
      </c>
      <c r="M493" s="4" t="s">
        <v>109</v>
      </c>
      <c r="N493" s="4" t="s">
        <v>4</v>
      </c>
      <c r="O493" s="4"/>
      <c r="P493" s="4" t="s">
        <v>1693</v>
      </c>
      <c r="Q493" t="s">
        <v>109</v>
      </c>
      <c r="R493" s="4"/>
      <c r="S493" s="4"/>
      <c r="U493" s="4"/>
      <c r="Y493" s="4"/>
      <c r="Z493" s="4"/>
      <c r="AA493" s="4"/>
      <c r="AB493" s="4"/>
      <c r="AC493" s="4"/>
      <c r="AD493" s="4"/>
      <c r="AE493" s="4"/>
      <c r="AF493" s="4"/>
      <c r="AG493" s="4"/>
      <c r="AH493" s="4"/>
      <c r="AI493" s="4"/>
      <c r="AJ493" s="4"/>
      <c r="AK493" s="4"/>
      <c r="AL493" s="4"/>
      <c r="AP493" s="4"/>
      <c r="AX493" s="4"/>
      <c r="AY493" s="4"/>
      <c r="AZ493" s="4"/>
      <c r="BA493" s="4"/>
      <c r="BB493" s="4"/>
      <c r="BC493" s="4"/>
      <c r="BD493" s="4"/>
      <c r="BE493" s="4"/>
      <c r="BF493" s="4"/>
      <c r="BG493" s="4"/>
      <c r="BI493" s="4"/>
      <c r="BP493" s="4"/>
      <c r="BS493" s="4"/>
      <c r="BW493" s="4"/>
      <c r="BX493" s="4"/>
    </row>
    <row r="494" spans="1:76" ht="12.75" x14ac:dyDescent="0.2">
      <c r="A494" s="4" t="s">
        <v>1335</v>
      </c>
      <c r="B494" s="4" t="s">
        <v>225</v>
      </c>
      <c r="C494" s="4" t="s">
        <v>111</v>
      </c>
      <c r="D494" s="4">
        <v>2605</v>
      </c>
      <c r="E494" s="4" t="s">
        <v>3</v>
      </c>
      <c r="F494" s="4" t="s">
        <v>4</v>
      </c>
      <c r="G494" s="113">
        <v>1</v>
      </c>
      <c r="H494" t="s">
        <v>1781</v>
      </c>
      <c r="I494" s="4">
        <v>3.94</v>
      </c>
      <c r="L494" s="4" t="s">
        <v>1563</v>
      </c>
      <c r="M494" s="4" t="s">
        <v>109</v>
      </c>
      <c r="N494" s="4" t="s">
        <v>4</v>
      </c>
      <c r="O494" s="4"/>
      <c r="P494" s="4" t="s">
        <v>1693</v>
      </c>
      <c r="Q494" t="s">
        <v>109</v>
      </c>
      <c r="R494" s="4"/>
      <c r="S494" s="4"/>
      <c r="U494" s="4"/>
      <c r="Y494" s="4"/>
      <c r="Z494" s="4"/>
      <c r="AA494" s="4"/>
      <c r="AB494" s="4"/>
      <c r="AC494" s="4"/>
      <c r="AD494" s="4"/>
      <c r="AE494" s="4"/>
      <c r="AF494" s="4"/>
      <c r="AG494" s="4"/>
      <c r="AH494" s="4"/>
      <c r="AI494" s="4"/>
      <c r="AJ494" s="4"/>
      <c r="AK494" s="4"/>
      <c r="AL494" s="4"/>
      <c r="AP494" s="4"/>
      <c r="AX494" s="4"/>
      <c r="AY494" s="4"/>
      <c r="AZ494" s="4"/>
      <c r="BA494" s="4"/>
      <c r="BB494" s="4"/>
      <c r="BC494" s="4"/>
      <c r="BD494" s="4"/>
      <c r="BE494" s="4"/>
      <c r="BF494" s="4"/>
      <c r="BG494" s="4"/>
      <c r="BI494" s="4"/>
      <c r="BP494" s="4"/>
      <c r="BS494" s="4"/>
      <c r="BW494" s="4"/>
      <c r="BX494" s="4"/>
    </row>
    <row r="495" spans="1:76" ht="12.75" x14ac:dyDescent="0.2">
      <c r="A495" s="4" t="s">
        <v>350</v>
      </c>
      <c r="B495" s="4" t="s">
        <v>314</v>
      </c>
      <c r="C495" s="4" t="s">
        <v>101</v>
      </c>
      <c r="D495" s="4">
        <v>2611</v>
      </c>
      <c r="E495" s="4" t="s">
        <v>27</v>
      </c>
      <c r="F495" s="4" t="s">
        <v>896</v>
      </c>
      <c r="G495" s="113">
        <v>0.5</v>
      </c>
      <c r="H495" t="s">
        <v>1781</v>
      </c>
      <c r="I495" s="4">
        <v>0.04</v>
      </c>
      <c r="L495" s="4" t="s">
        <v>1602</v>
      </c>
      <c r="M495" s="4" t="s">
        <v>109</v>
      </c>
      <c r="N495" s="4" t="s">
        <v>28</v>
      </c>
      <c r="O495" s="4" t="s">
        <v>1232</v>
      </c>
      <c r="P495" s="4" t="s">
        <v>1693</v>
      </c>
      <c r="Q495" t="s">
        <v>109</v>
      </c>
      <c r="R495" s="4"/>
      <c r="S495" s="4"/>
      <c r="U495" s="4"/>
      <c r="Y495" s="4"/>
      <c r="Z495" s="4"/>
      <c r="AA495" s="4"/>
      <c r="AB495" s="4"/>
      <c r="AC495" s="4"/>
      <c r="AD495" s="4"/>
      <c r="AE495" s="4"/>
      <c r="AF495" s="4"/>
      <c r="AG495" s="4"/>
      <c r="AH495" s="4"/>
      <c r="AI495" s="4"/>
      <c r="AJ495" s="4"/>
      <c r="AK495" s="4"/>
      <c r="AL495" s="4"/>
      <c r="AP495" s="4"/>
      <c r="AX495" s="4"/>
      <c r="AY495" s="4"/>
      <c r="AZ495" s="4"/>
      <c r="BA495" s="4"/>
      <c r="BB495" s="4"/>
      <c r="BC495" s="4"/>
      <c r="BD495" s="4"/>
      <c r="BE495" s="4"/>
      <c r="BF495" s="4"/>
      <c r="BG495" s="4"/>
      <c r="BI495" s="4"/>
      <c r="BP495" s="4"/>
      <c r="BS495" s="4"/>
      <c r="BW495" s="4"/>
      <c r="BX495" s="4"/>
    </row>
    <row r="496" spans="1:76" ht="12.75" x14ac:dyDescent="0.2">
      <c r="A496" s="4" t="s">
        <v>350</v>
      </c>
      <c r="B496" s="4" t="s">
        <v>351</v>
      </c>
      <c r="C496" s="4" t="s">
        <v>101</v>
      </c>
      <c r="D496" s="4">
        <v>2611</v>
      </c>
      <c r="E496" s="4" t="s">
        <v>27</v>
      </c>
      <c r="F496" s="4" t="s">
        <v>896</v>
      </c>
      <c r="G496" s="113">
        <v>0.33333333333333331</v>
      </c>
      <c r="H496" t="s">
        <v>1781</v>
      </c>
      <c r="I496" s="4">
        <v>7.4999999999999997E-2</v>
      </c>
      <c r="L496" s="4" t="s">
        <v>1601</v>
      </c>
      <c r="M496" s="4" t="s">
        <v>109</v>
      </c>
      <c r="N496" s="4" t="s">
        <v>28</v>
      </c>
      <c r="O496" s="4" t="s">
        <v>1232</v>
      </c>
      <c r="P496" s="4" t="s">
        <v>1693</v>
      </c>
      <c r="Q496" t="s">
        <v>109</v>
      </c>
      <c r="R496" s="4"/>
      <c r="S496" s="4"/>
      <c r="U496" s="4"/>
      <c r="Y496" s="4"/>
      <c r="Z496" s="4"/>
      <c r="AA496" s="4"/>
      <c r="AB496" s="4"/>
      <c r="AC496" s="4"/>
      <c r="AD496" s="4"/>
      <c r="AE496" s="4"/>
      <c r="AF496" s="4"/>
      <c r="AG496" s="4"/>
      <c r="AH496" s="4"/>
      <c r="AI496" s="4"/>
      <c r="AJ496" s="4"/>
      <c r="AK496" s="4"/>
      <c r="AL496" s="4"/>
      <c r="AP496" s="4"/>
      <c r="AX496" s="4"/>
      <c r="AY496" s="4"/>
      <c r="AZ496" s="4"/>
      <c r="BA496" s="4"/>
      <c r="BB496" s="4"/>
      <c r="BC496" s="4"/>
      <c r="BD496" s="4"/>
      <c r="BE496" s="4"/>
      <c r="BF496" s="4"/>
      <c r="BG496" s="4"/>
      <c r="BI496" s="4"/>
      <c r="BP496" s="4"/>
      <c r="BS496" s="4"/>
      <c r="BW496" s="4"/>
      <c r="BX496" s="4"/>
    </row>
    <row r="497" spans="1:76" ht="12.75" x14ac:dyDescent="0.2">
      <c r="A497" s="4" t="s">
        <v>350</v>
      </c>
      <c r="B497" s="4" t="s">
        <v>77</v>
      </c>
      <c r="C497" s="4" t="s">
        <v>266</v>
      </c>
      <c r="D497" s="4">
        <v>2611</v>
      </c>
      <c r="E497" s="4" t="s">
        <v>27</v>
      </c>
      <c r="F497" s="4" t="s">
        <v>896</v>
      </c>
      <c r="G497" s="113">
        <v>1</v>
      </c>
      <c r="H497" t="s">
        <v>1781</v>
      </c>
      <c r="I497" s="4">
        <v>0.1</v>
      </c>
      <c r="L497" s="4" t="s">
        <v>1597</v>
      </c>
      <c r="M497" s="4" t="s">
        <v>109</v>
      </c>
      <c r="N497" s="4" t="s">
        <v>28</v>
      </c>
      <c r="O497" s="4" t="s">
        <v>1232</v>
      </c>
      <c r="P497" s="4" t="s">
        <v>1693</v>
      </c>
      <c r="Q497" t="s">
        <v>109</v>
      </c>
      <c r="R497" s="4"/>
      <c r="S497" s="4"/>
      <c r="U497" s="4"/>
      <c r="Y497" s="4"/>
      <c r="Z497" s="4"/>
      <c r="AA497" s="4"/>
      <c r="AB497" s="4"/>
      <c r="AC497" s="4"/>
      <c r="AD497" s="4"/>
      <c r="AE497" s="4"/>
      <c r="AF497" s="4"/>
      <c r="AG497" s="4"/>
      <c r="AH497" s="4"/>
      <c r="AI497" s="4"/>
      <c r="AJ497" s="4"/>
      <c r="AK497" s="4"/>
      <c r="AL497" s="4"/>
      <c r="AP497" s="4"/>
      <c r="AX497" s="4"/>
      <c r="AY497" s="4"/>
      <c r="AZ497" s="4"/>
      <c r="BA497" s="4"/>
      <c r="BB497" s="4"/>
      <c r="BC497" s="4"/>
      <c r="BD497" s="4"/>
      <c r="BE497" s="4"/>
      <c r="BF497" s="4"/>
      <c r="BG497" s="4"/>
      <c r="BI497" s="4"/>
      <c r="BP497" s="4"/>
      <c r="BS497" s="4"/>
      <c r="BW497" s="4"/>
      <c r="BX497" s="4"/>
    </row>
    <row r="498" spans="1:76" ht="12.75" x14ac:dyDescent="0.2">
      <c r="A498" s="4" t="s">
        <v>350</v>
      </c>
      <c r="B498" s="4" t="s">
        <v>351</v>
      </c>
      <c r="C498" s="4" t="s">
        <v>101</v>
      </c>
      <c r="D498" s="4">
        <v>2611</v>
      </c>
      <c r="E498" s="4" t="s">
        <v>27</v>
      </c>
      <c r="F498" s="4" t="s">
        <v>896</v>
      </c>
      <c r="G498" s="113">
        <v>0.33333333333333331</v>
      </c>
      <c r="H498" t="s">
        <v>1781</v>
      </c>
      <c r="I498" s="4">
        <v>0.10100000000000001</v>
      </c>
      <c r="L498" s="4" t="s">
        <v>1601</v>
      </c>
      <c r="M498" s="4" t="s">
        <v>109</v>
      </c>
      <c r="N498" s="4" t="s">
        <v>28</v>
      </c>
      <c r="O498" s="4" t="s">
        <v>1232</v>
      </c>
      <c r="P498" s="4" t="s">
        <v>1693</v>
      </c>
      <c r="Q498" t="s">
        <v>109</v>
      </c>
      <c r="R498" s="4"/>
      <c r="S498" s="4"/>
      <c r="U498" s="4"/>
      <c r="Y498" s="4"/>
      <c r="Z498" s="4"/>
      <c r="AA498" s="4"/>
      <c r="AB498" s="4"/>
      <c r="AC498" s="4"/>
      <c r="AD498" s="4"/>
      <c r="AE498" s="4"/>
      <c r="AF498" s="4"/>
      <c r="AG498" s="4"/>
      <c r="AH498" s="4"/>
      <c r="AI498" s="4"/>
      <c r="AJ498" s="4"/>
      <c r="AK498" s="4"/>
      <c r="AL498" s="4"/>
      <c r="AP498" s="4"/>
      <c r="AX498" s="4"/>
      <c r="AY498" s="4"/>
      <c r="AZ498" s="4"/>
      <c r="BA498" s="4"/>
      <c r="BB498" s="4"/>
      <c r="BC498" s="4"/>
      <c r="BD498" s="4"/>
      <c r="BE498" s="4"/>
      <c r="BF498" s="4"/>
      <c r="BG498" s="4"/>
      <c r="BI498" s="4"/>
      <c r="BP498" s="4"/>
      <c r="BS498" s="4"/>
      <c r="BW498" s="4"/>
      <c r="BX498" s="4"/>
    </row>
    <row r="499" spans="1:76" ht="12.75" x14ac:dyDescent="0.2">
      <c r="A499" s="4" t="s">
        <v>350</v>
      </c>
      <c r="B499" s="4" t="s">
        <v>351</v>
      </c>
      <c r="C499" s="4" t="s">
        <v>138</v>
      </c>
      <c r="D499" s="4">
        <v>2611</v>
      </c>
      <c r="E499" s="4" t="s">
        <v>27</v>
      </c>
      <c r="F499" s="4" t="s">
        <v>896</v>
      </c>
      <c r="G499" s="113">
        <v>0.33333333333333331</v>
      </c>
      <c r="H499" t="s">
        <v>1781</v>
      </c>
      <c r="I499" s="4">
        <v>0.112</v>
      </c>
      <c r="L499" s="4" t="s">
        <v>1601</v>
      </c>
      <c r="M499" s="4" t="s">
        <v>109</v>
      </c>
      <c r="N499" s="4" t="s">
        <v>28</v>
      </c>
      <c r="O499" s="4" t="s">
        <v>1232</v>
      </c>
      <c r="P499" s="4" t="s">
        <v>1693</v>
      </c>
      <c r="Q499" t="s">
        <v>109</v>
      </c>
      <c r="R499" s="4"/>
      <c r="S499" s="4"/>
      <c r="U499" s="4"/>
      <c r="Y499" s="4"/>
      <c r="Z499" s="4"/>
      <c r="AA499" s="4"/>
      <c r="AB499" s="4"/>
      <c r="AC499" s="4"/>
      <c r="AD499" s="4"/>
      <c r="AE499" s="4"/>
      <c r="AF499" s="4"/>
      <c r="AG499" s="4"/>
      <c r="AH499" s="4"/>
      <c r="AI499" s="4"/>
      <c r="AJ499" s="4"/>
      <c r="AK499" s="4"/>
      <c r="AL499" s="4"/>
      <c r="AP499" s="4"/>
      <c r="AX499" s="4"/>
      <c r="AY499" s="4"/>
      <c r="AZ499" s="4"/>
      <c r="BA499" s="4"/>
      <c r="BB499" s="4"/>
      <c r="BC499" s="4"/>
      <c r="BD499" s="4"/>
      <c r="BE499" s="4"/>
      <c r="BF499" s="4"/>
      <c r="BG499" s="4"/>
      <c r="BI499" s="4"/>
      <c r="BP499" s="4"/>
      <c r="BS499" s="4"/>
      <c r="BW499" s="4"/>
      <c r="BX499" s="4"/>
    </row>
    <row r="500" spans="1:76" ht="12.75" x14ac:dyDescent="0.2">
      <c r="A500" s="4" t="s">
        <v>348</v>
      </c>
      <c r="B500" s="4" t="s">
        <v>77</v>
      </c>
      <c r="C500" s="4" t="s">
        <v>266</v>
      </c>
      <c r="D500" s="4">
        <v>2611</v>
      </c>
      <c r="E500" s="4" t="s">
        <v>27</v>
      </c>
      <c r="F500" s="4" t="s">
        <v>896</v>
      </c>
      <c r="G500" s="113">
        <v>1</v>
      </c>
      <c r="H500" t="s">
        <v>1781</v>
      </c>
      <c r="I500" s="4">
        <v>0.12</v>
      </c>
      <c r="L500" s="4" t="s">
        <v>1597</v>
      </c>
      <c r="M500" s="4" t="s">
        <v>109</v>
      </c>
      <c r="N500" s="4" t="s">
        <v>28</v>
      </c>
      <c r="O500" s="4" t="s">
        <v>1232</v>
      </c>
      <c r="P500" s="4" t="s">
        <v>1693</v>
      </c>
      <c r="Q500" t="s">
        <v>109</v>
      </c>
      <c r="R500" s="4"/>
      <c r="S500" s="4"/>
      <c r="U500" s="4"/>
      <c r="Y500" s="4"/>
      <c r="Z500" s="4"/>
      <c r="AA500" s="4"/>
      <c r="AB500" s="4"/>
      <c r="AC500" s="4"/>
      <c r="AD500" s="4"/>
      <c r="AE500" s="4"/>
      <c r="AF500" s="4"/>
      <c r="AG500" s="4"/>
      <c r="AH500" s="4"/>
      <c r="AI500" s="4"/>
      <c r="AJ500" s="4"/>
      <c r="AK500" s="4"/>
      <c r="AL500" s="4"/>
      <c r="AP500" s="4"/>
      <c r="AX500" s="4"/>
      <c r="AY500" s="4"/>
      <c r="AZ500" s="4"/>
      <c r="BA500" s="4"/>
      <c r="BB500" s="4"/>
      <c r="BC500" s="4"/>
      <c r="BD500" s="4"/>
      <c r="BE500" s="4"/>
      <c r="BF500" s="4"/>
      <c r="BG500" s="4"/>
      <c r="BI500" s="4"/>
      <c r="BP500" s="4"/>
      <c r="BS500" s="4"/>
      <c r="BW500" s="4"/>
      <c r="BX500" s="4"/>
    </row>
    <row r="501" spans="1:76" ht="12.75" x14ac:dyDescent="0.2">
      <c r="A501" s="4" t="s">
        <v>350</v>
      </c>
      <c r="B501" s="4" t="s">
        <v>314</v>
      </c>
      <c r="C501" s="4" t="s">
        <v>111</v>
      </c>
      <c r="D501" s="4">
        <v>2611</v>
      </c>
      <c r="E501" s="4" t="s">
        <v>27</v>
      </c>
      <c r="F501" s="4" t="s">
        <v>896</v>
      </c>
      <c r="G501" s="113">
        <v>0.5</v>
      </c>
      <c r="H501" t="s">
        <v>1781</v>
      </c>
      <c r="I501" s="4">
        <v>0.13</v>
      </c>
      <c r="L501" s="4" t="s">
        <v>1602</v>
      </c>
      <c r="M501" s="4" t="s">
        <v>109</v>
      </c>
      <c r="N501" s="4" t="s">
        <v>28</v>
      </c>
      <c r="O501" s="4" t="s">
        <v>1232</v>
      </c>
      <c r="P501" s="4" t="s">
        <v>1693</v>
      </c>
      <c r="Q501" t="s">
        <v>109</v>
      </c>
      <c r="R501" s="4"/>
      <c r="S501" s="4"/>
      <c r="U501" s="4"/>
      <c r="Y501" s="4"/>
      <c r="Z501" s="4"/>
      <c r="AA501" s="4"/>
      <c r="AB501" s="4"/>
      <c r="AC501" s="4"/>
      <c r="AD501" s="4"/>
      <c r="AE501" s="4"/>
      <c r="AF501" s="4"/>
      <c r="AG501" s="4"/>
      <c r="AH501" s="4"/>
      <c r="AI501" s="4"/>
      <c r="AJ501" s="4"/>
      <c r="AK501" s="4"/>
      <c r="AL501" s="4"/>
      <c r="AP501" s="4"/>
      <c r="AX501" s="4"/>
      <c r="AY501" s="4"/>
      <c r="AZ501" s="4"/>
      <c r="BA501" s="4"/>
      <c r="BB501" s="4"/>
      <c r="BC501" s="4"/>
      <c r="BD501" s="4"/>
      <c r="BE501" s="4"/>
      <c r="BF501" s="4"/>
      <c r="BG501" s="4"/>
      <c r="BI501" s="4"/>
      <c r="BP501" s="4"/>
      <c r="BS501" s="4"/>
      <c r="BW501" s="4"/>
      <c r="BX501" s="4"/>
    </row>
    <row r="502" spans="1:76" ht="12.75" x14ac:dyDescent="0.2">
      <c r="A502" s="4" t="s">
        <v>361</v>
      </c>
      <c r="B502" s="4" t="s">
        <v>143</v>
      </c>
      <c r="C502" s="4" t="s">
        <v>111</v>
      </c>
      <c r="D502" s="4">
        <v>2611</v>
      </c>
      <c r="E502" s="4" t="s">
        <v>27</v>
      </c>
      <c r="F502" s="4" t="s">
        <v>896</v>
      </c>
      <c r="G502" s="113">
        <v>1</v>
      </c>
      <c r="H502" t="s">
        <v>1781</v>
      </c>
      <c r="I502" s="4">
        <v>0.14000000000000001</v>
      </c>
      <c r="L502" s="4" t="s">
        <v>1603</v>
      </c>
      <c r="M502" s="4" t="s">
        <v>109</v>
      </c>
      <c r="N502" s="4" t="s">
        <v>28</v>
      </c>
      <c r="O502" s="4" t="s">
        <v>1232</v>
      </c>
      <c r="P502" s="4" t="s">
        <v>1693</v>
      </c>
      <c r="Q502" t="s">
        <v>109</v>
      </c>
      <c r="R502" s="4"/>
      <c r="S502" s="4"/>
      <c r="U502" s="4"/>
      <c r="Y502" s="4"/>
      <c r="Z502" s="4"/>
      <c r="AA502" s="4"/>
      <c r="AB502" s="4"/>
      <c r="AC502" s="4"/>
      <c r="AD502" s="4"/>
      <c r="AE502" s="4"/>
      <c r="AF502" s="4"/>
      <c r="AG502" s="4"/>
      <c r="AH502" s="4"/>
      <c r="AI502" s="4"/>
      <c r="AJ502" s="4"/>
      <c r="AK502" s="4"/>
      <c r="AL502" s="4"/>
      <c r="AP502" s="4"/>
      <c r="AX502" s="4"/>
      <c r="AY502" s="4"/>
      <c r="AZ502" s="4"/>
      <c r="BA502" s="4"/>
      <c r="BB502" s="4"/>
      <c r="BC502" s="4"/>
      <c r="BD502" s="4"/>
      <c r="BE502" s="4"/>
      <c r="BF502" s="4"/>
      <c r="BG502" s="4"/>
      <c r="BI502" s="4"/>
      <c r="BP502" s="4"/>
      <c r="BS502" s="4"/>
      <c r="BW502" s="4"/>
      <c r="BX502" s="4"/>
    </row>
    <row r="503" spans="1:76" ht="12.75" x14ac:dyDescent="0.2">
      <c r="A503" s="4" t="s">
        <v>1318</v>
      </c>
      <c r="B503" s="4" t="s">
        <v>77</v>
      </c>
      <c r="C503" s="4" t="s">
        <v>111</v>
      </c>
      <c r="D503" s="4">
        <v>2611</v>
      </c>
      <c r="E503" s="4" t="s">
        <v>27</v>
      </c>
      <c r="F503" s="4" t="s">
        <v>896</v>
      </c>
      <c r="G503" s="113">
        <v>0.5</v>
      </c>
      <c r="H503" t="s">
        <v>1781</v>
      </c>
      <c r="I503" s="4">
        <v>0.152</v>
      </c>
      <c r="L503" s="4" t="s">
        <v>1570</v>
      </c>
      <c r="M503" s="4" t="s">
        <v>109</v>
      </c>
      <c r="N503" s="4" t="s">
        <v>28</v>
      </c>
      <c r="O503" s="4" t="s">
        <v>1232</v>
      </c>
      <c r="P503" s="4" t="s">
        <v>1693</v>
      </c>
      <c r="Q503" t="s">
        <v>109</v>
      </c>
      <c r="R503" s="4"/>
      <c r="S503" s="4"/>
      <c r="U503" s="4"/>
      <c r="Y503" s="4"/>
      <c r="Z503" s="4"/>
      <c r="AA503" s="4"/>
      <c r="AB503" s="4"/>
      <c r="AC503" s="4"/>
      <c r="AD503" s="4"/>
      <c r="AE503" s="4"/>
      <c r="AF503" s="4"/>
      <c r="AG503" s="4"/>
      <c r="AH503" s="4"/>
      <c r="AI503" s="4"/>
      <c r="AJ503" s="4"/>
      <c r="AK503" s="4"/>
      <c r="AL503" s="4"/>
      <c r="AP503" s="4"/>
      <c r="AX503" s="4"/>
      <c r="AY503" s="4"/>
      <c r="AZ503" s="4"/>
      <c r="BA503" s="4"/>
      <c r="BB503" s="4"/>
      <c r="BC503" s="4"/>
      <c r="BD503" s="4"/>
      <c r="BE503" s="4"/>
      <c r="BF503" s="4"/>
      <c r="BG503" s="4"/>
      <c r="BI503" s="4"/>
      <c r="BP503" s="4"/>
      <c r="BS503" s="4"/>
      <c r="BW503" s="4"/>
      <c r="BX503" s="4"/>
    </row>
    <row r="504" spans="1:76" ht="12.75" x14ac:dyDescent="0.2">
      <c r="A504" s="4" t="s">
        <v>1318</v>
      </c>
      <c r="B504" s="4" t="s">
        <v>77</v>
      </c>
      <c r="C504" s="4" t="s">
        <v>115</v>
      </c>
      <c r="D504" s="4">
        <v>2611</v>
      </c>
      <c r="E504" s="4" t="s">
        <v>27</v>
      </c>
      <c r="F504" s="4" t="s">
        <v>896</v>
      </c>
      <c r="G504" s="113">
        <v>0.5</v>
      </c>
      <c r="H504" t="s">
        <v>1781</v>
      </c>
      <c r="I504" s="4">
        <v>0.154</v>
      </c>
      <c r="L504" s="4" t="s">
        <v>1570</v>
      </c>
      <c r="M504" s="4" t="s">
        <v>109</v>
      </c>
      <c r="N504" s="4" t="s">
        <v>28</v>
      </c>
      <c r="O504" s="4" t="s">
        <v>1232</v>
      </c>
      <c r="P504" s="4" t="s">
        <v>1693</v>
      </c>
      <c r="Q504" t="s">
        <v>109</v>
      </c>
      <c r="R504" s="4"/>
      <c r="S504" s="4"/>
      <c r="U504" s="4"/>
      <c r="Y504" s="4"/>
      <c r="Z504" s="4"/>
      <c r="AA504" s="4"/>
      <c r="AB504" s="4"/>
      <c r="AC504" s="4"/>
      <c r="AD504" s="4"/>
      <c r="AE504" s="4"/>
      <c r="AF504" s="4"/>
      <c r="AG504" s="4"/>
      <c r="AH504" s="4"/>
      <c r="AI504" s="4"/>
      <c r="AJ504" s="4"/>
      <c r="AK504" s="4"/>
      <c r="AL504" s="4"/>
      <c r="AP504" s="4"/>
      <c r="AX504" s="4"/>
      <c r="AY504" s="4"/>
      <c r="AZ504" s="4"/>
      <c r="BA504" s="4"/>
      <c r="BB504" s="4"/>
      <c r="BC504" s="4"/>
      <c r="BD504" s="4"/>
      <c r="BE504" s="4"/>
      <c r="BF504" s="4"/>
      <c r="BG504" s="4"/>
      <c r="BI504" s="4"/>
      <c r="BP504" s="4"/>
      <c r="BS504" s="4"/>
      <c r="BW504" s="4"/>
      <c r="BX504" s="4"/>
    </row>
    <row r="505" spans="1:76" ht="12.75" x14ac:dyDescent="0.2">
      <c r="A505" s="4" t="s">
        <v>348</v>
      </c>
      <c r="B505" s="4" t="s">
        <v>120</v>
      </c>
      <c r="C505" s="4" t="s">
        <v>111</v>
      </c>
      <c r="D505" s="4">
        <v>2611</v>
      </c>
      <c r="E505" s="4" t="s">
        <v>27</v>
      </c>
      <c r="F505" s="4" t="s">
        <v>896</v>
      </c>
      <c r="G505" s="113">
        <v>1</v>
      </c>
      <c r="H505" t="s">
        <v>1781</v>
      </c>
      <c r="I505" s="4">
        <v>0.50700000000000001</v>
      </c>
      <c r="L505" s="4" t="s">
        <v>1561</v>
      </c>
      <c r="M505" s="4" t="s">
        <v>109</v>
      </c>
      <c r="N505" s="4" t="s">
        <v>28</v>
      </c>
      <c r="O505" s="4" t="s">
        <v>1232</v>
      </c>
      <c r="P505" s="4" t="s">
        <v>1693</v>
      </c>
      <c r="Q505" t="s">
        <v>109</v>
      </c>
      <c r="R505" s="4"/>
      <c r="S505" s="4"/>
      <c r="U505" s="4"/>
      <c r="Y505" s="4"/>
      <c r="Z505" s="4"/>
      <c r="AA505" s="4"/>
      <c r="AB505" s="4"/>
      <c r="AC505" s="4"/>
      <c r="AD505" s="4"/>
      <c r="AE505" s="4"/>
      <c r="AF505" s="4"/>
      <c r="AG505" s="4"/>
      <c r="AH505" s="4"/>
      <c r="AI505" s="4"/>
      <c r="AJ505" s="4"/>
      <c r="AK505" s="4"/>
      <c r="AL505" s="4"/>
      <c r="AP505" s="4"/>
      <c r="AX505" s="4"/>
      <c r="AY505" s="4"/>
      <c r="AZ505" s="4"/>
      <c r="BA505" s="4"/>
      <c r="BB505" s="4"/>
      <c r="BC505" s="4"/>
      <c r="BD505" s="4"/>
      <c r="BE505" s="4"/>
      <c r="BF505" s="4"/>
      <c r="BG505" s="4"/>
      <c r="BI505" s="4"/>
      <c r="BP505" s="4"/>
      <c r="BS505" s="4"/>
      <c r="BW505" s="4"/>
      <c r="BX505" s="4"/>
    </row>
    <row r="506" spans="1:76" ht="12.75" x14ac:dyDescent="0.2">
      <c r="A506" s="4" t="s">
        <v>265</v>
      </c>
      <c r="B506" s="4" t="s">
        <v>314</v>
      </c>
      <c r="C506" s="4" t="s">
        <v>101</v>
      </c>
      <c r="D506" s="4">
        <v>2612</v>
      </c>
      <c r="E506" s="4" t="s">
        <v>33</v>
      </c>
      <c r="F506" s="4" t="s">
        <v>896</v>
      </c>
      <c r="G506" s="113">
        <v>0.5</v>
      </c>
      <c r="H506" t="s">
        <v>1781</v>
      </c>
      <c r="I506" s="4">
        <v>0.04</v>
      </c>
      <c r="L506" s="4" t="s">
        <v>1602</v>
      </c>
      <c r="M506" s="4" t="s">
        <v>109</v>
      </c>
      <c r="N506" s="4" t="s">
        <v>28</v>
      </c>
      <c r="O506" s="4" t="s">
        <v>1232</v>
      </c>
      <c r="P506" s="4" t="s">
        <v>1693</v>
      </c>
      <c r="Q506" t="s">
        <v>109</v>
      </c>
      <c r="R506" s="4"/>
      <c r="S506" s="4"/>
      <c r="U506" s="4"/>
      <c r="Y506" s="4"/>
      <c r="Z506" s="4"/>
      <c r="AA506" s="4"/>
      <c r="AB506" s="4"/>
      <c r="AC506" s="4"/>
      <c r="AD506" s="4"/>
      <c r="AE506" s="4"/>
      <c r="AF506" s="4"/>
      <c r="AG506" s="4"/>
      <c r="AH506" s="4"/>
      <c r="AI506" s="4"/>
      <c r="AJ506" s="4"/>
      <c r="AK506" s="4"/>
      <c r="AL506" s="4"/>
      <c r="AP506" s="4"/>
      <c r="AX506" s="4"/>
      <c r="AY506" s="4"/>
      <c r="AZ506" s="4"/>
      <c r="BA506" s="4"/>
      <c r="BB506" s="4"/>
      <c r="BC506" s="4"/>
      <c r="BD506" s="4"/>
      <c r="BE506" s="4"/>
      <c r="BF506" s="4"/>
      <c r="BG506" s="4"/>
      <c r="BI506" s="4"/>
      <c r="BP506" s="4"/>
      <c r="BS506" s="4"/>
      <c r="BW506" s="4"/>
      <c r="BX506" s="4"/>
    </row>
    <row r="507" spans="1:76" ht="12.75" x14ac:dyDescent="0.2">
      <c r="A507" s="4" t="s">
        <v>265</v>
      </c>
      <c r="B507" s="4" t="s">
        <v>77</v>
      </c>
      <c r="C507" s="4" t="s">
        <v>266</v>
      </c>
      <c r="D507" s="4">
        <v>2612</v>
      </c>
      <c r="E507" s="4" t="s">
        <v>33</v>
      </c>
      <c r="F507" s="4" t="s">
        <v>896</v>
      </c>
      <c r="G507" s="113">
        <v>1</v>
      </c>
      <c r="H507" t="s">
        <v>1781</v>
      </c>
      <c r="I507" s="4">
        <v>0.08</v>
      </c>
      <c r="L507" s="4" t="s">
        <v>1597</v>
      </c>
      <c r="M507" s="4" t="s">
        <v>109</v>
      </c>
      <c r="N507" s="4" t="s">
        <v>28</v>
      </c>
      <c r="O507" s="4" t="s">
        <v>1232</v>
      </c>
      <c r="P507" s="4" t="s">
        <v>1693</v>
      </c>
      <c r="Q507" t="s">
        <v>109</v>
      </c>
      <c r="R507" s="4"/>
      <c r="S507" s="4"/>
      <c r="U507" s="4"/>
      <c r="Y507" s="4"/>
      <c r="Z507" s="4"/>
      <c r="AA507" s="4"/>
      <c r="AB507" s="4"/>
      <c r="AC507" s="4"/>
      <c r="AD507" s="4"/>
      <c r="AE507" s="4"/>
      <c r="AF507" s="4"/>
      <c r="AG507" s="4"/>
      <c r="AH507" s="4"/>
      <c r="AI507" s="4"/>
      <c r="AJ507" s="4"/>
      <c r="AK507" s="4"/>
      <c r="AL507" s="4"/>
      <c r="AP507" s="4"/>
      <c r="AX507" s="4"/>
      <c r="AY507" s="4"/>
      <c r="AZ507" s="4"/>
      <c r="BA507" s="4"/>
      <c r="BB507" s="4"/>
      <c r="BC507" s="4"/>
      <c r="BD507" s="4"/>
      <c r="BE507" s="4"/>
      <c r="BF507" s="4"/>
      <c r="BG507" s="4"/>
      <c r="BI507" s="4"/>
      <c r="BP507" s="4"/>
      <c r="BS507" s="4"/>
      <c r="BW507" s="4"/>
      <c r="BX507" s="4"/>
    </row>
    <row r="508" spans="1:76" ht="12.75" x14ac:dyDescent="0.2">
      <c r="A508" s="4" t="s">
        <v>265</v>
      </c>
      <c r="B508" s="4" t="s">
        <v>314</v>
      </c>
      <c r="C508" s="4" t="s">
        <v>111</v>
      </c>
      <c r="D508" s="4">
        <v>2612</v>
      </c>
      <c r="E508" s="4" t="s">
        <v>33</v>
      </c>
      <c r="F508" s="4" t="s">
        <v>896</v>
      </c>
      <c r="G508" s="113">
        <v>0.5</v>
      </c>
      <c r="H508" t="s">
        <v>1781</v>
      </c>
      <c r="I508" s="4">
        <v>0.12</v>
      </c>
      <c r="L508" s="4" t="s">
        <v>1602</v>
      </c>
      <c r="M508" s="4" t="s">
        <v>109</v>
      </c>
      <c r="N508" s="4" t="s">
        <v>28</v>
      </c>
      <c r="O508" s="4" t="s">
        <v>1232</v>
      </c>
      <c r="P508" s="4" t="s">
        <v>1693</v>
      </c>
      <c r="Q508" t="s">
        <v>109</v>
      </c>
      <c r="R508" s="4"/>
      <c r="S508" s="4"/>
      <c r="U508" s="4"/>
      <c r="Y508" s="4"/>
      <c r="Z508" s="4"/>
      <c r="AA508" s="4"/>
      <c r="AB508" s="4"/>
      <c r="AC508" s="4"/>
      <c r="AD508" s="4"/>
      <c r="AE508" s="4"/>
      <c r="AF508" s="4"/>
      <c r="AG508" s="4"/>
      <c r="AH508" s="4"/>
      <c r="AI508" s="4"/>
      <c r="AJ508" s="4"/>
      <c r="AK508" s="4"/>
      <c r="AL508" s="4"/>
      <c r="AP508" s="4"/>
      <c r="AX508" s="4"/>
      <c r="AY508" s="4"/>
      <c r="AZ508" s="4"/>
      <c r="BA508" s="4"/>
      <c r="BB508" s="4"/>
      <c r="BC508" s="4"/>
      <c r="BD508" s="4"/>
      <c r="BE508" s="4"/>
      <c r="BF508" s="4"/>
      <c r="BG508" s="4"/>
      <c r="BI508" s="4"/>
      <c r="BP508" s="4"/>
      <c r="BS508" s="4"/>
      <c r="BW508" s="4"/>
      <c r="BX508" s="4"/>
    </row>
    <row r="509" spans="1:76" ht="12.75" x14ac:dyDescent="0.2">
      <c r="A509" s="4" t="s">
        <v>1317</v>
      </c>
      <c r="B509" s="4" t="s">
        <v>77</v>
      </c>
      <c r="C509" s="4" t="s">
        <v>101</v>
      </c>
      <c r="D509" s="4">
        <v>2615</v>
      </c>
      <c r="E509" s="4" t="s">
        <v>29</v>
      </c>
      <c r="F509" s="4" t="s">
        <v>896</v>
      </c>
      <c r="G509" s="113">
        <v>0.5</v>
      </c>
      <c r="H509" t="s">
        <v>1781</v>
      </c>
      <c r="I509" s="4">
        <v>0.15</v>
      </c>
      <c r="L509" s="4" t="s">
        <v>1570</v>
      </c>
      <c r="M509" s="4" t="s">
        <v>109</v>
      </c>
      <c r="N509" s="4" t="s">
        <v>28</v>
      </c>
      <c r="O509" s="4"/>
      <c r="P509" s="4" t="s">
        <v>1693</v>
      </c>
      <c r="Q509" t="s">
        <v>109</v>
      </c>
      <c r="R509" s="4"/>
      <c r="S509" s="4"/>
      <c r="U509" s="4"/>
      <c r="Y509" s="4"/>
      <c r="Z509" s="4"/>
      <c r="AA509" s="4"/>
      <c r="AB509" s="4"/>
      <c r="AC509" s="4"/>
      <c r="AD509" s="4"/>
      <c r="AE509" s="4"/>
      <c r="AF509" s="4"/>
      <c r="AG509" s="4"/>
      <c r="AH509" s="4"/>
      <c r="AI509" s="4"/>
      <c r="AJ509" s="4"/>
      <c r="AK509" s="4"/>
      <c r="AL509" s="4"/>
      <c r="AP509" s="4"/>
      <c r="AX509" s="4"/>
      <c r="AY509" s="4"/>
      <c r="AZ509" s="4"/>
      <c r="BA509" s="4"/>
      <c r="BB509" s="4"/>
      <c r="BC509" s="4"/>
      <c r="BD509" s="4"/>
      <c r="BE509" s="4"/>
      <c r="BF509" s="4"/>
      <c r="BG509" s="4"/>
      <c r="BI509" s="4"/>
      <c r="BP509" s="4"/>
      <c r="BS509" s="4"/>
      <c r="BW509" s="4"/>
      <c r="BX509" s="4"/>
    </row>
    <row r="510" spans="1:76" ht="12.75" x14ac:dyDescent="0.2">
      <c r="A510" s="4" t="s">
        <v>148</v>
      </c>
      <c r="B510" s="4" t="s">
        <v>149</v>
      </c>
      <c r="C510" s="4" t="s">
        <v>111</v>
      </c>
      <c r="D510" s="4">
        <v>2615</v>
      </c>
      <c r="E510" s="4" t="s">
        <v>29</v>
      </c>
      <c r="F510" s="4" t="s">
        <v>896</v>
      </c>
      <c r="G510" s="113">
        <v>0.33333333333333331</v>
      </c>
      <c r="H510" t="s">
        <v>1781</v>
      </c>
      <c r="I510" s="4">
        <v>0.21099999999999999</v>
      </c>
      <c r="L510" s="4" t="s">
        <v>1604</v>
      </c>
      <c r="M510" s="4" t="s">
        <v>109</v>
      </c>
      <c r="N510" s="4" t="s">
        <v>28</v>
      </c>
      <c r="O510" s="4"/>
      <c r="P510" s="4" t="s">
        <v>1693</v>
      </c>
      <c r="Q510" t="s">
        <v>109</v>
      </c>
      <c r="R510" s="4"/>
      <c r="S510" s="4"/>
      <c r="U510" s="4"/>
      <c r="Y510" s="4"/>
      <c r="Z510" s="4"/>
      <c r="AA510" s="4"/>
      <c r="AB510" s="4"/>
      <c r="AC510" s="4"/>
      <c r="AD510" s="4"/>
      <c r="AE510" s="4"/>
      <c r="AF510" s="4"/>
      <c r="AG510" s="4"/>
      <c r="AH510" s="4"/>
      <c r="AI510" s="4"/>
      <c r="AJ510" s="4"/>
      <c r="AK510" s="4"/>
      <c r="AL510" s="4"/>
      <c r="AP510" s="4"/>
      <c r="AX510" s="4"/>
      <c r="AY510" s="4"/>
      <c r="AZ510" s="4"/>
      <c r="BA510" s="4"/>
      <c r="BB510" s="4"/>
      <c r="BC510" s="4"/>
      <c r="BD510" s="4"/>
      <c r="BE510" s="4"/>
      <c r="BF510" s="4"/>
      <c r="BG510" s="4"/>
      <c r="BI510" s="4"/>
      <c r="BP510" s="4"/>
      <c r="BS510" s="4"/>
      <c r="BW510" s="4"/>
      <c r="BX510" s="4"/>
    </row>
    <row r="511" spans="1:76" ht="12.75" x14ac:dyDescent="0.2">
      <c r="A511" s="4" t="s">
        <v>148</v>
      </c>
      <c r="B511" s="4" t="s">
        <v>149</v>
      </c>
      <c r="C511" s="4" t="s">
        <v>111</v>
      </c>
      <c r="D511" s="4">
        <v>2615</v>
      </c>
      <c r="E511" s="4" t="s">
        <v>29</v>
      </c>
      <c r="F511" s="4" t="s">
        <v>896</v>
      </c>
      <c r="G511" s="113">
        <v>0.33333333333333331</v>
      </c>
      <c r="H511" t="s">
        <v>1781</v>
      </c>
      <c r="I511" s="4">
        <v>0.24099999999999999</v>
      </c>
      <c r="L511" s="4" t="s">
        <v>1604</v>
      </c>
      <c r="M511" s="4" t="s">
        <v>109</v>
      </c>
      <c r="N511" s="4" t="s">
        <v>28</v>
      </c>
      <c r="O511" s="4"/>
      <c r="P511" s="4" t="s">
        <v>1693</v>
      </c>
      <c r="Q511" t="s">
        <v>109</v>
      </c>
      <c r="R511" s="4"/>
      <c r="S511" s="4"/>
      <c r="U511" s="4"/>
      <c r="Y511" s="4"/>
      <c r="Z511" s="4"/>
      <c r="AA511" s="4"/>
      <c r="AB511" s="4"/>
      <c r="AC511" s="4"/>
      <c r="AD511" s="4"/>
      <c r="AE511" s="4"/>
      <c r="AF511" s="4"/>
      <c r="AG511" s="4"/>
      <c r="AH511" s="4"/>
      <c r="AI511" s="4"/>
      <c r="AJ511" s="4"/>
      <c r="AK511" s="4"/>
      <c r="AL511" s="4"/>
      <c r="AP511" s="4"/>
      <c r="AX511" s="4"/>
      <c r="AY511" s="4"/>
      <c r="AZ511" s="4"/>
      <c r="BA511" s="4"/>
      <c r="BB511" s="4"/>
      <c r="BC511" s="4"/>
      <c r="BD511" s="4"/>
      <c r="BE511" s="4"/>
      <c r="BF511" s="4"/>
      <c r="BG511" s="4"/>
      <c r="BI511" s="4"/>
      <c r="BP511" s="4"/>
      <c r="BS511" s="4"/>
      <c r="BW511" s="4"/>
      <c r="BX511" s="4"/>
    </row>
    <row r="512" spans="1:76" ht="12.75" x14ac:dyDescent="0.2">
      <c r="A512" s="4" t="s">
        <v>148</v>
      </c>
      <c r="B512" s="4" t="s">
        <v>149</v>
      </c>
      <c r="C512" s="4" t="s">
        <v>111</v>
      </c>
      <c r="D512" s="4">
        <v>2615</v>
      </c>
      <c r="E512" s="4" t="s">
        <v>29</v>
      </c>
      <c r="F512" s="4" t="s">
        <v>896</v>
      </c>
      <c r="G512" s="113">
        <v>0.33333333333333331</v>
      </c>
      <c r="H512" t="s">
        <v>1781</v>
      </c>
      <c r="I512" s="4">
        <v>0.26500000000000001</v>
      </c>
      <c r="L512" s="4" t="s">
        <v>1604</v>
      </c>
      <c r="M512" s="4" t="s">
        <v>109</v>
      </c>
      <c r="N512" s="4" t="s">
        <v>28</v>
      </c>
      <c r="O512" s="4"/>
      <c r="P512" s="4" t="s">
        <v>1693</v>
      </c>
      <c r="Q512" t="s">
        <v>109</v>
      </c>
      <c r="R512" s="4"/>
      <c r="S512" s="4"/>
      <c r="U512" s="4"/>
      <c r="Y512" s="4"/>
      <c r="Z512" s="4"/>
      <c r="AA512" s="4"/>
      <c r="AB512" s="4"/>
      <c r="AC512" s="4"/>
      <c r="AD512" s="4"/>
      <c r="AE512" s="4"/>
      <c r="AF512" s="4"/>
      <c r="AG512" s="4"/>
      <c r="AH512" s="4"/>
      <c r="AI512" s="4"/>
      <c r="AJ512" s="4"/>
      <c r="AK512" s="4"/>
      <c r="AL512" s="4"/>
      <c r="AP512" s="4"/>
      <c r="AX512" s="4"/>
      <c r="AY512" s="4"/>
      <c r="AZ512" s="4"/>
      <c r="BA512" s="4"/>
      <c r="BB512" s="4"/>
      <c r="BC512" s="4"/>
      <c r="BD512" s="4"/>
      <c r="BE512" s="4"/>
      <c r="BF512" s="4"/>
      <c r="BG512" s="4"/>
      <c r="BI512" s="4"/>
      <c r="BP512" s="4"/>
      <c r="BS512" s="4"/>
      <c r="BW512" s="4"/>
      <c r="BX512" s="4"/>
    </row>
    <row r="513" spans="1:76" ht="12.75" x14ac:dyDescent="0.2">
      <c r="A513" s="4" t="s">
        <v>148</v>
      </c>
      <c r="B513" s="4" t="s">
        <v>143</v>
      </c>
      <c r="C513" s="4" t="s">
        <v>111</v>
      </c>
      <c r="D513" s="4">
        <v>2615</v>
      </c>
      <c r="E513" s="4" t="s">
        <v>29</v>
      </c>
      <c r="F513" s="4" t="s">
        <v>896</v>
      </c>
      <c r="G513" s="113">
        <v>1</v>
      </c>
      <c r="H513" t="s">
        <v>1781</v>
      </c>
      <c r="I513" s="4">
        <v>0.27</v>
      </c>
      <c r="L513" s="4" t="s">
        <v>1603</v>
      </c>
      <c r="M513" s="4" t="s">
        <v>109</v>
      </c>
      <c r="N513" s="4" t="s">
        <v>28</v>
      </c>
      <c r="O513" s="4"/>
      <c r="P513" s="4" t="s">
        <v>1693</v>
      </c>
      <c r="Q513" t="s">
        <v>109</v>
      </c>
      <c r="R513" s="4"/>
      <c r="S513" s="4"/>
      <c r="U513" s="4"/>
      <c r="Y513" s="4"/>
      <c r="Z513" s="4"/>
      <c r="AA513" s="4"/>
      <c r="AB513" s="4"/>
      <c r="AC513" s="4"/>
      <c r="AD513" s="4"/>
      <c r="AE513" s="4"/>
      <c r="AF513" s="4"/>
      <c r="AG513" s="4"/>
      <c r="AH513" s="4"/>
      <c r="AI513" s="4"/>
      <c r="AJ513" s="4"/>
      <c r="AK513" s="4"/>
      <c r="AL513" s="4"/>
      <c r="AP513" s="4"/>
      <c r="AX513" s="4"/>
      <c r="AY513" s="4"/>
      <c r="AZ513" s="4"/>
      <c r="BA513" s="4"/>
      <c r="BB513" s="4"/>
      <c r="BC513" s="4"/>
      <c r="BD513" s="4"/>
      <c r="BE513" s="4"/>
      <c r="BF513" s="4"/>
      <c r="BG513" s="4"/>
      <c r="BI513" s="4"/>
      <c r="BP513" s="4"/>
      <c r="BS513" s="4"/>
      <c r="BW513" s="4"/>
      <c r="BX513" s="4"/>
    </row>
    <row r="514" spans="1:76" ht="12.75" x14ac:dyDescent="0.2">
      <c r="A514" s="4" t="s">
        <v>1317</v>
      </c>
      <c r="B514" s="4" t="s">
        <v>77</v>
      </c>
      <c r="C514" s="4" t="s">
        <v>111</v>
      </c>
      <c r="D514" s="4">
        <v>2615</v>
      </c>
      <c r="E514" s="4" t="s">
        <v>29</v>
      </c>
      <c r="F514" s="4" t="s">
        <v>896</v>
      </c>
      <c r="G514" s="113">
        <v>0.5</v>
      </c>
      <c r="H514" t="s">
        <v>1781</v>
      </c>
      <c r="I514" s="4">
        <v>0.29599999999999999</v>
      </c>
      <c r="L514" s="4" t="s">
        <v>1570</v>
      </c>
      <c r="M514" s="4" t="s">
        <v>109</v>
      </c>
      <c r="N514" s="4" t="s">
        <v>28</v>
      </c>
      <c r="O514" s="4"/>
      <c r="P514" s="4" t="s">
        <v>1693</v>
      </c>
      <c r="Q514" t="s">
        <v>109</v>
      </c>
      <c r="R514" s="4"/>
      <c r="S514" s="4"/>
      <c r="U514" s="4"/>
      <c r="Y514" s="4"/>
      <c r="Z514" s="4"/>
      <c r="AA514" s="4"/>
      <c r="AB514" s="4"/>
      <c r="AC514" s="4"/>
      <c r="AD514" s="4"/>
      <c r="AE514" s="4"/>
      <c r="AF514" s="4"/>
      <c r="AG514" s="4"/>
      <c r="AH514" s="4"/>
      <c r="AI514" s="4"/>
      <c r="AJ514" s="4"/>
      <c r="AK514" s="4"/>
      <c r="AL514" s="4"/>
      <c r="AP514" s="4"/>
      <c r="AX514" s="4"/>
      <c r="AY514" s="4"/>
      <c r="AZ514" s="4"/>
      <c r="BA514" s="4"/>
      <c r="BB514" s="4"/>
      <c r="BC514" s="4"/>
      <c r="BD514" s="4"/>
      <c r="BE514" s="4"/>
      <c r="BF514" s="4"/>
      <c r="BG514" s="4"/>
      <c r="BI514" s="4"/>
      <c r="BP514" s="4"/>
      <c r="BS514" s="4"/>
      <c r="BW514" s="4"/>
      <c r="BX514" s="4"/>
    </row>
    <row r="515" spans="1:76" ht="12.75" x14ac:dyDescent="0.2">
      <c r="A515" s="4" t="s">
        <v>1648</v>
      </c>
      <c r="B515" s="4" t="s">
        <v>114</v>
      </c>
      <c r="C515" s="4" t="s">
        <v>117</v>
      </c>
      <c r="D515" s="4">
        <v>2617</v>
      </c>
      <c r="E515" s="4" t="s">
        <v>30</v>
      </c>
      <c r="F515" s="4" t="s">
        <v>896</v>
      </c>
      <c r="G515" s="113">
        <v>0.33333333333333331</v>
      </c>
      <c r="H515" t="s">
        <v>1781</v>
      </c>
      <c r="I515" s="4">
        <v>2.8000000000000001E-2</v>
      </c>
      <c r="L515" s="4" t="s">
        <v>1605</v>
      </c>
      <c r="M515" s="4" t="s">
        <v>109</v>
      </c>
      <c r="N515" s="4" t="s">
        <v>28</v>
      </c>
      <c r="O515" s="4"/>
      <c r="P515" s="4" t="s">
        <v>1693</v>
      </c>
      <c r="Q515" t="s">
        <v>109</v>
      </c>
      <c r="R515" s="4"/>
      <c r="S515" s="4"/>
      <c r="U515" s="4"/>
      <c r="Y515" s="4"/>
      <c r="Z515" s="4"/>
      <c r="AA515" s="4"/>
      <c r="AB515" s="4"/>
      <c r="AC515" s="4"/>
      <c r="AD515" s="4"/>
      <c r="AE515" s="4"/>
      <c r="AF515" s="4"/>
      <c r="AG515" s="4"/>
      <c r="AH515" s="4"/>
      <c r="AI515" s="4"/>
      <c r="AJ515" s="4"/>
      <c r="AK515" s="4"/>
      <c r="AL515" s="4"/>
      <c r="AP515" s="4"/>
      <c r="AX515" s="4"/>
      <c r="AY515" s="4"/>
      <c r="AZ515" s="4"/>
      <c r="BA515" s="4"/>
      <c r="BB515" s="4"/>
      <c r="BC515" s="4"/>
      <c r="BD515" s="4"/>
      <c r="BE515" s="4"/>
      <c r="BF515" s="4"/>
      <c r="BG515" s="4"/>
      <c r="BI515" s="4"/>
      <c r="BP515" s="4"/>
      <c r="BS515" s="4"/>
      <c r="BW515" s="4"/>
      <c r="BX515" s="4"/>
    </row>
    <row r="516" spans="1:76" ht="12.75" x14ac:dyDescent="0.2">
      <c r="A516" s="4" t="s">
        <v>1645</v>
      </c>
      <c r="B516" s="4" t="s">
        <v>114</v>
      </c>
      <c r="C516" s="4" t="s">
        <v>111</v>
      </c>
      <c r="D516" s="4">
        <v>2617</v>
      </c>
      <c r="E516" s="4" t="s">
        <v>30</v>
      </c>
      <c r="F516" s="4" t="s">
        <v>896</v>
      </c>
      <c r="G516" s="113">
        <v>0.33333333333333331</v>
      </c>
      <c r="H516" t="s">
        <v>1781</v>
      </c>
      <c r="I516" s="4">
        <v>3.2000000000000001E-2</v>
      </c>
      <c r="L516" s="4" t="s">
        <v>1605</v>
      </c>
      <c r="M516" s="4" t="s">
        <v>109</v>
      </c>
      <c r="N516" s="4" t="s">
        <v>28</v>
      </c>
      <c r="O516" s="4"/>
      <c r="P516" s="4" t="s">
        <v>1693</v>
      </c>
      <c r="Q516" t="s">
        <v>109</v>
      </c>
      <c r="R516" s="4"/>
      <c r="S516" s="4"/>
      <c r="U516" s="4"/>
      <c r="Y516" s="4"/>
      <c r="Z516" s="4"/>
      <c r="AA516" s="4"/>
      <c r="AB516" s="4"/>
      <c r="AC516" s="4"/>
      <c r="AD516" s="4"/>
      <c r="AE516" s="4"/>
      <c r="AF516" s="4"/>
      <c r="AG516" s="4"/>
      <c r="AH516" s="4"/>
      <c r="AI516" s="4"/>
      <c r="AJ516" s="4"/>
      <c r="AK516" s="4"/>
      <c r="AL516" s="4"/>
      <c r="AP516" s="4"/>
      <c r="AX516" s="4"/>
      <c r="AY516" s="4"/>
      <c r="AZ516" s="4"/>
      <c r="BA516" s="4"/>
      <c r="BB516" s="4"/>
      <c r="BC516" s="4"/>
      <c r="BD516" s="4"/>
      <c r="BE516" s="4"/>
      <c r="BF516" s="4"/>
      <c r="BG516" s="4"/>
      <c r="BI516" s="4"/>
      <c r="BP516" s="4"/>
      <c r="BS516" s="4"/>
      <c r="BW516" s="4"/>
      <c r="BX516" s="4"/>
    </row>
    <row r="517" spans="1:76" ht="12.75" x14ac:dyDescent="0.2">
      <c r="A517" s="4" t="s">
        <v>1648</v>
      </c>
      <c r="B517" s="4" t="s">
        <v>114</v>
      </c>
      <c r="C517" s="4" t="s">
        <v>111</v>
      </c>
      <c r="D517" s="4">
        <v>2617</v>
      </c>
      <c r="E517" s="4" t="s">
        <v>30</v>
      </c>
      <c r="F517" s="4" t="s">
        <v>896</v>
      </c>
      <c r="G517" s="113">
        <v>0.33333333333333331</v>
      </c>
      <c r="H517" t="s">
        <v>1781</v>
      </c>
      <c r="I517" s="4">
        <v>3.4000000000000002E-2</v>
      </c>
      <c r="L517" s="4" t="s">
        <v>1605</v>
      </c>
      <c r="M517" s="4" t="s">
        <v>109</v>
      </c>
      <c r="N517" s="4" t="s">
        <v>28</v>
      </c>
      <c r="O517" s="4"/>
      <c r="P517" s="4" t="s">
        <v>1693</v>
      </c>
      <c r="Q517" t="s">
        <v>109</v>
      </c>
      <c r="R517" s="4"/>
      <c r="S517" s="4"/>
      <c r="U517" s="4"/>
      <c r="Y517" s="4"/>
      <c r="Z517" s="4"/>
      <c r="AA517" s="4"/>
      <c r="AB517" s="4"/>
      <c r="AC517" s="4"/>
      <c r="AD517" s="4"/>
      <c r="AE517" s="4"/>
      <c r="AF517" s="4"/>
      <c r="AG517" s="4"/>
      <c r="AH517" s="4"/>
      <c r="AI517" s="4"/>
      <c r="AJ517" s="4"/>
      <c r="AK517" s="4"/>
      <c r="AL517" s="4"/>
      <c r="AP517" s="4"/>
      <c r="AX517" s="4"/>
      <c r="AY517" s="4"/>
      <c r="AZ517" s="4"/>
      <c r="BA517" s="4"/>
      <c r="BB517" s="4"/>
      <c r="BC517" s="4"/>
      <c r="BD517" s="4"/>
      <c r="BE517" s="4"/>
      <c r="BF517" s="4"/>
      <c r="BG517" s="4"/>
      <c r="BI517" s="4"/>
      <c r="BP517" s="4"/>
      <c r="BS517" s="4"/>
      <c r="BW517" s="4"/>
      <c r="BX517" s="4"/>
    </row>
    <row r="518" spans="1:76" ht="12.75" x14ac:dyDescent="0.2">
      <c r="A518" s="4" t="s">
        <v>1645</v>
      </c>
      <c r="B518" s="4" t="s">
        <v>114</v>
      </c>
      <c r="C518" s="4" t="s">
        <v>117</v>
      </c>
      <c r="D518" s="4">
        <v>2617</v>
      </c>
      <c r="E518" s="4" t="s">
        <v>30</v>
      </c>
      <c r="F518" s="4" t="s">
        <v>896</v>
      </c>
      <c r="G518" s="113">
        <v>0.33333333333333331</v>
      </c>
      <c r="H518" t="s">
        <v>1781</v>
      </c>
      <c r="I518" s="4">
        <v>3.5999999999999997E-2</v>
      </c>
      <c r="L518" s="4" t="s">
        <v>1605</v>
      </c>
      <c r="M518" s="4" t="s">
        <v>109</v>
      </c>
      <c r="N518" s="4" t="s">
        <v>28</v>
      </c>
      <c r="O518" s="4"/>
      <c r="P518" s="4" t="s">
        <v>1693</v>
      </c>
      <c r="Q518" t="s">
        <v>109</v>
      </c>
      <c r="R518" s="4"/>
      <c r="S518" s="4"/>
      <c r="U518" s="4"/>
      <c r="Y518" s="4"/>
      <c r="Z518" s="4"/>
      <c r="AA518" s="4"/>
      <c r="AB518" s="4"/>
      <c r="AC518" s="4"/>
      <c r="AD518" s="4"/>
      <c r="AE518" s="4"/>
      <c r="AF518" s="4"/>
      <c r="AG518" s="4"/>
      <c r="AH518" s="4"/>
      <c r="AI518" s="4"/>
      <c r="AJ518" s="4"/>
      <c r="AK518" s="4"/>
      <c r="AL518" s="4"/>
      <c r="AP518" s="4"/>
      <c r="AX518" s="4"/>
      <c r="AY518" s="4"/>
      <c r="AZ518" s="4"/>
      <c r="BA518" s="4"/>
      <c r="BB518" s="4"/>
      <c r="BC518" s="4"/>
      <c r="BD518" s="4"/>
      <c r="BE518" s="4"/>
      <c r="BF518" s="4"/>
      <c r="BG518" s="4"/>
      <c r="BI518" s="4"/>
      <c r="BP518" s="4"/>
      <c r="BS518" s="4"/>
      <c r="BW518" s="4"/>
      <c r="BX518" s="4"/>
    </row>
    <row r="519" spans="1:76" ht="12.75" x14ac:dyDescent="0.2">
      <c r="A519" s="4" t="s">
        <v>1644</v>
      </c>
      <c r="B519" s="4" t="s">
        <v>114</v>
      </c>
      <c r="C519" s="4" t="s">
        <v>111</v>
      </c>
      <c r="D519" s="4">
        <v>2617</v>
      </c>
      <c r="E519" s="4" t="s">
        <v>30</v>
      </c>
      <c r="F519" s="4" t="s">
        <v>896</v>
      </c>
      <c r="G519" s="113">
        <v>0.33333333333333331</v>
      </c>
      <c r="H519" t="s">
        <v>1781</v>
      </c>
      <c r="I519" s="4">
        <v>3.7999999999999999E-2</v>
      </c>
      <c r="L519" s="4" t="s">
        <v>1605</v>
      </c>
      <c r="M519" s="4" t="s">
        <v>109</v>
      </c>
      <c r="N519" s="4" t="s">
        <v>28</v>
      </c>
      <c r="O519" s="4"/>
      <c r="P519" s="4" t="s">
        <v>1693</v>
      </c>
      <c r="Q519" t="s">
        <v>109</v>
      </c>
      <c r="R519" s="4"/>
      <c r="S519" s="4"/>
      <c r="U519" s="4"/>
      <c r="Y519" s="4"/>
      <c r="Z519" s="4"/>
      <c r="AA519" s="4"/>
      <c r="AB519" s="4"/>
      <c r="AC519" s="4"/>
      <c r="AD519" s="4"/>
      <c r="AE519" s="4"/>
      <c r="AF519" s="4"/>
      <c r="AG519" s="4"/>
      <c r="AH519" s="4"/>
      <c r="AI519" s="4"/>
      <c r="AJ519" s="4"/>
      <c r="AK519" s="4"/>
      <c r="AL519" s="4"/>
      <c r="AP519" s="4"/>
      <c r="AX519" s="4"/>
      <c r="AY519" s="4"/>
      <c r="AZ519" s="4"/>
      <c r="BA519" s="4"/>
      <c r="BB519" s="4"/>
      <c r="BC519" s="4"/>
      <c r="BD519" s="4"/>
      <c r="BE519" s="4"/>
      <c r="BF519" s="4"/>
      <c r="BG519" s="4"/>
      <c r="BI519" s="4"/>
      <c r="BP519" s="4"/>
      <c r="BS519" s="4"/>
      <c r="BW519" s="4"/>
      <c r="BX519" s="4"/>
    </row>
    <row r="520" spans="1:76" ht="12.75" x14ac:dyDescent="0.2">
      <c r="A520" s="4" t="s">
        <v>1644</v>
      </c>
      <c r="B520" s="4" t="s">
        <v>114</v>
      </c>
      <c r="C520" s="4" t="s">
        <v>117</v>
      </c>
      <c r="D520" s="4">
        <v>2617</v>
      </c>
      <c r="E520" s="4" t="s">
        <v>30</v>
      </c>
      <c r="F520" s="4" t="s">
        <v>896</v>
      </c>
      <c r="G520" s="113">
        <v>0.33333333333333331</v>
      </c>
      <c r="H520" t="s">
        <v>1781</v>
      </c>
      <c r="I520" s="4">
        <v>4.3999999999999997E-2</v>
      </c>
      <c r="L520" s="4" t="s">
        <v>1605</v>
      </c>
      <c r="M520" s="4" t="s">
        <v>109</v>
      </c>
      <c r="N520" s="4" t="s">
        <v>28</v>
      </c>
      <c r="O520" s="4"/>
      <c r="P520" s="4" t="s">
        <v>1693</v>
      </c>
      <c r="Q520" t="s">
        <v>109</v>
      </c>
      <c r="R520" s="4"/>
      <c r="S520" s="4"/>
      <c r="U520" s="4"/>
      <c r="Y520" s="4"/>
      <c r="Z520" s="4"/>
      <c r="AA520" s="4"/>
      <c r="AB520" s="4"/>
      <c r="AC520" s="4"/>
      <c r="AD520" s="4"/>
      <c r="AE520" s="4"/>
      <c r="AF520" s="4"/>
      <c r="AG520" s="4"/>
      <c r="AH520" s="4"/>
      <c r="AI520" s="4"/>
      <c r="AJ520" s="4"/>
      <c r="AK520" s="4"/>
      <c r="AL520" s="4"/>
      <c r="AP520" s="4"/>
      <c r="AX520" s="4"/>
      <c r="AY520" s="4"/>
      <c r="AZ520" s="4"/>
      <c r="BA520" s="4"/>
      <c r="BB520" s="4"/>
      <c r="BC520" s="4"/>
      <c r="BD520" s="4"/>
      <c r="BE520" s="4"/>
      <c r="BF520" s="4"/>
      <c r="BG520" s="4"/>
      <c r="BI520" s="4"/>
      <c r="BP520" s="4"/>
      <c r="BS520" s="4"/>
      <c r="BW520" s="4"/>
      <c r="BX520" s="4"/>
    </row>
    <row r="521" spans="1:76" ht="12.75" x14ac:dyDescent="0.2">
      <c r="A521" s="4" t="s">
        <v>1648</v>
      </c>
      <c r="B521" s="4" t="s">
        <v>114</v>
      </c>
      <c r="C521" s="4" t="s">
        <v>115</v>
      </c>
      <c r="D521" s="4">
        <v>2617</v>
      </c>
      <c r="E521" s="4" t="s">
        <v>30</v>
      </c>
      <c r="F521" s="4" t="s">
        <v>896</v>
      </c>
      <c r="G521" s="113">
        <v>0.33333333333333331</v>
      </c>
      <c r="H521" t="s">
        <v>1781</v>
      </c>
      <c r="I521" s="4">
        <v>0.05</v>
      </c>
      <c r="L521" s="4" t="s">
        <v>1605</v>
      </c>
      <c r="M521" s="4" t="s">
        <v>109</v>
      </c>
      <c r="N521" s="4" t="s">
        <v>28</v>
      </c>
      <c r="O521" s="4"/>
      <c r="P521" s="4" t="s">
        <v>1693</v>
      </c>
      <c r="Q521" t="s">
        <v>109</v>
      </c>
      <c r="R521" s="4"/>
      <c r="S521" s="4"/>
      <c r="U521" s="4"/>
      <c r="Y521" s="4"/>
      <c r="Z521" s="4"/>
      <c r="AA521" s="4"/>
      <c r="AB521" s="4"/>
      <c r="AC521" s="4"/>
      <c r="AD521" s="4"/>
      <c r="AE521" s="4"/>
      <c r="AF521" s="4"/>
      <c r="AG521" s="4"/>
      <c r="AH521" s="4"/>
      <c r="AI521" s="4"/>
      <c r="AJ521" s="4"/>
      <c r="AK521" s="4"/>
      <c r="AL521" s="4"/>
      <c r="AP521" s="4"/>
      <c r="AX521" s="4"/>
      <c r="AY521" s="4"/>
      <c r="AZ521" s="4"/>
      <c r="BA521" s="4"/>
      <c r="BB521" s="4"/>
      <c r="BC521" s="4"/>
      <c r="BD521" s="4"/>
      <c r="BE521" s="4"/>
      <c r="BF521" s="4"/>
      <c r="BG521" s="4"/>
      <c r="BI521" s="4"/>
      <c r="BP521" s="4"/>
      <c r="BS521" s="4"/>
      <c r="BW521" s="4"/>
      <c r="BX521" s="4"/>
    </row>
    <row r="522" spans="1:76" ht="12.75" x14ac:dyDescent="0.2">
      <c r="A522" s="4" t="s">
        <v>119</v>
      </c>
      <c r="B522" s="4" t="s">
        <v>130</v>
      </c>
      <c r="C522" s="4" t="s">
        <v>690</v>
      </c>
      <c r="D522" s="4">
        <v>2617</v>
      </c>
      <c r="E522" s="4" t="s">
        <v>30</v>
      </c>
      <c r="F522" s="4" t="s">
        <v>896</v>
      </c>
      <c r="G522" s="113">
        <v>1</v>
      </c>
      <c r="H522" t="s">
        <v>1781</v>
      </c>
      <c r="I522" s="4">
        <v>8.2802547770700646E-2</v>
      </c>
      <c r="L522" s="4" t="s">
        <v>1607</v>
      </c>
      <c r="M522" s="4" t="s">
        <v>109</v>
      </c>
      <c r="N522" s="4" t="s">
        <v>28</v>
      </c>
      <c r="O522" s="4"/>
      <c r="P522" s="4" t="s">
        <v>1693</v>
      </c>
      <c r="Q522" t="s">
        <v>109</v>
      </c>
      <c r="R522" s="4"/>
      <c r="S522" s="4"/>
      <c r="U522" s="4"/>
      <c r="Y522" s="4"/>
      <c r="Z522" s="4"/>
      <c r="AA522" s="4"/>
      <c r="AB522" s="4"/>
      <c r="AC522" s="4"/>
      <c r="AD522" s="4"/>
      <c r="AE522" s="4"/>
      <c r="AF522" s="4"/>
      <c r="AG522" s="4"/>
      <c r="AH522" s="4"/>
      <c r="AI522" s="4"/>
      <c r="AJ522" s="4"/>
      <c r="AK522" s="4"/>
      <c r="AL522" s="4"/>
      <c r="AP522" s="4"/>
      <c r="AX522" s="4"/>
      <c r="AY522" s="4"/>
      <c r="AZ522" s="4"/>
      <c r="BA522" s="4"/>
      <c r="BB522" s="4"/>
      <c r="BC522" s="4"/>
      <c r="BD522" s="4"/>
      <c r="BE522" s="4"/>
      <c r="BF522" s="4"/>
      <c r="BG522" s="4"/>
      <c r="BI522" s="4"/>
      <c r="BP522" s="4"/>
      <c r="BS522" s="4"/>
      <c r="BW522" s="4"/>
      <c r="BX522" s="4"/>
    </row>
    <row r="523" spans="1:76" ht="12.75" x14ac:dyDescent="0.2">
      <c r="A523" s="4" t="s">
        <v>1644</v>
      </c>
      <c r="B523" s="4" t="s">
        <v>114</v>
      </c>
      <c r="C523" s="4" t="s">
        <v>115</v>
      </c>
      <c r="D523" s="4">
        <v>2617</v>
      </c>
      <c r="E523" s="4" t="s">
        <v>30</v>
      </c>
      <c r="F523" s="4" t="s">
        <v>896</v>
      </c>
      <c r="G523" s="113">
        <v>0.33333333333333331</v>
      </c>
      <c r="H523" t="s">
        <v>1781</v>
      </c>
      <c r="I523" s="4">
        <v>8.3000000000000004E-2</v>
      </c>
      <c r="L523" s="4" t="s">
        <v>1605</v>
      </c>
      <c r="M523" s="4" t="s">
        <v>109</v>
      </c>
      <c r="N523" s="4" t="s">
        <v>28</v>
      </c>
      <c r="O523" s="4"/>
      <c r="P523" s="4" t="s">
        <v>1693</v>
      </c>
      <c r="Q523" t="s">
        <v>109</v>
      </c>
      <c r="R523" s="4"/>
      <c r="S523" s="4"/>
      <c r="U523" s="4"/>
      <c r="Y523" s="4"/>
      <c r="Z523" s="4"/>
      <c r="AA523" s="4"/>
      <c r="AB523" s="4"/>
      <c r="AC523" s="4"/>
      <c r="AD523" s="4"/>
      <c r="AE523" s="4"/>
      <c r="AF523" s="4"/>
      <c r="AG523" s="4"/>
      <c r="AH523" s="4"/>
      <c r="AI523" s="4"/>
      <c r="AJ523" s="4"/>
      <c r="AK523" s="4"/>
      <c r="AL523" s="4"/>
      <c r="AP523" s="4"/>
      <c r="AX523" s="4"/>
      <c r="AY523" s="4"/>
      <c r="AZ523" s="4"/>
      <c r="BA523" s="4"/>
      <c r="BB523" s="4"/>
      <c r="BC523" s="4"/>
      <c r="BD523" s="4"/>
      <c r="BE523" s="4"/>
      <c r="BF523" s="4"/>
      <c r="BG523" s="4"/>
      <c r="BI523" s="4"/>
      <c r="BP523" s="4"/>
      <c r="BS523" s="4"/>
      <c r="BW523" s="4"/>
      <c r="BX523" s="4"/>
    </row>
    <row r="524" spans="1:76" ht="12.75" x14ac:dyDescent="0.2">
      <c r="A524" s="4" t="s">
        <v>1645</v>
      </c>
      <c r="B524" s="4" t="s">
        <v>114</v>
      </c>
      <c r="C524" s="4" t="s">
        <v>115</v>
      </c>
      <c r="D524" s="4">
        <v>2617</v>
      </c>
      <c r="E524" s="4" t="s">
        <v>30</v>
      </c>
      <c r="F524" s="4" t="s">
        <v>896</v>
      </c>
      <c r="G524" s="113">
        <v>0.33333333333333331</v>
      </c>
      <c r="H524" t="s">
        <v>1781</v>
      </c>
      <c r="I524" s="4">
        <v>8.4000000000000005E-2</v>
      </c>
      <c r="L524" s="4" t="s">
        <v>1605</v>
      </c>
      <c r="M524" s="4" t="s">
        <v>109</v>
      </c>
      <c r="N524" s="4" t="s">
        <v>28</v>
      </c>
      <c r="O524" s="4"/>
      <c r="P524" s="4" t="s">
        <v>1693</v>
      </c>
      <c r="Q524" t="s">
        <v>109</v>
      </c>
      <c r="R524" s="4"/>
      <c r="S524" s="4"/>
      <c r="U524" s="4"/>
      <c r="Y524" s="4"/>
      <c r="Z524" s="4"/>
      <c r="AA524" s="4"/>
      <c r="AB524" s="4"/>
      <c r="AC524" s="4"/>
      <c r="AD524" s="4"/>
      <c r="AE524" s="4"/>
      <c r="AF524" s="4"/>
      <c r="AG524" s="4"/>
      <c r="AH524" s="4"/>
      <c r="AI524" s="4"/>
      <c r="AJ524" s="4"/>
      <c r="AK524" s="4"/>
      <c r="AL524" s="4"/>
      <c r="AP524" s="4"/>
      <c r="AX524" s="4"/>
      <c r="AY524" s="4"/>
      <c r="AZ524" s="4"/>
      <c r="BA524" s="4"/>
      <c r="BB524" s="4"/>
      <c r="BC524" s="4"/>
      <c r="BD524" s="4"/>
      <c r="BE524" s="4"/>
      <c r="BF524" s="4"/>
      <c r="BG524" s="4"/>
      <c r="BI524" s="4"/>
      <c r="BP524" s="4"/>
      <c r="BS524" s="4"/>
      <c r="BW524" s="4"/>
      <c r="BX524" s="4"/>
    </row>
    <row r="525" spans="1:76" ht="12.75" x14ac:dyDescent="0.2">
      <c r="A525" s="4" t="s">
        <v>1316</v>
      </c>
      <c r="B525" s="4" t="s">
        <v>77</v>
      </c>
      <c r="C525" s="4" t="s">
        <v>111</v>
      </c>
      <c r="D525" s="4">
        <v>2617</v>
      </c>
      <c r="E525" s="4" t="s">
        <v>30</v>
      </c>
      <c r="F525" s="4" t="s">
        <v>896</v>
      </c>
      <c r="G525" s="113">
        <v>0.5</v>
      </c>
      <c r="H525" t="s">
        <v>1781</v>
      </c>
      <c r="I525" s="4">
        <v>0.14499999999999999</v>
      </c>
      <c r="L525" s="4" t="s">
        <v>1570</v>
      </c>
      <c r="M525" s="4" t="s">
        <v>109</v>
      </c>
      <c r="N525" s="4" t="s">
        <v>28</v>
      </c>
      <c r="O525" s="4"/>
      <c r="P525" s="4" t="s">
        <v>1693</v>
      </c>
      <c r="Q525" t="s">
        <v>109</v>
      </c>
      <c r="R525" s="4"/>
      <c r="S525" s="4"/>
      <c r="U525" s="4"/>
      <c r="Y525" s="4"/>
      <c r="Z525" s="4"/>
      <c r="AA525" s="4"/>
      <c r="AB525" s="4"/>
      <c r="AC525" s="4"/>
      <c r="AD525" s="4"/>
      <c r="AE525" s="4"/>
      <c r="AF525" s="4"/>
      <c r="AG525" s="4"/>
      <c r="AH525" s="4"/>
      <c r="AI525" s="4"/>
      <c r="AJ525" s="4"/>
      <c r="AK525" s="4"/>
      <c r="AL525" s="4"/>
      <c r="AP525" s="4"/>
      <c r="AX525" s="4"/>
      <c r="AY525" s="4"/>
      <c r="AZ525" s="4"/>
      <c r="BA525" s="4"/>
      <c r="BB525" s="4"/>
      <c r="BC525" s="4"/>
      <c r="BD525" s="4"/>
      <c r="BE525" s="4"/>
      <c r="BF525" s="4"/>
      <c r="BG525" s="4"/>
      <c r="BI525" s="4"/>
      <c r="BP525" s="4"/>
      <c r="BS525" s="4"/>
      <c r="BW525" s="4"/>
      <c r="BX525" s="4"/>
    </row>
    <row r="526" spans="1:76" ht="12.75" x14ac:dyDescent="0.2">
      <c r="A526" s="4" t="s">
        <v>136</v>
      </c>
      <c r="B526" s="4" t="s">
        <v>253</v>
      </c>
      <c r="C526" s="4" t="s">
        <v>138</v>
      </c>
      <c r="D526" s="4">
        <v>2617</v>
      </c>
      <c r="E526" s="4" t="s">
        <v>30</v>
      </c>
      <c r="F526" s="4" t="s">
        <v>896</v>
      </c>
      <c r="G526" s="113">
        <v>0.5</v>
      </c>
      <c r="H526" t="s">
        <v>1781</v>
      </c>
      <c r="I526" s="4">
        <v>0.14799999999999999</v>
      </c>
      <c r="L526" s="4" t="s">
        <v>1569</v>
      </c>
      <c r="M526" s="4" t="s">
        <v>109</v>
      </c>
      <c r="N526" s="4" t="s">
        <v>28</v>
      </c>
      <c r="O526" s="4"/>
      <c r="P526" s="4" t="s">
        <v>1693</v>
      </c>
      <c r="Q526" t="s">
        <v>109</v>
      </c>
      <c r="R526" s="4"/>
      <c r="S526" s="4"/>
      <c r="U526" s="4"/>
      <c r="Y526" s="4"/>
      <c r="Z526" s="4"/>
      <c r="AA526" s="4"/>
      <c r="AB526" s="4"/>
      <c r="AC526" s="4"/>
      <c r="AD526" s="4"/>
      <c r="AE526" s="4"/>
      <c r="AF526" s="4"/>
      <c r="AG526" s="4"/>
      <c r="AH526" s="4"/>
      <c r="AI526" s="4"/>
      <c r="AJ526" s="4"/>
      <c r="AK526" s="4"/>
      <c r="AL526" s="4"/>
      <c r="AP526" s="4"/>
      <c r="AX526" s="4"/>
      <c r="AY526" s="4"/>
      <c r="AZ526" s="4"/>
      <c r="BA526" s="4"/>
      <c r="BB526" s="4"/>
      <c r="BC526" s="4"/>
      <c r="BD526" s="4"/>
      <c r="BE526" s="4"/>
      <c r="BF526" s="4"/>
      <c r="BG526" s="4"/>
      <c r="BI526" s="4"/>
      <c r="BP526" s="4"/>
      <c r="BS526" s="4"/>
      <c r="BW526" s="4"/>
      <c r="BX526" s="4"/>
    </row>
    <row r="527" spans="1:76" ht="12.75" x14ac:dyDescent="0.2">
      <c r="A527" s="4" t="s">
        <v>1645</v>
      </c>
      <c r="B527" s="4" t="s">
        <v>253</v>
      </c>
      <c r="C527" s="4" t="s">
        <v>111</v>
      </c>
      <c r="D527" s="4">
        <v>2617</v>
      </c>
      <c r="E527" s="4" t="s">
        <v>30</v>
      </c>
      <c r="F527" s="4" t="s">
        <v>896</v>
      </c>
      <c r="G527" s="113">
        <v>1</v>
      </c>
      <c r="H527" t="s">
        <v>1781</v>
      </c>
      <c r="I527" s="4">
        <v>0.163882</v>
      </c>
      <c r="L527" s="4" t="s">
        <v>1606</v>
      </c>
      <c r="M527" s="4" t="s">
        <v>109</v>
      </c>
      <c r="N527" s="4" t="s">
        <v>28</v>
      </c>
      <c r="O527" s="4"/>
      <c r="P527" s="4" t="s">
        <v>1693</v>
      </c>
      <c r="Q527" t="s">
        <v>109</v>
      </c>
      <c r="R527" s="4"/>
      <c r="S527" s="4"/>
      <c r="U527" s="4"/>
      <c r="Y527" s="4"/>
      <c r="Z527" s="4"/>
      <c r="AA527" s="4"/>
      <c r="AB527" s="4"/>
      <c r="AC527" s="4"/>
      <c r="AD527" s="4"/>
      <c r="AE527" s="4"/>
      <c r="AF527" s="4"/>
      <c r="AG527" s="4"/>
      <c r="AH527" s="4"/>
      <c r="AI527" s="4"/>
      <c r="AJ527" s="4"/>
      <c r="AK527" s="4"/>
      <c r="AL527" s="4"/>
      <c r="AP527" s="4"/>
      <c r="AX527" s="4"/>
      <c r="AY527" s="4"/>
      <c r="AZ527" s="4"/>
      <c r="BA527" s="4"/>
      <c r="BB527" s="4"/>
      <c r="BC527" s="4"/>
      <c r="BD527" s="4"/>
      <c r="BE527" s="4"/>
      <c r="BF527" s="4"/>
      <c r="BG527" s="4"/>
      <c r="BI527" s="4"/>
      <c r="BP527" s="4"/>
      <c r="BS527" s="4"/>
      <c r="BW527" s="4"/>
      <c r="BX527" s="4"/>
    </row>
    <row r="528" spans="1:76" ht="12.75" x14ac:dyDescent="0.2">
      <c r="A528" s="4" t="s">
        <v>136</v>
      </c>
      <c r="B528" s="4" t="s">
        <v>253</v>
      </c>
      <c r="C528" s="4" t="s">
        <v>115</v>
      </c>
      <c r="D528" s="4">
        <v>2617</v>
      </c>
      <c r="E528" s="4" t="s">
        <v>30</v>
      </c>
      <c r="F528" s="4" t="s">
        <v>896</v>
      </c>
      <c r="G528" s="113">
        <v>0.5</v>
      </c>
      <c r="H528" t="s">
        <v>1781</v>
      </c>
      <c r="I528" s="4">
        <v>0.222</v>
      </c>
      <c r="L528" s="4" t="s">
        <v>1569</v>
      </c>
      <c r="M528" s="4" t="s">
        <v>109</v>
      </c>
      <c r="N528" s="4" t="s">
        <v>28</v>
      </c>
      <c r="O528" s="4"/>
      <c r="P528" s="4" t="s">
        <v>1693</v>
      </c>
      <c r="Q528" t="s">
        <v>109</v>
      </c>
      <c r="R528" s="4"/>
      <c r="S528" s="4"/>
      <c r="U528" s="4"/>
      <c r="Y528" s="4"/>
      <c r="Z528" s="4"/>
      <c r="AA528" s="4"/>
      <c r="AB528" s="4"/>
      <c r="AC528" s="4"/>
      <c r="AD528" s="4"/>
      <c r="AE528" s="4"/>
      <c r="AF528" s="4"/>
      <c r="AG528" s="4"/>
      <c r="AH528" s="4"/>
      <c r="AI528" s="4"/>
      <c r="AJ528" s="4"/>
      <c r="AK528" s="4"/>
      <c r="AL528" s="4"/>
      <c r="AP528" s="4"/>
      <c r="AX528" s="4"/>
      <c r="AY528" s="4"/>
      <c r="AZ528" s="4"/>
      <c r="BA528" s="4"/>
      <c r="BB528" s="4"/>
      <c r="BC528" s="4"/>
      <c r="BD528" s="4"/>
      <c r="BE528" s="4"/>
      <c r="BF528" s="4"/>
      <c r="BG528" s="4"/>
      <c r="BI528" s="4"/>
      <c r="BP528" s="4"/>
      <c r="BS528" s="4"/>
      <c r="BW528" s="4"/>
      <c r="BX528" s="4"/>
    </row>
    <row r="529" spans="1:76" ht="12.75" x14ac:dyDescent="0.2">
      <c r="A529" s="4" t="s">
        <v>1316</v>
      </c>
      <c r="B529" s="4" t="s">
        <v>77</v>
      </c>
      <c r="C529" s="4" t="s">
        <v>101</v>
      </c>
      <c r="D529" s="4">
        <v>2617</v>
      </c>
      <c r="E529" s="4" t="s">
        <v>30</v>
      </c>
      <c r="F529" s="4" t="s">
        <v>896</v>
      </c>
      <c r="G529" s="113">
        <v>0.5</v>
      </c>
      <c r="H529" t="s">
        <v>1781</v>
      </c>
      <c r="I529" s="4">
        <v>0.22700000000000001</v>
      </c>
      <c r="L529" s="4" t="s">
        <v>1570</v>
      </c>
      <c r="M529" s="4" t="s">
        <v>109</v>
      </c>
      <c r="N529" s="4" t="s">
        <v>28</v>
      </c>
      <c r="O529" s="4"/>
      <c r="P529" s="4" t="s">
        <v>1693</v>
      </c>
      <c r="Q529" t="s">
        <v>109</v>
      </c>
      <c r="R529" s="4"/>
      <c r="S529" s="4"/>
      <c r="U529" s="4"/>
      <c r="Y529" s="4"/>
      <c r="Z529" s="4"/>
      <c r="AA529" s="4"/>
      <c r="AB529" s="4"/>
      <c r="AC529" s="4"/>
      <c r="AD529" s="4"/>
      <c r="AE529" s="4"/>
      <c r="AF529" s="4"/>
      <c r="AG529" s="4"/>
      <c r="AH529" s="4"/>
      <c r="AI529" s="4"/>
      <c r="AJ529" s="4"/>
      <c r="AK529" s="4"/>
      <c r="AL529" s="4"/>
      <c r="AP529" s="4"/>
      <c r="AX529" s="4"/>
      <c r="AY529" s="4"/>
      <c r="AZ529" s="4"/>
      <c r="BA529" s="4"/>
      <c r="BB529" s="4"/>
      <c r="BC529" s="4"/>
      <c r="BD529" s="4"/>
      <c r="BE529" s="4"/>
      <c r="BF529" s="4"/>
      <c r="BG529" s="4"/>
      <c r="BI529" s="4"/>
      <c r="BP529" s="4"/>
      <c r="BS529" s="4"/>
      <c r="BW529" s="4"/>
      <c r="BX529" s="4"/>
    </row>
    <row r="530" spans="1:76" ht="12.75" x14ac:dyDescent="0.2">
      <c r="A530" s="4" t="s">
        <v>119</v>
      </c>
      <c r="B530" s="4" t="s">
        <v>143</v>
      </c>
      <c r="C530" s="4" t="s">
        <v>111</v>
      </c>
      <c r="D530" s="4">
        <v>2617</v>
      </c>
      <c r="E530" s="4" t="s">
        <v>30</v>
      </c>
      <c r="F530" s="4" t="s">
        <v>896</v>
      </c>
      <c r="G530" s="113">
        <v>1</v>
      </c>
      <c r="H530" t="s">
        <v>1781</v>
      </c>
      <c r="I530" s="4">
        <v>0.24</v>
      </c>
      <c r="L530" s="4" t="s">
        <v>1603</v>
      </c>
      <c r="M530" s="4" t="s">
        <v>109</v>
      </c>
      <c r="N530" s="4" t="s">
        <v>28</v>
      </c>
      <c r="O530" s="4"/>
      <c r="P530" s="4" t="s">
        <v>1693</v>
      </c>
      <c r="Q530" t="s">
        <v>109</v>
      </c>
      <c r="R530" s="4"/>
      <c r="S530" s="4"/>
      <c r="U530" s="4"/>
      <c r="Y530" s="4"/>
      <c r="Z530" s="4"/>
      <c r="AA530" s="4"/>
      <c r="AB530" s="4"/>
      <c r="AC530" s="4"/>
      <c r="AD530" s="4"/>
      <c r="AE530" s="4"/>
      <c r="AF530" s="4"/>
      <c r="AG530" s="4"/>
      <c r="AH530" s="4"/>
      <c r="AI530" s="4"/>
      <c r="AJ530" s="4"/>
      <c r="AK530" s="4"/>
      <c r="AL530" s="4"/>
      <c r="AP530" s="4"/>
      <c r="AX530" s="4"/>
      <c r="AY530" s="4"/>
      <c r="AZ530" s="4"/>
      <c r="BA530" s="4"/>
      <c r="BB530" s="4"/>
      <c r="BC530" s="4"/>
      <c r="BD530" s="4"/>
      <c r="BE530" s="4"/>
      <c r="BF530" s="4"/>
      <c r="BG530" s="4"/>
      <c r="BI530" s="4"/>
      <c r="BP530" s="4"/>
      <c r="BS530" s="4"/>
      <c r="BW530" s="4"/>
      <c r="BX530" s="4"/>
    </row>
    <row r="531" spans="1:76" ht="12.75" x14ac:dyDescent="0.2">
      <c r="A531" s="4" t="s">
        <v>119</v>
      </c>
      <c r="B531" s="4" t="s">
        <v>120</v>
      </c>
      <c r="C531" s="4" t="s">
        <v>111</v>
      </c>
      <c r="D531" s="4">
        <v>2617</v>
      </c>
      <c r="E531" s="4" t="s">
        <v>30</v>
      </c>
      <c r="F531" s="4" t="s">
        <v>896</v>
      </c>
      <c r="G531" s="113">
        <v>1</v>
      </c>
      <c r="H531" t="s">
        <v>1781</v>
      </c>
      <c r="I531" s="4">
        <v>0.26900000000000002</v>
      </c>
      <c r="L531" s="4" t="s">
        <v>1561</v>
      </c>
      <c r="M531" s="4" t="s">
        <v>109</v>
      </c>
      <c r="N531" s="4" t="s">
        <v>28</v>
      </c>
      <c r="O531" s="4"/>
      <c r="P531" s="4" t="s">
        <v>1693</v>
      </c>
      <c r="Q531" t="s">
        <v>109</v>
      </c>
      <c r="R531" s="4"/>
      <c r="S531" s="4"/>
      <c r="U531" s="4"/>
      <c r="Y531" s="4"/>
      <c r="Z531" s="4"/>
      <c r="AA531" s="4"/>
      <c r="AB531" s="4"/>
      <c r="AC531" s="4"/>
      <c r="AD531" s="4"/>
      <c r="AE531" s="4"/>
      <c r="AF531" s="4"/>
      <c r="AG531" s="4"/>
      <c r="AH531" s="4"/>
      <c r="AI531" s="4"/>
      <c r="AJ531" s="4"/>
      <c r="AK531" s="4"/>
      <c r="AL531" s="4"/>
      <c r="AP531" s="4"/>
      <c r="AX531" s="4"/>
      <c r="AY531" s="4"/>
      <c r="AZ531" s="4"/>
      <c r="BA531" s="4"/>
      <c r="BB531" s="4"/>
      <c r="BC531" s="4"/>
      <c r="BD531" s="4"/>
      <c r="BE531" s="4"/>
      <c r="BF531" s="4"/>
      <c r="BG531" s="4"/>
      <c r="BI531" s="4"/>
      <c r="BP531" s="4"/>
      <c r="BS531" s="4"/>
      <c r="BW531" s="4"/>
      <c r="BX531" s="4"/>
    </row>
    <row r="532" spans="1:76" ht="12.75" x14ac:dyDescent="0.2">
      <c r="A532" s="4" t="s">
        <v>375</v>
      </c>
      <c r="B532" s="4" t="s">
        <v>218</v>
      </c>
      <c r="C532" s="4" t="s">
        <v>219</v>
      </c>
      <c r="D532" s="4">
        <v>2618</v>
      </c>
      <c r="E532" s="4" t="s">
        <v>32</v>
      </c>
      <c r="F532" s="4" t="s">
        <v>896</v>
      </c>
      <c r="G532" s="113">
        <v>1</v>
      </c>
      <c r="H532" t="s">
        <v>1781</v>
      </c>
      <c r="I532" s="4">
        <v>5.7490000000000006E-2</v>
      </c>
      <c r="L532" s="4" t="s">
        <v>1596</v>
      </c>
      <c r="M532" s="4" t="s">
        <v>109</v>
      </c>
      <c r="N532" s="4" t="s">
        <v>28</v>
      </c>
      <c r="O532" s="4"/>
      <c r="P532" s="4" t="s">
        <v>1693</v>
      </c>
      <c r="Q532" t="s">
        <v>109</v>
      </c>
      <c r="R532" s="4"/>
      <c r="S532" s="4"/>
      <c r="U532" s="4"/>
      <c r="Y532" s="4"/>
      <c r="Z532" s="4"/>
      <c r="AA532" s="4"/>
      <c r="AB532" s="4"/>
      <c r="AC532" s="4"/>
      <c r="AD532" s="4"/>
      <c r="AE532" s="4"/>
      <c r="AF532" s="4"/>
      <c r="AG532" s="4"/>
      <c r="AH532" s="4"/>
      <c r="AI532" s="4"/>
      <c r="AJ532" s="4"/>
      <c r="AK532" s="4"/>
      <c r="AL532" s="4"/>
      <c r="AP532" s="4"/>
      <c r="AX532" s="4"/>
      <c r="AY532" s="4"/>
      <c r="AZ532" s="4"/>
      <c r="BA532" s="4"/>
      <c r="BB532" s="4"/>
      <c r="BC532" s="4"/>
      <c r="BD532" s="4"/>
      <c r="BE532" s="4"/>
      <c r="BF532" s="4"/>
      <c r="BG532" s="4"/>
      <c r="BI532" s="4"/>
      <c r="BP532" s="4"/>
      <c r="BS532" s="4"/>
      <c r="BW532" s="4"/>
      <c r="BX532" s="4"/>
    </row>
    <row r="533" spans="1:76" ht="12.75" x14ac:dyDescent="0.2">
      <c r="A533" s="4" t="s">
        <v>1316</v>
      </c>
      <c r="B533" s="4" t="s">
        <v>77</v>
      </c>
      <c r="C533" s="4" t="s">
        <v>111</v>
      </c>
      <c r="D533" s="4">
        <v>2620</v>
      </c>
      <c r="E533" s="4" t="s">
        <v>34</v>
      </c>
      <c r="F533" s="4" t="s">
        <v>896</v>
      </c>
      <c r="G533" s="113">
        <v>0.5</v>
      </c>
      <c r="H533" t="s">
        <v>1781</v>
      </c>
      <c r="I533" s="4">
        <v>0.14499999999999999</v>
      </c>
      <c r="L533" s="4" t="s">
        <v>1570</v>
      </c>
      <c r="M533" s="4" t="s">
        <v>109</v>
      </c>
      <c r="N533" s="4" t="s">
        <v>28</v>
      </c>
      <c r="O533" s="4"/>
      <c r="P533" s="4" t="s">
        <v>1693</v>
      </c>
      <c r="Q533" t="s">
        <v>109</v>
      </c>
      <c r="R533" s="4"/>
      <c r="S533" s="4"/>
      <c r="U533" s="4"/>
      <c r="Y533" s="4"/>
      <c r="Z533" s="4"/>
      <c r="AA533" s="4"/>
      <c r="AB533" s="4"/>
      <c r="AC533" s="4"/>
      <c r="AD533" s="4"/>
      <c r="AE533" s="4"/>
      <c r="AF533" s="4"/>
      <c r="AG533" s="4"/>
      <c r="AH533" s="4"/>
      <c r="AI533" s="4"/>
      <c r="AJ533" s="4"/>
      <c r="AK533" s="4"/>
      <c r="AL533" s="4"/>
      <c r="AP533" s="4"/>
      <c r="AX533" s="4"/>
      <c r="AY533" s="4"/>
      <c r="AZ533" s="4"/>
      <c r="BA533" s="4"/>
      <c r="BB533" s="4"/>
      <c r="BC533" s="4"/>
      <c r="BD533" s="4"/>
      <c r="BE533" s="4"/>
      <c r="BF533" s="4"/>
      <c r="BG533" s="4"/>
      <c r="BI533" s="4"/>
      <c r="BP533" s="4"/>
      <c r="BS533" s="4"/>
      <c r="BW533" s="4"/>
      <c r="BX533" s="4"/>
    </row>
    <row r="534" spans="1:76" ht="12.75" x14ac:dyDescent="0.2">
      <c r="A534" s="4" t="s">
        <v>1316</v>
      </c>
      <c r="B534" s="4" t="s">
        <v>77</v>
      </c>
      <c r="C534" s="4" t="s">
        <v>101</v>
      </c>
      <c r="D534" s="4">
        <v>2620</v>
      </c>
      <c r="E534" s="4" t="s">
        <v>34</v>
      </c>
      <c r="F534" s="4" t="s">
        <v>896</v>
      </c>
      <c r="G534" s="113">
        <v>0.5</v>
      </c>
      <c r="H534" t="s">
        <v>1781</v>
      </c>
      <c r="I534" s="4">
        <v>0.22700000000000001</v>
      </c>
      <c r="L534" s="4" t="s">
        <v>1570</v>
      </c>
      <c r="M534" s="4" t="s">
        <v>109</v>
      </c>
      <c r="N534" s="4" t="s">
        <v>28</v>
      </c>
      <c r="O534" s="4"/>
      <c r="P534" s="4" t="s">
        <v>1693</v>
      </c>
      <c r="Q534" t="s">
        <v>109</v>
      </c>
      <c r="R534" s="4"/>
      <c r="S534" s="4"/>
      <c r="U534" s="4"/>
      <c r="Y534" s="4"/>
      <c r="Z534" s="4"/>
      <c r="AA534" s="4"/>
      <c r="AB534" s="4"/>
      <c r="AC534" s="4"/>
      <c r="AD534" s="4"/>
      <c r="AE534" s="4"/>
      <c r="AF534" s="4"/>
      <c r="AG534" s="4"/>
      <c r="AH534" s="4"/>
      <c r="AI534" s="4"/>
      <c r="AJ534" s="4"/>
      <c r="AK534" s="4"/>
      <c r="AL534" s="4"/>
      <c r="AP534" s="4"/>
      <c r="AX534" s="4"/>
      <c r="AY534" s="4"/>
      <c r="AZ534" s="4"/>
      <c r="BA534" s="4"/>
      <c r="BB534" s="4"/>
      <c r="BC534" s="4"/>
      <c r="BD534" s="4"/>
      <c r="BE534" s="4"/>
      <c r="BF534" s="4"/>
      <c r="BG534" s="4"/>
      <c r="BI534" s="4"/>
      <c r="BP534" s="4"/>
      <c r="BS534" s="4"/>
      <c r="BW534" s="4"/>
      <c r="BX534" s="4"/>
    </row>
    <row r="535" spans="1:76" ht="12.75" x14ac:dyDescent="0.2">
      <c r="A535" s="4" t="s">
        <v>250</v>
      </c>
      <c r="B535" s="4" t="s">
        <v>253</v>
      </c>
      <c r="C535" s="4" t="s">
        <v>138</v>
      </c>
      <c r="D535" s="4">
        <v>2620</v>
      </c>
      <c r="E535" s="4" t="s">
        <v>34</v>
      </c>
      <c r="F535" s="4" t="s">
        <v>896</v>
      </c>
      <c r="G535" s="113">
        <v>0.5</v>
      </c>
      <c r="H535" t="s">
        <v>1781</v>
      </c>
      <c r="I535" s="4">
        <v>0.66700000000000004</v>
      </c>
      <c r="L535" s="4" t="s">
        <v>1569</v>
      </c>
      <c r="M535" s="4" t="s">
        <v>109</v>
      </c>
      <c r="N535" s="4" t="s">
        <v>28</v>
      </c>
      <c r="O535" s="4"/>
      <c r="P535" s="4" t="s">
        <v>1693</v>
      </c>
      <c r="Q535" t="s">
        <v>109</v>
      </c>
      <c r="R535" s="4"/>
      <c r="S535" s="4"/>
      <c r="U535" s="4"/>
      <c r="Y535" s="4"/>
      <c r="Z535" s="4"/>
      <c r="AA535" s="4"/>
      <c r="AB535" s="4"/>
      <c r="AC535" s="4"/>
      <c r="AD535" s="4"/>
      <c r="AE535" s="4"/>
      <c r="AF535" s="4"/>
      <c r="AG535" s="4"/>
      <c r="AH535" s="4"/>
      <c r="AI535" s="4"/>
      <c r="AJ535" s="4"/>
      <c r="AK535" s="4"/>
      <c r="AL535" s="4"/>
      <c r="AP535" s="4"/>
      <c r="AX535" s="4"/>
      <c r="AY535" s="4"/>
      <c r="AZ535" s="4"/>
      <c r="BA535" s="4"/>
      <c r="BB535" s="4"/>
      <c r="BC535" s="4"/>
      <c r="BD535" s="4"/>
      <c r="BE535" s="4"/>
      <c r="BF535" s="4"/>
      <c r="BG535" s="4"/>
      <c r="BI535" s="4"/>
      <c r="BP535" s="4"/>
      <c r="BS535" s="4"/>
      <c r="BW535" s="4"/>
      <c r="BX535" s="4"/>
    </row>
    <row r="536" spans="1:76" ht="12.75" x14ac:dyDescent="0.2">
      <c r="A536" s="4" t="s">
        <v>250</v>
      </c>
      <c r="B536" s="4" t="s">
        <v>253</v>
      </c>
      <c r="C536" s="4" t="s">
        <v>115</v>
      </c>
      <c r="D536" s="4">
        <v>2620</v>
      </c>
      <c r="E536" s="4" t="s">
        <v>34</v>
      </c>
      <c r="F536" s="4" t="s">
        <v>896</v>
      </c>
      <c r="G536" s="113">
        <v>0.5</v>
      </c>
      <c r="H536" t="s">
        <v>1781</v>
      </c>
      <c r="I536" s="4">
        <v>0.7</v>
      </c>
      <c r="L536" s="4" t="s">
        <v>1569</v>
      </c>
      <c r="M536" s="4" t="s">
        <v>109</v>
      </c>
      <c r="N536" s="4" t="s">
        <v>28</v>
      </c>
      <c r="O536" s="4"/>
      <c r="P536" s="4" t="s">
        <v>1693</v>
      </c>
      <c r="Q536" t="s">
        <v>109</v>
      </c>
      <c r="R536" s="4"/>
      <c r="S536" s="4"/>
      <c r="U536" s="4"/>
      <c r="Y536" s="4"/>
      <c r="Z536" s="4"/>
      <c r="AA536" s="4"/>
      <c r="AB536" s="4"/>
      <c r="AC536" s="4"/>
      <c r="AD536" s="4"/>
      <c r="AE536" s="4"/>
      <c r="AF536" s="4"/>
      <c r="AG536" s="4"/>
      <c r="AH536" s="4"/>
      <c r="AI536" s="4"/>
      <c r="AJ536" s="4"/>
      <c r="AK536" s="4"/>
      <c r="AL536" s="4"/>
      <c r="AP536" s="4"/>
      <c r="AX536" s="4"/>
      <c r="AY536" s="4"/>
      <c r="AZ536" s="4"/>
      <c r="BA536" s="4"/>
      <c r="BB536" s="4"/>
      <c r="BC536" s="4"/>
      <c r="BD536" s="4"/>
      <c r="BE536" s="4"/>
      <c r="BF536" s="4"/>
      <c r="BG536" s="4"/>
      <c r="BI536" s="4"/>
      <c r="BP536" s="4"/>
      <c r="BS536" s="4"/>
      <c r="BW536" s="4"/>
      <c r="BX536" s="4"/>
    </row>
    <row r="537" spans="1:76" ht="12.75" x14ac:dyDescent="0.2">
      <c r="A537" s="4" t="s">
        <v>222</v>
      </c>
      <c r="B537" s="4" t="s">
        <v>218</v>
      </c>
      <c r="C537" s="4" t="s">
        <v>219</v>
      </c>
      <c r="D537" s="4">
        <v>2625</v>
      </c>
      <c r="E537" s="4" t="s">
        <v>31</v>
      </c>
      <c r="F537" s="4" t="s">
        <v>896</v>
      </c>
      <c r="G537" s="113">
        <v>1</v>
      </c>
      <c r="H537" t="s">
        <v>1781</v>
      </c>
      <c r="I537" s="4">
        <v>4.19E-2</v>
      </c>
      <c r="L537" s="4" t="s">
        <v>1596</v>
      </c>
      <c r="M537" s="4" t="s">
        <v>109</v>
      </c>
      <c r="N537" s="4" t="s">
        <v>28</v>
      </c>
      <c r="O537" s="4"/>
      <c r="P537" s="4" t="s">
        <v>1693</v>
      </c>
      <c r="Q537" t="s">
        <v>109</v>
      </c>
      <c r="R537" s="4"/>
      <c r="S537" s="4"/>
      <c r="U537" s="4"/>
      <c r="Y537" s="4"/>
      <c r="Z537" s="4"/>
      <c r="AA537" s="4"/>
      <c r="AB537" s="4"/>
      <c r="AC537" s="4"/>
      <c r="AD537" s="4"/>
      <c r="AE537" s="4"/>
      <c r="AF537" s="4"/>
      <c r="AG537" s="4"/>
      <c r="AH537" s="4"/>
      <c r="AI537" s="4"/>
      <c r="AJ537" s="4"/>
      <c r="AK537" s="4"/>
      <c r="AL537" s="4"/>
      <c r="AP537" s="4"/>
      <c r="AX537" s="4"/>
      <c r="AY537" s="4"/>
      <c r="AZ537" s="4"/>
      <c r="BA537" s="4"/>
      <c r="BB537" s="4"/>
      <c r="BC537" s="4"/>
      <c r="BD537" s="4"/>
      <c r="BE537" s="4"/>
      <c r="BF537" s="4"/>
      <c r="BG537" s="4"/>
      <c r="BI537" s="4"/>
      <c r="BP537" s="4"/>
      <c r="BS537" s="4"/>
      <c r="BW537" s="4"/>
      <c r="BX537" s="4"/>
    </row>
    <row r="538" spans="1:76" ht="12.75" x14ac:dyDescent="0.2">
      <c r="A538" s="4" t="s">
        <v>233</v>
      </c>
      <c r="B538" s="4" t="s">
        <v>143</v>
      </c>
      <c r="C538" s="4" t="s">
        <v>101</v>
      </c>
      <c r="D538" s="4">
        <v>2625</v>
      </c>
      <c r="E538" s="4" t="s">
        <v>31</v>
      </c>
      <c r="F538" s="4" t="s">
        <v>896</v>
      </c>
      <c r="G538" s="113">
        <v>0.2</v>
      </c>
      <c r="H538" t="s">
        <v>1781</v>
      </c>
      <c r="I538" s="4">
        <v>5.5600000000000004E-2</v>
      </c>
      <c r="L538" s="4" t="s">
        <v>1608</v>
      </c>
      <c r="M538" s="4" t="s">
        <v>109</v>
      </c>
      <c r="N538" s="4" t="s">
        <v>28</v>
      </c>
      <c r="O538" s="4"/>
      <c r="P538" s="4" t="s">
        <v>1693</v>
      </c>
      <c r="Q538" t="s">
        <v>109</v>
      </c>
      <c r="R538" s="4"/>
      <c r="S538" s="4"/>
      <c r="U538" s="4"/>
      <c r="Y538" s="4"/>
      <c r="Z538" s="4"/>
      <c r="AA538" s="4"/>
      <c r="AB538" s="4"/>
      <c r="AC538" s="4"/>
      <c r="AD538" s="4"/>
      <c r="AE538" s="4"/>
      <c r="AF538" s="4"/>
      <c r="AG538" s="4"/>
      <c r="AH538" s="4"/>
      <c r="AI538" s="4"/>
      <c r="AJ538" s="4"/>
      <c r="AK538" s="4"/>
      <c r="AL538" s="4"/>
      <c r="AP538" s="4"/>
      <c r="AX538" s="4"/>
      <c r="AY538" s="4"/>
      <c r="AZ538" s="4"/>
      <c r="BA538" s="4"/>
      <c r="BB538" s="4"/>
      <c r="BC538" s="4"/>
      <c r="BD538" s="4"/>
      <c r="BE538" s="4"/>
      <c r="BF538" s="4"/>
      <c r="BG538" s="4"/>
      <c r="BI538" s="4"/>
      <c r="BP538" s="4"/>
      <c r="BS538" s="4"/>
      <c r="BW538" s="4"/>
      <c r="BX538" s="4"/>
    </row>
    <row r="539" spans="1:76" ht="12.75" x14ac:dyDescent="0.2">
      <c r="A539" s="4" t="s">
        <v>223</v>
      </c>
      <c r="B539" s="4" t="s">
        <v>218</v>
      </c>
      <c r="C539" s="4" t="s">
        <v>219</v>
      </c>
      <c r="D539" s="4">
        <v>2625</v>
      </c>
      <c r="E539" s="4" t="s">
        <v>31</v>
      </c>
      <c r="F539" s="4" t="s">
        <v>896</v>
      </c>
      <c r="G539" s="113">
        <v>1</v>
      </c>
      <c r="H539" t="s">
        <v>1781</v>
      </c>
      <c r="I539" s="4">
        <v>0.12088</v>
      </c>
      <c r="L539" s="4" t="s">
        <v>1596</v>
      </c>
      <c r="M539" s="4" t="s">
        <v>109</v>
      </c>
      <c r="N539" s="4" t="s">
        <v>28</v>
      </c>
      <c r="O539" s="4"/>
      <c r="P539" s="4" t="s">
        <v>1693</v>
      </c>
      <c r="Q539" t="s">
        <v>109</v>
      </c>
      <c r="R539" s="4"/>
      <c r="S539" s="4"/>
      <c r="U539" s="4"/>
      <c r="Y539" s="4"/>
      <c r="Z539" s="4"/>
      <c r="AA539" s="4"/>
      <c r="AB539" s="4"/>
      <c r="AC539" s="4"/>
      <c r="AD539" s="4"/>
      <c r="AE539" s="4"/>
      <c r="AF539" s="4"/>
      <c r="AG539" s="4"/>
      <c r="AH539" s="4"/>
      <c r="AI539" s="4"/>
      <c r="AJ539" s="4"/>
      <c r="AK539" s="4"/>
      <c r="AL539" s="4"/>
      <c r="AP539" s="4"/>
      <c r="AX539" s="4"/>
      <c r="AY539" s="4"/>
      <c r="AZ539" s="4"/>
      <c r="BA539" s="4"/>
      <c r="BB539" s="4"/>
      <c r="BC539" s="4"/>
      <c r="BD539" s="4"/>
      <c r="BE539" s="4"/>
      <c r="BF539" s="4"/>
      <c r="BG539" s="4"/>
      <c r="BI539" s="4"/>
      <c r="BP539" s="4"/>
      <c r="BS539" s="4"/>
      <c r="BW539" s="4"/>
      <c r="BX539" s="4"/>
    </row>
    <row r="540" spans="1:76" ht="12.75" x14ac:dyDescent="0.2">
      <c r="A540" s="4" t="s">
        <v>238</v>
      </c>
      <c r="B540" s="4" t="s">
        <v>239</v>
      </c>
      <c r="C540" s="4" t="s">
        <v>778</v>
      </c>
      <c r="D540" s="4">
        <v>2625</v>
      </c>
      <c r="E540" s="4" t="s">
        <v>31</v>
      </c>
      <c r="F540" s="4" t="s">
        <v>896</v>
      </c>
      <c r="G540" s="113">
        <v>1</v>
      </c>
      <c r="H540" t="s">
        <v>1781</v>
      </c>
      <c r="I540" s="4">
        <v>0.13500000000000001</v>
      </c>
      <c r="L540" s="4" t="s">
        <v>1609</v>
      </c>
      <c r="M540" s="4" t="s">
        <v>109</v>
      </c>
      <c r="N540" s="4" t="s">
        <v>28</v>
      </c>
      <c r="O540" s="4"/>
      <c r="P540" s="4" t="s">
        <v>1693</v>
      </c>
      <c r="Q540" t="s">
        <v>109</v>
      </c>
      <c r="R540" s="4"/>
      <c r="S540" s="4"/>
      <c r="U540" s="4"/>
      <c r="Y540" s="4"/>
      <c r="Z540" s="4"/>
      <c r="AA540" s="4"/>
      <c r="AB540" s="4"/>
      <c r="AC540" s="4"/>
      <c r="AD540" s="4"/>
      <c r="AE540" s="4"/>
      <c r="AF540" s="4"/>
      <c r="AG540" s="4"/>
      <c r="AH540" s="4"/>
      <c r="AI540" s="4"/>
      <c r="AJ540" s="4"/>
      <c r="AK540" s="4"/>
      <c r="AL540" s="4"/>
      <c r="AP540" s="4"/>
      <c r="AX540" s="4"/>
      <c r="AY540" s="4"/>
      <c r="AZ540" s="4"/>
      <c r="BA540" s="4"/>
      <c r="BB540" s="4"/>
      <c r="BC540" s="4"/>
      <c r="BD540" s="4"/>
      <c r="BE540" s="4"/>
      <c r="BF540" s="4"/>
      <c r="BG540" s="4"/>
      <c r="BI540" s="4"/>
      <c r="BP540" s="4"/>
      <c r="BS540" s="4"/>
      <c r="BW540" s="4"/>
      <c r="BX540" s="4"/>
    </row>
    <row r="541" spans="1:76" ht="12.75" x14ac:dyDescent="0.2">
      <c r="A541" s="4" t="s">
        <v>1316</v>
      </c>
      <c r="B541" s="4" t="s">
        <v>77</v>
      </c>
      <c r="C541" s="4" t="s">
        <v>111</v>
      </c>
      <c r="D541" s="4">
        <v>2625</v>
      </c>
      <c r="E541" s="4" t="s">
        <v>31</v>
      </c>
      <c r="F541" s="4" t="s">
        <v>896</v>
      </c>
      <c r="G541" s="113">
        <v>0.5</v>
      </c>
      <c r="H541" t="s">
        <v>1781</v>
      </c>
      <c r="I541" s="4">
        <v>0.14499999999999999</v>
      </c>
      <c r="L541" s="4" t="s">
        <v>1570</v>
      </c>
      <c r="M541" s="4" t="s">
        <v>109</v>
      </c>
      <c r="N541" s="4" t="s">
        <v>28</v>
      </c>
      <c r="O541" s="4"/>
      <c r="P541" s="4" t="s">
        <v>1693</v>
      </c>
      <c r="Q541" t="s">
        <v>109</v>
      </c>
      <c r="R541" s="4"/>
      <c r="S541" s="4"/>
      <c r="U541" s="4"/>
      <c r="Y541" s="4"/>
      <c r="Z541" s="4"/>
      <c r="AA541" s="4"/>
      <c r="AB541" s="4"/>
      <c r="AC541" s="4"/>
      <c r="AD541" s="4"/>
      <c r="AE541" s="4"/>
      <c r="AF541" s="4"/>
      <c r="AG541" s="4"/>
      <c r="AH541" s="4"/>
      <c r="AI541" s="4"/>
      <c r="AJ541" s="4"/>
      <c r="AK541" s="4"/>
      <c r="AL541" s="4"/>
      <c r="AP541" s="4"/>
      <c r="AX541" s="4"/>
      <c r="AY541" s="4"/>
      <c r="AZ541" s="4"/>
      <c r="BA541" s="4"/>
      <c r="BB541" s="4"/>
      <c r="BC541" s="4"/>
      <c r="BD541" s="4"/>
      <c r="BE541" s="4"/>
      <c r="BF541" s="4"/>
      <c r="BG541" s="4"/>
      <c r="BI541" s="4"/>
      <c r="BP541" s="4"/>
      <c r="BS541" s="4"/>
      <c r="BW541" s="4"/>
      <c r="BX541" s="4"/>
    </row>
    <row r="542" spans="1:76" ht="12.75" x14ac:dyDescent="0.2">
      <c r="A542" s="4" t="s">
        <v>238</v>
      </c>
      <c r="B542" s="4" t="s">
        <v>239</v>
      </c>
      <c r="C542" s="4" t="s">
        <v>690</v>
      </c>
      <c r="D542" s="4">
        <v>2625</v>
      </c>
      <c r="E542" s="4" t="s">
        <v>31</v>
      </c>
      <c r="F542" s="4" t="s">
        <v>896</v>
      </c>
      <c r="G542" s="113">
        <v>0.5</v>
      </c>
      <c r="H542" t="s">
        <v>1781</v>
      </c>
      <c r="I542" s="4">
        <v>0.14599999999999999</v>
      </c>
      <c r="L542" s="4" t="s">
        <v>1609</v>
      </c>
      <c r="M542" s="4" t="s">
        <v>109</v>
      </c>
      <c r="N542" s="4" t="s">
        <v>28</v>
      </c>
      <c r="O542" s="4"/>
      <c r="P542" s="4" t="s">
        <v>1693</v>
      </c>
      <c r="Q542" t="s">
        <v>109</v>
      </c>
      <c r="R542" s="4"/>
      <c r="S542" s="4"/>
      <c r="U542" s="4"/>
      <c r="Y542" s="4"/>
      <c r="Z542" s="4"/>
      <c r="AA542" s="4"/>
      <c r="AB542" s="4"/>
      <c r="AC542" s="4"/>
      <c r="AD542" s="4"/>
      <c r="AE542" s="4"/>
      <c r="AF542" s="4"/>
      <c r="AG542" s="4"/>
      <c r="AH542" s="4"/>
      <c r="AI542" s="4"/>
      <c r="AJ542" s="4"/>
      <c r="AK542" s="4"/>
      <c r="AL542" s="4"/>
      <c r="AP542" s="4"/>
      <c r="AX542" s="4"/>
      <c r="AY542" s="4"/>
      <c r="AZ542" s="4"/>
      <c r="BA542" s="4"/>
      <c r="BB542" s="4"/>
      <c r="BC542" s="4"/>
      <c r="BD542" s="4"/>
      <c r="BE542" s="4"/>
      <c r="BF542" s="4"/>
      <c r="BG542" s="4"/>
      <c r="BI542" s="4"/>
      <c r="BP542" s="4"/>
      <c r="BS542" s="4"/>
      <c r="BW542" s="4"/>
      <c r="BX542" s="4"/>
    </row>
    <row r="543" spans="1:76" ht="12.75" x14ac:dyDescent="0.2">
      <c r="A543" s="4" t="s">
        <v>1317</v>
      </c>
      <c r="B543" s="4" t="s">
        <v>77</v>
      </c>
      <c r="C543" s="4" t="s">
        <v>101</v>
      </c>
      <c r="D543" s="4">
        <v>2625</v>
      </c>
      <c r="E543" s="4" t="s">
        <v>31</v>
      </c>
      <c r="F543" s="4" t="s">
        <v>896</v>
      </c>
      <c r="G543" s="113">
        <v>0.5</v>
      </c>
      <c r="H543" t="s">
        <v>1781</v>
      </c>
      <c r="I543" s="4">
        <v>0.15</v>
      </c>
      <c r="L543" s="4" t="s">
        <v>1570</v>
      </c>
      <c r="M543" s="4" t="s">
        <v>109</v>
      </c>
      <c r="N543" s="4" t="s">
        <v>28</v>
      </c>
      <c r="O543" s="4"/>
      <c r="P543" s="4" t="s">
        <v>1693</v>
      </c>
      <c r="Q543" t="s">
        <v>109</v>
      </c>
      <c r="R543" s="4"/>
      <c r="S543" s="4"/>
      <c r="U543" s="4"/>
      <c r="Y543" s="4"/>
      <c r="Z543" s="4"/>
      <c r="AA543" s="4"/>
      <c r="AB543" s="4"/>
      <c r="AC543" s="4"/>
      <c r="AD543" s="4"/>
      <c r="AE543" s="4"/>
      <c r="AF543" s="4"/>
      <c r="AG543" s="4"/>
      <c r="AH543" s="4"/>
      <c r="AI543" s="4"/>
      <c r="AJ543" s="4"/>
      <c r="AK543" s="4"/>
      <c r="AL543" s="4"/>
      <c r="AP543" s="4"/>
      <c r="AX543" s="4"/>
      <c r="AY543" s="4"/>
      <c r="AZ543" s="4"/>
      <c r="BA543" s="4"/>
      <c r="BB543" s="4"/>
      <c r="BC543" s="4"/>
      <c r="BD543" s="4"/>
      <c r="BE543" s="4"/>
      <c r="BF543" s="4"/>
      <c r="BG543" s="4"/>
      <c r="BI543" s="4"/>
      <c r="BP543" s="4"/>
      <c r="BS543" s="4"/>
      <c r="BW543" s="4"/>
      <c r="BX543" s="4"/>
    </row>
    <row r="544" spans="1:76" ht="12.75" x14ac:dyDescent="0.2">
      <c r="A544" s="4" t="s">
        <v>233</v>
      </c>
      <c r="B544" s="4" t="s">
        <v>143</v>
      </c>
      <c r="C544" s="4" t="s">
        <v>101</v>
      </c>
      <c r="D544" s="4">
        <v>2625</v>
      </c>
      <c r="E544" s="4" t="s">
        <v>31</v>
      </c>
      <c r="F544" s="4" t="s">
        <v>896</v>
      </c>
      <c r="G544" s="113">
        <v>0.2</v>
      </c>
      <c r="H544" t="s">
        <v>1781</v>
      </c>
      <c r="I544" s="4">
        <v>0.15530000000000002</v>
      </c>
      <c r="L544" s="4" t="s">
        <v>1608</v>
      </c>
      <c r="M544" s="4" t="s">
        <v>109</v>
      </c>
      <c r="N544" s="4" t="s">
        <v>28</v>
      </c>
      <c r="O544" s="4"/>
      <c r="P544" s="4" t="s">
        <v>1693</v>
      </c>
      <c r="Q544" t="s">
        <v>109</v>
      </c>
      <c r="R544" s="4"/>
      <c r="S544" s="4"/>
      <c r="U544" s="4"/>
      <c r="Y544" s="4"/>
      <c r="Z544" s="4"/>
      <c r="AA544" s="4"/>
      <c r="AB544" s="4"/>
      <c r="AC544" s="4"/>
      <c r="AD544" s="4"/>
      <c r="AE544" s="4"/>
      <c r="AF544" s="4"/>
      <c r="AG544" s="4"/>
      <c r="AH544" s="4"/>
      <c r="AI544" s="4"/>
      <c r="AJ544" s="4"/>
      <c r="AK544" s="4"/>
      <c r="AL544" s="4"/>
      <c r="AP544" s="4"/>
      <c r="AX544" s="4"/>
      <c r="AY544" s="4"/>
      <c r="AZ544" s="4"/>
      <c r="BA544" s="4"/>
      <c r="BB544" s="4"/>
      <c r="BC544" s="4"/>
      <c r="BD544" s="4"/>
      <c r="BE544" s="4"/>
      <c r="BF544" s="4"/>
      <c r="BG544" s="4"/>
      <c r="BI544" s="4"/>
      <c r="BP544" s="4"/>
      <c r="BS544" s="4"/>
      <c r="BW544" s="4"/>
      <c r="BX544" s="4"/>
    </row>
    <row r="545" spans="1:76" ht="12.75" x14ac:dyDescent="0.2">
      <c r="A545" s="4" t="s">
        <v>1647</v>
      </c>
      <c r="B545" s="4" t="s">
        <v>218</v>
      </c>
      <c r="C545" s="4" t="s">
        <v>219</v>
      </c>
      <c r="D545" s="4">
        <v>2625</v>
      </c>
      <c r="E545" s="4" t="s">
        <v>31</v>
      </c>
      <c r="F545" s="4" t="s">
        <v>896</v>
      </c>
      <c r="G545" s="113">
        <v>1</v>
      </c>
      <c r="H545" t="s">
        <v>1781</v>
      </c>
      <c r="I545" s="4">
        <v>0.16803000000000001</v>
      </c>
      <c r="L545" s="4" t="s">
        <v>1596</v>
      </c>
      <c r="M545" s="4" t="s">
        <v>109</v>
      </c>
      <c r="N545" s="4" t="s">
        <v>28</v>
      </c>
      <c r="O545" s="4"/>
      <c r="P545" s="4" t="s">
        <v>1693</v>
      </c>
      <c r="Q545" t="s">
        <v>109</v>
      </c>
      <c r="R545" s="4"/>
      <c r="S545" s="4"/>
      <c r="U545" s="4"/>
      <c r="Y545" s="4"/>
      <c r="Z545" s="4"/>
      <c r="AA545" s="4"/>
      <c r="AB545" s="4"/>
      <c r="AC545" s="4"/>
      <c r="AD545" s="4"/>
      <c r="AE545" s="4"/>
      <c r="AF545" s="4"/>
      <c r="AG545" s="4"/>
      <c r="AH545" s="4"/>
      <c r="AI545" s="4"/>
      <c r="AJ545" s="4"/>
      <c r="AK545" s="4"/>
      <c r="AL545" s="4"/>
      <c r="AP545" s="4"/>
      <c r="AX545" s="4"/>
      <c r="AY545" s="4"/>
      <c r="AZ545" s="4"/>
      <c r="BA545" s="4"/>
      <c r="BB545" s="4"/>
      <c r="BC545" s="4"/>
      <c r="BD545" s="4"/>
      <c r="BE545" s="4"/>
      <c r="BF545" s="4"/>
      <c r="BG545" s="4"/>
      <c r="BI545" s="4"/>
      <c r="BP545" s="4"/>
      <c r="BS545" s="4"/>
      <c r="BW545" s="4"/>
      <c r="BX545" s="4"/>
    </row>
    <row r="546" spans="1:76" ht="12.75" x14ac:dyDescent="0.2">
      <c r="A546" s="4" t="s">
        <v>233</v>
      </c>
      <c r="B546" s="4" t="s">
        <v>143</v>
      </c>
      <c r="C546" s="4" t="s">
        <v>111</v>
      </c>
      <c r="D546" s="4">
        <v>2625</v>
      </c>
      <c r="E546" s="4" t="s">
        <v>31</v>
      </c>
      <c r="F546" s="4" t="s">
        <v>896</v>
      </c>
      <c r="G546" s="113">
        <v>1</v>
      </c>
      <c r="H546" t="s">
        <v>1781</v>
      </c>
      <c r="I546" s="4">
        <v>0.18</v>
      </c>
      <c r="L546" s="4" t="s">
        <v>1603</v>
      </c>
      <c r="M546" s="4" t="s">
        <v>109</v>
      </c>
      <c r="N546" s="4" t="s">
        <v>28</v>
      </c>
      <c r="O546" s="4"/>
      <c r="P546" s="4" t="s">
        <v>1693</v>
      </c>
      <c r="Q546" t="s">
        <v>109</v>
      </c>
      <c r="R546" s="4"/>
      <c r="S546" s="4"/>
      <c r="U546" s="4"/>
      <c r="Y546" s="4"/>
      <c r="Z546" s="4"/>
      <c r="AA546" s="4"/>
      <c r="AB546" s="4"/>
      <c r="AC546" s="4"/>
      <c r="AD546" s="4"/>
      <c r="AE546" s="4"/>
      <c r="AF546" s="4"/>
      <c r="AG546" s="4"/>
      <c r="AH546" s="4"/>
      <c r="AI546" s="4"/>
      <c r="AJ546" s="4"/>
      <c r="AK546" s="4"/>
      <c r="AL546" s="4"/>
      <c r="AP546" s="4"/>
      <c r="AX546" s="4"/>
      <c r="AY546" s="4"/>
      <c r="AZ546" s="4"/>
      <c r="BA546" s="4"/>
      <c r="BB546" s="4"/>
      <c r="BC546" s="4"/>
      <c r="BD546" s="4"/>
      <c r="BE546" s="4"/>
      <c r="BF546" s="4"/>
      <c r="BG546" s="4"/>
      <c r="BI546" s="4"/>
      <c r="BP546" s="4"/>
      <c r="BS546" s="4"/>
      <c r="BW546" s="4"/>
      <c r="BX546" s="4"/>
    </row>
    <row r="547" spans="1:76" ht="12.75" x14ac:dyDescent="0.2">
      <c r="A547" s="4" t="s">
        <v>221</v>
      </c>
      <c r="B547" s="4" t="s">
        <v>218</v>
      </c>
      <c r="C547" s="4" t="s">
        <v>219</v>
      </c>
      <c r="D547" s="4">
        <v>2625</v>
      </c>
      <c r="E547" s="4" t="s">
        <v>31</v>
      </c>
      <c r="F547" s="4" t="s">
        <v>896</v>
      </c>
      <c r="G547" s="113">
        <v>1</v>
      </c>
      <c r="H547" t="s">
        <v>1781</v>
      </c>
      <c r="I547" s="4">
        <v>0.18675999999999998</v>
      </c>
      <c r="L547" s="4" t="s">
        <v>1596</v>
      </c>
      <c r="M547" s="4" t="s">
        <v>109</v>
      </c>
      <c r="N547" s="4" t="s">
        <v>28</v>
      </c>
      <c r="O547" s="4"/>
      <c r="P547" s="4" t="s">
        <v>1693</v>
      </c>
      <c r="Q547" t="s">
        <v>109</v>
      </c>
      <c r="R547" s="4"/>
      <c r="S547" s="4"/>
      <c r="U547" s="4"/>
      <c r="Y547" s="4"/>
      <c r="Z547" s="4"/>
      <c r="AA547" s="4"/>
      <c r="AB547" s="4"/>
      <c r="AC547" s="4"/>
      <c r="AD547" s="4"/>
      <c r="AE547" s="4"/>
      <c r="AF547" s="4"/>
      <c r="AG547" s="4"/>
      <c r="AH547" s="4"/>
      <c r="AI547" s="4"/>
      <c r="AJ547" s="4"/>
      <c r="AK547" s="4"/>
      <c r="AL547" s="4"/>
      <c r="AP547" s="4"/>
      <c r="AX547" s="4"/>
      <c r="AY547" s="4"/>
      <c r="AZ547" s="4"/>
      <c r="BA547" s="4"/>
      <c r="BB547" s="4"/>
      <c r="BC547" s="4"/>
      <c r="BD547" s="4"/>
      <c r="BE547" s="4"/>
      <c r="BF547" s="4"/>
      <c r="BG547" s="4"/>
      <c r="BI547" s="4"/>
      <c r="BP547" s="4"/>
      <c r="BS547" s="4"/>
      <c r="BW547" s="4"/>
      <c r="BX547" s="4"/>
    </row>
    <row r="548" spans="1:76" ht="12.75" x14ac:dyDescent="0.2">
      <c r="A548" s="4" t="s">
        <v>238</v>
      </c>
      <c r="B548" s="4" t="s">
        <v>239</v>
      </c>
      <c r="C548" s="4" t="s">
        <v>101</v>
      </c>
      <c r="D548" s="4">
        <v>2625</v>
      </c>
      <c r="E548" s="4" t="s">
        <v>31</v>
      </c>
      <c r="F548" s="4" t="s">
        <v>896</v>
      </c>
      <c r="G548" s="113">
        <v>0.5</v>
      </c>
      <c r="H548" t="s">
        <v>1781</v>
      </c>
      <c r="I548" s="4">
        <v>0.20399999999999999</v>
      </c>
      <c r="L548" s="4" t="s">
        <v>1609</v>
      </c>
      <c r="M548" s="4" t="s">
        <v>109</v>
      </c>
      <c r="N548" s="4" t="s">
        <v>28</v>
      </c>
      <c r="O548" s="4"/>
      <c r="P548" s="4" t="s">
        <v>1693</v>
      </c>
      <c r="Q548" t="s">
        <v>109</v>
      </c>
      <c r="R548" s="4"/>
      <c r="S548" s="4"/>
      <c r="U548" s="4"/>
      <c r="Y548" s="4"/>
      <c r="Z548" s="4"/>
      <c r="AA548" s="4"/>
      <c r="AB548" s="4"/>
      <c r="AC548" s="4"/>
      <c r="AD548" s="4"/>
      <c r="AE548" s="4"/>
      <c r="AF548" s="4"/>
      <c r="AG548" s="4"/>
      <c r="AH548" s="4"/>
      <c r="AI548" s="4"/>
      <c r="AJ548" s="4"/>
      <c r="AK548" s="4"/>
      <c r="AL548" s="4"/>
      <c r="AP548" s="4"/>
      <c r="AX548" s="4"/>
      <c r="AY548" s="4"/>
      <c r="AZ548" s="4"/>
      <c r="BA548" s="4"/>
      <c r="BB548" s="4"/>
      <c r="BC548" s="4"/>
      <c r="BD548" s="4"/>
      <c r="BE548" s="4"/>
      <c r="BF548" s="4"/>
      <c r="BG548" s="4"/>
      <c r="BI548" s="4"/>
      <c r="BP548" s="4"/>
      <c r="BS548" s="4"/>
      <c r="BW548" s="4"/>
      <c r="BX548" s="4"/>
    </row>
    <row r="549" spans="1:76" ht="12.75" x14ac:dyDescent="0.2">
      <c r="A549" s="4" t="s">
        <v>214</v>
      </c>
      <c r="B549" s="4" t="s">
        <v>120</v>
      </c>
      <c r="C549" s="4" t="s">
        <v>111</v>
      </c>
      <c r="D549" s="4">
        <v>2625</v>
      </c>
      <c r="E549" s="4" t="s">
        <v>31</v>
      </c>
      <c r="F549" s="4" t="s">
        <v>896</v>
      </c>
      <c r="G549" s="113">
        <v>1</v>
      </c>
      <c r="H549" t="s">
        <v>1781</v>
      </c>
      <c r="I549" s="4">
        <v>0.20399999999999999</v>
      </c>
      <c r="L549" s="4" t="s">
        <v>1561</v>
      </c>
      <c r="M549" s="4" t="s">
        <v>109</v>
      </c>
      <c r="N549" s="4" t="s">
        <v>28</v>
      </c>
      <c r="O549" s="4"/>
      <c r="P549" s="4" t="s">
        <v>1693</v>
      </c>
      <c r="Q549" t="s">
        <v>109</v>
      </c>
      <c r="R549" s="4"/>
      <c r="S549" s="4"/>
      <c r="U549" s="4"/>
      <c r="Y549" s="4"/>
      <c r="Z549" s="4"/>
      <c r="AA549" s="4"/>
      <c r="AB549" s="4"/>
      <c r="AC549" s="4"/>
      <c r="AD549" s="4"/>
      <c r="AE549" s="4"/>
      <c r="AF549" s="4"/>
      <c r="AG549" s="4"/>
      <c r="AH549" s="4"/>
      <c r="AI549" s="4"/>
      <c r="AJ549" s="4"/>
      <c r="AK549" s="4"/>
      <c r="AL549" s="4"/>
      <c r="AP549" s="4"/>
      <c r="AX549" s="4"/>
      <c r="AY549" s="4"/>
      <c r="AZ549" s="4"/>
      <c r="BA549" s="4"/>
      <c r="BB549" s="4"/>
      <c r="BC549" s="4"/>
      <c r="BD549" s="4"/>
      <c r="BE549" s="4"/>
      <c r="BF549" s="4"/>
      <c r="BG549" s="4"/>
      <c r="BI549" s="4"/>
      <c r="BP549" s="4"/>
      <c r="BS549" s="4"/>
      <c r="BW549" s="4"/>
      <c r="BX549" s="4"/>
    </row>
    <row r="550" spans="1:76" ht="12.75" x14ac:dyDescent="0.2">
      <c r="A550" s="4" t="s">
        <v>233</v>
      </c>
      <c r="B550" s="4" t="s">
        <v>143</v>
      </c>
      <c r="C550" s="4" t="s">
        <v>101</v>
      </c>
      <c r="D550" s="4">
        <v>2625</v>
      </c>
      <c r="E550" s="4" t="s">
        <v>31</v>
      </c>
      <c r="F550" s="4" t="s">
        <v>896</v>
      </c>
      <c r="G550" s="113">
        <v>0.2</v>
      </c>
      <c r="H550" t="s">
        <v>1781</v>
      </c>
      <c r="I550" s="4">
        <v>0.2069</v>
      </c>
      <c r="L550" s="4" t="s">
        <v>1608</v>
      </c>
      <c r="M550" s="4" t="s">
        <v>109</v>
      </c>
      <c r="N550" s="4" t="s">
        <v>28</v>
      </c>
      <c r="O550" s="4"/>
      <c r="P550" s="4" t="s">
        <v>1693</v>
      </c>
      <c r="Q550" t="s">
        <v>109</v>
      </c>
      <c r="R550" s="4"/>
      <c r="S550" s="4"/>
      <c r="U550" s="4"/>
      <c r="Y550" s="4"/>
      <c r="Z550" s="4"/>
      <c r="AA550" s="4"/>
      <c r="AB550" s="4"/>
      <c r="AC550" s="4"/>
      <c r="AD550" s="4"/>
      <c r="AE550" s="4"/>
      <c r="AF550" s="4"/>
      <c r="AG550" s="4"/>
      <c r="AH550" s="4"/>
      <c r="AI550" s="4"/>
      <c r="AJ550" s="4"/>
      <c r="AK550" s="4"/>
      <c r="AL550" s="4"/>
      <c r="AP550" s="4"/>
      <c r="AX550" s="4"/>
      <c r="AY550" s="4"/>
      <c r="AZ550" s="4"/>
      <c r="BA550" s="4"/>
      <c r="BB550" s="4"/>
      <c r="BC550" s="4"/>
      <c r="BD550" s="4"/>
      <c r="BE550" s="4"/>
      <c r="BF550" s="4"/>
      <c r="BG550" s="4"/>
      <c r="BI550" s="4"/>
      <c r="BP550" s="4"/>
      <c r="BS550" s="4"/>
      <c r="BW550" s="4"/>
      <c r="BX550" s="4"/>
    </row>
    <row r="551" spans="1:76" ht="12.75" x14ac:dyDescent="0.2">
      <c r="A551" s="4" t="s">
        <v>238</v>
      </c>
      <c r="B551" s="4" t="s">
        <v>239</v>
      </c>
      <c r="C551" s="4" t="s">
        <v>778</v>
      </c>
      <c r="D551" s="4">
        <v>2625</v>
      </c>
      <c r="E551" s="4" t="s">
        <v>31</v>
      </c>
      <c r="F551" s="4" t="s">
        <v>896</v>
      </c>
      <c r="G551" s="113">
        <v>1</v>
      </c>
      <c r="H551" t="s">
        <v>1781</v>
      </c>
      <c r="I551" s="4">
        <v>0.217</v>
      </c>
      <c r="L551" s="4" t="s">
        <v>1609</v>
      </c>
      <c r="M551" s="4" t="s">
        <v>109</v>
      </c>
      <c r="N551" s="4" t="s">
        <v>28</v>
      </c>
      <c r="O551" s="4"/>
      <c r="P551" s="4" t="s">
        <v>1693</v>
      </c>
      <c r="Q551" t="s">
        <v>109</v>
      </c>
      <c r="R551" s="4"/>
      <c r="S551" s="4"/>
      <c r="U551" s="4"/>
      <c r="Y551" s="4"/>
      <c r="Z551" s="4"/>
      <c r="AA551" s="4"/>
      <c r="AB551" s="4"/>
      <c r="AC551" s="4"/>
      <c r="AD551" s="4"/>
      <c r="AE551" s="4"/>
      <c r="AF551" s="4"/>
      <c r="AG551" s="4"/>
      <c r="AH551" s="4"/>
      <c r="AI551" s="4"/>
      <c r="AJ551" s="4"/>
      <c r="AK551" s="4"/>
      <c r="AL551" s="4"/>
      <c r="AP551" s="4"/>
      <c r="AX551" s="4"/>
      <c r="AY551" s="4"/>
      <c r="AZ551" s="4"/>
      <c r="BA551" s="4"/>
      <c r="BB551" s="4"/>
      <c r="BC551" s="4"/>
      <c r="BD551" s="4"/>
      <c r="BE551" s="4"/>
      <c r="BF551" s="4"/>
      <c r="BG551" s="4"/>
      <c r="BI551" s="4"/>
      <c r="BP551" s="4"/>
      <c r="BS551" s="4"/>
      <c r="BW551" s="4"/>
      <c r="BX551" s="4"/>
    </row>
    <row r="552" spans="1:76" ht="12.75" x14ac:dyDescent="0.2">
      <c r="A552" s="4" t="s">
        <v>1316</v>
      </c>
      <c r="B552" s="4" t="s">
        <v>77</v>
      </c>
      <c r="C552" s="4" t="s">
        <v>101</v>
      </c>
      <c r="D552" s="4">
        <v>2625</v>
      </c>
      <c r="E552" s="4" t="s">
        <v>31</v>
      </c>
      <c r="F552" s="4" t="s">
        <v>896</v>
      </c>
      <c r="G552" s="113">
        <v>0.5</v>
      </c>
      <c r="H552" t="s">
        <v>1781</v>
      </c>
      <c r="I552" s="4">
        <v>0.22700000000000001</v>
      </c>
      <c r="L552" s="4" t="s">
        <v>1570</v>
      </c>
      <c r="M552" s="4" t="s">
        <v>109</v>
      </c>
      <c r="N552" s="4" t="s">
        <v>28</v>
      </c>
      <c r="O552" s="4"/>
      <c r="P552" s="4" t="s">
        <v>1693</v>
      </c>
      <c r="Q552" t="s">
        <v>109</v>
      </c>
      <c r="R552" s="4"/>
      <c r="S552" s="4"/>
      <c r="U552" s="4"/>
      <c r="Y552" s="4"/>
      <c r="Z552" s="4"/>
      <c r="AA552" s="4"/>
      <c r="AB552" s="4"/>
      <c r="AC552" s="4"/>
      <c r="AD552" s="4"/>
      <c r="AE552" s="4"/>
      <c r="AF552" s="4"/>
      <c r="AG552" s="4"/>
      <c r="AH552" s="4"/>
      <c r="AI552" s="4"/>
      <c r="AJ552" s="4"/>
      <c r="AK552" s="4"/>
      <c r="AL552" s="4"/>
      <c r="AP552" s="4"/>
      <c r="AX552" s="4"/>
      <c r="AY552" s="4"/>
      <c r="AZ552" s="4"/>
      <c r="BA552" s="4"/>
      <c r="BB552" s="4"/>
      <c r="BC552" s="4"/>
      <c r="BD552" s="4"/>
      <c r="BE552" s="4"/>
      <c r="BF552" s="4"/>
      <c r="BG552" s="4"/>
      <c r="BI552" s="4"/>
      <c r="BP552" s="4"/>
      <c r="BS552" s="4"/>
      <c r="BW552" s="4"/>
      <c r="BX552" s="4"/>
    </row>
    <row r="553" spans="1:76" ht="12.75" x14ac:dyDescent="0.2">
      <c r="A553" s="4" t="s">
        <v>214</v>
      </c>
      <c r="B553" s="4" t="s">
        <v>253</v>
      </c>
      <c r="C553" s="4" t="s">
        <v>115</v>
      </c>
      <c r="D553" s="4">
        <v>2625</v>
      </c>
      <c r="E553" s="4" t="s">
        <v>31</v>
      </c>
      <c r="F553" s="4" t="s">
        <v>896</v>
      </c>
      <c r="G553" s="113">
        <v>0.5</v>
      </c>
      <c r="H553" t="s">
        <v>1781</v>
      </c>
      <c r="I553" s="4">
        <v>0.23400000000000001</v>
      </c>
      <c r="L553" s="4" t="s">
        <v>1569</v>
      </c>
      <c r="M553" s="4" t="s">
        <v>109</v>
      </c>
      <c r="N553" s="4" t="s">
        <v>28</v>
      </c>
      <c r="O553" s="4"/>
      <c r="P553" s="4" t="s">
        <v>1693</v>
      </c>
      <c r="Q553" t="s">
        <v>109</v>
      </c>
      <c r="R553" s="4"/>
      <c r="S553" s="4"/>
      <c r="U553" s="4"/>
      <c r="Y553" s="4"/>
      <c r="Z553" s="4"/>
      <c r="AA553" s="4"/>
      <c r="AB553" s="4"/>
      <c r="AC553" s="4"/>
      <c r="AD553" s="4"/>
      <c r="AE553" s="4"/>
      <c r="AF553" s="4"/>
      <c r="AG553" s="4"/>
      <c r="AH553" s="4"/>
      <c r="AI553" s="4"/>
      <c r="AJ553" s="4"/>
      <c r="AK553" s="4"/>
      <c r="AL553" s="4"/>
      <c r="AP553" s="4"/>
      <c r="AX553" s="4"/>
      <c r="AY553" s="4"/>
      <c r="AZ553" s="4"/>
      <c r="BA553" s="4"/>
      <c r="BB553" s="4"/>
      <c r="BC553" s="4"/>
      <c r="BD553" s="4"/>
      <c r="BE553" s="4"/>
      <c r="BF553" s="4"/>
      <c r="BG553" s="4"/>
      <c r="BI553" s="4"/>
      <c r="BP553" s="4"/>
      <c r="BS553" s="4"/>
      <c r="BW553" s="4"/>
      <c r="BX553" s="4"/>
    </row>
    <row r="554" spans="1:76" ht="12.75" x14ac:dyDescent="0.2">
      <c r="A554" s="4" t="s">
        <v>233</v>
      </c>
      <c r="B554" s="4" t="s">
        <v>143</v>
      </c>
      <c r="C554" s="4" t="s">
        <v>111</v>
      </c>
      <c r="D554" s="4">
        <v>2625</v>
      </c>
      <c r="E554" s="4" t="s">
        <v>31</v>
      </c>
      <c r="F554" s="4" t="s">
        <v>896</v>
      </c>
      <c r="G554" s="113">
        <v>0.2</v>
      </c>
      <c r="H554" t="s">
        <v>1781</v>
      </c>
      <c r="I554" s="4">
        <v>0.28899999999999998</v>
      </c>
      <c r="L554" s="4" t="s">
        <v>1608</v>
      </c>
      <c r="M554" s="4" t="s">
        <v>109</v>
      </c>
      <c r="N554" s="4" t="s">
        <v>28</v>
      </c>
      <c r="O554" s="4"/>
      <c r="P554" s="4" t="s">
        <v>1693</v>
      </c>
      <c r="Q554" t="s">
        <v>109</v>
      </c>
      <c r="R554" s="4"/>
      <c r="S554" s="4"/>
      <c r="U554" s="4"/>
      <c r="Y554" s="4"/>
      <c r="Z554" s="4"/>
      <c r="AA554" s="4"/>
      <c r="AB554" s="4"/>
      <c r="AC554" s="4"/>
      <c r="AD554" s="4"/>
      <c r="AE554" s="4"/>
      <c r="AF554" s="4"/>
      <c r="AG554" s="4"/>
      <c r="AH554" s="4"/>
      <c r="AI554" s="4"/>
      <c r="AJ554" s="4"/>
      <c r="AK554" s="4"/>
      <c r="AL554" s="4"/>
      <c r="AP554" s="4"/>
      <c r="AX554" s="4"/>
      <c r="AY554" s="4"/>
      <c r="AZ554" s="4"/>
      <c r="BA554" s="4"/>
      <c r="BB554" s="4"/>
      <c r="BC554" s="4"/>
      <c r="BD554" s="4"/>
      <c r="BE554" s="4"/>
      <c r="BF554" s="4"/>
      <c r="BG554" s="4"/>
      <c r="BI554" s="4"/>
      <c r="BP554" s="4"/>
      <c r="BS554" s="4"/>
      <c r="BW554" s="4"/>
      <c r="BX554" s="4"/>
    </row>
    <row r="555" spans="1:76" ht="12.75" x14ac:dyDescent="0.2">
      <c r="A555" s="4" t="s">
        <v>1317</v>
      </c>
      <c r="B555" s="4" t="s">
        <v>77</v>
      </c>
      <c r="C555" s="4" t="s">
        <v>111</v>
      </c>
      <c r="D555" s="4">
        <v>2625</v>
      </c>
      <c r="E555" s="4" t="s">
        <v>31</v>
      </c>
      <c r="F555" s="4" t="s">
        <v>896</v>
      </c>
      <c r="G555" s="113">
        <v>0.5</v>
      </c>
      <c r="H555" t="s">
        <v>1781</v>
      </c>
      <c r="I555" s="4">
        <v>0.29599999999999999</v>
      </c>
      <c r="L555" s="4" t="s">
        <v>1570</v>
      </c>
      <c r="M555" s="4" t="s">
        <v>109</v>
      </c>
      <c r="N555" s="4" t="s">
        <v>28</v>
      </c>
      <c r="O555" s="4"/>
      <c r="P555" s="4" t="s">
        <v>1693</v>
      </c>
      <c r="Q555" t="s">
        <v>109</v>
      </c>
      <c r="R555" s="4"/>
      <c r="S555" s="4"/>
      <c r="U555" s="4"/>
      <c r="Y555" s="4"/>
      <c r="Z555" s="4"/>
      <c r="AA555" s="4"/>
      <c r="AB555" s="4"/>
      <c r="AC555" s="4"/>
      <c r="AD555" s="4"/>
      <c r="AE555" s="4"/>
      <c r="AF555" s="4"/>
      <c r="AG555" s="4"/>
      <c r="AH555" s="4"/>
      <c r="AI555" s="4"/>
      <c r="AJ555" s="4"/>
      <c r="AK555" s="4"/>
      <c r="AL555" s="4"/>
      <c r="AP555" s="4"/>
      <c r="AX555" s="4"/>
      <c r="AY555" s="4"/>
      <c r="AZ555" s="4"/>
      <c r="BA555" s="4"/>
      <c r="BB555" s="4"/>
      <c r="BC555" s="4"/>
      <c r="BD555" s="4"/>
      <c r="BE555" s="4"/>
      <c r="BF555" s="4"/>
      <c r="BG555" s="4"/>
      <c r="BI555" s="4"/>
      <c r="BP555" s="4"/>
      <c r="BS555" s="4"/>
      <c r="BW555" s="4"/>
      <c r="BX555" s="4"/>
    </row>
    <row r="556" spans="1:76" ht="12.75" x14ac:dyDescent="0.2">
      <c r="A556" s="4" t="s">
        <v>214</v>
      </c>
      <c r="B556" s="4" t="s">
        <v>253</v>
      </c>
      <c r="C556" s="4" t="s">
        <v>138</v>
      </c>
      <c r="D556" s="4">
        <v>2625</v>
      </c>
      <c r="E556" s="4" t="s">
        <v>31</v>
      </c>
      <c r="F556" s="4" t="s">
        <v>896</v>
      </c>
      <c r="G556" s="113">
        <v>0.5</v>
      </c>
      <c r="H556" t="s">
        <v>1781</v>
      </c>
      <c r="I556" s="4">
        <v>0.33700000000000002</v>
      </c>
      <c r="L556" s="4" t="s">
        <v>1569</v>
      </c>
      <c r="M556" s="4" t="s">
        <v>109</v>
      </c>
      <c r="N556" s="4" t="s">
        <v>28</v>
      </c>
      <c r="O556" s="4"/>
      <c r="P556" s="4" t="s">
        <v>1693</v>
      </c>
      <c r="Q556" t="s">
        <v>109</v>
      </c>
      <c r="R556" s="4"/>
      <c r="S556" s="4"/>
      <c r="U556" s="4"/>
      <c r="Y556" s="4"/>
      <c r="Z556" s="4"/>
      <c r="AA556" s="4"/>
      <c r="AB556" s="4"/>
      <c r="AC556" s="4"/>
      <c r="AD556" s="4"/>
      <c r="AE556" s="4"/>
      <c r="AF556" s="4"/>
      <c r="AG556" s="4"/>
      <c r="AH556" s="4"/>
      <c r="AI556" s="4"/>
      <c r="AJ556" s="4"/>
      <c r="AK556" s="4"/>
      <c r="AL556" s="4"/>
      <c r="AP556" s="4"/>
      <c r="AX556" s="4"/>
      <c r="AY556" s="4"/>
      <c r="AZ556" s="4"/>
      <c r="BA556" s="4"/>
      <c r="BB556" s="4"/>
      <c r="BC556" s="4"/>
      <c r="BD556" s="4"/>
      <c r="BE556" s="4"/>
      <c r="BF556" s="4"/>
      <c r="BG556" s="4"/>
      <c r="BI556" s="4"/>
      <c r="BP556" s="4"/>
      <c r="BS556" s="4"/>
      <c r="BW556" s="4"/>
      <c r="BX556" s="4"/>
    </row>
    <row r="557" spans="1:76" ht="12.75" x14ac:dyDescent="0.2">
      <c r="A557" s="4" t="s">
        <v>212</v>
      </c>
      <c r="B557" s="4" t="s">
        <v>120</v>
      </c>
      <c r="C557" s="4" t="s">
        <v>111</v>
      </c>
      <c r="D557" s="4">
        <v>2625</v>
      </c>
      <c r="E557" s="4" t="s">
        <v>31</v>
      </c>
      <c r="F557" s="4" t="s">
        <v>896</v>
      </c>
      <c r="G557" s="113">
        <v>1</v>
      </c>
      <c r="H557" t="s">
        <v>1781</v>
      </c>
      <c r="I557" s="4">
        <v>0.36099999999999999</v>
      </c>
      <c r="L557" s="4" t="s">
        <v>1561</v>
      </c>
      <c r="M557" s="4" t="s">
        <v>109</v>
      </c>
      <c r="N557" s="4" t="s">
        <v>28</v>
      </c>
      <c r="O557" s="4"/>
      <c r="P557" s="4" t="s">
        <v>1693</v>
      </c>
      <c r="Q557" t="s">
        <v>109</v>
      </c>
      <c r="R557" s="4"/>
      <c r="S557" s="4"/>
      <c r="U557" s="4"/>
      <c r="Y557" s="4"/>
      <c r="Z557" s="4"/>
      <c r="AA557" s="4"/>
      <c r="AB557" s="4"/>
      <c r="AC557" s="4"/>
      <c r="AD557" s="4"/>
      <c r="AE557" s="4"/>
      <c r="AF557" s="4"/>
      <c r="AG557" s="4"/>
      <c r="AH557" s="4"/>
      <c r="AI557" s="4"/>
      <c r="AJ557" s="4"/>
      <c r="AK557" s="4"/>
      <c r="AL557" s="4"/>
      <c r="AP557" s="4"/>
      <c r="AX557" s="4"/>
      <c r="AY557" s="4"/>
      <c r="AZ557" s="4"/>
      <c r="BA557" s="4"/>
      <c r="BB557" s="4"/>
      <c r="BC557" s="4"/>
      <c r="BD557" s="4"/>
      <c r="BE557" s="4"/>
      <c r="BF557" s="4"/>
      <c r="BG557" s="4"/>
      <c r="BI557" s="4"/>
      <c r="BP557" s="4"/>
      <c r="BS557" s="4"/>
      <c r="BW557" s="4"/>
      <c r="BX557" s="4"/>
    </row>
    <row r="558" spans="1:76" ht="12.75" x14ac:dyDescent="0.2">
      <c r="A558" s="4" t="s">
        <v>213</v>
      </c>
      <c r="B558" s="4" t="s">
        <v>143</v>
      </c>
      <c r="C558" s="4" t="s">
        <v>111</v>
      </c>
      <c r="D558" s="4">
        <v>2625</v>
      </c>
      <c r="E558" s="4" t="s">
        <v>31</v>
      </c>
      <c r="F558" s="4" t="s">
        <v>896</v>
      </c>
      <c r="G558" s="113">
        <v>1</v>
      </c>
      <c r="H558" t="s">
        <v>1781</v>
      </c>
      <c r="I558" s="4">
        <v>0.37</v>
      </c>
      <c r="L558" s="4" t="s">
        <v>1603</v>
      </c>
      <c r="M558" s="4" t="s">
        <v>109</v>
      </c>
      <c r="N558" s="4" t="s">
        <v>28</v>
      </c>
      <c r="O558" s="4"/>
      <c r="P558" s="4" t="s">
        <v>1693</v>
      </c>
      <c r="Q558" t="s">
        <v>109</v>
      </c>
      <c r="R558" s="4"/>
      <c r="S558" s="4"/>
      <c r="U558" s="4"/>
      <c r="Y558" s="4"/>
      <c r="Z558" s="4"/>
      <c r="AA558" s="4"/>
      <c r="AB558" s="4"/>
      <c r="AC558" s="4"/>
      <c r="AD558" s="4"/>
      <c r="AE558" s="4"/>
      <c r="AF558" s="4"/>
      <c r="AG558" s="4"/>
      <c r="AH558" s="4"/>
      <c r="AI558" s="4"/>
      <c r="AJ558" s="4"/>
      <c r="AK558" s="4"/>
      <c r="AL558" s="4"/>
      <c r="AP558" s="4"/>
      <c r="AX558" s="4"/>
      <c r="AY558" s="4"/>
      <c r="AZ558" s="4"/>
      <c r="BA558" s="4"/>
      <c r="BB558" s="4"/>
      <c r="BC558" s="4"/>
      <c r="BD558" s="4"/>
      <c r="BE558" s="4"/>
      <c r="BF558" s="4"/>
      <c r="BG558" s="4"/>
      <c r="BI558" s="4"/>
      <c r="BP558" s="4"/>
      <c r="BS558" s="4"/>
      <c r="BW558" s="4"/>
      <c r="BX558" s="4"/>
    </row>
    <row r="559" spans="1:76" ht="12.75" x14ac:dyDescent="0.2">
      <c r="A559" s="4" t="s">
        <v>233</v>
      </c>
      <c r="B559" s="4" t="s">
        <v>143</v>
      </c>
      <c r="C559" s="4" t="s">
        <v>111</v>
      </c>
      <c r="D559" s="4">
        <v>2625</v>
      </c>
      <c r="E559" s="4" t="s">
        <v>31</v>
      </c>
      <c r="F559" s="4" t="s">
        <v>896</v>
      </c>
      <c r="G559" s="113">
        <v>0.2</v>
      </c>
      <c r="H559" t="s">
        <v>1781</v>
      </c>
      <c r="I559" s="4">
        <v>0.379</v>
      </c>
      <c r="L559" s="4" t="s">
        <v>1608</v>
      </c>
      <c r="M559" s="4" t="s">
        <v>109</v>
      </c>
      <c r="N559" s="4" t="s">
        <v>28</v>
      </c>
      <c r="O559" s="4"/>
      <c r="P559" s="4" t="s">
        <v>1693</v>
      </c>
      <c r="Q559" t="s">
        <v>109</v>
      </c>
      <c r="R559" s="4"/>
      <c r="S559" s="4"/>
      <c r="U559" s="4"/>
      <c r="Y559" s="4"/>
      <c r="Z559" s="4"/>
      <c r="AA559" s="4"/>
      <c r="AB559" s="4"/>
      <c r="AC559" s="4"/>
      <c r="AD559" s="4"/>
      <c r="AE559" s="4"/>
      <c r="AF559" s="4"/>
      <c r="AG559" s="4"/>
      <c r="AH559" s="4"/>
      <c r="AI559" s="4"/>
      <c r="AJ559" s="4"/>
      <c r="AK559" s="4"/>
      <c r="AL559" s="4"/>
      <c r="AP559" s="4"/>
      <c r="AX559" s="4"/>
      <c r="AY559" s="4"/>
      <c r="AZ559" s="4"/>
      <c r="BA559" s="4"/>
      <c r="BB559" s="4"/>
      <c r="BC559" s="4"/>
      <c r="BD559" s="4"/>
      <c r="BE559" s="4"/>
      <c r="BF559" s="4"/>
      <c r="BG559" s="4"/>
      <c r="BI559" s="4"/>
      <c r="BP559" s="4"/>
      <c r="BS559" s="4"/>
      <c r="BW559" s="4"/>
      <c r="BX559" s="4"/>
    </row>
    <row r="560" spans="1:76" ht="12.75" x14ac:dyDescent="0.2">
      <c r="A560" s="4" t="s">
        <v>213</v>
      </c>
      <c r="B560" s="4" t="s">
        <v>120</v>
      </c>
      <c r="C560" s="4" t="s">
        <v>111</v>
      </c>
      <c r="D560" s="4">
        <v>2625</v>
      </c>
      <c r="E560" s="4" t="s">
        <v>31</v>
      </c>
      <c r="F560" s="4" t="s">
        <v>896</v>
      </c>
      <c r="G560" s="113">
        <v>1</v>
      </c>
      <c r="H560" t="s">
        <v>1781</v>
      </c>
      <c r="I560" s="4">
        <v>0.41599999999999998</v>
      </c>
      <c r="L560" s="4" t="s">
        <v>1561</v>
      </c>
      <c r="M560" s="4" t="s">
        <v>109</v>
      </c>
      <c r="N560" s="4" t="s">
        <v>28</v>
      </c>
      <c r="O560" s="4"/>
      <c r="P560" s="4" t="s">
        <v>1693</v>
      </c>
      <c r="Q560" t="s">
        <v>109</v>
      </c>
      <c r="R560" s="4"/>
      <c r="S560" s="4"/>
      <c r="U560" s="4"/>
      <c r="Y560" s="4"/>
      <c r="Z560" s="4"/>
      <c r="AA560" s="4"/>
      <c r="AB560" s="4"/>
      <c r="AC560" s="4"/>
      <c r="AD560" s="4"/>
      <c r="AE560" s="4"/>
      <c r="AF560" s="4"/>
      <c r="AG560" s="4"/>
      <c r="AH560" s="4"/>
      <c r="AI560" s="4"/>
      <c r="AJ560" s="4"/>
      <c r="AK560" s="4"/>
      <c r="AL560" s="4"/>
      <c r="AP560" s="4"/>
      <c r="AX560" s="4"/>
      <c r="AY560" s="4"/>
      <c r="AZ560" s="4"/>
      <c r="BA560" s="4"/>
      <c r="BB560" s="4"/>
      <c r="BC560" s="4"/>
      <c r="BD560" s="4"/>
      <c r="BE560" s="4"/>
      <c r="BF560" s="4"/>
      <c r="BG560" s="4"/>
      <c r="BI560" s="4"/>
      <c r="BP560" s="4"/>
      <c r="BS560" s="4"/>
      <c r="BW560" s="4"/>
      <c r="BX560" s="4"/>
    </row>
    <row r="561" spans="1:76" ht="12.75" x14ac:dyDescent="0.2">
      <c r="A561" s="4" t="s">
        <v>214</v>
      </c>
      <c r="B561" s="4" t="s">
        <v>170</v>
      </c>
      <c r="C561" s="4" t="s">
        <v>590</v>
      </c>
      <c r="D561" s="4">
        <v>2625</v>
      </c>
      <c r="E561" s="4" t="s">
        <v>31</v>
      </c>
      <c r="F561" s="4" t="s">
        <v>896</v>
      </c>
      <c r="G561" s="113">
        <v>0.5</v>
      </c>
      <c r="H561" t="s">
        <v>1781</v>
      </c>
      <c r="I561" s="4">
        <v>0.5851900000000001</v>
      </c>
      <c r="L561" s="4" t="s">
        <v>1610</v>
      </c>
      <c r="M561" s="4" t="s">
        <v>109</v>
      </c>
      <c r="N561" s="4" t="s">
        <v>28</v>
      </c>
      <c r="O561" s="4"/>
      <c r="P561" s="4" t="s">
        <v>1693</v>
      </c>
      <c r="Q561" t="s">
        <v>109</v>
      </c>
      <c r="R561" s="4"/>
      <c r="S561" s="4"/>
      <c r="U561" s="4"/>
      <c r="Y561" s="4"/>
      <c r="Z561" s="4"/>
      <c r="AA561" s="4"/>
      <c r="AB561" s="4"/>
      <c r="AC561" s="4"/>
      <c r="AD561" s="4"/>
      <c r="AE561" s="4"/>
      <c r="AF561" s="4"/>
      <c r="AG561" s="4"/>
      <c r="AH561" s="4"/>
      <c r="AI561" s="4"/>
      <c r="AJ561" s="4"/>
      <c r="AK561" s="4"/>
      <c r="AL561" s="4"/>
      <c r="AP561" s="4"/>
      <c r="AX561" s="4"/>
      <c r="AY561" s="4"/>
      <c r="AZ561" s="4"/>
      <c r="BA561" s="4"/>
      <c r="BB561" s="4"/>
      <c r="BC561" s="4"/>
      <c r="BD561" s="4"/>
      <c r="BE561" s="4"/>
      <c r="BF561" s="4"/>
      <c r="BG561" s="4"/>
      <c r="BI561" s="4"/>
      <c r="BP561" s="4"/>
      <c r="BS561" s="4"/>
      <c r="BW561" s="4"/>
      <c r="BX561" s="4"/>
    </row>
    <row r="562" spans="1:76" ht="12.75" x14ac:dyDescent="0.2">
      <c r="A562" s="4" t="s">
        <v>214</v>
      </c>
      <c r="B562" s="4" t="s">
        <v>170</v>
      </c>
      <c r="C562" s="4" t="s">
        <v>230</v>
      </c>
      <c r="D562" s="4">
        <v>2625</v>
      </c>
      <c r="E562" s="4" t="s">
        <v>31</v>
      </c>
      <c r="F562" s="4" t="s">
        <v>896</v>
      </c>
      <c r="G562" s="113">
        <v>0.5</v>
      </c>
      <c r="H562" t="s">
        <v>1781</v>
      </c>
      <c r="I562" s="4">
        <v>0.69500000000000006</v>
      </c>
      <c r="L562" s="4" t="s">
        <v>1610</v>
      </c>
      <c r="M562" s="4" t="s">
        <v>109</v>
      </c>
      <c r="N562" s="4" t="s">
        <v>28</v>
      </c>
      <c r="O562" s="4"/>
      <c r="P562" s="4" t="s">
        <v>1693</v>
      </c>
      <c r="Q562" t="s">
        <v>109</v>
      </c>
      <c r="R562" s="4"/>
      <c r="S562" s="4"/>
      <c r="U562" s="4"/>
      <c r="Y562" s="4"/>
      <c r="Z562" s="4"/>
      <c r="AA562" s="4"/>
      <c r="AB562" s="4"/>
      <c r="AC562" s="4"/>
      <c r="AD562" s="4"/>
      <c r="AE562" s="4"/>
      <c r="AF562" s="4"/>
      <c r="AG562" s="4"/>
      <c r="AH562" s="4"/>
      <c r="AI562" s="4"/>
      <c r="AJ562" s="4"/>
      <c r="AK562" s="4"/>
      <c r="AL562" s="4"/>
      <c r="AP562" s="4"/>
      <c r="AX562" s="4"/>
      <c r="AY562" s="4"/>
      <c r="AZ562" s="4"/>
      <c r="BA562" s="4"/>
      <c r="BB562" s="4"/>
      <c r="BC562" s="4"/>
      <c r="BD562" s="4"/>
      <c r="BE562" s="4"/>
      <c r="BF562" s="4"/>
      <c r="BG562" s="4"/>
      <c r="BI562" s="4"/>
      <c r="BP562" s="4"/>
      <c r="BS562" s="4"/>
      <c r="BW562" s="4"/>
      <c r="BX562" s="4"/>
    </row>
    <row r="563" spans="1:76" ht="12.75" x14ac:dyDescent="0.2">
      <c r="A563" s="4" t="s">
        <v>244</v>
      </c>
      <c r="B563" s="4" t="s">
        <v>253</v>
      </c>
      <c r="C563" s="4" t="s">
        <v>115</v>
      </c>
      <c r="D563" s="4">
        <v>2625</v>
      </c>
      <c r="E563" s="4" t="s">
        <v>31</v>
      </c>
      <c r="F563" s="4" t="s">
        <v>896</v>
      </c>
      <c r="G563" s="113">
        <v>0.5</v>
      </c>
      <c r="H563" t="s">
        <v>1781</v>
      </c>
      <c r="I563" s="4">
        <v>0.72299999999999998</v>
      </c>
      <c r="L563" s="4" t="s">
        <v>1569</v>
      </c>
      <c r="M563" s="4" t="s">
        <v>109</v>
      </c>
      <c r="N563" s="4" t="s">
        <v>28</v>
      </c>
      <c r="O563" s="4"/>
      <c r="P563" s="4" t="s">
        <v>1693</v>
      </c>
      <c r="Q563" t="s">
        <v>109</v>
      </c>
      <c r="R563" s="4"/>
      <c r="S563" s="4"/>
      <c r="U563" s="4"/>
      <c r="Y563" s="4"/>
      <c r="Z563" s="4"/>
      <c r="AA563" s="4"/>
      <c r="AB563" s="4"/>
      <c r="AC563" s="4"/>
      <c r="AD563" s="4"/>
      <c r="AE563" s="4"/>
      <c r="AF563" s="4"/>
      <c r="AG563" s="4"/>
      <c r="AH563" s="4"/>
      <c r="AI563" s="4"/>
      <c r="AJ563" s="4"/>
      <c r="AK563" s="4"/>
      <c r="AL563" s="4"/>
      <c r="AP563" s="4"/>
      <c r="AX563" s="4"/>
      <c r="AY563" s="4"/>
      <c r="AZ563" s="4"/>
      <c r="BA563" s="4"/>
      <c r="BB563" s="4"/>
      <c r="BC563" s="4"/>
      <c r="BD563" s="4"/>
      <c r="BE563" s="4"/>
      <c r="BF563" s="4"/>
      <c r="BG563" s="4"/>
      <c r="BI563" s="4"/>
      <c r="BP563" s="4"/>
      <c r="BS563" s="4"/>
      <c r="BW563" s="4"/>
      <c r="BX563" s="4"/>
    </row>
    <row r="564" spans="1:76" ht="12.75" x14ac:dyDescent="0.2">
      <c r="A564" s="4" t="s">
        <v>244</v>
      </c>
      <c r="B564" s="4" t="s">
        <v>253</v>
      </c>
      <c r="C564" s="4" t="s">
        <v>138</v>
      </c>
      <c r="D564" s="4">
        <v>2625</v>
      </c>
      <c r="E564" s="4" t="s">
        <v>31</v>
      </c>
      <c r="F564" s="4" t="s">
        <v>896</v>
      </c>
      <c r="G564" s="113">
        <v>0.5</v>
      </c>
      <c r="H564" t="s">
        <v>1781</v>
      </c>
      <c r="I564" s="4">
        <v>0.82899999999999996</v>
      </c>
      <c r="L564" s="4" t="s">
        <v>1569</v>
      </c>
      <c r="M564" s="4" t="s">
        <v>109</v>
      </c>
      <c r="N564" s="4" t="s">
        <v>28</v>
      </c>
      <c r="O564" s="4"/>
      <c r="P564" s="4" t="s">
        <v>1693</v>
      </c>
      <c r="Q564" t="s">
        <v>109</v>
      </c>
      <c r="R564" s="4"/>
      <c r="S564" s="4"/>
      <c r="U564" s="4"/>
      <c r="Y564" s="4"/>
      <c r="Z564" s="4"/>
      <c r="AA564" s="4"/>
      <c r="AB564" s="4"/>
      <c r="AC564" s="4"/>
      <c r="AD564" s="4"/>
      <c r="AE564" s="4"/>
      <c r="AF564" s="4"/>
      <c r="AG564" s="4"/>
      <c r="AH564" s="4"/>
      <c r="AI564" s="4"/>
      <c r="AJ564" s="4"/>
      <c r="AK564" s="4"/>
      <c r="AL564" s="4"/>
      <c r="AP564" s="4"/>
      <c r="AX564" s="4"/>
      <c r="AY564" s="4"/>
      <c r="AZ564" s="4"/>
      <c r="BA564" s="4"/>
      <c r="BB564" s="4"/>
      <c r="BC564" s="4"/>
      <c r="BD564" s="4"/>
      <c r="BE564" s="4"/>
      <c r="BF564" s="4"/>
      <c r="BG564" s="4"/>
      <c r="BI564" s="4"/>
      <c r="BP564" s="4"/>
      <c r="BS564" s="4"/>
      <c r="BW564" s="4"/>
      <c r="BX564" s="4"/>
    </row>
    <row r="565" spans="1:76" ht="12.75" x14ac:dyDescent="0.2">
      <c r="A565" s="4" t="s">
        <v>214</v>
      </c>
      <c r="B565" s="4" t="s">
        <v>225</v>
      </c>
      <c r="C565" s="4" t="s">
        <v>111</v>
      </c>
      <c r="D565" s="4">
        <v>2625</v>
      </c>
      <c r="E565" s="4" t="s">
        <v>31</v>
      </c>
      <c r="F565" s="4" t="s">
        <v>896</v>
      </c>
      <c r="G565" s="113">
        <v>1</v>
      </c>
      <c r="H565" t="s">
        <v>1781</v>
      </c>
      <c r="I565" s="4">
        <v>2.2252010723860587</v>
      </c>
      <c r="L565" s="4" t="s">
        <v>1600</v>
      </c>
      <c r="M565" s="4" t="s">
        <v>109</v>
      </c>
      <c r="N565" s="4" t="s">
        <v>28</v>
      </c>
      <c r="O565" s="4"/>
      <c r="P565" s="4" t="s">
        <v>1693</v>
      </c>
      <c r="Q565" t="s">
        <v>109</v>
      </c>
      <c r="R565" s="4"/>
      <c r="S565" s="4"/>
      <c r="U565" s="4"/>
      <c r="Y565" s="4"/>
      <c r="Z565" s="4"/>
      <c r="AA565" s="4"/>
      <c r="AB565" s="4"/>
      <c r="AC565" s="4"/>
      <c r="AD565" s="4"/>
      <c r="AE565" s="4"/>
      <c r="AF565" s="4"/>
      <c r="AG565" s="4"/>
      <c r="AH565" s="4"/>
      <c r="AI565" s="4"/>
      <c r="AJ565" s="4"/>
      <c r="AK565" s="4"/>
      <c r="AL565" s="4"/>
      <c r="AP565" s="4"/>
      <c r="AX565" s="4"/>
      <c r="AY565" s="4"/>
      <c r="AZ565" s="4"/>
      <c r="BA565" s="4"/>
      <c r="BB565" s="4"/>
      <c r="BC565" s="4"/>
      <c r="BD565" s="4"/>
      <c r="BE565" s="4"/>
      <c r="BF565" s="4"/>
      <c r="BG565" s="4"/>
      <c r="BI565" s="4"/>
      <c r="BP565" s="4"/>
      <c r="BS565" s="4"/>
      <c r="BW565" s="4"/>
      <c r="BX565" s="4"/>
    </row>
    <row r="566" spans="1:76" ht="12.75" x14ac:dyDescent="0.2">
      <c r="A566" s="4" t="s">
        <v>260</v>
      </c>
      <c r="B566" s="4" t="s">
        <v>261</v>
      </c>
      <c r="C566" s="4" t="s">
        <v>111</v>
      </c>
      <c r="D566" s="4">
        <v>2745</v>
      </c>
      <c r="E566" s="4" t="s">
        <v>38</v>
      </c>
      <c r="F566" s="4" t="s">
        <v>894</v>
      </c>
      <c r="G566" s="113">
        <v>1</v>
      </c>
      <c r="H566" t="s">
        <v>1781</v>
      </c>
      <c r="I566" s="4">
        <v>2.46</v>
      </c>
      <c r="L566" s="4" t="s">
        <v>1611</v>
      </c>
      <c r="M566" s="4" t="s">
        <v>109</v>
      </c>
      <c r="N566" s="4" t="s">
        <v>49</v>
      </c>
      <c r="O566" s="4"/>
      <c r="P566" s="4" t="s">
        <v>1693</v>
      </c>
      <c r="Q566" t="s">
        <v>109</v>
      </c>
      <c r="R566" s="4"/>
      <c r="S566" s="4"/>
      <c r="U566" s="4"/>
      <c r="Y566" s="4"/>
      <c r="Z566" s="4"/>
      <c r="AA566" s="4"/>
      <c r="AB566" s="4"/>
      <c r="AC566" s="4"/>
      <c r="AD566" s="4"/>
      <c r="AE566" s="4"/>
      <c r="AF566" s="4"/>
      <c r="AG566" s="4"/>
      <c r="AH566" s="4"/>
      <c r="AI566" s="4"/>
      <c r="AJ566" s="4"/>
      <c r="AK566" s="4"/>
      <c r="AL566" s="4"/>
      <c r="AP566" s="4"/>
      <c r="AX566" s="4"/>
      <c r="AY566" s="4"/>
      <c r="AZ566" s="4"/>
      <c r="BA566" s="4"/>
      <c r="BB566" s="4"/>
      <c r="BC566" s="4"/>
      <c r="BD566" s="4"/>
      <c r="BE566" s="4"/>
      <c r="BF566" s="4"/>
      <c r="BG566" s="4"/>
      <c r="BI566" s="4"/>
      <c r="BP566" s="4"/>
      <c r="BS566" s="4"/>
      <c r="BW566" s="4"/>
      <c r="BX566" s="4"/>
    </row>
    <row r="567" spans="1:76" ht="12.75" x14ac:dyDescent="0.2">
      <c r="A567" s="4" t="s">
        <v>1063</v>
      </c>
      <c r="B567" s="4" t="s">
        <v>1064</v>
      </c>
      <c r="C567" s="4" t="s">
        <v>916</v>
      </c>
      <c r="D567" s="4">
        <v>2761</v>
      </c>
      <c r="E567" s="4" t="s">
        <v>66</v>
      </c>
      <c r="F567" s="4" t="s">
        <v>1642</v>
      </c>
      <c r="G567" s="113">
        <v>0.5</v>
      </c>
      <c r="H567" t="s">
        <v>1781</v>
      </c>
      <c r="I567" s="4">
        <v>0.96070000000000011</v>
      </c>
      <c r="L567" s="4" t="s">
        <v>1614</v>
      </c>
      <c r="M567" s="4" t="s">
        <v>109</v>
      </c>
      <c r="N567" s="4" t="s">
        <v>75</v>
      </c>
      <c r="O567" s="4"/>
      <c r="P567" s="4" t="s">
        <v>1694</v>
      </c>
      <c r="Q567" t="s">
        <v>109</v>
      </c>
      <c r="R567" s="4"/>
      <c r="S567" s="4"/>
      <c r="U567" s="4"/>
      <c r="Y567" s="4"/>
      <c r="Z567" s="4"/>
      <c r="AA567" s="4"/>
      <c r="AB567" s="4"/>
      <c r="AC567" s="4"/>
      <c r="AD567" s="4"/>
      <c r="AE567" s="4"/>
      <c r="AF567" s="4"/>
      <c r="AG567" s="4"/>
      <c r="AH567" s="4"/>
      <c r="AI567" s="4"/>
      <c r="AJ567" s="4"/>
      <c r="AK567" s="4"/>
      <c r="AL567" s="4"/>
      <c r="AP567" s="4"/>
      <c r="AX567" s="4"/>
      <c r="AY567" s="4"/>
      <c r="AZ567" s="4"/>
      <c r="BA567" s="4"/>
      <c r="BB567" s="4"/>
      <c r="BC567" s="4"/>
      <c r="BD567" s="4"/>
      <c r="BE567" s="4"/>
      <c r="BF567" s="4"/>
      <c r="BG567" s="4"/>
      <c r="BI567" s="4"/>
      <c r="BP567" s="4"/>
      <c r="BS567" s="4"/>
      <c r="BW567" s="4"/>
      <c r="BX567" s="4"/>
    </row>
    <row r="568" spans="1:76" ht="12.75" x14ac:dyDescent="0.2">
      <c r="A568" s="4" t="s">
        <v>915</v>
      </c>
      <c r="B568" s="4" t="s">
        <v>186</v>
      </c>
      <c r="C568" s="4" t="s">
        <v>916</v>
      </c>
      <c r="D568" s="4">
        <v>2761</v>
      </c>
      <c r="E568" s="4" t="s">
        <v>66</v>
      </c>
      <c r="F568" s="4" t="s">
        <v>1642</v>
      </c>
      <c r="G568" s="113">
        <v>0.5</v>
      </c>
      <c r="H568" t="s">
        <v>1781</v>
      </c>
      <c r="I568" s="4">
        <v>1.0549999999999999</v>
      </c>
      <c r="L568" s="4" t="s">
        <v>1622</v>
      </c>
      <c r="M568" s="4" t="s">
        <v>109</v>
      </c>
      <c r="N568" s="4" t="s">
        <v>75</v>
      </c>
      <c r="O568" s="4"/>
      <c r="P568" s="4" t="s">
        <v>1694</v>
      </c>
      <c r="Q568" t="s">
        <v>109</v>
      </c>
      <c r="R568" s="4"/>
      <c r="S568" s="4"/>
      <c r="U568" s="4"/>
      <c r="Y568" s="4"/>
      <c r="Z568" s="4"/>
      <c r="AA568" s="4"/>
      <c r="AB568" s="4"/>
      <c r="AC568" s="4"/>
      <c r="AD568" s="4"/>
      <c r="AE568" s="4"/>
      <c r="AF568" s="4"/>
      <c r="AG568" s="4"/>
      <c r="AH568" s="4"/>
      <c r="AI568" s="4"/>
      <c r="AJ568" s="4"/>
      <c r="AK568" s="4"/>
      <c r="AL568" s="4"/>
      <c r="AP568" s="4"/>
      <c r="AX568" s="4"/>
      <c r="AY568" s="4"/>
      <c r="AZ568" s="4"/>
      <c r="BA568" s="4"/>
      <c r="BB568" s="4"/>
      <c r="BC568" s="4"/>
      <c r="BD568" s="4"/>
      <c r="BE568" s="4"/>
      <c r="BF568" s="4"/>
      <c r="BG568" s="4"/>
      <c r="BI568" s="4"/>
      <c r="BP568" s="4"/>
      <c r="BS568" s="4"/>
      <c r="BW568" s="4"/>
      <c r="BX568" s="4"/>
    </row>
    <row r="569" spans="1:76" ht="12.75" x14ac:dyDescent="0.2">
      <c r="A569" s="4" t="s">
        <v>990</v>
      </c>
      <c r="B569" s="4" t="s">
        <v>983</v>
      </c>
      <c r="C569" s="4" t="s">
        <v>916</v>
      </c>
      <c r="D569" s="4">
        <v>2761</v>
      </c>
      <c r="E569" s="4" t="s">
        <v>66</v>
      </c>
      <c r="F569" s="4" t="s">
        <v>1642</v>
      </c>
      <c r="G569" s="113">
        <v>0.5</v>
      </c>
      <c r="H569" t="s">
        <v>1781</v>
      </c>
      <c r="I569" s="4">
        <v>1.0940000000000001</v>
      </c>
      <c r="L569" s="4" t="s">
        <v>1612</v>
      </c>
      <c r="M569" s="4" t="s">
        <v>109</v>
      </c>
      <c r="N569" s="4" t="s">
        <v>75</v>
      </c>
      <c r="O569" s="4"/>
      <c r="P569" s="4" t="s">
        <v>1694</v>
      </c>
      <c r="Q569" t="s">
        <v>109</v>
      </c>
      <c r="R569" s="4"/>
      <c r="S569" s="4"/>
      <c r="U569" s="4"/>
      <c r="Y569" s="4"/>
      <c r="Z569" s="4"/>
      <c r="AA569" s="4"/>
      <c r="AB569" s="4"/>
      <c r="AC569" s="4"/>
      <c r="AD569" s="4"/>
      <c r="AE569" s="4"/>
      <c r="AF569" s="4"/>
      <c r="AG569" s="4"/>
      <c r="AH569" s="4"/>
      <c r="AI569" s="4"/>
      <c r="AJ569" s="4"/>
      <c r="AK569" s="4"/>
      <c r="AL569" s="4"/>
      <c r="AP569" s="4"/>
      <c r="AX569" s="4"/>
      <c r="AY569" s="4"/>
      <c r="AZ569" s="4"/>
      <c r="BA569" s="4"/>
      <c r="BB569" s="4"/>
      <c r="BC569" s="4"/>
      <c r="BD569" s="4"/>
      <c r="BE569" s="4"/>
      <c r="BF569" s="4"/>
      <c r="BG569" s="4"/>
      <c r="BI569" s="4"/>
      <c r="BP569" s="4"/>
      <c r="BS569" s="4"/>
      <c r="BW569" s="4"/>
      <c r="BX569" s="4"/>
    </row>
    <row r="570" spans="1:76" ht="12.75" x14ac:dyDescent="0.2">
      <c r="A570" s="4" t="s">
        <v>915</v>
      </c>
      <c r="B570" s="4" t="s">
        <v>186</v>
      </c>
      <c r="C570" s="4" t="s">
        <v>916</v>
      </c>
      <c r="D570" s="4">
        <v>2761</v>
      </c>
      <c r="E570" s="4" t="s">
        <v>66</v>
      </c>
      <c r="F570" s="4" t="s">
        <v>1642</v>
      </c>
      <c r="G570" s="113">
        <v>0.5</v>
      </c>
      <c r="H570" t="s">
        <v>1781</v>
      </c>
      <c r="I570" s="4">
        <v>1.105</v>
      </c>
      <c r="L570" s="4" t="s">
        <v>1622</v>
      </c>
      <c r="M570" s="4" t="s">
        <v>109</v>
      </c>
      <c r="N570" s="4" t="s">
        <v>75</v>
      </c>
      <c r="O570" s="4"/>
      <c r="P570" s="4" t="s">
        <v>1694</v>
      </c>
      <c r="Q570" t="s">
        <v>109</v>
      </c>
      <c r="R570" s="4"/>
      <c r="S570" s="4"/>
      <c r="U570" s="4"/>
      <c r="Y570" s="4"/>
      <c r="Z570" s="4"/>
      <c r="AA570" s="4"/>
      <c r="AB570" s="4"/>
      <c r="AC570" s="4"/>
      <c r="AD570" s="4"/>
      <c r="AE570" s="4"/>
      <c r="AF570" s="4"/>
      <c r="AG570" s="4"/>
      <c r="AH570" s="4"/>
      <c r="AI570" s="4"/>
      <c r="AJ570" s="4"/>
      <c r="AK570" s="4"/>
      <c r="AL570" s="4"/>
      <c r="AP570" s="4"/>
      <c r="AX570" s="4"/>
      <c r="AY570" s="4"/>
      <c r="AZ570" s="4"/>
      <c r="BA570" s="4"/>
      <c r="BB570" s="4"/>
      <c r="BC570" s="4"/>
      <c r="BD570" s="4"/>
      <c r="BE570" s="4"/>
      <c r="BF570" s="4"/>
      <c r="BG570" s="4"/>
      <c r="BI570" s="4"/>
      <c r="BP570" s="4"/>
      <c r="BS570" s="4"/>
      <c r="BW570" s="4"/>
      <c r="BX570" s="4"/>
    </row>
    <row r="571" spans="1:76" ht="12.75" x14ac:dyDescent="0.2">
      <c r="A571" s="4" t="s">
        <v>990</v>
      </c>
      <c r="B571" s="4" t="s">
        <v>983</v>
      </c>
      <c r="C571" s="4" t="s">
        <v>916</v>
      </c>
      <c r="D571" s="4">
        <v>2761</v>
      </c>
      <c r="E571" s="4" t="s">
        <v>66</v>
      </c>
      <c r="F571" s="4" t="s">
        <v>1642</v>
      </c>
      <c r="G571" s="113">
        <v>0.5</v>
      </c>
      <c r="H571" t="s">
        <v>1781</v>
      </c>
      <c r="I571" s="4">
        <v>1.2610000000000001</v>
      </c>
      <c r="L571" s="4" t="s">
        <v>1612</v>
      </c>
      <c r="M571" s="4" t="s">
        <v>109</v>
      </c>
      <c r="N571" s="4" t="s">
        <v>75</v>
      </c>
      <c r="O571" s="4"/>
      <c r="P571" s="4" t="s">
        <v>1694</v>
      </c>
      <c r="Q571" t="s">
        <v>109</v>
      </c>
      <c r="R571" s="4"/>
      <c r="S571" s="4"/>
      <c r="U571" s="4"/>
      <c r="Y571" s="4"/>
      <c r="Z571" s="4"/>
      <c r="AA571" s="4"/>
      <c r="AB571" s="4"/>
      <c r="AC571" s="4"/>
      <c r="AD571" s="4"/>
      <c r="AE571" s="4"/>
      <c r="AF571" s="4"/>
      <c r="AG571" s="4"/>
      <c r="AH571" s="4"/>
      <c r="AI571" s="4"/>
      <c r="AJ571" s="4"/>
      <c r="AK571" s="4"/>
      <c r="AL571" s="4"/>
      <c r="AP571" s="4"/>
      <c r="AX571" s="4"/>
      <c r="AY571" s="4"/>
      <c r="AZ571" s="4"/>
      <c r="BA571" s="4"/>
      <c r="BB571" s="4"/>
      <c r="BC571" s="4"/>
      <c r="BD571" s="4"/>
      <c r="BE571" s="4"/>
      <c r="BF571" s="4"/>
      <c r="BG571" s="4"/>
      <c r="BI571" s="4"/>
      <c r="BP571" s="4"/>
      <c r="BS571" s="4"/>
      <c r="BW571" s="4"/>
      <c r="BX571" s="4"/>
    </row>
    <row r="572" spans="1:76" ht="12.75" x14ac:dyDescent="0.2">
      <c r="A572" s="4" t="s">
        <v>1063</v>
      </c>
      <c r="B572" s="4" t="s">
        <v>983</v>
      </c>
      <c r="C572" s="4" t="s">
        <v>916</v>
      </c>
      <c r="D572" s="4">
        <v>2761</v>
      </c>
      <c r="E572" s="4" t="s">
        <v>66</v>
      </c>
      <c r="F572" s="4" t="s">
        <v>1642</v>
      </c>
      <c r="G572" s="113">
        <v>0.5</v>
      </c>
      <c r="H572" t="s">
        <v>1781</v>
      </c>
      <c r="I572" s="4">
        <v>1.52</v>
      </c>
      <c r="L572" s="4" t="s">
        <v>1616</v>
      </c>
      <c r="M572" s="4" t="s">
        <v>109</v>
      </c>
      <c r="N572" s="4" t="s">
        <v>75</v>
      </c>
      <c r="O572" s="4"/>
      <c r="P572" s="4" t="s">
        <v>1694</v>
      </c>
      <c r="Q572" t="s">
        <v>109</v>
      </c>
      <c r="R572" s="4"/>
      <c r="S572" s="4"/>
      <c r="U572" s="4"/>
      <c r="Y572" s="4"/>
      <c r="Z572" s="4"/>
      <c r="AA572" s="4"/>
      <c r="AB572" s="4"/>
      <c r="AC572" s="4"/>
      <c r="AD572" s="4"/>
      <c r="AE572" s="4"/>
      <c r="AF572" s="4"/>
      <c r="AG572" s="4"/>
      <c r="AH572" s="4"/>
      <c r="AI572" s="4"/>
      <c r="AJ572" s="4"/>
      <c r="AK572" s="4"/>
      <c r="AL572" s="4"/>
      <c r="AP572" s="4"/>
      <c r="AX572" s="4"/>
      <c r="AY572" s="4"/>
      <c r="AZ572" s="4"/>
      <c r="BA572" s="4"/>
      <c r="BB572" s="4"/>
      <c r="BC572" s="4"/>
      <c r="BD572" s="4"/>
      <c r="BE572" s="4"/>
      <c r="BF572" s="4"/>
      <c r="BG572" s="4"/>
      <c r="BI572" s="4"/>
      <c r="BP572" s="4"/>
      <c r="BS572" s="4"/>
      <c r="BW572" s="4"/>
      <c r="BX572" s="4"/>
    </row>
    <row r="573" spans="1:76" ht="12.75" x14ac:dyDescent="0.2">
      <c r="A573" s="4" t="s">
        <v>1529</v>
      </c>
      <c r="B573" s="4" t="s">
        <v>983</v>
      </c>
      <c r="C573" s="4" t="s">
        <v>916</v>
      </c>
      <c r="D573" s="4">
        <v>2761</v>
      </c>
      <c r="E573" s="4" t="s">
        <v>66</v>
      </c>
      <c r="F573" s="4" t="s">
        <v>1642</v>
      </c>
      <c r="G573" s="113">
        <v>0.5</v>
      </c>
      <c r="H573" t="s">
        <v>1781</v>
      </c>
      <c r="I573" s="4">
        <v>1.5250000000000001</v>
      </c>
      <c r="L573" s="4" t="s">
        <v>1612</v>
      </c>
      <c r="M573" s="4" t="s">
        <v>109</v>
      </c>
      <c r="N573" s="4" t="s">
        <v>75</v>
      </c>
      <c r="O573" s="4"/>
      <c r="P573" s="4" t="s">
        <v>1694</v>
      </c>
      <c r="Q573" t="s">
        <v>109</v>
      </c>
      <c r="R573" s="4"/>
      <c r="S573" s="4"/>
      <c r="U573" s="4"/>
      <c r="Y573" s="4"/>
      <c r="Z573" s="4"/>
      <c r="AA573" s="4"/>
      <c r="AB573" s="4"/>
      <c r="AC573" s="4"/>
      <c r="AD573" s="4"/>
      <c r="AE573" s="4"/>
      <c r="AF573" s="4"/>
      <c r="AG573" s="4"/>
      <c r="AH573" s="4"/>
      <c r="AI573" s="4"/>
      <c r="AJ573" s="4"/>
      <c r="AK573" s="4"/>
      <c r="AL573" s="4"/>
      <c r="AP573" s="4"/>
      <c r="AX573" s="4"/>
      <c r="AY573" s="4"/>
      <c r="AZ573" s="4"/>
      <c r="BA573" s="4"/>
      <c r="BB573" s="4"/>
      <c r="BC573" s="4"/>
      <c r="BD573" s="4"/>
      <c r="BE573" s="4"/>
      <c r="BF573" s="4"/>
      <c r="BG573" s="4"/>
      <c r="BI573" s="4"/>
      <c r="BP573" s="4"/>
      <c r="BS573" s="4"/>
      <c r="BW573" s="4"/>
      <c r="BX573" s="4"/>
    </row>
    <row r="574" spans="1:76" ht="12.75" x14ac:dyDescent="0.2">
      <c r="A574" s="4" t="s">
        <v>915</v>
      </c>
      <c r="B574" s="4" t="s">
        <v>186</v>
      </c>
      <c r="C574" s="4" t="s">
        <v>916</v>
      </c>
      <c r="D574" s="4">
        <v>2761</v>
      </c>
      <c r="E574" s="4" t="s">
        <v>66</v>
      </c>
      <c r="F574" s="4" t="s">
        <v>1642</v>
      </c>
      <c r="G574" s="113">
        <v>1</v>
      </c>
      <c r="H574" t="s">
        <v>1781</v>
      </c>
      <c r="I574" s="4">
        <v>1.79</v>
      </c>
      <c r="L574" s="4" t="s">
        <v>1613</v>
      </c>
      <c r="M574" s="4" t="s">
        <v>109</v>
      </c>
      <c r="N574" s="4" t="s">
        <v>75</v>
      </c>
      <c r="O574" s="4"/>
      <c r="P574" s="4" t="s">
        <v>1694</v>
      </c>
      <c r="Q574" t="s">
        <v>109</v>
      </c>
      <c r="R574" s="4"/>
      <c r="S574" s="4"/>
      <c r="U574" s="4"/>
      <c r="Y574" s="4"/>
      <c r="Z574" s="4"/>
      <c r="AA574" s="4"/>
      <c r="AB574" s="4"/>
      <c r="AC574" s="4"/>
      <c r="AD574" s="4"/>
      <c r="AE574" s="4"/>
      <c r="AF574" s="4"/>
      <c r="AG574" s="4"/>
      <c r="AH574" s="4"/>
      <c r="AI574" s="4"/>
      <c r="AJ574" s="4"/>
      <c r="AK574" s="4"/>
      <c r="AL574" s="4"/>
      <c r="AP574" s="4"/>
      <c r="AX574" s="4"/>
      <c r="AY574" s="4"/>
      <c r="AZ574" s="4"/>
      <c r="BA574" s="4"/>
      <c r="BB574" s="4"/>
      <c r="BC574" s="4"/>
      <c r="BD574" s="4"/>
      <c r="BE574" s="4"/>
      <c r="BF574" s="4"/>
      <c r="BG574" s="4"/>
      <c r="BI574" s="4"/>
      <c r="BP574" s="4"/>
      <c r="BS574" s="4"/>
      <c r="BW574" s="4"/>
      <c r="BX574" s="4"/>
    </row>
    <row r="575" spans="1:76" ht="12.75" x14ac:dyDescent="0.2">
      <c r="A575" s="4" t="s">
        <v>1529</v>
      </c>
      <c r="B575" s="4" t="s">
        <v>983</v>
      </c>
      <c r="C575" s="4" t="s">
        <v>916</v>
      </c>
      <c r="D575" s="4">
        <v>2761</v>
      </c>
      <c r="E575" s="4" t="s">
        <v>66</v>
      </c>
      <c r="F575" s="4" t="s">
        <v>1642</v>
      </c>
      <c r="G575" s="113">
        <v>0.5</v>
      </c>
      <c r="H575" t="s">
        <v>1781</v>
      </c>
      <c r="I575" s="4">
        <v>1.8029999999999999</v>
      </c>
      <c r="L575" s="4" t="s">
        <v>1612</v>
      </c>
      <c r="M575" s="4" t="s">
        <v>109</v>
      </c>
      <c r="N575" s="4" t="s">
        <v>75</v>
      </c>
      <c r="O575" s="4"/>
      <c r="P575" s="4" t="s">
        <v>1694</v>
      </c>
      <c r="Q575" t="s">
        <v>109</v>
      </c>
      <c r="R575" s="4"/>
      <c r="S575" s="4"/>
      <c r="U575" s="4"/>
      <c r="Y575" s="4"/>
      <c r="Z575" s="4"/>
      <c r="AA575" s="4"/>
      <c r="AB575" s="4"/>
      <c r="AC575" s="4"/>
      <c r="AD575" s="4"/>
      <c r="AE575" s="4"/>
      <c r="AF575" s="4"/>
      <c r="AG575" s="4"/>
      <c r="AH575" s="4"/>
      <c r="AI575" s="4"/>
      <c r="AJ575" s="4"/>
      <c r="AK575" s="4"/>
      <c r="AL575" s="4"/>
      <c r="AP575" s="4"/>
      <c r="AX575" s="4"/>
      <c r="AY575" s="4"/>
      <c r="AZ575" s="4"/>
      <c r="BA575" s="4"/>
      <c r="BB575" s="4"/>
      <c r="BC575" s="4"/>
      <c r="BD575" s="4"/>
      <c r="BE575" s="4"/>
      <c r="BF575" s="4"/>
      <c r="BG575" s="4"/>
      <c r="BI575" s="4"/>
      <c r="BP575" s="4"/>
      <c r="BS575" s="4"/>
      <c r="BW575" s="4"/>
      <c r="BX575" s="4"/>
    </row>
    <row r="576" spans="1:76" ht="12.75" x14ac:dyDescent="0.2">
      <c r="A576" s="4" t="s">
        <v>1063</v>
      </c>
      <c r="B576" s="4" t="s">
        <v>120</v>
      </c>
      <c r="C576" s="4" t="s">
        <v>916</v>
      </c>
      <c r="D576" s="4">
        <v>2761</v>
      </c>
      <c r="E576" s="4" t="s">
        <v>66</v>
      </c>
      <c r="F576" s="4" t="s">
        <v>1642</v>
      </c>
      <c r="G576" s="113">
        <v>0.33333333333333331</v>
      </c>
      <c r="H576" t="s">
        <v>1781</v>
      </c>
      <c r="I576" s="4">
        <v>1.9370000000000001</v>
      </c>
      <c r="L576" s="4" t="s">
        <v>1618</v>
      </c>
      <c r="M576" s="4" t="s">
        <v>109</v>
      </c>
      <c r="N576" s="4" t="s">
        <v>75</v>
      </c>
      <c r="O576" s="4"/>
      <c r="P576" s="4" t="s">
        <v>1694</v>
      </c>
      <c r="Q576" t="s">
        <v>109</v>
      </c>
      <c r="R576" s="4"/>
      <c r="S576" s="4"/>
      <c r="U576" s="4"/>
      <c r="Y576" s="4"/>
      <c r="Z576" s="4"/>
      <c r="AA576" s="4"/>
      <c r="AB576" s="4"/>
      <c r="AC576" s="4"/>
      <c r="AD576" s="4"/>
      <c r="AE576" s="4"/>
      <c r="AF576" s="4"/>
      <c r="AG576" s="4"/>
      <c r="AH576" s="4"/>
      <c r="AI576" s="4"/>
      <c r="AJ576" s="4"/>
      <c r="AK576" s="4"/>
      <c r="AL576" s="4"/>
      <c r="AP576" s="4"/>
      <c r="AX576" s="4"/>
      <c r="AY576" s="4"/>
      <c r="AZ576" s="4"/>
      <c r="BA576" s="4"/>
      <c r="BB576" s="4"/>
      <c r="BC576" s="4"/>
      <c r="BD576" s="4"/>
      <c r="BE576" s="4"/>
      <c r="BF576" s="4"/>
      <c r="BG576" s="4"/>
      <c r="BI576" s="4"/>
      <c r="BP576" s="4"/>
      <c r="BS576" s="4"/>
      <c r="BW576" s="4"/>
      <c r="BX576" s="4"/>
    </row>
    <row r="577" spans="1:76" ht="12.75" x14ac:dyDescent="0.2">
      <c r="A577" s="4" t="s">
        <v>915</v>
      </c>
      <c r="B577" s="4" t="s">
        <v>186</v>
      </c>
      <c r="C577" s="4" t="s">
        <v>916</v>
      </c>
      <c r="D577" s="4">
        <v>2761</v>
      </c>
      <c r="E577" s="4" t="s">
        <v>66</v>
      </c>
      <c r="F577" s="4" t="s">
        <v>1642</v>
      </c>
      <c r="G577" s="113">
        <v>1</v>
      </c>
      <c r="H577" t="s">
        <v>1781</v>
      </c>
      <c r="I577" s="4">
        <v>1.99</v>
      </c>
      <c r="L577" s="4" t="s">
        <v>1615</v>
      </c>
      <c r="M577" s="4" t="s">
        <v>109</v>
      </c>
      <c r="N577" s="4" t="s">
        <v>75</v>
      </c>
      <c r="O577" s="4"/>
      <c r="P577" s="4" t="s">
        <v>1694</v>
      </c>
      <c r="Q577" t="s">
        <v>109</v>
      </c>
      <c r="R577" s="4"/>
      <c r="S577" s="4"/>
      <c r="U577" s="4"/>
      <c r="Y577" s="4"/>
      <c r="Z577" s="4"/>
      <c r="AA577" s="4"/>
      <c r="AB577" s="4"/>
      <c r="AC577" s="4"/>
      <c r="AD577" s="4"/>
      <c r="AE577" s="4"/>
      <c r="AF577" s="4"/>
      <c r="AG577" s="4"/>
      <c r="AH577" s="4"/>
      <c r="AI577" s="4"/>
      <c r="AJ577" s="4"/>
      <c r="AK577" s="4"/>
      <c r="AL577" s="4"/>
      <c r="AP577" s="4"/>
      <c r="AX577" s="4"/>
      <c r="AY577" s="4"/>
      <c r="AZ577" s="4"/>
      <c r="BA577" s="4"/>
      <c r="BB577" s="4"/>
      <c r="BC577" s="4"/>
      <c r="BD577" s="4"/>
      <c r="BE577" s="4"/>
      <c r="BF577" s="4"/>
      <c r="BG577" s="4"/>
      <c r="BI577" s="4"/>
      <c r="BP577" s="4"/>
      <c r="BS577" s="4"/>
      <c r="BW577" s="4"/>
      <c r="BX577" s="4"/>
    </row>
    <row r="578" spans="1:76" ht="12.75" x14ac:dyDescent="0.2">
      <c r="A578" s="4" t="s">
        <v>915</v>
      </c>
      <c r="B578" s="4" t="s">
        <v>642</v>
      </c>
      <c r="C578" s="4" t="s">
        <v>916</v>
      </c>
      <c r="D578" s="4">
        <v>2761</v>
      </c>
      <c r="E578" s="4" t="s">
        <v>66</v>
      </c>
      <c r="F578" s="4" t="s">
        <v>1642</v>
      </c>
      <c r="G578" s="113">
        <v>0.33333333333333331</v>
      </c>
      <c r="H578" t="s">
        <v>1781</v>
      </c>
      <c r="I578" s="4">
        <v>2.073</v>
      </c>
      <c r="L578" s="4" t="s">
        <v>1619</v>
      </c>
      <c r="M578" s="4" t="s">
        <v>109</v>
      </c>
      <c r="N578" s="4" t="s">
        <v>75</v>
      </c>
      <c r="O578" s="4"/>
      <c r="P578" s="4" t="s">
        <v>1694</v>
      </c>
      <c r="Q578" t="s">
        <v>109</v>
      </c>
      <c r="R578" s="4"/>
      <c r="S578" s="4"/>
      <c r="U578" s="4"/>
      <c r="Y578" s="4"/>
      <c r="Z578" s="4"/>
      <c r="AA578" s="4"/>
      <c r="AB578" s="4"/>
      <c r="AC578" s="4"/>
      <c r="AD578" s="4"/>
      <c r="AE578" s="4"/>
      <c r="AF578" s="4"/>
      <c r="AG578" s="4"/>
      <c r="AH578" s="4"/>
      <c r="AI578" s="4"/>
      <c r="AJ578" s="4"/>
      <c r="AK578" s="4"/>
      <c r="AL578" s="4"/>
      <c r="AP578" s="4"/>
      <c r="AX578" s="4"/>
      <c r="AY578" s="4"/>
      <c r="AZ578" s="4"/>
      <c r="BA578" s="4"/>
      <c r="BB578" s="4"/>
      <c r="BC578" s="4"/>
      <c r="BD578" s="4"/>
      <c r="BE578" s="4"/>
      <c r="BF578" s="4"/>
      <c r="BG578" s="4"/>
      <c r="BI578" s="4"/>
      <c r="BP578" s="4"/>
      <c r="BS578" s="4"/>
      <c r="BW578" s="4"/>
      <c r="BX578" s="4"/>
    </row>
    <row r="579" spans="1:76" ht="12.75" x14ac:dyDescent="0.2">
      <c r="A579" s="4" t="s">
        <v>1063</v>
      </c>
      <c r="B579" s="4" t="s">
        <v>983</v>
      </c>
      <c r="C579" s="4" t="s">
        <v>916</v>
      </c>
      <c r="D579" s="4">
        <v>2761</v>
      </c>
      <c r="E579" s="4" t="s">
        <v>66</v>
      </c>
      <c r="F579" s="4" t="s">
        <v>1642</v>
      </c>
      <c r="G579" s="113">
        <v>0.5</v>
      </c>
      <c r="H579" t="s">
        <v>1781</v>
      </c>
      <c r="I579" s="4">
        <v>2.1</v>
      </c>
      <c r="L579" s="4" t="s">
        <v>1616</v>
      </c>
      <c r="M579" s="4" t="s">
        <v>109</v>
      </c>
      <c r="N579" s="4" t="s">
        <v>75</v>
      </c>
      <c r="O579" s="4"/>
      <c r="P579" s="4" t="s">
        <v>1694</v>
      </c>
      <c r="Q579" t="s">
        <v>109</v>
      </c>
      <c r="R579" s="4"/>
      <c r="S579" s="4"/>
      <c r="U579" s="4"/>
      <c r="Y579" s="4"/>
      <c r="Z579" s="4"/>
      <c r="AA579" s="4"/>
      <c r="AB579" s="4"/>
      <c r="AC579" s="4"/>
      <c r="AD579" s="4"/>
      <c r="AE579" s="4"/>
      <c r="AF579" s="4"/>
      <c r="AG579" s="4"/>
      <c r="AH579" s="4"/>
      <c r="AI579" s="4"/>
      <c r="AJ579" s="4"/>
      <c r="AK579" s="4"/>
      <c r="AL579" s="4"/>
      <c r="AP579" s="4"/>
      <c r="AX579" s="4"/>
      <c r="AY579" s="4"/>
      <c r="AZ579" s="4"/>
      <c r="BA579" s="4"/>
      <c r="BB579" s="4"/>
      <c r="BC579" s="4"/>
      <c r="BD579" s="4"/>
      <c r="BE579" s="4"/>
      <c r="BF579" s="4"/>
      <c r="BG579" s="4"/>
      <c r="BI579" s="4"/>
      <c r="BP579" s="4"/>
      <c r="BS579" s="4"/>
      <c r="BW579" s="4"/>
      <c r="BX579" s="4"/>
    </row>
    <row r="580" spans="1:76" ht="12.75" x14ac:dyDescent="0.2">
      <c r="A580" s="4" t="s">
        <v>915</v>
      </c>
      <c r="B580" s="4" t="s">
        <v>860</v>
      </c>
      <c r="C580" s="4" t="s">
        <v>916</v>
      </c>
      <c r="D580" s="4">
        <v>2761</v>
      </c>
      <c r="E580" s="4" t="s">
        <v>66</v>
      </c>
      <c r="F580" s="4" t="s">
        <v>1642</v>
      </c>
      <c r="G580" s="113">
        <v>0.5</v>
      </c>
      <c r="H580" t="s">
        <v>1781</v>
      </c>
      <c r="I580" s="4">
        <v>2.15</v>
      </c>
      <c r="L580" s="4" t="s">
        <v>1621</v>
      </c>
      <c r="M580" s="4" t="s">
        <v>109</v>
      </c>
      <c r="N580" s="4" t="s">
        <v>75</v>
      </c>
      <c r="O580" s="4"/>
      <c r="P580" s="4" t="s">
        <v>1694</v>
      </c>
      <c r="Q580" t="s">
        <v>109</v>
      </c>
      <c r="R580" s="4"/>
      <c r="S580" s="4"/>
      <c r="U580" s="4"/>
      <c r="Y580" s="4"/>
      <c r="Z580" s="4"/>
      <c r="AA580" s="4"/>
      <c r="AB580" s="4"/>
      <c r="AC580" s="4"/>
      <c r="AD580" s="4"/>
      <c r="AE580" s="4"/>
      <c r="AF580" s="4"/>
      <c r="AG580" s="4"/>
      <c r="AH580" s="4"/>
      <c r="AI580" s="4"/>
      <c r="AJ580" s="4"/>
      <c r="AK580" s="4"/>
      <c r="AL580" s="4"/>
      <c r="AP580" s="4"/>
      <c r="AX580" s="4"/>
      <c r="AY580" s="4"/>
      <c r="AZ580" s="4"/>
      <c r="BA580" s="4"/>
      <c r="BB580" s="4"/>
      <c r="BC580" s="4"/>
      <c r="BD580" s="4"/>
      <c r="BE580" s="4"/>
      <c r="BF580" s="4"/>
      <c r="BG580" s="4"/>
      <c r="BI580" s="4"/>
      <c r="BP580" s="4"/>
      <c r="BS580" s="4"/>
      <c r="BW580" s="4"/>
      <c r="BX580" s="4"/>
    </row>
    <row r="581" spans="1:76" ht="12.75" x14ac:dyDescent="0.2">
      <c r="A581" s="4" t="s">
        <v>1643</v>
      </c>
      <c r="B581" s="4" t="s">
        <v>1010</v>
      </c>
      <c r="C581" s="4" t="s">
        <v>916</v>
      </c>
      <c r="D581" s="4">
        <v>2761</v>
      </c>
      <c r="E581" s="4" t="s">
        <v>66</v>
      </c>
      <c r="F581" s="4" t="s">
        <v>1642</v>
      </c>
      <c r="G581" s="113">
        <v>0.5</v>
      </c>
      <c r="H581" t="s">
        <v>1781</v>
      </c>
      <c r="I581" s="4">
        <v>2.21</v>
      </c>
      <c r="L581" s="4" t="s">
        <v>1623</v>
      </c>
      <c r="M581" s="4" t="s">
        <v>109</v>
      </c>
      <c r="N581" s="4" t="s">
        <v>75</v>
      </c>
      <c r="O581" s="4"/>
      <c r="P581" s="4" t="s">
        <v>1694</v>
      </c>
      <c r="Q581" t="s">
        <v>109</v>
      </c>
      <c r="R581" s="4"/>
      <c r="S581" s="4"/>
      <c r="U581" s="4"/>
      <c r="Y581" s="4"/>
      <c r="Z581" s="4"/>
      <c r="AA581" s="4"/>
      <c r="AB581" s="4"/>
      <c r="AC581" s="4"/>
      <c r="AD581" s="4"/>
      <c r="AE581" s="4"/>
      <c r="AF581" s="4"/>
      <c r="AG581" s="4"/>
      <c r="AH581" s="4"/>
      <c r="AI581" s="4"/>
      <c r="AJ581" s="4"/>
      <c r="AK581" s="4"/>
      <c r="AL581" s="4"/>
      <c r="AP581" s="4"/>
      <c r="AX581" s="4"/>
      <c r="AY581" s="4"/>
      <c r="AZ581" s="4"/>
      <c r="BA581" s="4"/>
      <c r="BB581" s="4"/>
      <c r="BC581" s="4"/>
      <c r="BD581" s="4"/>
      <c r="BE581" s="4"/>
      <c r="BF581" s="4"/>
      <c r="BG581" s="4"/>
      <c r="BI581" s="4"/>
      <c r="BP581" s="4"/>
      <c r="BS581" s="4"/>
      <c r="BW581" s="4"/>
      <c r="BX581" s="4"/>
    </row>
    <row r="582" spans="1:76" ht="12.75" x14ac:dyDescent="0.2">
      <c r="A582" s="4" t="s">
        <v>915</v>
      </c>
      <c r="B582" s="4" t="s">
        <v>642</v>
      </c>
      <c r="C582" s="4" t="s">
        <v>916</v>
      </c>
      <c r="D582" s="4">
        <v>2761</v>
      </c>
      <c r="E582" s="4" t="s">
        <v>66</v>
      </c>
      <c r="F582" s="4" t="s">
        <v>1642</v>
      </c>
      <c r="G582" s="113">
        <v>0.33333333333333331</v>
      </c>
      <c r="H582" t="s">
        <v>1781</v>
      </c>
      <c r="I582" s="4">
        <v>2.25</v>
      </c>
      <c r="L582" s="4" t="s">
        <v>1619</v>
      </c>
      <c r="M582" s="4" t="s">
        <v>109</v>
      </c>
      <c r="N582" s="4" t="s">
        <v>75</v>
      </c>
      <c r="O582" s="4"/>
      <c r="P582" s="4" t="s">
        <v>1694</v>
      </c>
      <c r="Q582" t="s">
        <v>109</v>
      </c>
      <c r="R582" s="4"/>
      <c r="S582" s="4"/>
      <c r="U582" s="4"/>
      <c r="Y582" s="4"/>
      <c r="Z582" s="4"/>
      <c r="AA582" s="4"/>
      <c r="AB582" s="4"/>
      <c r="AC582" s="4"/>
      <c r="AD582" s="4"/>
      <c r="AE582" s="4"/>
      <c r="AF582" s="4"/>
      <c r="AG582" s="4"/>
      <c r="AH582" s="4"/>
      <c r="AI582" s="4"/>
      <c r="AJ582" s="4"/>
      <c r="AK582" s="4"/>
      <c r="AL582" s="4"/>
      <c r="AP582" s="4"/>
      <c r="AX582" s="4"/>
      <c r="AY582" s="4"/>
      <c r="AZ582" s="4"/>
      <c r="BA582" s="4"/>
      <c r="BB582" s="4"/>
      <c r="BC582" s="4"/>
      <c r="BD582" s="4"/>
      <c r="BE582" s="4"/>
      <c r="BF582" s="4"/>
      <c r="BG582" s="4"/>
      <c r="BI582" s="4"/>
      <c r="BP582" s="4"/>
      <c r="BS582" s="4"/>
      <c r="BW582" s="4"/>
      <c r="BX582" s="4"/>
    </row>
    <row r="583" spans="1:76" ht="12.75" x14ac:dyDescent="0.2">
      <c r="A583" s="4" t="s">
        <v>915</v>
      </c>
      <c r="B583" s="4" t="s">
        <v>1010</v>
      </c>
      <c r="C583" s="4" t="s">
        <v>916</v>
      </c>
      <c r="D583" s="4">
        <v>2761</v>
      </c>
      <c r="E583" s="4" t="s">
        <v>66</v>
      </c>
      <c r="F583" s="4" t="s">
        <v>1642</v>
      </c>
      <c r="G583" s="113">
        <v>1</v>
      </c>
      <c r="H583" t="s">
        <v>1781</v>
      </c>
      <c r="I583" s="4">
        <v>2.3000000000000003</v>
      </c>
      <c r="L583" s="4" t="s">
        <v>1613</v>
      </c>
      <c r="M583" s="4" t="s">
        <v>109</v>
      </c>
      <c r="N583" s="4" t="s">
        <v>75</v>
      </c>
      <c r="O583" s="4"/>
      <c r="P583" s="4" t="s">
        <v>1694</v>
      </c>
      <c r="Q583" t="s">
        <v>109</v>
      </c>
      <c r="R583" s="4"/>
      <c r="S583" s="4"/>
      <c r="U583" s="4"/>
      <c r="Y583" s="4"/>
      <c r="Z583" s="4"/>
      <c r="AA583" s="4"/>
      <c r="AB583" s="4"/>
      <c r="AC583" s="4"/>
      <c r="AD583" s="4"/>
      <c r="AE583" s="4"/>
      <c r="AF583" s="4"/>
      <c r="AG583" s="4"/>
      <c r="AH583" s="4"/>
      <c r="AI583" s="4"/>
      <c r="AJ583" s="4"/>
      <c r="AK583" s="4"/>
      <c r="AL583" s="4"/>
      <c r="AP583" s="4"/>
      <c r="AX583" s="4"/>
      <c r="AY583" s="4"/>
      <c r="AZ583" s="4"/>
      <c r="BA583" s="4"/>
      <c r="BB583" s="4"/>
      <c r="BC583" s="4"/>
      <c r="BD583" s="4"/>
      <c r="BE583" s="4"/>
      <c r="BF583" s="4"/>
      <c r="BG583" s="4"/>
      <c r="BI583" s="4"/>
      <c r="BP583" s="4"/>
      <c r="BS583" s="4"/>
      <c r="BW583" s="4"/>
      <c r="BX583" s="4"/>
    </row>
    <row r="584" spans="1:76" ht="12.75" x14ac:dyDescent="0.2">
      <c r="A584" s="4" t="s">
        <v>915</v>
      </c>
      <c r="B584" s="4" t="s">
        <v>642</v>
      </c>
      <c r="C584" s="4" t="s">
        <v>916</v>
      </c>
      <c r="D584" s="4">
        <v>2761</v>
      </c>
      <c r="E584" s="4" t="s">
        <v>66</v>
      </c>
      <c r="F584" s="4" t="s">
        <v>1642</v>
      </c>
      <c r="G584" s="113">
        <v>1</v>
      </c>
      <c r="H584" t="s">
        <v>1781</v>
      </c>
      <c r="I584" s="4">
        <v>2.37</v>
      </c>
      <c r="L584" s="4" t="s">
        <v>1613</v>
      </c>
      <c r="M584" s="4" t="s">
        <v>109</v>
      </c>
      <c r="N584" s="4" t="s">
        <v>75</v>
      </c>
      <c r="O584" s="4"/>
      <c r="P584" s="4" t="s">
        <v>1694</v>
      </c>
      <c r="Q584" t="s">
        <v>109</v>
      </c>
      <c r="R584" s="4"/>
      <c r="S584" s="4"/>
      <c r="U584" s="4"/>
      <c r="Y584" s="4"/>
      <c r="Z584" s="4"/>
      <c r="AA584" s="4"/>
      <c r="AB584" s="4"/>
      <c r="AC584" s="4"/>
      <c r="AD584" s="4"/>
      <c r="AE584" s="4"/>
      <c r="AF584" s="4"/>
      <c r="AG584" s="4"/>
      <c r="AH584" s="4"/>
      <c r="AI584" s="4"/>
      <c r="AJ584" s="4"/>
      <c r="AK584" s="4"/>
      <c r="AL584" s="4"/>
      <c r="AP584" s="4"/>
      <c r="AX584" s="4"/>
      <c r="AY584" s="4"/>
      <c r="AZ584" s="4"/>
      <c r="BA584" s="4"/>
      <c r="BB584" s="4"/>
      <c r="BC584" s="4"/>
      <c r="BD584" s="4"/>
      <c r="BE584" s="4"/>
      <c r="BF584" s="4"/>
      <c r="BG584" s="4"/>
      <c r="BI584" s="4"/>
      <c r="BP584" s="4"/>
      <c r="BS584" s="4"/>
      <c r="BW584" s="4"/>
      <c r="BX584" s="4"/>
    </row>
    <row r="585" spans="1:76" ht="12.75" x14ac:dyDescent="0.2">
      <c r="A585" s="4" t="s">
        <v>915</v>
      </c>
      <c r="B585" s="4" t="s">
        <v>860</v>
      </c>
      <c r="C585" s="4" t="s">
        <v>916</v>
      </c>
      <c r="D585" s="4">
        <v>2761</v>
      </c>
      <c r="E585" s="4" t="s">
        <v>66</v>
      </c>
      <c r="F585" s="4" t="s">
        <v>1642</v>
      </c>
      <c r="G585" s="113">
        <v>0.5</v>
      </c>
      <c r="H585" t="s">
        <v>1781</v>
      </c>
      <c r="I585" s="4">
        <v>2.48</v>
      </c>
      <c r="L585" s="4" t="s">
        <v>1621</v>
      </c>
      <c r="M585" s="4" t="s">
        <v>109</v>
      </c>
      <c r="N585" s="4" t="s">
        <v>75</v>
      </c>
      <c r="O585" s="4"/>
      <c r="P585" s="4" t="s">
        <v>1694</v>
      </c>
      <c r="Q585" t="s">
        <v>109</v>
      </c>
      <c r="R585" s="4"/>
      <c r="S585" s="4"/>
      <c r="U585" s="4"/>
      <c r="Y585" s="4"/>
      <c r="Z585" s="4"/>
      <c r="AA585" s="4"/>
      <c r="AB585" s="4"/>
      <c r="AC585" s="4"/>
      <c r="AD585" s="4"/>
      <c r="AE585" s="4"/>
      <c r="AF585" s="4"/>
      <c r="AG585" s="4"/>
      <c r="AH585" s="4"/>
      <c r="AI585" s="4"/>
      <c r="AJ585" s="4"/>
      <c r="AK585" s="4"/>
      <c r="AL585" s="4"/>
      <c r="AP585" s="4"/>
      <c r="AX585" s="4"/>
      <c r="AY585" s="4"/>
      <c r="AZ585" s="4"/>
      <c r="BA585" s="4"/>
      <c r="BB585" s="4"/>
      <c r="BC585" s="4"/>
      <c r="BD585" s="4"/>
      <c r="BE585" s="4"/>
      <c r="BF585" s="4"/>
      <c r="BG585" s="4"/>
      <c r="BI585" s="4"/>
      <c r="BP585" s="4"/>
      <c r="BS585" s="4"/>
      <c r="BW585" s="4"/>
      <c r="BX585" s="4"/>
    </row>
    <row r="586" spans="1:76" ht="12.75" x14ac:dyDescent="0.2">
      <c r="A586" s="4" t="s">
        <v>1643</v>
      </c>
      <c r="B586" s="4" t="s">
        <v>1010</v>
      </c>
      <c r="C586" s="4" t="s">
        <v>916</v>
      </c>
      <c r="D586" s="4">
        <v>2761</v>
      </c>
      <c r="E586" s="4" t="s">
        <v>66</v>
      </c>
      <c r="F586" s="4" t="s">
        <v>1642</v>
      </c>
      <c r="G586" s="113">
        <v>0.5</v>
      </c>
      <c r="H586" t="s">
        <v>1781</v>
      </c>
      <c r="I586" s="4">
        <v>2.66</v>
      </c>
      <c r="L586" s="4" t="s">
        <v>1623</v>
      </c>
      <c r="M586" s="4" t="s">
        <v>109</v>
      </c>
      <c r="N586" s="4" t="s">
        <v>75</v>
      </c>
      <c r="O586" s="4"/>
      <c r="P586" s="4" t="s">
        <v>1694</v>
      </c>
      <c r="Q586" t="s">
        <v>109</v>
      </c>
      <c r="R586" s="4"/>
      <c r="S586" s="4"/>
      <c r="U586" s="4"/>
      <c r="Y586" s="4"/>
      <c r="Z586" s="4"/>
      <c r="AA586" s="4"/>
      <c r="AB586" s="4"/>
      <c r="AC586" s="4"/>
      <c r="AD586" s="4"/>
      <c r="AE586" s="4"/>
      <c r="AF586" s="4"/>
      <c r="AG586" s="4"/>
      <c r="AH586" s="4"/>
      <c r="AI586" s="4"/>
      <c r="AJ586" s="4"/>
      <c r="AK586" s="4"/>
      <c r="AL586" s="4"/>
      <c r="AP586" s="4"/>
      <c r="AX586" s="4"/>
      <c r="AY586" s="4"/>
      <c r="AZ586" s="4"/>
      <c r="BA586" s="4"/>
      <c r="BB586" s="4"/>
      <c r="BC586" s="4"/>
      <c r="BD586" s="4"/>
      <c r="BE586" s="4"/>
      <c r="BF586" s="4"/>
      <c r="BG586" s="4"/>
      <c r="BI586" s="4"/>
      <c r="BP586" s="4"/>
      <c r="BS586" s="4"/>
      <c r="BW586" s="4"/>
      <c r="BX586" s="4"/>
    </row>
    <row r="587" spans="1:76" ht="12.75" x14ac:dyDescent="0.2">
      <c r="A587" s="4" t="s">
        <v>1063</v>
      </c>
      <c r="B587" s="4" t="s">
        <v>120</v>
      </c>
      <c r="C587" s="4" t="s">
        <v>916</v>
      </c>
      <c r="D587" s="4">
        <v>2761</v>
      </c>
      <c r="E587" s="4" t="s">
        <v>66</v>
      </c>
      <c r="F587" s="4" t="s">
        <v>1642</v>
      </c>
      <c r="G587" s="113">
        <v>0.33333333333333331</v>
      </c>
      <c r="H587" t="s">
        <v>1781</v>
      </c>
      <c r="I587" s="4">
        <v>2.89</v>
      </c>
      <c r="L587" s="4" t="s">
        <v>1618</v>
      </c>
      <c r="M587" s="4" t="s">
        <v>109</v>
      </c>
      <c r="N587" s="4" t="s">
        <v>75</v>
      </c>
      <c r="O587" s="4"/>
      <c r="P587" s="4" t="s">
        <v>1694</v>
      </c>
      <c r="Q587" t="s">
        <v>109</v>
      </c>
      <c r="R587" s="4"/>
      <c r="S587" s="4"/>
      <c r="U587" s="4"/>
      <c r="Y587" s="4"/>
      <c r="Z587" s="4"/>
      <c r="AA587" s="4"/>
      <c r="AB587" s="4"/>
      <c r="AC587" s="4"/>
      <c r="AD587" s="4"/>
      <c r="AE587" s="4"/>
      <c r="AF587" s="4"/>
      <c r="AG587" s="4"/>
      <c r="AH587" s="4"/>
      <c r="AI587" s="4"/>
      <c r="AJ587" s="4"/>
      <c r="AK587" s="4"/>
      <c r="AL587" s="4"/>
      <c r="AP587" s="4"/>
      <c r="AX587" s="4"/>
      <c r="AY587" s="4"/>
      <c r="AZ587" s="4"/>
      <c r="BA587" s="4"/>
      <c r="BB587" s="4"/>
      <c r="BC587" s="4"/>
      <c r="BD587" s="4"/>
      <c r="BE587" s="4"/>
      <c r="BF587" s="4"/>
      <c r="BG587" s="4"/>
      <c r="BI587" s="4"/>
      <c r="BP587" s="4"/>
      <c r="BS587" s="4"/>
      <c r="BW587" s="4"/>
      <c r="BX587" s="4"/>
    </row>
    <row r="588" spans="1:76" ht="12.75" x14ac:dyDescent="0.2">
      <c r="A588" s="4" t="s">
        <v>915</v>
      </c>
      <c r="B588" s="4" t="s">
        <v>477</v>
      </c>
      <c r="C588" s="4" t="s">
        <v>916</v>
      </c>
      <c r="D588" s="4">
        <v>2761</v>
      </c>
      <c r="E588" s="4" t="s">
        <v>66</v>
      </c>
      <c r="F588" s="4" t="s">
        <v>1642</v>
      </c>
      <c r="G588" s="113">
        <v>1</v>
      </c>
      <c r="H588" t="s">
        <v>1781</v>
      </c>
      <c r="I588" s="4">
        <v>3.27</v>
      </c>
      <c r="L588" s="4" t="s">
        <v>1613</v>
      </c>
      <c r="M588" s="4" t="s">
        <v>109</v>
      </c>
      <c r="N588" s="4" t="s">
        <v>75</v>
      </c>
      <c r="O588" s="4"/>
      <c r="P588" s="4" t="s">
        <v>1694</v>
      </c>
      <c r="Q588" t="s">
        <v>109</v>
      </c>
      <c r="R588" s="4"/>
      <c r="S588" s="4"/>
      <c r="U588" s="4"/>
      <c r="Y588" s="4"/>
      <c r="Z588" s="4"/>
      <c r="AA588" s="4"/>
      <c r="AB588" s="4"/>
      <c r="AC588" s="4"/>
      <c r="AD588" s="4"/>
      <c r="AE588" s="4"/>
      <c r="AF588" s="4"/>
      <c r="AG588" s="4"/>
      <c r="AH588" s="4"/>
      <c r="AI588" s="4"/>
      <c r="AJ588" s="4"/>
      <c r="AK588" s="4"/>
      <c r="AL588" s="4"/>
      <c r="AP588" s="4"/>
      <c r="AX588" s="4"/>
      <c r="AY588" s="4"/>
      <c r="AZ588" s="4"/>
      <c r="BA588" s="4"/>
      <c r="BB588" s="4"/>
      <c r="BC588" s="4"/>
      <c r="BD588" s="4"/>
      <c r="BE588" s="4"/>
      <c r="BF588" s="4"/>
      <c r="BG588" s="4"/>
      <c r="BI588" s="4"/>
      <c r="BP588" s="4"/>
      <c r="BS588" s="4"/>
      <c r="BW588" s="4"/>
      <c r="BX588" s="4"/>
    </row>
    <row r="589" spans="1:76" ht="12.75" x14ac:dyDescent="0.2">
      <c r="A589" s="4" t="s">
        <v>915</v>
      </c>
      <c r="B589" s="4" t="s">
        <v>186</v>
      </c>
      <c r="C589" s="4" t="s">
        <v>916</v>
      </c>
      <c r="D589" s="4">
        <v>2761</v>
      </c>
      <c r="E589" s="4" t="s">
        <v>66</v>
      </c>
      <c r="F589" s="4" t="s">
        <v>1642</v>
      </c>
      <c r="G589" s="113">
        <v>1</v>
      </c>
      <c r="H589" t="s">
        <v>1781</v>
      </c>
      <c r="I589" s="4">
        <v>3.39</v>
      </c>
      <c r="L589" s="4" t="s">
        <v>1617</v>
      </c>
      <c r="M589" s="4" t="s">
        <v>109</v>
      </c>
      <c r="N589" s="4" t="s">
        <v>75</v>
      </c>
      <c r="O589" s="4"/>
      <c r="P589" s="4" t="s">
        <v>1694</v>
      </c>
      <c r="Q589" t="s">
        <v>109</v>
      </c>
      <c r="R589" s="4"/>
      <c r="S589" s="4"/>
      <c r="U589" s="4"/>
      <c r="Y589" s="4"/>
      <c r="Z589" s="4"/>
      <c r="AA589" s="4"/>
      <c r="AB589" s="4"/>
      <c r="AC589" s="4"/>
      <c r="AD589" s="4"/>
      <c r="AE589" s="4"/>
      <c r="AF589" s="4"/>
      <c r="AG589" s="4"/>
      <c r="AH589" s="4"/>
      <c r="AI589" s="4"/>
      <c r="AJ589" s="4"/>
      <c r="AK589" s="4"/>
      <c r="AL589" s="4"/>
      <c r="AP589" s="4"/>
      <c r="AX589" s="4"/>
      <c r="AY589" s="4"/>
      <c r="AZ589" s="4"/>
      <c r="BA589" s="4"/>
      <c r="BB589" s="4"/>
      <c r="BC589" s="4"/>
      <c r="BD589" s="4"/>
      <c r="BE589" s="4"/>
      <c r="BF589" s="4"/>
      <c r="BG589" s="4"/>
      <c r="BI589" s="4"/>
      <c r="BP589" s="4"/>
      <c r="BS589" s="4"/>
      <c r="BW589" s="4"/>
      <c r="BX589" s="4"/>
    </row>
    <row r="590" spans="1:76" ht="12.75" x14ac:dyDescent="0.2">
      <c r="A590" s="4" t="s">
        <v>945</v>
      </c>
      <c r="B590" s="4" t="s">
        <v>120</v>
      </c>
      <c r="C590" s="4" t="s">
        <v>916</v>
      </c>
      <c r="D590" s="4">
        <v>2761</v>
      </c>
      <c r="E590" s="4" t="s">
        <v>66</v>
      </c>
      <c r="F590" s="4" t="s">
        <v>1642</v>
      </c>
      <c r="G590" s="113">
        <v>1</v>
      </c>
      <c r="H590" t="s">
        <v>1781</v>
      </c>
      <c r="I590" s="4">
        <v>3.5629199999999996</v>
      </c>
      <c r="L590" s="4" t="s">
        <v>1620</v>
      </c>
      <c r="M590" s="4" t="s">
        <v>109</v>
      </c>
      <c r="N590" s="4" t="s">
        <v>75</v>
      </c>
      <c r="O590" s="4"/>
      <c r="P590" s="4" t="s">
        <v>1694</v>
      </c>
      <c r="Q590" t="s">
        <v>109</v>
      </c>
      <c r="R590" s="4"/>
      <c r="S590" s="4"/>
      <c r="U590" s="4"/>
      <c r="Y590" s="4"/>
      <c r="Z590" s="4"/>
      <c r="AA590" s="4"/>
      <c r="AB590" s="4"/>
      <c r="AC590" s="4"/>
      <c r="AD590" s="4"/>
      <c r="AE590" s="4"/>
      <c r="AF590" s="4"/>
      <c r="AG590" s="4"/>
      <c r="AH590" s="4"/>
      <c r="AI590" s="4"/>
      <c r="AJ590" s="4"/>
      <c r="AK590" s="4"/>
      <c r="AL590" s="4"/>
      <c r="AP590" s="4"/>
      <c r="AX590" s="4"/>
      <c r="AY590" s="4"/>
      <c r="AZ590" s="4"/>
      <c r="BA590" s="4"/>
      <c r="BB590" s="4"/>
      <c r="BC590" s="4"/>
      <c r="BD590" s="4"/>
      <c r="BE590" s="4"/>
      <c r="BF590" s="4"/>
      <c r="BG590" s="4"/>
      <c r="BI590" s="4"/>
      <c r="BP590" s="4"/>
      <c r="BS590" s="4"/>
      <c r="BW590" s="4"/>
      <c r="BX590" s="4"/>
    </row>
    <row r="591" spans="1:76" ht="12.75" x14ac:dyDescent="0.2">
      <c r="A591" s="4" t="s">
        <v>1063</v>
      </c>
      <c r="B591" s="4" t="s">
        <v>120</v>
      </c>
      <c r="C591" s="4" t="s">
        <v>916</v>
      </c>
      <c r="D591" s="4">
        <v>2761</v>
      </c>
      <c r="E591" s="4" t="s">
        <v>66</v>
      </c>
      <c r="F591" s="4" t="s">
        <v>1642</v>
      </c>
      <c r="G591" s="113">
        <v>0.33333333333333331</v>
      </c>
      <c r="H591" t="s">
        <v>1781</v>
      </c>
      <c r="I591" s="4">
        <v>4.1239999999999997</v>
      </c>
      <c r="L591" s="4" t="s">
        <v>1618</v>
      </c>
      <c r="M591" s="4" t="s">
        <v>109</v>
      </c>
      <c r="N591" s="4" t="s">
        <v>75</v>
      </c>
      <c r="O591" s="4"/>
      <c r="P591" s="4" t="s">
        <v>1694</v>
      </c>
      <c r="Q591" t="s">
        <v>109</v>
      </c>
      <c r="R591" s="4"/>
      <c r="S591" s="4"/>
      <c r="U591" s="4"/>
      <c r="Y591" s="4"/>
      <c r="Z591" s="4"/>
      <c r="AA591" s="4"/>
      <c r="AB591" s="4"/>
      <c r="AC591" s="4"/>
      <c r="AD591" s="4"/>
      <c r="AE591" s="4"/>
      <c r="AF591" s="4"/>
      <c r="AG591" s="4"/>
      <c r="AH591" s="4"/>
      <c r="AI591" s="4"/>
      <c r="AJ591" s="4"/>
      <c r="AK591" s="4"/>
      <c r="AL591" s="4"/>
      <c r="AP591" s="4"/>
      <c r="AX591" s="4"/>
      <c r="AY591" s="4"/>
      <c r="AZ591" s="4"/>
      <c r="BA591" s="4"/>
      <c r="BB591" s="4"/>
      <c r="BC591" s="4"/>
      <c r="BD591" s="4"/>
      <c r="BE591" s="4"/>
      <c r="BF591" s="4"/>
      <c r="BG591" s="4"/>
      <c r="BI591" s="4"/>
      <c r="BP591" s="4"/>
      <c r="BS591" s="4"/>
      <c r="BW591" s="4"/>
      <c r="BX591" s="4"/>
    </row>
    <row r="592" spans="1:76" ht="12.75" x14ac:dyDescent="0.2">
      <c r="A592" s="4" t="s">
        <v>915</v>
      </c>
      <c r="B592" s="4" t="s">
        <v>642</v>
      </c>
      <c r="C592" s="4" t="s">
        <v>916</v>
      </c>
      <c r="D592" s="4">
        <v>2761</v>
      </c>
      <c r="E592" s="4" t="s">
        <v>66</v>
      </c>
      <c r="F592" s="4" t="s">
        <v>1642</v>
      </c>
      <c r="G592" s="113">
        <v>0.33333333333333331</v>
      </c>
      <c r="H592" t="s">
        <v>1781</v>
      </c>
      <c r="I592" s="4">
        <v>5.41</v>
      </c>
      <c r="L592" s="4" t="s">
        <v>1619</v>
      </c>
      <c r="M592" s="4" t="s">
        <v>109</v>
      </c>
      <c r="N592" s="4" t="s">
        <v>75</v>
      </c>
      <c r="O592" s="4"/>
      <c r="P592" s="4" t="s">
        <v>1694</v>
      </c>
      <c r="Q592" t="s">
        <v>109</v>
      </c>
      <c r="R592" s="4"/>
      <c r="S592" s="4"/>
      <c r="U592" s="4"/>
      <c r="Y592" s="4"/>
      <c r="Z592" s="4"/>
      <c r="AA592" s="4"/>
      <c r="AB592" s="4"/>
      <c r="AC592" s="4"/>
      <c r="AD592" s="4"/>
      <c r="AE592" s="4"/>
      <c r="AF592" s="4"/>
      <c r="AG592" s="4"/>
      <c r="AH592" s="4"/>
      <c r="AI592" s="4"/>
      <c r="AJ592" s="4"/>
      <c r="AK592" s="4"/>
      <c r="AL592" s="4"/>
      <c r="AP592" s="4"/>
      <c r="AX592" s="4"/>
      <c r="AY592" s="4"/>
      <c r="AZ592" s="4"/>
      <c r="BA592" s="4"/>
      <c r="BB592" s="4"/>
      <c r="BC592" s="4"/>
      <c r="BD592" s="4"/>
      <c r="BE592" s="4"/>
      <c r="BF592" s="4"/>
      <c r="BG592" s="4"/>
      <c r="BI592" s="4"/>
      <c r="BP592" s="4"/>
      <c r="BS592" s="4"/>
      <c r="BW592" s="4"/>
      <c r="BX592" s="4"/>
    </row>
    <row r="593" spans="1:76" ht="12.75" x14ac:dyDescent="0.2">
      <c r="A593" s="4" t="s">
        <v>1063</v>
      </c>
      <c r="B593" s="4" t="s">
        <v>1064</v>
      </c>
      <c r="C593" s="4" t="s">
        <v>916</v>
      </c>
      <c r="D593" s="4">
        <v>2761</v>
      </c>
      <c r="E593" s="4" t="s">
        <v>66</v>
      </c>
      <c r="F593" s="4" t="s">
        <v>1642</v>
      </c>
      <c r="G593" s="113">
        <v>0.5</v>
      </c>
      <c r="H593" t="s">
        <v>1781</v>
      </c>
      <c r="I593" s="4">
        <v>6.1261000000000001</v>
      </c>
      <c r="L593" s="4" t="s">
        <v>1614</v>
      </c>
      <c r="M593" s="4" t="s">
        <v>109</v>
      </c>
      <c r="N593" s="4" t="s">
        <v>75</v>
      </c>
      <c r="O593" s="4"/>
      <c r="P593" s="4" t="s">
        <v>1694</v>
      </c>
      <c r="Q593" t="s">
        <v>109</v>
      </c>
      <c r="R593" s="4"/>
      <c r="S593" s="4"/>
      <c r="U593" s="4"/>
      <c r="Y593" s="4"/>
      <c r="Z593" s="4"/>
      <c r="AA593" s="4"/>
      <c r="AB593" s="4"/>
      <c r="AC593" s="4"/>
      <c r="AD593" s="4"/>
      <c r="AE593" s="4"/>
      <c r="AF593" s="4"/>
      <c r="AG593" s="4"/>
      <c r="AH593" s="4"/>
      <c r="AI593" s="4"/>
      <c r="AJ593" s="4"/>
      <c r="AK593" s="4"/>
      <c r="AL593" s="4"/>
      <c r="AP593" s="4"/>
      <c r="AX593" s="4"/>
      <c r="AY593" s="4"/>
      <c r="AZ593" s="4"/>
      <c r="BA593" s="4"/>
      <c r="BB593" s="4"/>
      <c r="BC593" s="4"/>
      <c r="BD593" s="4"/>
      <c r="BE593" s="4"/>
      <c r="BF593" s="4"/>
      <c r="BG593" s="4"/>
      <c r="BI593" s="4"/>
      <c r="BP593" s="4"/>
      <c r="BS593" s="4"/>
      <c r="BW593" s="4"/>
      <c r="BX593" s="4"/>
    </row>
    <row r="594" spans="1:76" ht="12.75" x14ac:dyDescent="0.2">
      <c r="A594" s="4" t="s">
        <v>1076</v>
      </c>
      <c r="B594" s="4" t="s">
        <v>186</v>
      </c>
      <c r="C594" s="4" t="s">
        <v>905</v>
      </c>
      <c r="D594" s="4">
        <v>2762</v>
      </c>
      <c r="E594" s="4" t="s">
        <v>67</v>
      </c>
      <c r="F594" s="4" t="s">
        <v>1642</v>
      </c>
      <c r="G594" s="113">
        <v>1</v>
      </c>
      <c r="H594" t="s">
        <v>1781</v>
      </c>
      <c r="I594" s="4">
        <v>1.17</v>
      </c>
      <c r="L594" s="4" t="s">
        <v>1615</v>
      </c>
      <c r="M594" s="4" t="s">
        <v>109</v>
      </c>
      <c r="N594" s="4" t="s">
        <v>75</v>
      </c>
      <c r="O594" s="4" t="s">
        <v>1233</v>
      </c>
      <c r="P594" s="4" t="s">
        <v>1694</v>
      </c>
      <c r="Q594" t="s">
        <v>109</v>
      </c>
      <c r="R594" s="4"/>
      <c r="S594" s="4"/>
      <c r="U594" s="4"/>
      <c r="Y594" s="4"/>
      <c r="Z594" s="4"/>
      <c r="AA594" s="4"/>
      <c r="AB594" s="4"/>
      <c r="AC594" s="4"/>
      <c r="AD594" s="4"/>
      <c r="AE594" s="4"/>
      <c r="AF594" s="4"/>
      <c r="AG594" s="4"/>
      <c r="AH594" s="4"/>
      <c r="AI594" s="4"/>
      <c r="AJ594" s="4"/>
      <c r="AK594" s="4"/>
      <c r="AL594" s="4"/>
      <c r="AP594" s="4"/>
      <c r="AX594" s="4"/>
      <c r="AY594" s="4"/>
      <c r="AZ594" s="4"/>
      <c r="BA594" s="4"/>
      <c r="BB594" s="4"/>
      <c r="BC594" s="4"/>
      <c r="BD594" s="4"/>
      <c r="BE594" s="4"/>
      <c r="BF594" s="4"/>
      <c r="BG594" s="4"/>
      <c r="BI594" s="4"/>
      <c r="BP594" s="4"/>
      <c r="BS594" s="4"/>
      <c r="BW594" s="4"/>
      <c r="BX594" s="4"/>
    </row>
    <row r="595" spans="1:76" ht="12.75" x14ac:dyDescent="0.2">
      <c r="A595" s="4" t="s">
        <v>1077</v>
      </c>
      <c r="B595" s="4" t="s">
        <v>186</v>
      </c>
      <c r="C595" s="4" t="s">
        <v>905</v>
      </c>
      <c r="D595" s="4">
        <v>2762</v>
      </c>
      <c r="E595" s="4" t="s">
        <v>67</v>
      </c>
      <c r="F595" s="4" t="s">
        <v>1642</v>
      </c>
      <c r="G595" s="113">
        <v>1</v>
      </c>
      <c r="H595" t="s">
        <v>1781</v>
      </c>
      <c r="I595" s="4">
        <v>1.33</v>
      </c>
      <c r="L595" s="4" t="s">
        <v>1615</v>
      </c>
      <c r="M595" s="4" t="s">
        <v>109</v>
      </c>
      <c r="N595" s="4" t="s">
        <v>75</v>
      </c>
      <c r="O595" s="4" t="s">
        <v>1233</v>
      </c>
      <c r="P595" s="4" t="s">
        <v>1694</v>
      </c>
      <c r="Q595" t="s">
        <v>109</v>
      </c>
      <c r="R595" s="4"/>
      <c r="S595" s="4"/>
      <c r="U595" s="4"/>
      <c r="Y595" s="4"/>
      <c r="Z595" s="4"/>
      <c r="AA595" s="4"/>
      <c r="AB595" s="4"/>
      <c r="AC595" s="4"/>
      <c r="AD595" s="4"/>
      <c r="AE595" s="4"/>
      <c r="AF595" s="4"/>
      <c r="AG595" s="4"/>
      <c r="AH595" s="4"/>
      <c r="AI595" s="4"/>
      <c r="AJ595" s="4"/>
      <c r="AK595" s="4"/>
      <c r="AL595" s="4"/>
      <c r="AP595" s="4"/>
      <c r="AX595" s="4"/>
      <c r="AY595" s="4"/>
      <c r="AZ595" s="4"/>
      <c r="BA595" s="4"/>
      <c r="BB595" s="4"/>
      <c r="BC595" s="4"/>
      <c r="BD595" s="4"/>
      <c r="BE595" s="4"/>
      <c r="BF595" s="4"/>
      <c r="BG595" s="4"/>
      <c r="BI595" s="4"/>
      <c r="BP595" s="4"/>
      <c r="BS595" s="4"/>
      <c r="BW595" s="4"/>
      <c r="BX595" s="4"/>
    </row>
    <row r="596" spans="1:76" ht="12.75" x14ac:dyDescent="0.2">
      <c r="A596" s="4" t="s">
        <v>1375</v>
      </c>
      <c r="B596" s="4" t="s">
        <v>77</v>
      </c>
      <c r="C596" s="4" t="s">
        <v>905</v>
      </c>
      <c r="D596" s="4">
        <v>2762</v>
      </c>
      <c r="E596" s="4" t="s">
        <v>67</v>
      </c>
      <c r="F596" s="4" t="s">
        <v>1642</v>
      </c>
      <c r="G596" s="113">
        <v>1</v>
      </c>
      <c r="H596" t="s">
        <v>1781</v>
      </c>
      <c r="I596" s="4">
        <v>1.54</v>
      </c>
      <c r="L596" s="4" t="s">
        <v>1626</v>
      </c>
      <c r="M596" s="4" t="s">
        <v>109</v>
      </c>
      <c r="N596" s="4" t="s">
        <v>75</v>
      </c>
      <c r="O596" s="4" t="s">
        <v>1233</v>
      </c>
      <c r="P596" s="4" t="s">
        <v>1694</v>
      </c>
      <c r="Q596" t="s">
        <v>109</v>
      </c>
      <c r="R596" s="4"/>
      <c r="S596" s="4"/>
      <c r="U596" s="4"/>
      <c r="Y596" s="4"/>
      <c r="Z596" s="4"/>
      <c r="AA596" s="4"/>
      <c r="AB596" s="4"/>
      <c r="AC596" s="4"/>
      <c r="AD596" s="4"/>
      <c r="AE596" s="4"/>
      <c r="AF596" s="4"/>
      <c r="AG596" s="4"/>
      <c r="AH596" s="4"/>
      <c r="AI596" s="4"/>
      <c r="AJ596" s="4"/>
      <c r="AK596" s="4"/>
      <c r="AL596" s="4"/>
      <c r="AP596" s="4"/>
      <c r="AX596" s="4"/>
      <c r="AY596" s="4"/>
      <c r="AZ596" s="4"/>
      <c r="BA596" s="4"/>
      <c r="BB596" s="4"/>
      <c r="BC596" s="4"/>
      <c r="BD596" s="4"/>
      <c r="BE596" s="4"/>
      <c r="BF596" s="4"/>
      <c r="BG596" s="4"/>
      <c r="BI596" s="4"/>
      <c r="BP596" s="4"/>
      <c r="BS596" s="4"/>
      <c r="BW596" s="4"/>
      <c r="BX596" s="4"/>
    </row>
    <row r="597" spans="1:76" ht="12.75" x14ac:dyDescent="0.2">
      <c r="A597" s="4" t="s">
        <v>1035</v>
      </c>
      <c r="B597" s="4" t="s">
        <v>77</v>
      </c>
      <c r="C597" s="4" t="s">
        <v>905</v>
      </c>
      <c r="D597" s="4">
        <v>2762</v>
      </c>
      <c r="E597" s="4" t="s">
        <v>67</v>
      </c>
      <c r="F597" s="4" t="s">
        <v>1642</v>
      </c>
      <c r="G597" s="113">
        <v>0.5</v>
      </c>
      <c r="H597" t="s">
        <v>1781</v>
      </c>
      <c r="I597" s="4">
        <v>4.5266100000000007</v>
      </c>
      <c r="L597" s="4" t="s">
        <v>1625</v>
      </c>
      <c r="M597" s="4" t="s">
        <v>109</v>
      </c>
      <c r="N597" s="4" t="s">
        <v>75</v>
      </c>
      <c r="O597" s="4" t="s">
        <v>1233</v>
      </c>
      <c r="P597" s="4" t="s">
        <v>1694</v>
      </c>
      <c r="Q597" t="s">
        <v>109</v>
      </c>
      <c r="R597" s="4"/>
      <c r="S597" s="4"/>
      <c r="U597" s="4"/>
      <c r="Y597" s="4"/>
      <c r="Z597" s="4"/>
      <c r="AA597" s="4"/>
      <c r="AB597" s="4"/>
      <c r="AC597" s="4"/>
      <c r="AD597" s="4"/>
      <c r="AE597" s="4"/>
      <c r="AF597" s="4"/>
      <c r="AG597" s="4"/>
      <c r="AH597" s="4"/>
      <c r="AI597" s="4"/>
      <c r="AJ597" s="4"/>
      <c r="AK597" s="4"/>
      <c r="AL597" s="4"/>
      <c r="AP597" s="4"/>
      <c r="AX597" s="4"/>
      <c r="AY597" s="4"/>
      <c r="AZ597" s="4"/>
      <c r="BA597" s="4"/>
      <c r="BB597" s="4"/>
      <c r="BC597" s="4"/>
      <c r="BD597" s="4"/>
      <c r="BE597" s="4"/>
      <c r="BF597" s="4"/>
      <c r="BG597" s="4"/>
      <c r="BI597" s="4"/>
      <c r="BP597" s="4"/>
      <c r="BS597" s="4"/>
      <c r="BW597" s="4"/>
      <c r="BX597" s="4"/>
    </row>
    <row r="598" spans="1:76" ht="12.75" x14ac:dyDescent="0.2">
      <c r="A598" s="4" t="s">
        <v>940</v>
      </c>
      <c r="B598" s="4" t="s">
        <v>936</v>
      </c>
      <c r="C598" s="4" t="s">
        <v>905</v>
      </c>
      <c r="D598" s="4">
        <v>2762</v>
      </c>
      <c r="E598" s="4" t="s">
        <v>67</v>
      </c>
      <c r="F598" s="4" t="s">
        <v>1642</v>
      </c>
      <c r="G598" s="113">
        <v>1</v>
      </c>
      <c r="H598" t="s">
        <v>1781</v>
      </c>
      <c r="I598" s="4">
        <v>5</v>
      </c>
      <c r="L598" s="4" t="s">
        <v>1624</v>
      </c>
      <c r="M598" s="4" t="s">
        <v>109</v>
      </c>
      <c r="N598" s="4" t="s">
        <v>75</v>
      </c>
      <c r="O598" s="4" t="s">
        <v>1233</v>
      </c>
      <c r="P598" s="4" t="s">
        <v>1694</v>
      </c>
      <c r="Q598" t="s">
        <v>109</v>
      </c>
      <c r="R598" s="4"/>
      <c r="S598" s="4"/>
      <c r="U598" s="4"/>
      <c r="Y598" s="4"/>
      <c r="Z598" s="4"/>
      <c r="AA598" s="4"/>
      <c r="AB598" s="4"/>
      <c r="AC598" s="4"/>
      <c r="AD598" s="4"/>
      <c r="AE598" s="4"/>
      <c r="AF598" s="4"/>
      <c r="AG598" s="4"/>
      <c r="AH598" s="4"/>
      <c r="AI598" s="4"/>
      <c r="AJ598" s="4"/>
      <c r="AK598" s="4"/>
      <c r="AL598" s="4"/>
      <c r="AP598" s="4"/>
      <c r="AX598" s="4"/>
      <c r="AY598" s="4"/>
      <c r="AZ598" s="4"/>
      <c r="BA598" s="4"/>
      <c r="BB598" s="4"/>
      <c r="BC598" s="4"/>
      <c r="BD598" s="4"/>
      <c r="BE598" s="4"/>
      <c r="BF598" s="4"/>
      <c r="BG598" s="4"/>
      <c r="BI598" s="4"/>
      <c r="BP598" s="4"/>
      <c r="BS598" s="4"/>
      <c r="BW598" s="4"/>
      <c r="BX598" s="4"/>
    </row>
    <row r="599" spans="1:76" ht="12.75" x14ac:dyDescent="0.2">
      <c r="A599" s="4" t="s">
        <v>942</v>
      </c>
      <c r="B599" s="4" t="s">
        <v>936</v>
      </c>
      <c r="C599" s="4" t="s">
        <v>905</v>
      </c>
      <c r="D599" s="4">
        <v>2762</v>
      </c>
      <c r="E599" s="4" t="s">
        <v>67</v>
      </c>
      <c r="F599" s="4" t="s">
        <v>1642</v>
      </c>
      <c r="G599" s="113">
        <v>1</v>
      </c>
      <c r="H599" t="s">
        <v>1781</v>
      </c>
      <c r="I599" s="4">
        <v>5.2</v>
      </c>
      <c r="L599" s="4" t="s">
        <v>1624</v>
      </c>
      <c r="M599" s="4" t="s">
        <v>109</v>
      </c>
      <c r="N599" s="4" t="s">
        <v>75</v>
      </c>
      <c r="O599" s="4" t="s">
        <v>1233</v>
      </c>
      <c r="P599" s="4" t="s">
        <v>1694</v>
      </c>
      <c r="Q599" t="s">
        <v>109</v>
      </c>
      <c r="R599" s="4"/>
      <c r="S599" s="4"/>
      <c r="U599" s="4"/>
      <c r="Y599" s="4"/>
      <c r="Z599" s="4"/>
      <c r="AA599" s="4"/>
      <c r="AB599" s="4"/>
      <c r="AC599" s="4"/>
      <c r="AD599" s="4"/>
      <c r="AE599" s="4"/>
      <c r="AF599" s="4"/>
      <c r="AG599" s="4"/>
      <c r="AH599" s="4"/>
      <c r="AI599" s="4"/>
      <c r="AJ599" s="4"/>
      <c r="AK599" s="4"/>
      <c r="AL599" s="4"/>
      <c r="AP599" s="4"/>
      <c r="AX599" s="4"/>
      <c r="AY599" s="4"/>
      <c r="AZ599" s="4"/>
      <c r="BA599" s="4"/>
      <c r="BB599" s="4"/>
      <c r="BC599" s="4"/>
      <c r="BD599" s="4"/>
      <c r="BE599" s="4"/>
      <c r="BF599" s="4"/>
      <c r="BG599" s="4"/>
      <c r="BI599" s="4"/>
      <c r="BP599" s="4"/>
      <c r="BS599" s="4"/>
      <c r="BW599" s="4"/>
      <c r="BX599" s="4"/>
    </row>
    <row r="600" spans="1:76" ht="12.75" x14ac:dyDescent="0.2">
      <c r="A600" s="4" t="s">
        <v>941</v>
      </c>
      <c r="B600" s="4" t="s">
        <v>936</v>
      </c>
      <c r="C600" s="4" t="s">
        <v>905</v>
      </c>
      <c r="D600" s="4">
        <v>2762</v>
      </c>
      <c r="E600" s="4" t="s">
        <v>67</v>
      </c>
      <c r="F600" s="4" t="s">
        <v>1642</v>
      </c>
      <c r="G600" s="113">
        <v>1</v>
      </c>
      <c r="H600" t="s">
        <v>1781</v>
      </c>
      <c r="I600" s="4">
        <v>5.2</v>
      </c>
      <c r="L600" s="4" t="s">
        <v>1624</v>
      </c>
      <c r="M600" s="4" t="s">
        <v>109</v>
      </c>
      <c r="N600" s="4" t="s">
        <v>75</v>
      </c>
      <c r="O600" s="4" t="s">
        <v>1233</v>
      </c>
      <c r="P600" s="4" t="s">
        <v>1694</v>
      </c>
      <c r="Q600" t="s">
        <v>109</v>
      </c>
      <c r="R600" s="4"/>
      <c r="S600" s="4"/>
      <c r="U600" s="4"/>
      <c r="Y600" s="4"/>
      <c r="Z600" s="4"/>
      <c r="AA600" s="4"/>
      <c r="AB600" s="4"/>
      <c r="AC600" s="4"/>
      <c r="AD600" s="4"/>
      <c r="AE600" s="4"/>
      <c r="AF600" s="4"/>
      <c r="AG600" s="4"/>
      <c r="AH600" s="4"/>
      <c r="AI600" s="4"/>
      <c r="AJ600" s="4"/>
      <c r="AK600" s="4"/>
      <c r="AL600" s="4"/>
      <c r="AP600" s="4"/>
      <c r="AX600" s="4"/>
      <c r="AY600" s="4"/>
      <c r="AZ600" s="4"/>
      <c r="BA600" s="4"/>
      <c r="BB600" s="4"/>
      <c r="BC600" s="4"/>
      <c r="BD600" s="4"/>
      <c r="BE600" s="4"/>
      <c r="BF600" s="4"/>
      <c r="BG600" s="4"/>
      <c r="BI600" s="4"/>
      <c r="BP600" s="4"/>
      <c r="BS600" s="4"/>
      <c r="BW600" s="4"/>
      <c r="BX600" s="4"/>
    </row>
    <row r="601" spans="1:76" ht="12.75" x14ac:dyDescent="0.2">
      <c r="A601" s="4" t="s">
        <v>934</v>
      </c>
      <c r="B601" s="4" t="s">
        <v>936</v>
      </c>
      <c r="C601" s="4" t="s">
        <v>905</v>
      </c>
      <c r="D601" s="4">
        <v>2762</v>
      </c>
      <c r="E601" s="4" t="s">
        <v>67</v>
      </c>
      <c r="F601" s="4" t="s">
        <v>1642</v>
      </c>
      <c r="G601" s="113">
        <v>1</v>
      </c>
      <c r="H601" t="s">
        <v>1781</v>
      </c>
      <c r="I601" s="4">
        <v>5.5</v>
      </c>
      <c r="L601" s="4" t="s">
        <v>1624</v>
      </c>
      <c r="M601" s="4" t="s">
        <v>109</v>
      </c>
      <c r="N601" s="4" t="s">
        <v>75</v>
      </c>
      <c r="O601" s="4" t="s">
        <v>1233</v>
      </c>
      <c r="P601" s="4" t="s">
        <v>1694</v>
      </c>
      <c r="Q601" t="s">
        <v>109</v>
      </c>
      <c r="R601" s="4"/>
      <c r="S601" s="4"/>
      <c r="U601" s="4"/>
      <c r="Y601" s="4"/>
      <c r="Z601" s="4"/>
      <c r="AA601" s="4"/>
      <c r="AB601" s="4"/>
      <c r="AC601" s="4"/>
      <c r="AD601" s="4"/>
      <c r="AE601" s="4"/>
      <c r="AF601" s="4"/>
      <c r="AG601" s="4"/>
      <c r="AH601" s="4"/>
      <c r="AI601" s="4"/>
      <c r="AJ601" s="4"/>
      <c r="AK601" s="4"/>
      <c r="AL601" s="4"/>
      <c r="AP601" s="4"/>
      <c r="AX601" s="4"/>
      <c r="AY601" s="4"/>
      <c r="AZ601" s="4"/>
      <c r="BA601" s="4"/>
      <c r="BB601" s="4"/>
      <c r="BC601" s="4"/>
      <c r="BD601" s="4"/>
      <c r="BE601" s="4"/>
      <c r="BF601" s="4"/>
      <c r="BG601" s="4"/>
      <c r="BI601" s="4"/>
      <c r="BP601" s="4"/>
      <c r="BS601" s="4"/>
      <c r="BW601" s="4"/>
      <c r="BX601" s="4"/>
    </row>
    <row r="602" spans="1:76" ht="12.75" x14ac:dyDescent="0.2">
      <c r="A602" s="4" t="s">
        <v>1035</v>
      </c>
      <c r="B602" s="4" t="s">
        <v>77</v>
      </c>
      <c r="C602" s="4" t="s">
        <v>905</v>
      </c>
      <c r="D602" s="4">
        <v>2762</v>
      </c>
      <c r="E602" s="4" t="s">
        <v>67</v>
      </c>
      <c r="F602" s="4" t="s">
        <v>1642</v>
      </c>
      <c r="G602" s="113">
        <v>0.33333333333333331</v>
      </c>
      <c r="H602" t="s">
        <v>1781</v>
      </c>
      <c r="I602" s="4">
        <v>6.46</v>
      </c>
      <c r="L602" s="4" t="s">
        <v>1626</v>
      </c>
      <c r="M602" s="4" t="s">
        <v>109</v>
      </c>
      <c r="N602" s="4" t="s">
        <v>75</v>
      </c>
      <c r="O602" s="4" t="s">
        <v>1233</v>
      </c>
      <c r="P602" s="4" t="s">
        <v>1694</v>
      </c>
      <c r="Q602" t="s">
        <v>109</v>
      </c>
      <c r="R602" s="4"/>
      <c r="S602" s="4"/>
      <c r="U602" s="4"/>
      <c r="Y602" s="4"/>
      <c r="Z602" s="4"/>
      <c r="AA602" s="4"/>
      <c r="AB602" s="4"/>
      <c r="AC602" s="4"/>
      <c r="AD602" s="4"/>
      <c r="AE602" s="4"/>
      <c r="AF602" s="4"/>
      <c r="AG602" s="4"/>
      <c r="AH602" s="4"/>
      <c r="AI602" s="4"/>
      <c r="AJ602" s="4"/>
      <c r="AK602" s="4"/>
      <c r="AL602" s="4"/>
      <c r="AP602" s="4"/>
      <c r="AX602" s="4"/>
      <c r="AY602" s="4"/>
      <c r="AZ602" s="4"/>
      <c r="BA602" s="4"/>
      <c r="BB602" s="4"/>
      <c r="BC602" s="4"/>
      <c r="BD602" s="4"/>
      <c r="BE602" s="4"/>
      <c r="BF602" s="4"/>
      <c r="BG602" s="4"/>
      <c r="BI602" s="4"/>
      <c r="BP602" s="4"/>
      <c r="BS602" s="4"/>
      <c r="BW602" s="4"/>
      <c r="BX602" s="4"/>
    </row>
    <row r="603" spans="1:76" ht="12.75" x14ac:dyDescent="0.2">
      <c r="A603" s="4" t="s">
        <v>1035</v>
      </c>
      <c r="B603" s="4" t="s">
        <v>77</v>
      </c>
      <c r="C603" s="4" t="s">
        <v>905</v>
      </c>
      <c r="D603" s="4">
        <v>2762</v>
      </c>
      <c r="E603" s="4" t="s">
        <v>67</v>
      </c>
      <c r="F603" s="4" t="s">
        <v>1642</v>
      </c>
      <c r="G603" s="113">
        <v>0.5</v>
      </c>
      <c r="H603" t="s">
        <v>1781</v>
      </c>
      <c r="I603" s="4">
        <v>6.6177000000000001</v>
      </c>
      <c r="L603" s="4" t="s">
        <v>1625</v>
      </c>
      <c r="M603" s="4" t="s">
        <v>109</v>
      </c>
      <c r="N603" s="4" t="s">
        <v>75</v>
      </c>
      <c r="O603" s="4" t="s">
        <v>1233</v>
      </c>
      <c r="P603" s="4" t="s">
        <v>1694</v>
      </c>
      <c r="Q603" t="s">
        <v>109</v>
      </c>
      <c r="R603" s="4"/>
      <c r="S603" s="4"/>
      <c r="U603" s="4"/>
      <c r="Y603" s="4"/>
      <c r="Z603" s="4"/>
      <c r="AA603" s="4"/>
      <c r="AB603" s="4"/>
      <c r="AC603" s="4"/>
      <c r="AD603" s="4"/>
      <c r="AE603" s="4"/>
      <c r="AF603" s="4"/>
      <c r="AG603" s="4"/>
      <c r="AH603" s="4"/>
      <c r="AI603" s="4"/>
      <c r="AJ603" s="4"/>
      <c r="AK603" s="4"/>
      <c r="AL603" s="4"/>
      <c r="AP603" s="4"/>
      <c r="AX603" s="4"/>
      <c r="AY603" s="4"/>
      <c r="AZ603" s="4"/>
      <c r="BA603" s="4"/>
      <c r="BB603" s="4"/>
      <c r="BC603" s="4"/>
      <c r="BD603" s="4"/>
      <c r="BE603" s="4"/>
      <c r="BF603" s="4"/>
      <c r="BG603" s="4"/>
      <c r="BI603" s="4"/>
      <c r="BP603" s="4"/>
      <c r="BS603" s="4"/>
      <c r="BW603" s="4"/>
      <c r="BX603" s="4"/>
    </row>
    <row r="604" spans="1:76" ht="12.75" x14ac:dyDescent="0.2">
      <c r="A604" s="4" t="s">
        <v>1035</v>
      </c>
      <c r="B604" s="4" t="s">
        <v>77</v>
      </c>
      <c r="C604" s="4" t="s">
        <v>905</v>
      </c>
      <c r="D604" s="4">
        <v>2762</v>
      </c>
      <c r="E604" s="4" t="s">
        <v>67</v>
      </c>
      <c r="F604" s="4" t="s">
        <v>1642</v>
      </c>
      <c r="G604" s="113">
        <v>0.33333333333333331</v>
      </c>
      <c r="H604" t="s">
        <v>1781</v>
      </c>
      <c r="I604" s="4">
        <v>6.96</v>
      </c>
      <c r="L604" s="4" t="s">
        <v>1626</v>
      </c>
      <c r="M604" s="4" t="s">
        <v>109</v>
      </c>
      <c r="N604" s="4" t="s">
        <v>75</v>
      </c>
      <c r="O604" s="4" t="s">
        <v>1233</v>
      </c>
      <c r="P604" s="4" t="s">
        <v>1694</v>
      </c>
      <c r="Q604" t="s">
        <v>109</v>
      </c>
      <c r="R604" s="4"/>
      <c r="S604" s="4"/>
      <c r="U604" s="4"/>
      <c r="Y604" s="4"/>
      <c r="Z604" s="4"/>
      <c r="AA604" s="4"/>
      <c r="AB604" s="4"/>
      <c r="AC604" s="4"/>
      <c r="AD604" s="4"/>
      <c r="AE604" s="4"/>
      <c r="AF604" s="4"/>
      <c r="AG604" s="4"/>
      <c r="AH604" s="4"/>
      <c r="AI604" s="4"/>
      <c r="AJ604" s="4"/>
      <c r="AK604" s="4"/>
      <c r="AL604" s="4"/>
      <c r="AP604" s="4"/>
      <c r="AX604" s="4"/>
      <c r="AY604" s="4"/>
      <c r="AZ604" s="4"/>
      <c r="BA604" s="4"/>
      <c r="BB604" s="4"/>
      <c r="BC604" s="4"/>
      <c r="BD604" s="4"/>
      <c r="BE604" s="4"/>
      <c r="BF604" s="4"/>
      <c r="BG604" s="4"/>
      <c r="BI604" s="4"/>
      <c r="BP604" s="4"/>
      <c r="BS604" s="4"/>
      <c r="BW604" s="4"/>
      <c r="BX604" s="4"/>
    </row>
    <row r="605" spans="1:76" ht="12.75" x14ac:dyDescent="0.2">
      <c r="A605" s="4" t="s">
        <v>1035</v>
      </c>
      <c r="B605" s="4" t="s">
        <v>77</v>
      </c>
      <c r="C605" s="4" t="s">
        <v>905</v>
      </c>
      <c r="D605" s="4">
        <v>2762</v>
      </c>
      <c r="E605" s="4" t="s">
        <v>67</v>
      </c>
      <c r="F605" s="4" t="s">
        <v>1642</v>
      </c>
      <c r="G605" s="113">
        <v>0.33333333333333331</v>
      </c>
      <c r="H605" t="s">
        <v>1781</v>
      </c>
      <c r="I605" s="4">
        <v>7.21</v>
      </c>
      <c r="L605" s="4" t="s">
        <v>1626</v>
      </c>
      <c r="M605" s="4" t="s">
        <v>109</v>
      </c>
      <c r="N605" s="4" t="s">
        <v>75</v>
      </c>
      <c r="O605" s="4" t="s">
        <v>1233</v>
      </c>
      <c r="P605" s="4" t="s">
        <v>1694</v>
      </c>
      <c r="Q605" t="s">
        <v>109</v>
      </c>
      <c r="R605" s="4"/>
      <c r="S605" s="4"/>
      <c r="U605" s="4"/>
      <c r="Y605" s="4"/>
      <c r="Z605" s="4"/>
      <c r="AA605" s="4"/>
      <c r="AB605" s="4"/>
      <c r="AC605" s="4"/>
      <c r="AD605" s="4"/>
      <c r="AE605" s="4"/>
      <c r="AF605" s="4"/>
      <c r="AG605" s="4"/>
      <c r="AH605" s="4"/>
      <c r="AI605" s="4"/>
      <c r="AJ605" s="4"/>
      <c r="AK605" s="4"/>
      <c r="AL605" s="4"/>
      <c r="AP605" s="4"/>
      <c r="AX605" s="4"/>
      <c r="AY605" s="4"/>
      <c r="AZ605" s="4"/>
      <c r="BA605" s="4"/>
      <c r="BB605" s="4"/>
      <c r="BC605" s="4"/>
      <c r="BD605" s="4"/>
      <c r="BE605" s="4"/>
      <c r="BF605" s="4"/>
      <c r="BG605" s="4"/>
      <c r="BI605" s="4"/>
      <c r="BP605" s="4"/>
      <c r="BS605" s="4"/>
      <c r="BW605" s="4"/>
      <c r="BX605" s="4"/>
    </row>
    <row r="606" spans="1:76" ht="12.75" x14ac:dyDescent="0.2">
      <c r="A606" s="4" t="s">
        <v>1042</v>
      </c>
      <c r="B606" s="4" t="s">
        <v>77</v>
      </c>
      <c r="C606" s="4" t="s">
        <v>905</v>
      </c>
      <c r="D606" s="4">
        <v>2762</v>
      </c>
      <c r="E606" s="4" t="s">
        <v>67</v>
      </c>
      <c r="F606" s="4" t="s">
        <v>1642</v>
      </c>
      <c r="G606" s="113">
        <v>1</v>
      </c>
      <c r="H606" t="s">
        <v>1781</v>
      </c>
      <c r="I606" s="4">
        <v>8.41</v>
      </c>
      <c r="L606" s="4" t="s">
        <v>1626</v>
      </c>
      <c r="M606" s="4" t="s">
        <v>109</v>
      </c>
      <c r="N606" s="4" t="s">
        <v>75</v>
      </c>
      <c r="O606" s="4" t="s">
        <v>1233</v>
      </c>
      <c r="P606" s="4" t="s">
        <v>1694</v>
      </c>
      <c r="Q606" t="s">
        <v>109</v>
      </c>
      <c r="R606" s="4"/>
      <c r="S606" s="4"/>
      <c r="U606" s="4"/>
      <c r="Y606" s="4"/>
      <c r="Z606" s="4"/>
      <c r="AA606" s="4"/>
      <c r="AB606" s="4"/>
      <c r="AC606" s="4"/>
      <c r="AD606" s="4"/>
      <c r="AE606" s="4"/>
      <c r="AF606" s="4"/>
      <c r="AG606" s="4"/>
      <c r="AH606" s="4"/>
      <c r="AI606" s="4"/>
      <c r="AJ606" s="4"/>
      <c r="AK606" s="4"/>
      <c r="AL606" s="4"/>
      <c r="AP606" s="4"/>
      <c r="AX606" s="4"/>
      <c r="AY606" s="4"/>
      <c r="AZ606" s="4"/>
      <c r="BA606" s="4"/>
      <c r="BB606" s="4"/>
      <c r="BC606" s="4"/>
      <c r="BD606" s="4"/>
      <c r="BE606" s="4"/>
      <c r="BF606" s="4"/>
      <c r="BG606" s="4"/>
      <c r="BI606" s="4"/>
      <c r="BP606" s="4"/>
      <c r="BS606" s="4"/>
      <c r="BW606" s="4"/>
      <c r="BX606" s="4"/>
    </row>
    <row r="607" spans="1:76" ht="12.75" x14ac:dyDescent="0.2">
      <c r="A607" s="4" t="s">
        <v>1072</v>
      </c>
      <c r="B607" s="4" t="s">
        <v>186</v>
      </c>
      <c r="C607" s="4" t="s">
        <v>905</v>
      </c>
      <c r="D607" s="4">
        <v>2763</v>
      </c>
      <c r="E607" s="4" t="s">
        <v>68</v>
      </c>
      <c r="F607" s="4" t="s">
        <v>1642</v>
      </c>
      <c r="G607" s="113">
        <v>1</v>
      </c>
      <c r="H607" t="s">
        <v>1781</v>
      </c>
      <c r="I607" s="4">
        <v>0.31</v>
      </c>
      <c r="L607" s="4" t="s">
        <v>1615</v>
      </c>
      <c r="M607" s="4" t="s">
        <v>109</v>
      </c>
      <c r="N607" s="4" t="s">
        <v>75</v>
      </c>
      <c r="O607" s="4" t="s">
        <v>1233</v>
      </c>
      <c r="P607" s="4" t="s">
        <v>1694</v>
      </c>
      <c r="Q607" t="s">
        <v>109</v>
      </c>
      <c r="R607" s="4"/>
      <c r="S607" s="4"/>
      <c r="U607" s="4"/>
      <c r="Y607" s="4"/>
      <c r="Z607" s="4"/>
      <c r="AA607" s="4"/>
      <c r="AB607" s="4"/>
      <c r="AC607" s="4"/>
      <c r="AD607" s="4"/>
      <c r="AE607" s="4"/>
      <c r="AF607" s="4"/>
      <c r="AG607" s="4"/>
      <c r="AH607" s="4"/>
      <c r="AI607" s="4"/>
      <c r="AJ607" s="4"/>
      <c r="AK607" s="4"/>
      <c r="AL607" s="4"/>
      <c r="AP607" s="4"/>
      <c r="AX607" s="4"/>
      <c r="AY607" s="4"/>
      <c r="AZ607" s="4"/>
      <c r="BA607" s="4"/>
      <c r="BB607" s="4"/>
      <c r="BC607" s="4"/>
      <c r="BD607" s="4"/>
      <c r="BE607" s="4"/>
      <c r="BF607" s="4"/>
      <c r="BG607" s="4"/>
      <c r="BI607" s="4"/>
      <c r="BP607" s="4"/>
      <c r="BS607" s="4"/>
      <c r="BW607" s="4"/>
      <c r="BX607" s="4"/>
    </row>
    <row r="608" spans="1:76" ht="12.75" x14ac:dyDescent="0.2">
      <c r="A608" s="4" t="s">
        <v>976</v>
      </c>
      <c r="B608" s="4" t="s">
        <v>977</v>
      </c>
      <c r="C608" s="4" t="s">
        <v>905</v>
      </c>
      <c r="D608" s="4">
        <v>2763</v>
      </c>
      <c r="E608" s="4" t="s">
        <v>68</v>
      </c>
      <c r="F608" s="4" t="s">
        <v>1642</v>
      </c>
      <c r="G608" s="113">
        <v>0.5</v>
      </c>
      <c r="H608" t="s">
        <v>1781</v>
      </c>
      <c r="I608" s="4">
        <v>0.35</v>
      </c>
      <c r="L608" s="4" t="s">
        <v>1629</v>
      </c>
      <c r="M608" s="4" t="s">
        <v>109</v>
      </c>
      <c r="N608" s="4" t="s">
        <v>75</v>
      </c>
      <c r="O608" s="4" t="s">
        <v>1233</v>
      </c>
      <c r="P608" s="4" t="s">
        <v>1694</v>
      </c>
      <c r="Q608" t="s">
        <v>109</v>
      </c>
      <c r="R608" s="4"/>
      <c r="S608" s="4"/>
      <c r="U608" s="4"/>
      <c r="Y608" s="4"/>
      <c r="Z608" s="4"/>
      <c r="AA608" s="4"/>
      <c r="AB608" s="4"/>
      <c r="AC608" s="4"/>
      <c r="AD608" s="4"/>
      <c r="AE608" s="4"/>
      <c r="AF608" s="4"/>
      <c r="AG608" s="4"/>
      <c r="AH608" s="4"/>
      <c r="AI608" s="4"/>
      <c r="AJ608" s="4"/>
      <c r="AK608" s="4"/>
      <c r="AL608" s="4"/>
      <c r="AP608" s="4"/>
      <c r="AX608" s="4"/>
      <c r="AY608" s="4"/>
      <c r="AZ608" s="4"/>
      <c r="BA608" s="4"/>
      <c r="BB608" s="4"/>
      <c r="BC608" s="4"/>
      <c r="BD608" s="4"/>
      <c r="BE608" s="4"/>
      <c r="BF608" s="4"/>
      <c r="BG608" s="4"/>
      <c r="BI608" s="4"/>
      <c r="BP608" s="4"/>
      <c r="BS608" s="4"/>
      <c r="BW608" s="4"/>
      <c r="BX608" s="4"/>
    </row>
    <row r="609" spans="1:76" ht="12.75" x14ac:dyDescent="0.2">
      <c r="A609" s="4" t="s">
        <v>1079</v>
      </c>
      <c r="B609" s="4" t="s">
        <v>977</v>
      </c>
      <c r="C609" s="4" t="s">
        <v>905</v>
      </c>
      <c r="D609" s="4">
        <v>2763</v>
      </c>
      <c r="E609" s="4" t="s">
        <v>68</v>
      </c>
      <c r="F609" s="4" t="s">
        <v>1642</v>
      </c>
      <c r="G609" s="113">
        <v>0.5</v>
      </c>
      <c r="H609" t="s">
        <v>1781</v>
      </c>
      <c r="I609" s="4">
        <v>0.35399999999999998</v>
      </c>
      <c r="L609" s="4" t="s">
        <v>1630</v>
      </c>
      <c r="M609" s="4" t="s">
        <v>109</v>
      </c>
      <c r="N609" s="4" t="s">
        <v>75</v>
      </c>
      <c r="O609" s="4" t="s">
        <v>1233</v>
      </c>
      <c r="P609" s="4" t="s">
        <v>1694</v>
      </c>
      <c r="Q609" t="s">
        <v>109</v>
      </c>
      <c r="R609" s="4"/>
      <c r="S609" s="4"/>
      <c r="U609" s="4"/>
      <c r="Y609" s="4"/>
      <c r="Z609" s="4"/>
      <c r="AA609" s="4"/>
      <c r="AB609" s="4"/>
      <c r="AC609" s="4"/>
      <c r="AD609" s="4"/>
      <c r="AE609" s="4"/>
      <c r="AF609" s="4"/>
      <c r="AG609" s="4"/>
      <c r="AH609" s="4"/>
      <c r="AI609" s="4"/>
      <c r="AJ609" s="4"/>
      <c r="AK609" s="4"/>
      <c r="AL609" s="4"/>
      <c r="AP609" s="4"/>
      <c r="AX609" s="4"/>
      <c r="AY609" s="4"/>
      <c r="AZ609" s="4"/>
      <c r="BA609" s="4"/>
      <c r="BB609" s="4"/>
      <c r="BC609" s="4"/>
      <c r="BD609" s="4"/>
      <c r="BE609" s="4"/>
      <c r="BF609" s="4"/>
      <c r="BG609" s="4"/>
      <c r="BI609" s="4"/>
      <c r="BP609" s="4"/>
      <c r="BS609" s="4"/>
      <c r="BW609" s="4"/>
      <c r="BX609" s="4"/>
    </row>
    <row r="610" spans="1:76" ht="12.75" x14ac:dyDescent="0.2">
      <c r="A610" s="4" t="s">
        <v>976</v>
      </c>
      <c r="B610" s="4" t="s">
        <v>977</v>
      </c>
      <c r="C610" s="4" t="s">
        <v>905</v>
      </c>
      <c r="D610" s="4">
        <v>2763</v>
      </c>
      <c r="E610" s="4" t="s">
        <v>68</v>
      </c>
      <c r="F610" s="4" t="s">
        <v>1642</v>
      </c>
      <c r="G610" s="113">
        <v>0.5</v>
      </c>
      <c r="H610" t="s">
        <v>1781</v>
      </c>
      <c r="I610" s="4">
        <v>0.36</v>
      </c>
      <c r="L610" s="4" t="s">
        <v>1629</v>
      </c>
      <c r="M610" s="4" t="s">
        <v>109</v>
      </c>
      <c r="N610" s="4" t="s">
        <v>75</v>
      </c>
      <c r="O610" s="4" t="s">
        <v>1233</v>
      </c>
      <c r="P610" s="4" t="s">
        <v>1694</v>
      </c>
      <c r="Q610" t="s">
        <v>109</v>
      </c>
      <c r="R610" s="4"/>
      <c r="T610"/>
      <c r="U610" s="4"/>
      <c r="Y610" s="4"/>
      <c r="Z610" s="4"/>
      <c r="AA610" s="4"/>
      <c r="AB610" s="4"/>
      <c r="AC610" s="4"/>
      <c r="AD610" s="4"/>
      <c r="AE610" s="4"/>
      <c r="AF610" s="4"/>
      <c r="AG610" s="4"/>
      <c r="AH610" s="4"/>
      <c r="AI610" s="4"/>
      <c r="AJ610" s="4"/>
      <c r="AK610" s="4"/>
      <c r="AL610" s="4"/>
      <c r="AP610" s="4"/>
      <c r="AX610" s="4"/>
      <c r="AY610" s="4"/>
      <c r="AZ610" s="4"/>
      <c r="BA610" s="4"/>
      <c r="BB610" s="4"/>
      <c r="BC610" s="4"/>
      <c r="BD610" s="4"/>
      <c r="BE610" s="4"/>
      <c r="BF610" s="4"/>
      <c r="BG610" s="4"/>
      <c r="BI610" s="4"/>
      <c r="BP610" s="4"/>
      <c r="BS610" s="4"/>
      <c r="BW610" s="4"/>
      <c r="BX610" s="4"/>
    </row>
    <row r="611" spans="1:76" ht="12.75" x14ac:dyDescent="0.2">
      <c r="A611" s="4" t="s">
        <v>1079</v>
      </c>
      <c r="B611" s="4" t="s">
        <v>977</v>
      </c>
      <c r="C611" s="4" t="s">
        <v>905</v>
      </c>
      <c r="D611" s="4">
        <v>2763</v>
      </c>
      <c r="E611" s="4" t="s">
        <v>68</v>
      </c>
      <c r="F611" s="4" t="s">
        <v>1642</v>
      </c>
      <c r="G611" s="113">
        <v>0.5</v>
      </c>
      <c r="H611" t="s">
        <v>1781</v>
      </c>
      <c r="I611" s="4">
        <v>0.50700000000000001</v>
      </c>
      <c r="L611" s="4" t="s">
        <v>1630</v>
      </c>
      <c r="M611" s="4" t="s">
        <v>109</v>
      </c>
      <c r="N611" s="4" t="s">
        <v>75</v>
      </c>
      <c r="O611" s="4" t="s">
        <v>1233</v>
      </c>
      <c r="P611" s="4" t="s">
        <v>1694</v>
      </c>
      <c r="Q611" t="s">
        <v>109</v>
      </c>
      <c r="R611" s="4"/>
      <c r="T611"/>
      <c r="U611" s="4"/>
      <c r="Y611" s="4"/>
      <c r="Z611" s="4"/>
      <c r="AA611" s="4"/>
      <c r="AB611" s="4"/>
      <c r="AC611" s="4"/>
      <c r="AD611" s="4"/>
      <c r="AE611" s="4"/>
      <c r="AF611" s="4"/>
      <c r="AG611" s="4"/>
      <c r="AH611" s="4"/>
      <c r="AI611" s="4"/>
      <c r="AJ611" s="4"/>
      <c r="AK611" s="4"/>
      <c r="AL611" s="4"/>
      <c r="AP611" s="4"/>
      <c r="AX611" s="4"/>
      <c r="AY611" s="4"/>
      <c r="AZ611" s="4"/>
      <c r="BA611" s="4"/>
      <c r="BB611" s="4"/>
      <c r="BC611" s="4"/>
      <c r="BD611" s="4"/>
      <c r="BE611" s="4"/>
      <c r="BF611" s="4"/>
      <c r="BG611" s="4"/>
      <c r="BI611" s="4"/>
      <c r="BP611" s="4"/>
      <c r="BS611" s="4"/>
      <c r="BW611" s="4"/>
      <c r="BX611" s="4"/>
    </row>
    <row r="612" spans="1:76" ht="12.75" x14ac:dyDescent="0.2">
      <c r="A612" s="4" t="s">
        <v>1028</v>
      </c>
      <c r="B612" s="4" t="s">
        <v>77</v>
      </c>
      <c r="C612" s="4" t="s">
        <v>905</v>
      </c>
      <c r="D612" s="4">
        <v>2763</v>
      </c>
      <c r="E612" s="4" t="s">
        <v>68</v>
      </c>
      <c r="F612" s="4" t="s">
        <v>1642</v>
      </c>
      <c r="G612" s="113">
        <v>1</v>
      </c>
      <c r="H612" t="s">
        <v>1781</v>
      </c>
      <c r="I612" s="4">
        <v>0.78</v>
      </c>
      <c r="L612" s="4" t="s">
        <v>1626</v>
      </c>
      <c r="M612" s="4" t="s">
        <v>109</v>
      </c>
      <c r="N612" s="4" t="s">
        <v>75</v>
      </c>
      <c r="O612" s="4" t="s">
        <v>1233</v>
      </c>
      <c r="P612" s="4" t="s">
        <v>1694</v>
      </c>
      <c r="Q612" t="s">
        <v>109</v>
      </c>
      <c r="R612" s="4"/>
      <c r="T612"/>
      <c r="U612" s="4"/>
      <c r="Y612" s="4"/>
      <c r="Z612" s="4"/>
      <c r="AA612" s="4"/>
      <c r="AB612" s="4"/>
      <c r="AC612" s="4"/>
      <c r="AD612" s="4"/>
      <c r="AE612" s="4"/>
      <c r="AF612" s="4"/>
      <c r="AG612" s="4"/>
      <c r="AH612" s="4"/>
      <c r="AI612" s="4"/>
      <c r="AJ612" s="4"/>
      <c r="AK612" s="4"/>
      <c r="AL612" s="4"/>
      <c r="AP612" s="4"/>
      <c r="AX612" s="4"/>
      <c r="AY612" s="4"/>
      <c r="AZ612" s="4"/>
      <c r="BA612" s="4"/>
      <c r="BB612" s="4"/>
      <c r="BC612" s="4"/>
      <c r="BD612" s="4"/>
      <c r="BE612" s="4"/>
      <c r="BF612" s="4"/>
      <c r="BG612" s="4"/>
      <c r="BI612" s="4"/>
      <c r="BP612" s="4"/>
      <c r="BS612" s="4"/>
      <c r="BW612" s="4"/>
      <c r="BX612" s="4"/>
    </row>
    <row r="613" spans="1:76" ht="12.75" x14ac:dyDescent="0.2">
      <c r="A613" s="4" t="s">
        <v>902</v>
      </c>
      <c r="B613" s="4" t="s">
        <v>77</v>
      </c>
      <c r="C613" s="4" t="s">
        <v>905</v>
      </c>
      <c r="D613" s="4">
        <v>2763</v>
      </c>
      <c r="E613" s="4" t="s">
        <v>68</v>
      </c>
      <c r="F613" s="4" t="s">
        <v>1642</v>
      </c>
      <c r="G613" s="113">
        <v>0.25</v>
      </c>
      <c r="H613" t="s">
        <v>1781</v>
      </c>
      <c r="I613" s="4">
        <v>1.39</v>
      </c>
      <c r="L613" s="4" t="s">
        <v>1626</v>
      </c>
      <c r="M613" s="4" t="s">
        <v>109</v>
      </c>
      <c r="N613" s="4" t="s">
        <v>75</v>
      </c>
      <c r="O613" s="4" t="s">
        <v>1233</v>
      </c>
      <c r="P613" s="4" t="s">
        <v>1694</v>
      </c>
      <c r="Q613" t="s">
        <v>109</v>
      </c>
      <c r="R613" s="4"/>
      <c r="T613"/>
      <c r="U613" s="4"/>
      <c r="Y613" s="4"/>
      <c r="Z613" s="4"/>
      <c r="AA613" s="4"/>
      <c r="AB613" s="4"/>
      <c r="AC613" s="4"/>
      <c r="AD613" s="4"/>
      <c r="AE613" s="4"/>
      <c r="AF613" s="4"/>
      <c r="AG613" s="4"/>
      <c r="AH613" s="4"/>
      <c r="AI613" s="4"/>
      <c r="AJ613" s="4"/>
      <c r="AK613" s="4"/>
      <c r="AL613" s="4"/>
      <c r="AP613" s="4"/>
      <c r="AX613" s="4"/>
      <c r="AY613" s="4"/>
      <c r="AZ613" s="4"/>
      <c r="BA613" s="4"/>
      <c r="BB613" s="4"/>
      <c r="BC613" s="4"/>
      <c r="BD613" s="4"/>
      <c r="BE613" s="4"/>
      <c r="BF613" s="4"/>
      <c r="BG613" s="4"/>
      <c r="BI613" s="4"/>
      <c r="BP613" s="4"/>
      <c r="BS613" s="4"/>
      <c r="BW613" s="4"/>
      <c r="BX613" s="4"/>
    </row>
    <row r="614" spans="1:76" ht="12.75" x14ac:dyDescent="0.2">
      <c r="A614" s="4" t="s">
        <v>902</v>
      </c>
      <c r="B614" s="4" t="s">
        <v>77</v>
      </c>
      <c r="C614" s="4" t="s">
        <v>905</v>
      </c>
      <c r="D614" s="4">
        <v>2763</v>
      </c>
      <c r="E614" s="4" t="s">
        <v>68</v>
      </c>
      <c r="F614" s="4" t="s">
        <v>1642</v>
      </c>
      <c r="G614" s="113">
        <v>0.25</v>
      </c>
      <c r="H614" t="s">
        <v>1781</v>
      </c>
      <c r="I614" s="4">
        <v>1.56</v>
      </c>
      <c r="L614" s="4" t="s">
        <v>1626</v>
      </c>
      <c r="M614" s="4" t="s">
        <v>109</v>
      </c>
      <c r="N614" s="4" t="s">
        <v>75</v>
      </c>
      <c r="O614" s="4" t="s">
        <v>1233</v>
      </c>
      <c r="P614" s="4" t="s">
        <v>1694</v>
      </c>
      <c r="Q614" t="s">
        <v>109</v>
      </c>
      <c r="R614" s="4"/>
      <c r="T614"/>
      <c r="U614" s="4"/>
      <c r="Y614" s="4"/>
      <c r="Z614" s="4"/>
      <c r="AA614" s="4"/>
      <c r="AB614" s="4"/>
      <c r="AC614" s="4"/>
      <c r="AD614" s="4"/>
      <c r="AE614" s="4"/>
      <c r="AF614" s="4"/>
      <c r="AG614" s="4"/>
      <c r="AH614" s="4"/>
      <c r="AI614" s="4"/>
      <c r="AJ614" s="4"/>
      <c r="AK614" s="4"/>
      <c r="AL614" s="4"/>
      <c r="AP614" s="4"/>
      <c r="AX614" s="4"/>
      <c r="AY614" s="4"/>
      <c r="AZ614" s="4"/>
      <c r="BA614" s="4"/>
      <c r="BB614" s="4"/>
      <c r="BC614" s="4"/>
      <c r="BD614" s="4"/>
      <c r="BE614" s="4"/>
      <c r="BF614" s="4"/>
      <c r="BG614" s="4"/>
      <c r="BI614" s="4"/>
      <c r="BP614" s="4"/>
      <c r="BS614" s="4"/>
      <c r="BW614" s="4"/>
      <c r="BX614" s="4"/>
    </row>
    <row r="615" spans="1:76" ht="12.75" x14ac:dyDescent="0.2">
      <c r="A615" s="4" t="s">
        <v>902</v>
      </c>
      <c r="B615" s="4" t="s">
        <v>77</v>
      </c>
      <c r="C615" s="4" t="s">
        <v>905</v>
      </c>
      <c r="D615" s="4">
        <v>2763</v>
      </c>
      <c r="E615" s="4" t="s">
        <v>68</v>
      </c>
      <c r="F615" s="4" t="s">
        <v>1642</v>
      </c>
      <c r="G615" s="113">
        <v>0.33333333333333331</v>
      </c>
      <c r="H615" t="s">
        <v>1781</v>
      </c>
      <c r="I615" s="4">
        <v>1.6</v>
      </c>
      <c r="L615" s="4" t="s">
        <v>1627</v>
      </c>
      <c r="M615" s="4" t="s">
        <v>109</v>
      </c>
      <c r="N615" s="4" t="s">
        <v>75</v>
      </c>
      <c r="O615" s="4" t="s">
        <v>1233</v>
      </c>
      <c r="P615" s="4" t="s">
        <v>1694</v>
      </c>
      <c r="Q615" t="s">
        <v>109</v>
      </c>
      <c r="R615" s="4"/>
      <c r="T615"/>
      <c r="U615" s="4"/>
      <c r="Y615" s="4"/>
      <c r="Z615" s="4"/>
      <c r="AA615" s="4"/>
      <c r="AB615" s="4"/>
      <c r="AC615" s="4"/>
      <c r="AD615" s="4"/>
      <c r="AE615" s="4"/>
      <c r="AF615" s="4"/>
      <c r="AG615" s="4"/>
      <c r="AH615" s="4"/>
      <c r="AI615" s="4"/>
      <c r="AJ615" s="4"/>
      <c r="AK615" s="4"/>
      <c r="AL615" s="4"/>
      <c r="AP615" s="4"/>
      <c r="AX615" s="4"/>
      <c r="AY615" s="4"/>
      <c r="AZ615" s="4"/>
      <c r="BA615" s="4"/>
      <c r="BB615" s="4"/>
      <c r="BC615" s="4"/>
      <c r="BD615" s="4"/>
      <c r="BE615" s="4"/>
      <c r="BF615" s="4"/>
      <c r="BG615" s="4"/>
      <c r="BI615" s="4"/>
      <c r="BP615" s="4"/>
      <c r="BS615" s="4"/>
      <c r="BW615" s="4"/>
      <c r="BX615" s="4"/>
    </row>
    <row r="616" spans="1:76" ht="12.75" x14ac:dyDescent="0.2">
      <c r="A616" s="4" t="s">
        <v>902</v>
      </c>
      <c r="B616" s="4" t="s">
        <v>77</v>
      </c>
      <c r="C616" s="4" t="s">
        <v>905</v>
      </c>
      <c r="D616" s="4">
        <v>2763</v>
      </c>
      <c r="E616" s="4" t="s">
        <v>68</v>
      </c>
      <c r="F616" s="4" t="s">
        <v>1642</v>
      </c>
      <c r="G616" s="113">
        <v>0.33333333333333331</v>
      </c>
      <c r="H616" t="s">
        <v>1781</v>
      </c>
      <c r="I616" s="4">
        <v>1.7</v>
      </c>
      <c r="L616" s="4" t="s">
        <v>1627</v>
      </c>
      <c r="M616" s="4" t="s">
        <v>109</v>
      </c>
      <c r="N616" s="4" t="s">
        <v>75</v>
      </c>
      <c r="O616" s="4" t="s">
        <v>1233</v>
      </c>
      <c r="P616" s="4" t="s">
        <v>1694</v>
      </c>
      <c r="Q616" t="s">
        <v>109</v>
      </c>
      <c r="R616" s="4"/>
      <c r="T616"/>
      <c r="U616" s="4"/>
      <c r="Y616" s="4"/>
      <c r="Z616" s="4"/>
      <c r="AA616" s="4"/>
      <c r="AB616" s="4"/>
      <c r="AC616" s="4"/>
      <c r="AD616" s="4"/>
      <c r="AE616" s="4"/>
      <c r="AF616" s="4"/>
      <c r="AG616" s="4"/>
      <c r="AH616" s="4"/>
      <c r="AI616" s="4"/>
      <c r="AJ616" s="4"/>
      <c r="AK616" s="4"/>
      <c r="AL616" s="4"/>
      <c r="AP616" s="4"/>
      <c r="AX616" s="4"/>
      <c r="AY616" s="4"/>
      <c r="AZ616" s="4"/>
      <c r="BA616" s="4"/>
      <c r="BB616" s="4"/>
      <c r="BC616" s="4"/>
      <c r="BD616" s="4"/>
      <c r="BE616" s="4"/>
      <c r="BF616" s="4"/>
      <c r="BG616" s="4"/>
      <c r="BI616" s="4"/>
      <c r="BP616" s="4"/>
      <c r="BS616" s="4"/>
      <c r="BW616" s="4"/>
      <c r="BX616" s="4"/>
    </row>
    <row r="617" spans="1:76" ht="12.75" x14ac:dyDescent="0.2">
      <c r="A617" s="4" t="s">
        <v>902</v>
      </c>
      <c r="B617" s="4" t="s">
        <v>77</v>
      </c>
      <c r="C617" s="4" t="s">
        <v>905</v>
      </c>
      <c r="D617" s="4">
        <v>2763</v>
      </c>
      <c r="E617" s="4" t="s">
        <v>68</v>
      </c>
      <c r="F617" s="4" t="s">
        <v>1642</v>
      </c>
      <c r="G617" s="113">
        <v>0.25</v>
      </c>
      <c r="H617" t="s">
        <v>1781</v>
      </c>
      <c r="I617" s="4">
        <v>1.89</v>
      </c>
      <c r="L617" s="4" t="s">
        <v>1626</v>
      </c>
      <c r="M617" s="4" t="s">
        <v>109</v>
      </c>
      <c r="N617" s="4" t="s">
        <v>75</v>
      </c>
      <c r="O617" s="4" t="s">
        <v>1233</v>
      </c>
      <c r="P617" s="4" t="s">
        <v>1694</v>
      </c>
      <c r="Q617" t="s">
        <v>109</v>
      </c>
      <c r="R617" s="4"/>
      <c r="T617"/>
      <c r="U617" s="4"/>
      <c r="Y617" s="4"/>
      <c r="Z617" s="4"/>
      <c r="AA617" s="4"/>
      <c r="AB617" s="4"/>
      <c r="AC617" s="4"/>
      <c r="AD617" s="4"/>
      <c r="AE617" s="4"/>
      <c r="AF617" s="4"/>
      <c r="AG617" s="4"/>
      <c r="AH617" s="4"/>
      <c r="AI617" s="4"/>
      <c r="AJ617" s="4"/>
      <c r="AK617" s="4"/>
      <c r="AL617" s="4"/>
      <c r="AP617" s="4"/>
      <c r="AX617" s="4"/>
      <c r="AY617" s="4"/>
      <c r="AZ617" s="4"/>
      <c r="BA617" s="4"/>
      <c r="BB617" s="4"/>
      <c r="BC617" s="4"/>
      <c r="BD617" s="4"/>
      <c r="BE617" s="4"/>
      <c r="BF617" s="4"/>
      <c r="BG617" s="4"/>
      <c r="BI617" s="4"/>
      <c r="BP617" s="4"/>
      <c r="BS617" s="4"/>
      <c r="BW617" s="4"/>
      <c r="BX617" s="4"/>
    </row>
    <row r="618" spans="1:76" ht="12.75" x14ac:dyDescent="0.2">
      <c r="A618" s="4" t="s">
        <v>902</v>
      </c>
      <c r="B618" s="4" t="s">
        <v>904</v>
      </c>
      <c r="C618" s="4" t="s">
        <v>905</v>
      </c>
      <c r="D618" s="4">
        <v>2763</v>
      </c>
      <c r="E618" s="4" t="s">
        <v>68</v>
      </c>
      <c r="F618" s="4" t="s">
        <v>1642</v>
      </c>
      <c r="G618" s="113">
        <v>0.25</v>
      </c>
      <c r="H618" t="s">
        <v>1781</v>
      </c>
      <c r="I618" s="4">
        <v>2.17</v>
      </c>
      <c r="L618" s="4" t="s">
        <v>1628</v>
      </c>
      <c r="M618" s="4" t="s">
        <v>109</v>
      </c>
      <c r="N618" s="4" t="s">
        <v>75</v>
      </c>
      <c r="O618" s="4" t="s">
        <v>1233</v>
      </c>
      <c r="P618" s="4" t="s">
        <v>1694</v>
      </c>
      <c r="Q618" t="s">
        <v>109</v>
      </c>
      <c r="R618" s="4"/>
      <c r="T618"/>
      <c r="U618" s="4"/>
      <c r="Y618" s="4"/>
      <c r="Z618" s="4"/>
      <c r="AA618" s="4"/>
      <c r="AB618" s="4"/>
      <c r="AC618" s="4"/>
      <c r="AD618" s="4"/>
      <c r="AE618" s="4"/>
      <c r="AF618" s="4"/>
      <c r="AG618" s="4"/>
      <c r="AH618" s="4"/>
      <c r="AI618" s="4"/>
      <c r="AJ618" s="4"/>
      <c r="AK618" s="4"/>
      <c r="AL618" s="4"/>
      <c r="AP618" s="4"/>
      <c r="AX618" s="4"/>
      <c r="AY618" s="4"/>
      <c r="AZ618" s="4"/>
      <c r="BA618" s="4"/>
      <c r="BB618" s="4"/>
      <c r="BC618" s="4"/>
      <c r="BD618" s="4"/>
      <c r="BE618" s="4"/>
      <c r="BF618" s="4"/>
      <c r="BG618" s="4"/>
      <c r="BI618" s="4"/>
      <c r="BP618" s="4"/>
      <c r="BS618" s="4"/>
      <c r="BW618" s="4"/>
      <c r="BX618" s="4"/>
    </row>
    <row r="619" spans="1:76" ht="12.75" x14ac:dyDescent="0.2">
      <c r="A619" s="4" t="s">
        <v>902</v>
      </c>
      <c r="B619" s="4" t="s">
        <v>77</v>
      </c>
      <c r="C619" s="4" t="s">
        <v>905</v>
      </c>
      <c r="D619" s="4">
        <v>2763</v>
      </c>
      <c r="E619" s="4" t="s">
        <v>68</v>
      </c>
      <c r="F619" s="4" t="s">
        <v>1642</v>
      </c>
      <c r="G619" s="113">
        <v>0.33333333333333331</v>
      </c>
      <c r="H619" t="s">
        <v>1781</v>
      </c>
      <c r="I619" s="4">
        <v>2.2000000000000002</v>
      </c>
      <c r="L619" s="4" t="s">
        <v>1627</v>
      </c>
      <c r="M619" s="4" t="s">
        <v>109</v>
      </c>
      <c r="N619" s="4" t="s">
        <v>75</v>
      </c>
      <c r="O619" s="4" t="s">
        <v>1233</v>
      </c>
      <c r="P619" s="4" t="s">
        <v>1694</v>
      </c>
      <c r="Q619" t="s">
        <v>109</v>
      </c>
      <c r="R619" s="4"/>
      <c r="T619"/>
      <c r="U619" s="4"/>
      <c r="Y619" s="4"/>
      <c r="Z619" s="4"/>
      <c r="AA619" s="4"/>
      <c r="AB619" s="4"/>
      <c r="AC619" s="4"/>
      <c r="AD619" s="4"/>
      <c r="AE619" s="4"/>
      <c r="AF619" s="4"/>
      <c r="AG619" s="4"/>
      <c r="AH619" s="4"/>
      <c r="AI619" s="4"/>
      <c r="AJ619" s="4"/>
      <c r="AK619" s="4"/>
      <c r="AL619" s="4"/>
      <c r="AP619" s="4"/>
      <c r="AX619" s="4"/>
      <c r="AY619" s="4"/>
      <c r="AZ619" s="4"/>
      <c r="BA619" s="4"/>
      <c r="BB619" s="4"/>
      <c r="BC619" s="4"/>
      <c r="BD619" s="4"/>
      <c r="BE619" s="4"/>
      <c r="BF619" s="4"/>
      <c r="BG619" s="4"/>
      <c r="BI619" s="4"/>
      <c r="BP619" s="4"/>
      <c r="BS619" s="4"/>
      <c r="BW619" s="4"/>
      <c r="BX619" s="4"/>
    </row>
    <row r="620" spans="1:76" ht="12.75" x14ac:dyDescent="0.2">
      <c r="A620" s="4" t="s">
        <v>902</v>
      </c>
      <c r="B620" s="4" t="s">
        <v>904</v>
      </c>
      <c r="C620" s="4" t="s">
        <v>905</v>
      </c>
      <c r="D620" s="4">
        <v>2763</v>
      </c>
      <c r="E620" s="4" t="s">
        <v>68</v>
      </c>
      <c r="F620" s="4" t="s">
        <v>1642</v>
      </c>
      <c r="G620" s="113">
        <v>0.25</v>
      </c>
      <c r="H620" t="s">
        <v>1781</v>
      </c>
      <c r="I620" s="4">
        <v>2.6670000000000003</v>
      </c>
      <c r="L620" s="4" t="s">
        <v>1628</v>
      </c>
      <c r="M620" s="4" t="s">
        <v>109</v>
      </c>
      <c r="N620" s="4" t="s">
        <v>75</v>
      </c>
      <c r="O620" s="4" t="s">
        <v>1233</v>
      </c>
      <c r="P620" s="4" t="s">
        <v>1694</v>
      </c>
      <c r="Q620" t="s">
        <v>109</v>
      </c>
      <c r="R620" s="4"/>
      <c r="T620"/>
      <c r="U620" s="4"/>
      <c r="Y620" s="4"/>
      <c r="Z620" s="4"/>
      <c r="AA620" s="4"/>
      <c r="AB620" s="4"/>
      <c r="AC620" s="4"/>
      <c r="AD620" s="4"/>
      <c r="AE620" s="4"/>
      <c r="AF620" s="4"/>
      <c r="AG620" s="4"/>
      <c r="AH620" s="4"/>
      <c r="AI620" s="4"/>
      <c r="AJ620" s="4"/>
      <c r="AK620" s="4"/>
      <c r="AL620" s="4"/>
      <c r="AP620" s="4"/>
      <c r="AX620" s="4"/>
      <c r="AY620" s="4"/>
      <c r="AZ620" s="4"/>
      <c r="BA620" s="4"/>
      <c r="BB620" s="4"/>
      <c r="BC620" s="4"/>
      <c r="BD620" s="4"/>
      <c r="BE620" s="4"/>
      <c r="BF620" s="4"/>
      <c r="BG620" s="4"/>
      <c r="BI620" s="4"/>
      <c r="BP620" s="4"/>
      <c r="BS620" s="4"/>
      <c r="BW620" s="4"/>
      <c r="BX620" s="4"/>
    </row>
    <row r="621" spans="1:76" ht="12.75" x14ac:dyDescent="0.2">
      <c r="A621" s="4" t="s">
        <v>902</v>
      </c>
      <c r="B621" s="4" t="s">
        <v>904</v>
      </c>
      <c r="C621" s="4" t="s">
        <v>905</v>
      </c>
      <c r="D621" s="4">
        <v>2763</v>
      </c>
      <c r="E621" s="4" t="s">
        <v>68</v>
      </c>
      <c r="F621" s="4" t="s">
        <v>1642</v>
      </c>
      <c r="G621" s="113">
        <v>0.25</v>
      </c>
      <c r="H621" t="s">
        <v>1781</v>
      </c>
      <c r="I621" s="4">
        <v>2.7160000000000002</v>
      </c>
      <c r="L621" s="4" t="s">
        <v>1628</v>
      </c>
      <c r="M621" s="4" t="s">
        <v>109</v>
      </c>
      <c r="N621" s="4" t="s">
        <v>75</v>
      </c>
      <c r="O621" s="4" t="s">
        <v>1233</v>
      </c>
      <c r="P621" s="4" t="s">
        <v>1694</v>
      </c>
      <c r="Q621" t="s">
        <v>109</v>
      </c>
      <c r="R621" s="4"/>
      <c r="T621"/>
      <c r="U621" s="4"/>
      <c r="Y621" s="4"/>
      <c r="Z621" s="4"/>
      <c r="AA621" s="4"/>
      <c r="AB621" s="4"/>
      <c r="AC621" s="4"/>
      <c r="AD621" s="4"/>
      <c r="AE621" s="4"/>
      <c r="AF621" s="4"/>
      <c r="AG621" s="4"/>
      <c r="AH621" s="4"/>
      <c r="AI621" s="4"/>
      <c r="AJ621" s="4"/>
      <c r="AK621" s="4"/>
      <c r="AL621" s="4"/>
      <c r="AP621" s="4"/>
      <c r="AX621" s="4"/>
      <c r="AY621" s="4"/>
      <c r="AZ621" s="4"/>
      <c r="BA621" s="4"/>
      <c r="BB621" s="4"/>
      <c r="BC621" s="4"/>
      <c r="BD621" s="4"/>
      <c r="BE621" s="4"/>
      <c r="BF621" s="4"/>
      <c r="BG621" s="4"/>
      <c r="BI621" s="4"/>
      <c r="BP621" s="4"/>
      <c r="BS621" s="4"/>
      <c r="BW621" s="4"/>
      <c r="BX621" s="4"/>
    </row>
    <row r="622" spans="1:76" ht="12.75" x14ac:dyDescent="0.2">
      <c r="A622" s="4" t="s">
        <v>902</v>
      </c>
      <c r="B622" s="4" t="s">
        <v>904</v>
      </c>
      <c r="C622" s="4" t="s">
        <v>905</v>
      </c>
      <c r="D622" s="4">
        <v>2763</v>
      </c>
      <c r="E622" s="4" t="s">
        <v>68</v>
      </c>
      <c r="F622" s="4" t="s">
        <v>1642</v>
      </c>
      <c r="G622" s="113">
        <v>0.25</v>
      </c>
      <c r="H622" t="s">
        <v>1781</v>
      </c>
      <c r="I622" s="4">
        <v>2.7629999999999999</v>
      </c>
      <c r="L622" s="4" t="s">
        <v>1628</v>
      </c>
      <c r="M622" s="4" t="s">
        <v>109</v>
      </c>
      <c r="N622" s="4" t="s">
        <v>75</v>
      </c>
      <c r="O622" s="4" t="s">
        <v>1233</v>
      </c>
      <c r="P622" s="4" t="s">
        <v>1694</v>
      </c>
      <c r="Q622" t="s">
        <v>109</v>
      </c>
      <c r="R622" s="4"/>
      <c r="T622"/>
      <c r="U622" s="4"/>
      <c r="Y622" s="4"/>
      <c r="Z622" s="4"/>
      <c r="AA622" s="4"/>
      <c r="AB622" s="4"/>
      <c r="AC622" s="4"/>
      <c r="AD622" s="4"/>
      <c r="AE622" s="4"/>
      <c r="AF622" s="4"/>
      <c r="AG622" s="4"/>
      <c r="AH622" s="4"/>
      <c r="AI622" s="4"/>
      <c r="AJ622" s="4"/>
      <c r="AK622" s="4"/>
      <c r="AL622" s="4"/>
      <c r="AP622" s="4"/>
      <c r="AX622" s="4"/>
      <c r="AY622" s="4"/>
      <c r="AZ622" s="4"/>
      <c r="BA622" s="4"/>
      <c r="BB622" s="4"/>
      <c r="BC622" s="4"/>
      <c r="BD622" s="4"/>
      <c r="BE622" s="4"/>
      <c r="BF622" s="4"/>
      <c r="BG622" s="4"/>
      <c r="BI622" s="4"/>
      <c r="BP622" s="4"/>
      <c r="BS622" s="4"/>
      <c r="BW622" s="4"/>
      <c r="BX622" s="4"/>
    </row>
    <row r="623" spans="1:76" ht="12.75" x14ac:dyDescent="0.2">
      <c r="A623" s="4" t="s">
        <v>902</v>
      </c>
      <c r="B623" s="4" t="s">
        <v>77</v>
      </c>
      <c r="C623" s="4" t="s">
        <v>905</v>
      </c>
      <c r="D623" s="4">
        <v>2763</v>
      </c>
      <c r="E623" s="4" t="s">
        <v>68</v>
      </c>
      <c r="F623" s="4" t="s">
        <v>1642</v>
      </c>
      <c r="G623" s="113">
        <v>0.25</v>
      </c>
      <c r="H623" t="s">
        <v>1781</v>
      </c>
      <c r="I623" s="4">
        <v>20.45</v>
      </c>
      <c r="L623" s="4" t="s">
        <v>1626</v>
      </c>
      <c r="M623" s="4" t="s">
        <v>109</v>
      </c>
      <c r="N623" s="4" t="s">
        <v>75</v>
      </c>
      <c r="O623" s="4" t="s">
        <v>1233</v>
      </c>
      <c r="P623" s="4" t="s">
        <v>1694</v>
      </c>
      <c r="Q623" t="s">
        <v>109</v>
      </c>
      <c r="R623" s="4"/>
      <c r="T623"/>
      <c r="U623" s="4"/>
      <c r="Y623" s="4"/>
      <c r="Z623" s="4"/>
      <c r="AA623" s="4"/>
      <c r="AB623" s="4"/>
      <c r="AC623" s="4"/>
      <c r="AD623" s="4"/>
      <c r="AE623" s="4"/>
      <c r="AF623" s="4"/>
      <c r="AG623" s="4"/>
      <c r="AH623" s="4"/>
      <c r="AI623" s="4"/>
      <c r="AJ623" s="4"/>
      <c r="AK623" s="4"/>
      <c r="AL623" s="4"/>
      <c r="AP623" s="4"/>
      <c r="AX623" s="4"/>
      <c r="AY623" s="4"/>
      <c r="AZ623" s="4"/>
      <c r="BA623" s="4"/>
      <c r="BB623" s="4"/>
      <c r="BC623" s="4"/>
      <c r="BD623" s="4"/>
      <c r="BE623" s="4"/>
      <c r="BF623" s="4"/>
      <c r="BG623" s="4"/>
      <c r="BI623" s="4"/>
      <c r="BP623" s="4"/>
      <c r="BS623" s="4"/>
      <c r="BW623" s="4"/>
      <c r="BX623" s="4"/>
    </row>
    <row r="624" spans="1:76" ht="12.75" x14ac:dyDescent="0.2">
      <c r="A624" s="4" t="s">
        <v>953</v>
      </c>
      <c r="B624" s="4" t="s">
        <v>143</v>
      </c>
      <c r="C624" s="4" t="s">
        <v>916</v>
      </c>
      <c r="D624" s="4">
        <v>2765</v>
      </c>
      <c r="E624" s="4" t="s">
        <v>69</v>
      </c>
      <c r="F624" s="4" t="s">
        <v>1642</v>
      </c>
      <c r="G624" s="113">
        <v>0.5</v>
      </c>
      <c r="H624" t="s">
        <v>1781</v>
      </c>
      <c r="I624" s="4">
        <v>2.75</v>
      </c>
      <c r="L624" s="4" t="s">
        <v>1633</v>
      </c>
      <c r="M624" s="4" t="s">
        <v>109</v>
      </c>
      <c r="N624" s="4" t="s">
        <v>75</v>
      </c>
      <c r="O624" s="4"/>
      <c r="P624" s="4" t="s">
        <v>1694</v>
      </c>
      <c r="Q624" t="s">
        <v>109</v>
      </c>
      <c r="R624" s="4"/>
      <c r="T624"/>
      <c r="U624" s="4"/>
      <c r="Y624" s="4"/>
      <c r="Z624" s="4"/>
      <c r="AA624" s="4"/>
      <c r="AB624" s="4"/>
      <c r="AC624" s="4"/>
      <c r="AD624" s="4"/>
      <c r="AE624" s="4"/>
      <c r="AF624" s="4"/>
      <c r="AG624" s="4"/>
      <c r="AH624" s="4"/>
      <c r="AI624" s="4"/>
      <c r="AJ624" s="4"/>
      <c r="AK624" s="4"/>
      <c r="AL624" s="4"/>
      <c r="AP624" s="4"/>
      <c r="AX624" s="4"/>
      <c r="AY624" s="4"/>
      <c r="AZ624" s="4"/>
      <c r="BA624" s="4"/>
      <c r="BB624" s="4"/>
      <c r="BC624" s="4"/>
      <c r="BD624" s="4"/>
      <c r="BE624" s="4"/>
      <c r="BF624" s="4"/>
      <c r="BG624" s="4"/>
      <c r="BI624" s="4"/>
      <c r="BP624" s="4"/>
      <c r="BS624" s="4"/>
      <c r="BW624" s="4"/>
      <c r="BX624" s="4"/>
    </row>
    <row r="625" spans="1:76" ht="12.75" x14ac:dyDescent="0.2">
      <c r="A625" s="4" t="s">
        <v>932</v>
      </c>
      <c r="B625" s="4" t="s">
        <v>351</v>
      </c>
      <c r="C625" s="4" t="s">
        <v>916</v>
      </c>
      <c r="D625" s="4">
        <v>2765</v>
      </c>
      <c r="E625" s="4" t="s">
        <v>69</v>
      </c>
      <c r="F625" s="4" t="s">
        <v>1642</v>
      </c>
      <c r="G625" s="113">
        <v>0.5</v>
      </c>
      <c r="H625" t="s">
        <v>1781</v>
      </c>
      <c r="I625" s="4">
        <v>3.5163000000000002</v>
      </c>
      <c r="L625" s="4" t="s">
        <v>1631</v>
      </c>
      <c r="M625" s="4" t="s">
        <v>109</v>
      </c>
      <c r="N625" s="4" t="s">
        <v>75</v>
      </c>
      <c r="O625" s="4"/>
      <c r="P625" s="4" t="s">
        <v>1694</v>
      </c>
      <c r="Q625" t="s">
        <v>109</v>
      </c>
      <c r="R625" s="4"/>
      <c r="T625"/>
      <c r="U625" s="4"/>
      <c r="Y625" s="4"/>
      <c r="Z625" s="4"/>
      <c r="AA625" s="4"/>
      <c r="AB625" s="4"/>
      <c r="AC625" s="4"/>
      <c r="AD625" s="4"/>
      <c r="AE625" s="4"/>
      <c r="AF625" s="4"/>
      <c r="AG625" s="4"/>
      <c r="AH625" s="4"/>
      <c r="AI625" s="4"/>
      <c r="AJ625" s="4"/>
      <c r="AK625" s="4"/>
      <c r="AL625" s="4"/>
      <c r="AP625" s="4"/>
      <c r="AX625" s="4"/>
      <c r="AY625" s="4"/>
      <c r="AZ625" s="4"/>
      <c r="BA625" s="4"/>
      <c r="BB625" s="4"/>
      <c r="BC625" s="4"/>
      <c r="BD625" s="4"/>
      <c r="BE625" s="4"/>
      <c r="BF625" s="4"/>
      <c r="BG625" s="4"/>
      <c r="BI625" s="4"/>
      <c r="BP625" s="4"/>
      <c r="BS625" s="4"/>
      <c r="BW625" s="4"/>
      <c r="BX625" s="4"/>
    </row>
    <row r="626" spans="1:76" ht="12.75" x14ac:dyDescent="0.2">
      <c r="A626" s="4" t="s">
        <v>932</v>
      </c>
      <c r="B626" s="4" t="s">
        <v>351</v>
      </c>
      <c r="C626" s="4" t="s">
        <v>916</v>
      </c>
      <c r="D626" s="4">
        <v>2765</v>
      </c>
      <c r="E626" s="4" t="s">
        <v>69</v>
      </c>
      <c r="F626" s="4" t="s">
        <v>1642</v>
      </c>
      <c r="G626" s="113">
        <v>0.5</v>
      </c>
      <c r="H626" t="s">
        <v>1781</v>
      </c>
      <c r="I626" s="4">
        <v>3.6545000000000001</v>
      </c>
      <c r="L626" s="4" t="s">
        <v>1631</v>
      </c>
      <c r="M626" s="4" t="s">
        <v>109</v>
      </c>
      <c r="N626" s="4" t="s">
        <v>75</v>
      </c>
      <c r="O626" s="4"/>
      <c r="P626" s="4" t="s">
        <v>1694</v>
      </c>
      <c r="Q626" t="s">
        <v>109</v>
      </c>
      <c r="R626" s="4"/>
      <c r="T626"/>
      <c r="U626" s="4"/>
      <c r="Y626" s="4"/>
      <c r="Z626" s="4"/>
      <c r="AA626" s="4"/>
      <c r="AB626" s="4"/>
      <c r="AC626" s="4"/>
      <c r="AD626" s="4"/>
      <c r="AE626" s="4"/>
      <c r="AF626" s="4"/>
      <c r="AG626" s="4"/>
      <c r="AH626" s="4"/>
      <c r="AI626" s="4"/>
      <c r="AJ626" s="4"/>
      <c r="AK626" s="4"/>
      <c r="AL626" s="4"/>
      <c r="AP626" s="4"/>
      <c r="AX626" s="4"/>
      <c r="AY626" s="4"/>
      <c r="AZ626" s="4"/>
      <c r="BA626" s="4"/>
      <c r="BB626" s="4"/>
      <c r="BC626" s="4"/>
      <c r="BD626" s="4"/>
      <c r="BE626" s="4"/>
      <c r="BF626" s="4"/>
      <c r="BG626" s="4"/>
      <c r="BI626" s="4"/>
      <c r="BP626" s="4"/>
      <c r="BS626" s="4"/>
      <c r="BW626" s="4"/>
      <c r="BX626" s="4"/>
    </row>
    <row r="627" spans="1:76" ht="12.75" x14ac:dyDescent="0.2">
      <c r="A627" s="4" t="s">
        <v>960</v>
      </c>
      <c r="B627" s="4" t="s">
        <v>225</v>
      </c>
      <c r="C627" s="4" t="s">
        <v>905</v>
      </c>
      <c r="D627" s="4">
        <v>2765</v>
      </c>
      <c r="E627" s="4" t="s">
        <v>69</v>
      </c>
      <c r="F627" s="4" t="s">
        <v>1642</v>
      </c>
      <c r="G627" s="113">
        <v>1</v>
      </c>
      <c r="H627" t="s">
        <v>1781</v>
      </c>
      <c r="I627" s="4">
        <v>4.29</v>
      </c>
      <c r="L627" s="4" t="s">
        <v>1634</v>
      </c>
      <c r="M627" s="4" t="s">
        <v>109</v>
      </c>
      <c r="N627" s="4" t="s">
        <v>75</v>
      </c>
      <c r="O627" s="4"/>
      <c r="P627" s="4" t="s">
        <v>1694</v>
      </c>
      <c r="Q627" t="s">
        <v>109</v>
      </c>
      <c r="R627" s="4"/>
      <c r="T627"/>
      <c r="U627" s="4"/>
      <c r="Y627" s="4"/>
      <c r="Z627" s="4"/>
      <c r="AA627" s="4"/>
      <c r="AB627" s="4"/>
      <c r="AC627" s="4"/>
      <c r="AD627" s="4"/>
      <c r="AE627" s="4"/>
      <c r="AF627" s="4"/>
      <c r="AG627" s="4"/>
      <c r="AH627" s="4"/>
      <c r="AI627" s="4"/>
      <c r="AJ627" s="4"/>
      <c r="AK627" s="4"/>
      <c r="AL627" s="4"/>
      <c r="AP627" s="4"/>
      <c r="AX627" s="4"/>
      <c r="AY627" s="4"/>
      <c r="AZ627" s="4"/>
      <c r="BA627" s="4"/>
      <c r="BB627" s="4"/>
      <c r="BC627" s="4"/>
      <c r="BD627" s="4"/>
      <c r="BE627" s="4"/>
      <c r="BF627" s="4"/>
      <c r="BG627" s="4"/>
      <c r="BI627" s="4"/>
      <c r="BP627" s="4"/>
      <c r="BS627" s="4"/>
      <c r="BW627" s="4"/>
      <c r="BX627" s="4"/>
    </row>
    <row r="628" spans="1:76" ht="12.75" x14ac:dyDescent="0.2">
      <c r="A628" s="4" t="s">
        <v>967</v>
      </c>
      <c r="B628" s="4" t="s">
        <v>968</v>
      </c>
      <c r="C628" s="4" t="s">
        <v>905</v>
      </c>
      <c r="D628" s="4">
        <v>2765</v>
      </c>
      <c r="E628" s="4" t="s">
        <v>69</v>
      </c>
      <c r="F628" s="4" t="s">
        <v>1642</v>
      </c>
      <c r="G628" s="113">
        <v>0.5</v>
      </c>
      <c r="H628" t="s">
        <v>1781</v>
      </c>
      <c r="I628" s="4">
        <v>4.4000000000000004</v>
      </c>
      <c r="L628" s="4" t="s">
        <v>1632</v>
      </c>
      <c r="M628" s="4" t="s">
        <v>109</v>
      </c>
      <c r="N628" s="4" t="s">
        <v>75</v>
      </c>
      <c r="O628" s="4"/>
      <c r="P628" s="4" t="s">
        <v>1694</v>
      </c>
      <c r="Q628" t="s">
        <v>109</v>
      </c>
      <c r="R628" s="4"/>
      <c r="T628"/>
      <c r="U628" s="4"/>
      <c r="Y628" s="4"/>
      <c r="Z628" s="4"/>
      <c r="AA628" s="4"/>
      <c r="AB628" s="4"/>
      <c r="AC628" s="4"/>
      <c r="AD628" s="4"/>
      <c r="AE628" s="4"/>
      <c r="AF628" s="4"/>
      <c r="AG628" s="4"/>
      <c r="AH628" s="4"/>
      <c r="AI628" s="4"/>
      <c r="AJ628" s="4"/>
      <c r="AK628" s="4"/>
      <c r="AL628" s="4"/>
      <c r="AP628" s="4"/>
      <c r="AX628" s="4"/>
      <c r="AY628" s="4"/>
      <c r="AZ628" s="4"/>
      <c r="BA628" s="4"/>
      <c r="BB628" s="4"/>
      <c r="BC628" s="4"/>
      <c r="BD628" s="4"/>
      <c r="BE628" s="4"/>
      <c r="BF628" s="4"/>
      <c r="BG628" s="4"/>
      <c r="BI628" s="4"/>
      <c r="BP628" s="4"/>
      <c r="BS628" s="4"/>
      <c r="BW628" s="4"/>
      <c r="BX628" s="4"/>
    </row>
    <row r="629" spans="1:76" ht="12.75" x14ac:dyDescent="0.2">
      <c r="A629" s="4" t="s">
        <v>953</v>
      </c>
      <c r="B629" s="4" t="s">
        <v>143</v>
      </c>
      <c r="C629" s="4" t="s">
        <v>916</v>
      </c>
      <c r="D629" s="4">
        <v>2765</v>
      </c>
      <c r="E629" s="4" t="s">
        <v>69</v>
      </c>
      <c r="F629" s="4" t="s">
        <v>1642</v>
      </c>
      <c r="G629" s="113">
        <v>0.5</v>
      </c>
      <c r="H629" t="s">
        <v>1781</v>
      </c>
      <c r="I629" s="4">
        <v>5.28</v>
      </c>
      <c r="L629" s="4" t="s">
        <v>1633</v>
      </c>
      <c r="M629" s="4" t="s">
        <v>109</v>
      </c>
      <c r="N629" s="4" t="s">
        <v>75</v>
      </c>
      <c r="O629" s="4"/>
      <c r="P629" s="4" t="s">
        <v>1694</v>
      </c>
      <c r="Q629" t="s">
        <v>109</v>
      </c>
      <c r="R629" s="4"/>
      <c r="T629"/>
      <c r="U629" s="4"/>
      <c r="Y629" s="4"/>
      <c r="Z629" s="4"/>
      <c r="AA629" s="4"/>
      <c r="AB629" s="4"/>
      <c r="AC629" s="4"/>
      <c r="AD629" s="4"/>
      <c r="AE629" s="4"/>
      <c r="AF629" s="4"/>
      <c r="AG629" s="4"/>
      <c r="AH629" s="4"/>
      <c r="AI629" s="4"/>
      <c r="AJ629" s="4"/>
      <c r="AK629" s="4"/>
      <c r="AL629" s="4"/>
      <c r="AP629" s="4"/>
      <c r="AX629" s="4"/>
      <c r="AY629" s="4"/>
      <c r="AZ629" s="4"/>
      <c r="BA629" s="4"/>
      <c r="BB629" s="4"/>
      <c r="BC629" s="4"/>
      <c r="BD629" s="4"/>
      <c r="BE629" s="4"/>
      <c r="BF629" s="4"/>
      <c r="BG629" s="4"/>
      <c r="BI629" s="4"/>
      <c r="BP629" s="4"/>
      <c r="BS629" s="4"/>
      <c r="BW629" s="4"/>
      <c r="BX629" s="4"/>
    </row>
    <row r="630" spans="1:76" ht="12.75" x14ac:dyDescent="0.2">
      <c r="A630" s="4" t="s">
        <v>924</v>
      </c>
      <c r="B630" s="4" t="s">
        <v>351</v>
      </c>
      <c r="C630" s="4" t="s">
        <v>916</v>
      </c>
      <c r="D630" s="4">
        <v>2765</v>
      </c>
      <c r="E630" s="4" t="s">
        <v>69</v>
      </c>
      <c r="F630" s="4" t="s">
        <v>1642</v>
      </c>
      <c r="G630" s="113">
        <v>0.5</v>
      </c>
      <c r="H630" t="s">
        <v>1781</v>
      </c>
      <c r="I630" s="4">
        <v>6.5336999999999996</v>
      </c>
      <c r="L630" s="4" t="s">
        <v>1631</v>
      </c>
      <c r="M630" s="4" t="s">
        <v>109</v>
      </c>
      <c r="N630" s="4" t="s">
        <v>75</v>
      </c>
      <c r="O630" s="4"/>
      <c r="P630" s="4" t="s">
        <v>1694</v>
      </c>
      <c r="Q630" t="s">
        <v>109</v>
      </c>
      <c r="R630" s="4"/>
      <c r="T630"/>
      <c r="U630" s="4"/>
      <c r="Y630" s="4"/>
      <c r="Z630" s="4"/>
      <c r="AA630" s="4"/>
      <c r="AB630" s="4"/>
      <c r="AC630" s="4"/>
      <c r="AD630" s="4"/>
      <c r="AE630" s="4"/>
      <c r="AF630" s="4"/>
      <c r="AG630" s="4"/>
      <c r="AH630" s="4"/>
      <c r="AI630" s="4"/>
      <c r="AJ630" s="4"/>
      <c r="AK630" s="4"/>
      <c r="AL630" s="4"/>
      <c r="AP630" s="4"/>
      <c r="AX630" s="4"/>
      <c r="AY630" s="4"/>
      <c r="AZ630" s="4"/>
      <c r="BA630" s="4"/>
      <c r="BB630" s="4"/>
      <c r="BC630" s="4"/>
      <c r="BD630" s="4"/>
      <c r="BE630" s="4"/>
      <c r="BF630" s="4"/>
      <c r="BG630" s="4"/>
      <c r="BI630" s="4"/>
      <c r="BP630" s="4"/>
      <c r="BS630" s="4"/>
      <c r="BW630" s="4"/>
      <c r="BX630" s="4"/>
    </row>
    <row r="631" spans="1:76" ht="12.75" x14ac:dyDescent="0.2">
      <c r="A631" s="4" t="s">
        <v>924</v>
      </c>
      <c r="B631" s="4" t="s">
        <v>351</v>
      </c>
      <c r="C631" s="4" t="s">
        <v>916</v>
      </c>
      <c r="D631" s="4">
        <v>2765</v>
      </c>
      <c r="E631" s="4" t="s">
        <v>69</v>
      </c>
      <c r="F631" s="4" t="s">
        <v>1642</v>
      </c>
      <c r="G631" s="113">
        <v>0.5</v>
      </c>
      <c r="H631" t="s">
        <v>1781</v>
      </c>
      <c r="I631" s="4">
        <v>6.7198000000000002</v>
      </c>
      <c r="L631" s="4" t="s">
        <v>1631</v>
      </c>
      <c r="M631" s="4" t="s">
        <v>109</v>
      </c>
      <c r="N631" s="4" t="s">
        <v>75</v>
      </c>
      <c r="O631" s="4"/>
      <c r="P631" s="4" t="s">
        <v>1694</v>
      </c>
      <c r="Q631" t="s">
        <v>109</v>
      </c>
      <c r="R631" s="4"/>
      <c r="T631"/>
      <c r="U631" s="4"/>
      <c r="Y631" s="4"/>
      <c r="Z631" s="4"/>
      <c r="AA631" s="4"/>
      <c r="AB631" s="4"/>
      <c r="AC631" s="4"/>
      <c r="AD631" s="4"/>
      <c r="AE631" s="4"/>
      <c r="AF631" s="4"/>
      <c r="AG631" s="4"/>
      <c r="AH631" s="4"/>
      <c r="AI631" s="4"/>
      <c r="AJ631" s="4"/>
      <c r="AK631" s="4"/>
      <c r="AL631" s="4"/>
      <c r="AP631" s="4"/>
      <c r="AX631" s="4"/>
      <c r="AY631" s="4"/>
      <c r="AZ631" s="4"/>
      <c r="BA631" s="4"/>
      <c r="BB631" s="4"/>
      <c r="BC631" s="4"/>
      <c r="BD631" s="4"/>
      <c r="BE631" s="4"/>
      <c r="BF631" s="4"/>
      <c r="BG631" s="4"/>
      <c r="BI631" s="4"/>
      <c r="BP631" s="4"/>
      <c r="BS631" s="4"/>
      <c r="BW631" s="4"/>
      <c r="BX631" s="4"/>
    </row>
    <row r="632" spans="1:76" ht="12.75" x14ac:dyDescent="0.2">
      <c r="A632" s="4" t="s">
        <v>967</v>
      </c>
      <c r="B632" s="4" t="s">
        <v>968</v>
      </c>
      <c r="C632" s="4" t="s">
        <v>905</v>
      </c>
      <c r="D632" s="4">
        <v>2765</v>
      </c>
      <c r="E632" s="4" t="s">
        <v>69</v>
      </c>
      <c r="F632" s="4" t="s">
        <v>1642</v>
      </c>
      <c r="G632" s="113">
        <v>0.5</v>
      </c>
      <c r="H632" t="s">
        <v>1781</v>
      </c>
      <c r="I632" s="4">
        <v>35</v>
      </c>
      <c r="L632" s="4" t="s">
        <v>1632</v>
      </c>
      <c r="M632" s="4" t="s">
        <v>109</v>
      </c>
      <c r="N632" s="4" t="s">
        <v>75</v>
      </c>
      <c r="O632" s="4"/>
      <c r="P632" s="4" t="s">
        <v>1694</v>
      </c>
      <c r="Q632" t="s">
        <v>109</v>
      </c>
      <c r="R632" s="4"/>
      <c r="T632"/>
      <c r="U632" s="4"/>
      <c r="Y632" s="4"/>
      <c r="Z632" s="4"/>
      <c r="AA632" s="4"/>
      <c r="AB632" s="4"/>
      <c r="AC632" s="4"/>
      <c r="AD632" s="4"/>
      <c r="AE632" s="4"/>
      <c r="AF632" s="4"/>
      <c r="AG632" s="4"/>
      <c r="AH632" s="4"/>
      <c r="AI632" s="4"/>
      <c r="AJ632" s="4"/>
      <c r="AK632" s="4"/>
      <c r="AL632" s="4"/>
      <c r="AP632" s="4"/>
      <c r="AX632" s="4"/>
      <c r="AY632" s="4"/>
      <c r="AZ632" s="4"/>
      <c r="BA632" s="4"/>
      <c r="BB632" s="4"/>
      <c r="BC632" s="4"/>
      <c r="BD632" s="4"/>
      <c r="BE632" s="4"/>
      <c r="BF632" s="4"/>
      <c r="BG632" s="4"/>
      <c r="BI632" s="4"/>
      <c r="BP632" s="4"/>
      <c r="BS632" s="4"/>
      <c r="BW632" s="4"/>
      <c r="BX632" s="4"/>
    </row>
    <row r="633" spans="1:76" ht="12.75" x14ac:dyDescent="0.2">
      <c r="A633" s="4" t="s">
        <v>1046</v>
      </c>
      <c r="B633" s="4" t="s">
        <v>77</v>
      </c>
      <c r="C633" s="4" t="s">
        <v>905</v>
      </c>
      <c r="D633" s="4">
        <v>2766</v>
      </c>
      <c r="E633" s="4" t="s">
        <v>70</v>
      </c>
      <c r="F633" s="4" t="s">
        <v>1642</v>
      </c>
      <c r="G633" s="113">
        <v>1</v>
      </c>
      <c r="H633" t="s">
        <v>1781</v>
      </c>
      <c r="I633" s="4">
        <v>6.39</v>
      </c>
      <c r="L633" s="4" t="s">
        <v>1626</v>
      </c>
      <c r="M633" s="4" t="s">
        <v>109</v>
      </c>
      <c r="N633" s="4" t="s">
        <v>75</v>
      </c>
      <c r="O633" s="4"/>
      <c r="P633" s="4" t="s">
        <v>1694</v>
      </c>
      <c r="Q633" t="s">
        <v>109</v>
      </c>
      <c r="R633" s="4"/>
      <c r="T633"/>
      <c r="U633" s="4"/>
      <c r="Y633" s="4"/>
      <c r="Z633" s="4"/>
      <c r="AA633" s="4"/>
      <c r="AB633" s="4"/>
      <c r="AC633" s="4"/>
      <c r="AD633" s="4"/>
      <c r="AE633" s="4"/>
      <c r="AF633" s="4"/>
      <c r="AG633" s="4"/>
      <c r="AH633" s="4"/>
      <c r="AI633" s="4"/>
      <c r="AJ633" s="4"/>
      <c r="AK633" s="4"/>
      <c r="AL633" s="4"/>
      <c r="AP633" s="4"/>
      <c r="AX633" s="4"/>
      <c r="AY633" s="4"/>
      <c r="AZ633" s="4"/>
      <c r="BA633" s="4"/>
      <c r="BB633" s="4"/>
      <c r="BC633" s="4"/>
      <c r="BD633" s="4"/>
      <c r="BE633" s="4"/>
      <c r="BF633" s="4"/>
      <c r="BG633" s="4"/>
      <c r="BI633" s="4"/>
      <c r="BP633" s="4"/>
      <c r="BS633" s="4"/>
      <c r="BW633" s="4"/>
      <c r="BX633" s="4"/>
    </row>
    <row r="634" spans="1:76" ht="12.75" x14ac:dyDescent="0.2">
      <c r="A634" s="4" t="s">
        <v>1376</v>
      </c>
      <c r="B634" s="4" t="s">
        <v>77</v>
      </c>
      <c r="C634" s="4" t="s">
        <v>905</v>
      </c>
      <c r="D634" s="4">
        <v>2766</v>
      </c>
      <c r="E634" s="4" t="s">
        <v>70</v>
      </c>
      <c r="F634" s="4" t="s">
        <v>1642</v>
      </c>
      <c r="G634" s="113">
        <v>1</v>
      </c>
      <c r="H634" t="s">
        <v>1781</v>
      </c>
      <c r="I634" s="4">
        <v>6.91</v>
      </c>
      <c r="L634" s="4" t="s">
        <v>1626</v>
      </c>
      <c r="M634" s="4" t="s">
        <v>109</v>
      </c>
      <c r="N634" s="4" t="s">
        <v>75</v>
      </c>
      <c r="O634" s="4"/>
      <c r="P634" s="4" t="s">
        <v>1694</v>
      </c>
      <c r="Q634" t="s">
        <v>109</v>
      </c>
      <c r="R634" s="4"/>
      <c r="T634"/>
      <c r="U634" s="4"/>
      <c r="Y634" s="4"/>
      <c r="Z634" s="4"/>
      <c r="AA634" s="4"/>
      <c r="AB634" s="4"/>
      <c r="AC634" s="4"/>
      <c r="AD634" s="4"/>
      <c r="AE634" s="4"/>
      <c r="AF634" s="4"/>
      <c r="AG634" s="4"/>
      <c r="AH634" s="4"/>
      <c r="AI634" s="4"/>
      <c r="AJ634" s="4"/>
      <c r="AK634" s="4"/>
      <c r="AL634" s="4"/>
      <c r="AP634" s="4"/>
      <c r="AX634" s="4"/>
      <c r="AY634" s="4"/>
      <c r="AZ634" s="4"/>
      <c r="BA634" s="4"/>
      <c r="BB634" s="4"/>
      <c r="BC634" s="4"/>
      <c r="BD634" s="4"/>
      <c r="BE634" s="4"/>
      <c r="BF634" s="4"/>
      <c r="BG634" s="4"/>
      <c r="BI634" s="4"/>
      <c r="BP634" s="4"/>
      <c r="BS634" s="4"/>
      <c r="BW634" s="4"/>
      <c r="BX634" s="4"/>
    </row>
    <row r="635" spans="1:76" ht="12.75" x14ac:dyDescent="0.2">
      <c r="A635" s="4" t="s">
        <v>1049</v>
      </c>
      <c r="B635" s="4" t="s">
        <v>77</v>
      </c>
      <c r="C635" s="4" t="s">
        <v>905</v>
      </c>
      <c r="D635" s="4">
        <v>2766</v>
      </c>
      <c r="E635" s="4" t="s">
        <v>70</v>
      </c>
      <c r="F635" s="4" t="s">
        <v>1642</v>
      </c>
      <c r="G635" s="113">
        <v>1</v>
      </c>
      <c r="H635" t="s">
        <v>1781</v>
      </c>
      <c r="I635" s="4">
        <v>7.35</v>
      </c>
      <c r="L635" s="4" t="s">
        <v>1626</v>
      </c>
      <c r="M635" s="4" t="s">
        <v>109</v>
      </c>
      <c r="N635" s="4" t="s">
        <v>75</v>
      </c>
      <c r="O635" s="4"/>
      <c r="P635" s="4" t="s">
        <v>1694</v>
      </c>
      <c r="Q635" t="s">
        <v>109</v>
      </c>
      <c r="R635" s="4"/>
      <c r="T635"/>
      <c r="U635" s="4"/>
      <c r="Y635" s="4"/>
      <c r="Z635" s="4"/>
      <c r="AA635" s="4"/>
      <c r="AB635" s="4"/>
      <c r="AC635" s="4"/>
      <c r="AD635" s="4"/>
      <c r="AE635" s="4"/>
      <c r="AF635" s="4"/>
      <c r="AG635" s="4"/>
      <c r="AH635" s="4"/>
      <c r="AI635" s="4"/>
      <c r="AJ635" s="4"/>
      <c r="AK635" s="4"/>
      <c r="AL635" s="4"/>
      <c r="AP635" s="4"/>
      <c r="AX635" s="4"/>
      <c r="AY635" s="4"/>
      <c r="AZ635" s="4"/>
      <c r="BA635" s="4"/>
      <c r="BB635" s="4"/>
      <c r="BC635" s="4"/>
      <c r="BD635" s="4"/>
      <c r="BE635" s="4"/>
      <c r="BF635" s="4"/>
      <c r="BG635" s="4"/>
      <c r="BI635" s="4"/>
      <c r="BP635" s="4"/>
      <c r="BS635" s="4"/>
      <c r="BW635" s="4"/>
      <c r="BX635" s="4"/>
    </row>
    <row r="636" spans="1:76" ht="12.75" x14ac:dyDescent="0.2">
      <c r="A636" s="4" t="s">
        <v>1078</v>
      </c>
      <c r="B636" s="4" t="s">
        <v>186</v>
      </c>
      <c r="C636" s="4" t="s">
        <v>916</v>
      </c>
      <c r="D636" s="4">
        <v>2767</v>
      </c>
      <c r="E636" s="4" t="s">
        <v>71</v>
      </c>
      <c r="F636" s="4" t="s">
        <v>1642</v>
      </c>
      <c r="G636" s="113">
        <v>1</v>
      </c>
      <c r="H636" t="s">
        <v>1781</v>
      </c>
      <c r="I636" s="4">
        <v>0.16</v>
      </c>
      <c r="L636" s="4" t="s">
        <v>1615</v>
      </c>
      <c r="M636" s="4" t="s">
        <v>109</v>
      </c>
      <c r="N636" s="4" t="s">
        <v>75</v>
      </c>
      <c r="O636" s="4" t="s">
        <v>1422</v>
      </c>
      <c r="P636" s="4" t="s">
        <v>1694</v>
      </c>
      <c r="Q636" t="s">
        <v>109</v>
      </c>
      <c r="R636" s="4"/>
      <c r="T636"/>
      <c r="U636" s="4"/>
      <c r="Y636" s="4"/>
      <c r="Z636" s="4"/>
      <c r="AA636" s="4"/>
      <c r="AB636" s="4"/>
      <c r="AC636" s="4"/>
      <c r="AD636" s="4"/>
      <c r="AE636" s="4"/>
      <c r="AF636" s="4"/>
      <c r="AG636" s="4"/>
      <c r="AH636" s="4"/>
      <c r="AI636" s="4"/>
      <c r="AJ636" s="4"/>
      <c r="AK636" s="4"/>
      <c r="AL636" s="4"/>
      <c r="AP636" s="4"/>
      <c r="AX636" s="4"/>
      <c r="AY636" s="4"/>
      <c r="AZ636" s="4"/>
      <c r="BA636" s="4"/>
      <c r="BB636" s="4"/>
      <c r="BC636" s="4"/>
      <c r="BD636" s="4"/>
      <c r="BE636" s="4"/>
      <c r="BF636" s="4"/>
      <c r="BG636" s="4"/>
      <c r="BI636" s="4"/>
      <c r="BP636" s="4"/>
      <c r="BS636" s="4"/>
      <c r="BW636" s="4"/>
      <c r="BX636" s="4"/>
    </row>
    <row r="637" spans="1:76" ht="12.75" x14ac:dyDescent="0.2">
      <c r="A637" s="4" t="s">
        <v>1078</v>
      </c>
      <c r="B637" s="4" t="s">
        <v>860</v>
      </c>
      <c r="C637" s="4" t="s">
        <v>916</v>
      </c>
      <c r="D637" s="4">
        <v>2767</v>
      </c>
      <c r="E637" s="4" t="s">
        <v>71</v>
      </c>
      <c r="F637" s="4" t="s">
        <v>1642</v>
      </c>
      <c r="G637" s="113">
        <v>1</v>
      </c>
      <c r="H637" t="s">
        <v>1781</v>
      </c>
      <c r="I637" s="4">
        <v>0.25044</v>
      </c>
      <c r="L637" s="4" t="s">
        <v>1635</v>
      </c>
      <c r="M637" s="4" t="s">
        <v>109</v>
      </c>
      <c r="N637" s="4" t="s">
        <v>75</v>
      </c>
      <c r="O637" s="4" t="s">
        <v>1422</v>
      </c>
      <c r="P637" s="4" t="s">
        <v>1694</v>
      </c>
      <c r="Q637" t="s">
        <v>109</v>
      </c>
      <c r="R637" s="4"/>
      <c r="T637"/>
      <c r="U637" s="4"/>
      <c r="Y637" s="4"/>
      <c r="Z637" s="4"/>
      <c r="AA637" s="4"/>
      <c r="AB637" s="4"/>
      <c r="AC637" s="4"/>
      <c r="AD637" s="4"/>
      <c r="AE637" s="4"/>
      <c r="AF637" s="4"/>
      <c r="AG637" s="4"/>
      <c r="AH637" s="4"/>
      <c r="AI637" s="4"/>
      <c r="AJ637" s="4"/>
      <c r="AK637" s="4"/>
      <c r="AL637" s="4"/>
      <c r="AP637" s="4"/>
      <c r="AX637" s="4"/>
      <c r="AY637" s="4"/>
      <c r="AZ637" s="4"/>
      <c r="BA637" s="4"/>
      <c r="BB637" s="4"/>
      <c r="BC637" s="4"/>
      <c r="BD637" s="4"/>
      <c r="BE637" s="4"/>
      <c r="BF637" s="4"/>
      <c r="BG637" s="4"/>
      <c r="BI637" s="4"/>
      <c r="BP637" s="4"/>
      <c r="BS637" s="4"/>
      <c r="BW637" s="4"/>
      <c r="BX637" s="4"/>
    </row>
    <row r="638" spans="1:76" ht="12.75" x14ac:dyDescent="0.2">
      <c r="A638" s="4" t="s">
        <v>1260</v>
      </c>
      <c r="B638" s="4" t="s">
        <v>1298</v>
      </c>
      <c r="C638" s="4" t="s">
        <v>916</v>
      </c>
      <c r="D638" s="4">
        <v>2767</v>
      </c>
      <c r="E638" s="4" t="s">
        <v>71</v>
      </c>
      <c r="F638" s="4" t="s">
        <v>1642</v>
      </c>
      <c r="G638" s="113">
        <v>1</v>
      </c>
      <c r="H638" t="s">
        <v>1781</v>
      </c>
      <c r="I638" s="4">
        <v>0.32900000000000001</v>
      </c>
      <c r="L638" s="4" t="s">
        <v>1636</v>
      </c>
      <c r="M638" s="4" t="s">
        <v>109</v>
      </c>
      <c r="N638" s="4" t="s">
        <v>75</v>
      </c>
      <c r="O638" s="4" t="s">
        <v>1422</v>
      </c>
      <c r="P638" s="4" t="s">
        <v>1694</v>
      </c>
      <c r="Q638" t="s">
        <v>109</v>
      </c>
      <c r="R638" s="4"/>
      <c r="T638"/>
      <c r="U638" s="4"/>
      <c r="Y638" s="4"/>
      <c r="Z638" s="4"/>
      <c r="AA638" s="4"/>
      <c r="AB638" s="4"/>
      <c r="AC638" s="4"/>
      <c r="AD638" s="4"/>
      <c r="AE638" s="4"/>
      <c r="AF638" s="4"/>
      <c r="AG638" s="4"/>
      <c r="AH638" s="4"/>
      <c r="AI638" s="4"/>
      <c r="AJ638" s="4"/>
      <c r="AK638" s="4"/>
      <c r="AL638" s="4"/>
      <c r="AP638" s="4"/>
      <c r="AX638" s="4"/>
      <c r="AY638" s="4"/>
      <c r="AZ638" s="4"/>
      <c r="BA638" s="4"/>
      <c r="BB638" s="4"/>
      <c r="BC638" s="4"/>
      <c r="BD638" s="4"/>
      <c r="BE638" s="4"/>
      <c r="BF638" s="4"/>
      <c r="BG638" s="4"/>
      <c r="BI638" s="4"/>
      <c r="BP638" s="4"/>
      <c r="BS638" s="4"/>
      <c r="BW638" s="4"/>
      <c r="BX638" s="4"/>
    </row>
    <row r="639" spans="1:76" ht="12.75" x14ac:dyDescent="0.2">
      <c r="A639" s="4" t="s">
        <v>1078</v>
      </c>
      <c r="B639" s="4" t="s">
        <v>77</v>
      </c>
      <c r="C639" s="4" t="s">
        <v>916</v>
      </c>
      <c r="D639" s="4">
        <v>2767</v>
      </c>
      <c r="E639" s="4" t="s">
        <v>71</v>
      </c>
      <c r="F639" s="4" t="s">
        <v>1642</v>
      </c>
      <c r="G639" s="113">
        <v>1</v>
      </c>
      <c r="H639" t="s">
        <v>1781</v>
      </c>
      <c r="I639" s="4">
        <v>0.42807978604858477</v>
      </c>
      <c r="L639" s="4" t="s">
        <v>1637</v>
      </c>
      <c r="M639" s="4" t="s">
        <v>109</v>
      </c>
      <c r="N639" s="4" t="s">
        <v>75</v>
      </c>
      <c r="O639" s="4" t="s">
        <v>1422</v>
      </c>
      <c r="P639" s="4" t="s">
        <v>1694</v>
      </c>
      <c r="Q639" t="s">
        <v>109</v>
      </c>
      <c r="R639" s="4"/>
      <c r="T639"/>
      <c r="U639" s="4"/>
      <c r="Y639" s="4"/>
      <c r="Z639" s="4"/>
      <c r="AA639" s="4"/>
      <c r="AB639" s="4"/>
      <c r="AC639" s="4"/>
      <c r="AD639" s="4"/>
      <c r="AE639" s="4"/>
      <c r="AF639" s="4"/>
      <c r="AG639" s="4"/>
      <c r="AH639" s="4"/>
      <c r="AI639" s="4"/>
      <c r="AJ639" s="4"/>
      <c r="AK639" s="4"/>
      <c r="AL639" s="4"/>
      <c r="AP639" s="4"/>
      <c r="AX639" s="4"/>
      <c r="AY639" s="4"/>
      <c r="AZ639" s="4"/>
      <c r="BA639" s="4"/>
      <c r="BB639" s="4"/>
      <c r="BC639" s="4"/>
      <c r="BD639" s="4"/>
      <c r="BE639" s="4"/>
      <c r="BF639" s="4"/>
      <c r="BG639" s="4"/>
      <c r="BI639" s="4"/>
      <c r="BP639" s="4"/>
      <c r="BS639" s="4"/>
      <c r="BW639" s="4"/>
      <c r="BX639" s="4"/>
    </row>
    <row r="640" spans="1:76" ht="12.75" x14ac:dyDescent="0.2">
      <c r="A640" s="4" t="s">
        <v>1257</v>
      </c>
      <c r="B640" s="4" t="s">
        <v>860</v>
      </c>
      <c r="C640" s="4" t="s">
        <v>916</v>
      </c>
      <c r="D640" s="4">
        <v>2767</v>
      </c>
      <c r="E640" s="4" t="s">
        <v>71</v>
      </c>
      <c r="F640" s="4" t="s">
        <v>1642</v>
      </c>
      <c r="G640" s="113">
        <v>1</v>
      </c>
      <c r="H640" t="s">
        <v>1781</v>
      </c>
      <c r="I640" s="4">
        <v>1.2698</v>
      </c>
      <c r="L640" s="4" t="s">
        <v>1635</v>
      </c>
      <c r="M640" s="4" t="s">
        <v>109</v>
      </c>
      <c r="N640" s="4" t="s">
        <v>75</v>
      </c>
      <c r="O640" s="4" t="s">
        <v>1422</v>
      </c>
      <c r="P640" s="4" t="s">
        <v>1694</v>
      </c>
      <c r="Q640" t="s">
        <v>109</v>
      </c>
      <c r="R640" s="4"/>
      <c r="T640"/>
      <c r="U640" s="4"/>
      <c r="Y640" s="4"/>
      <c r="Z640" s="4"/>
      <c r="AA640" s="4"/>
      <c r="AB640" s="4"/>
      <c r="AC640" s="4"/>
      <c r="AD640" s="4"/>
      <c r="AE640" s="4"/>
      <c r="AF640" s="4"/>
      <c r="AG640" s="4"/>
      <c r="AH640" s="4"/>
      <c r="AI640" s="4"/>
      <c r="AJ640" s="4"/>
      <c r="AK640" s="4"/>
      <c r="AL640" s="4"/>
      <c r="AP640" s="4"/>
      <c r="AX640" s="4"/>
      <c r="AY640" s="4"/>
      <c r="AZ640" s="4"/>
      <c r="BA640" s="4"/>
      <c r="BB640" s="4"/>
      <c r="BC640" s="4"/>
      <c r="BD640" s="4"/>
      <c r="BE640" s="4"/>
      <c r="BF640" s="4"/>
      <c r="BG640" s="4"/>
      <c r="BI640" s="4"/>
      <c r="BP640" s="4"/>
      <c r="BS640" s="4"/>
      <c r="BW640" s="4"/>
      <c r="BX640" s="4"/>
    </row>
    <row r="641" spans="1:76" ht="12.75" x14ac:dyDescent="0.2">
      <c r="A641" s="4" t="s">
        <v>431</v>
      </c>
      <c r="B641" s="4" t="s">
        <v>314</v>
      </c>
      <c r="C641" s="4" t="s">
        <v>778</v>
      </c>
      <c r="D641" s="4">
        <v>2805</v>
      </c>
      <c r="E641" s="4" t="s">
        <v>18</v>
      </c>
      <c r="F641" s="4" t="s">
        <v>893</v>
      </c>
      <c r="G641" s="113">
        <v>0.5</v>
      </c>
      <c r="H641" t="s">
        <v>1781</v>
      </c>
      <c r="I641" s="4">
        <v>0.4864464935064936</v>
      </c>
      <c r="L641" s="4" t="s">
        <v>1581</v>
      </c>
      <c r="M641" s="4" t="s">
        <v>109</v>
      </c>
      <c r="N641" s="4" t="s">
        <v>6</v>
      </c>
      <c r="O641" s="4"/>
      <c r="P641" s="4" t="s">
        <v>1693</v>
      </c>
      <c r="Q641" t="s">
        <v>109</v>
      </c>
      <c r="R641" s="4"/>
      <c r="T641"/>
      <c r="U641" s="4"/>
      <c r="Y641" s="4"/>
      <c r="Z641" s="4"/>
      <c r="AA641" s="4"/>
      <c r="AB641" s="4"/>
      <c r="AC641" s="4"/>
      <c r="AD641" s="4"/>
      <c r="AE641" s="4"/>
      <c r="AF641" s="4"/>
      <c r="AG641" s="4"/>
      <c r="AH641" s="4"/>
      <c r="AI641" s="4"/>
      <c r="AJ641" s="4"/>
      <c r="AK641" s="4"/>
      <c r="AL641" s="4"/>
      <c r="AP641" s="4"/>
      <c r="AX641" s="4"/>
      <c r="AY641" s="4"/>
      <c r="AZ641" s="4"/>
      <c r="BA641" s="4"/>
      <c r="BB641" s="4"/>
      <c r="BC641" s="4"/>
      <c r="BD641" s="4"/>
      <c r="BE641" s="4"/>
      <c r="BF641" s="4"/>
      <c r="BG641" s="4"/>
      <c r="BI641" s="4"/>
      <c r="BP641" s="4"/>
      <c r="BS641" s="4"/>
      <c r="BW641" s="4"/>
      <c r="BX641" s="4"/>
    </row>
    <row r="642" spans="1:76" ht="12.75" x14ac:dyDescent="0.2">
      <c r="A642" s="4" t="s">
        <v>431</v>
      </c>
      <c r="B642" s="4" t="s">
        <v>314</v>
      </c>
      <c r="C642" s="4" t="s">
        <v>778</v>
      </c>
      <c r="D642" s="4">
        <v>2805</v>
      </c>
      <c r="E642" s="4" t="s">
        <v>18</v>
      </c>
      <c r="F642" s="4" t="s">
        <v>893</v>
      </c>
      <c r="G642" s="113">
        <v>0.5</v>
      </c>
      <c r="H642" t="s">
        <v>1781</v>
      </c>
      <c r="I642" s="4">
        <v>0.78305376623376621</v>
      </c>
      <c r="L642" s="4" t="s">
        <v>1581</v>
      </c>
      <c r="M642" s="4" t="s">
        <v>109</v>
      </c>
      <c r="N642" s="4" t="s">
        <v>6</v>
      </c>
      <c r="O642" s="4"/>
      <c r="P642" s="4" t="s">
        <v>1693</v>
      </c>
      <c r="Q642" t="s">
        <v>109</v>
      </c>
      <c r="R642" s="4"/>
      <c r="T642"/>
      <c r="U642" s="4"/>
      <c r="Y642" s="4"/>
      <c r="Z642" s="4"/>
      <c r="AA642" s="4"/>
      <c r="AB642" s="4"/>
      <c r="AC642" s="4"/>
      <c r="AD642" s="4"/>
      <c r="AE642" s="4"/>
      <c r="AF642" s="4"/>
      <c r="AG642" s="4"/>
      <c r="AH642" s="4"/>
      <c r="AI642" s="4"/>
      <c r="AJ642" s="4"/>
      <c r="AK642" s="4"/>
      <c r="AL642" s="4"/>
      <c r="AP642" s="4"/>
      <c r="AX642" s="4"/>
      <c r="AY642" s="4"/>
      <c r="AZ642" s="4"/>
      <c r="BA642" s="4"/>
      <c r="BB642" s="4"/>
      <c r="BC642" s="4"/>
      <c r="BD642" s="4"/>
      <c r="BE642" s="4"/>
      <c r="BF642" s="4"/>
      <c r="BG642" s="4"/>
      <c r="BI642" s="4"/>
      <c r="BP642" s="4"/>
      <c r="BS642" s="4"/>
      <c r="BW642" s="4"/>
      <c r="BX642" s="4"/>
    </row>
    <row r="643" spans="1:76" ht="12.75" x14ac:dyDescent="0.2">
      <c r="A643" s="4" t="s">
        <v>431</v>
      </c>
      <c r="B643" s="4" t="s">
        <v>170</v>
      </c>
      <c r="C643" s="4" t="s">
        <v>1355</v>
      </c>
      <c r="D643" s="4">
        <v>2805</v>
      </c>
      <c r="E643" s="4" t="s">
        <v>18</v>
      </c>
      <c r="F643" s="4" t="s">
        <v>893</v>
      </c>
      <c r="G643" s="113">
        <v>0.5</v>
      </c>
      <c r="H643" t="s">
        <v>1781</v>
      </c>
      <c r="I643" s="4">
        <v>0.89179480519480525</v>
      </c>
      <c r="L643" s="4" t="s">
        <v>1582</v>
      </c>
      <c r="M643" s="4" t="s">
        <v>109</v>
      </c>
      <c r="N643" s="4" t="s">
        <v>6</v>
      </c>
      <c r="O643" s="4"/>
      <c r="P643" s="4" t="s">
        <v>1693</v>
      </c>
      <c r="Q643" t="s">
        <v>109</v>
      </c>
      <c r="R643" s="4"/>
      <c r="T643"/>
      <c r="U643" s="4"/>
      <c r="Y643" s="4"/>
      <c r="Z643" s="4"/>
      <c r="AA643" s="4"/>
      <c r="AB643" s="4"/>
      <c r="AC643" s="4"/>
      <c r="AD643" s="4"/>
      <c r="AE643" s="4"/>
      <c r="AF643" s="4"/>
      <c r="AG643" s="4"/>
      <c r="AH643" s="4"/>
      <c r="AI643" s="4"/>
      <c r="AJ643" s="4"/>
      <c r="AK643" s="4"/>
      <c r="AL643" s="4"/>
      <c r="AP643" s="4"/>
      <c r="AX643" s="4"/>
      <c r="AY643" s="4"/>
      <c r="AZ643" s="4"/>
      <c r="BA643" s="4"/>
      <c r="BB643" s="4"/>
      <c r="BC643" s="4"/>
      <c r="BD643" s="4"/>
      <c r="BE643" s="4"/>
      <c r="BF643" s="4"/>
      <c r="BG643" s="4"/>
      <c r="BI643" s="4"/>
      <c r="BP643" s="4"/>
      <c r="BS643" s="4"/>
      <c r="BW643" s="4"/>
      <c r="BX643" s="4"/>
    </row>
    <row r="644" spans="1:76" ht="12.75" x14ac:dyDescent="0.2">
      <c r="A644" s="4" t="s">
        <v>431</v>
      </c>
      <c r="B644" s="4" t="s">
        <v>143</v>
      </c>
      <c r="C644" s="4" t="s">
        <v>111</v>
      </c>
      <c r="D644" s="4">
        <v>2805</v>
      </c>
      <c r="E644" s="4" t="s">
        <v>18</v>
      </c>
      <c r="F644" s="4" t="s">
        <v>893</v>
      </c>
      <c r="G644" s="113">
        <v>1</v>
      </c>
      <c r="H644" t="s">
        <v>1781</v>
      </c>
      <c r="I644" s="4">
        <v>0.93506493506493504</v>
      </c>
      <c r="L644" s="4" t="s">
        <v>1556</v>
      </c>
      <c r="M644" s="4" t="s">
        <v>109</v>
      </c>
      <c r="N644" s="4" t="s">
        <v>6</v>
      </c>
      <c r="O644" s="4"/>
      <c r="P644" s="4" t="s">
        <v>1693</v>
      </c>
      <c r="Q644" t="s">
        <v>109</v>
      </c>
      <c r="R644" s="4"/>
      <c r="T644"/>
      <c r="U644" s="4"/>
      <c r="Y644" s="4"/>
      <c r="Z644" s="4"/>
      <c r="AA644" s="4"/>
      <c r="AB644" s="4"/>
      <c r="AC644" s="4"/>
      <c r="AD644" s="4"/>
      <c r="AE644" s="4"/>
      <c r="AF644" s="4"/>
      <c r="AG644" s="4"/>
      <c r="AH644" s="4"/>
      <c r="AI644" s="4"/>
      <c r="AJ644" s="4"/>
      <c r="AK644" s="4"/>
      <c r="AL644" s="4"/>
      <c r="AP644" s="4"/>
      <c r="AX644" s="4"/>
      <c r="AY644" s="4"/>
      <c r="AZ644" s="4"/>
      <c r="BA644" s="4"/>
      <c r="BB644" s="4"/>
      <c r="BC644" s="4"/>
      <c r="BD644" s="4"/>
      <c r="BE644" s="4"/>
      <c r="BF644" s="4"/>
      <c r="BG644" s="4"/>
      <c r="BI644" s="4"/>
      <c r="BP644" s="4"/>
      <c r="BS644" s="4"/>
      <c r="BW644" s="4"/>
      <c r="BX644" s="4"/>
    </row>
    <row r="645" spans="1:76" ht="12.75" x14ac:dyDescent="0.2">
      <c r="A645" s="4" t="s">
        <v>431</v>
      </c>
      <c r="B645" s="4" t="s">
        <v>440</v>
      </c>
      <c r="C645" s="4" t="s">
        <v>111</v>
      </c>
      <c r="D645" s="4">
        <v>2805</v>
      </c>
      <c r="E645" s="4" t="s">
        <v>18</v>
      </c>
      <c r="F645" s="4" t="s">
        <v>893</v>
      </c>
      <c r="G645" s="113">
        <v>0.5</v>
      </c>
      <c r="H645" t="s">
        <v>1781</v>
      </c>
      <c r="I645" s="4">
        <v>1.3140000000000001</v>
      </c>
      <c r="L645" s="4" t="s">
        <v>1583</v>
      </c>
      <c r="M645" s="4" t="s">
        <v>109</v>
      </c>
      <c r="N645" s="4" t="s">
        <v>6</v>
      </c>
      <c r="O645" s="4"/>
      <c r="P645" s="4" t="s">
        <v>1693</v>
      </c>
      <c r="Q645" t="s">
        <v>109</v>
      </c>
      <c r="R645" s="4"/>
      <c r="T645"/>
      <c r="U645" s="4"/>
      <c r="Y645" s="4"/>
      <c r="Z645" s="4"/>
      <c r="AA645" s="4"/>
      <c r="AB645" s="4"/>
      <c r="AC645" s="4"/>
      <c r="AD645" s="4"/>
      <c r="AE645" s="4"/>
      <c r="AF645" s="4"/>
      <c r="AG645" s="4"/>
      <c r="AH645" s="4"/>
      <c r="AI645" s="4"/>
      <c r="AJ645" s="4"/>
      <c r="AK645" s="4"/>
      <c r="AL645" s="4"/>
      <c r="AP645" s="4"/>
      <c r="AX645" s="4"/>
      <c r="AY645" s="4"/>
      <c r="AZ645" s="4"/>
      <c r="BA645" s="4"/>
      <c r="BB645" s="4"/>
      <c r="BC645" s="4"/>
      <c r="BD645" s="4"/>
      <c r="BE645" s="4"/>
      <c r="BF645" s="4"/>
      <c r="BG645" s="4"/>
      <c r="BI645" s="4"/>
      <c r="BP645" s="4"/>
      <c r="BS645" s="4"/>
      <c r="BW645" s="4"/>
      <c r="BX645" s="4"/>
    </row>
    <row r="646" spans="1:76" ht="12.75" x14ac:dyDescent="0.2">
      <c r="A646" s="4" t="s">
        <v>431</v>
      </c>
      <c r="B646" s="4" t="s">
        <v>440</v>
      </c>
      <c r="C646" s="4" t="s">
        <v>1374</v>
      </c>
      <c r="D646" s="4">
        <v>2805</v>
      </c>
      <c r="E646" s="4" t="s">
        <v>18</v>
      </c>
      <c r="F646" s="4" t="s">
        <v>893</v>
      </c>
      <c r="G646" s="113">
        <v>0.5</v>
      </c>
      <c r="H646" t="s">
        <v>1781</v>
      </c>
      <c r="I646" s="4">
        <v>1.4220000000000002</v>
      </c>
      <c r="L646" s="4" t="s">
        <v>1583</v>
      </c>
      <c r="M646" s="4" t="s">
        <v>109</v>
      </c>
      <c r="N646" s="4" t="s">
        <v>6</v>
      </c>
      <c r="O646" s="4"/>
      <c r="P646" s="4" t="s">
        <v>1693</v>
      </c>
      <c r="Q646" t="s">
        <v>109</v>
      </c>
      <c r="R646" s="4"/>
      <c r="T646"/>
      <c r="U646" s="4"/>
      <c r="Y646" s="4"/>
      <c r="Z646" s="4"/>
      <c r="AA646" s="4"/>
      <c r="AB646" s="4"/>
      <c r="AC646" s="4"/>
      <c r="AD646" s="4"/>
      <c r="AE646" s="4"/>
      <c r="AF646" s="4"/>
      <c r="AG646" s="4"/>
      <c r="AH646" s="4"/>
      <c r="AI646" s="4"/>
      <c r="AJ646" s="4"/>
      <c r="AK646" s="4"/>
      <c r="AL646" s="4"/>
      <c r="AP646" s="4"/>
      <c r="AX646" s="4"/>
      <c r="AY646" s="4"/>
      <c r="AZ646" s="4"/>
      <c r="BA646" s="4"/>
      <c r="BB646" s="4"/>
      <c r="BC646" s="4"/>
      <c r="BD646" s="4"/>
      <c r="BE646" s="4"/>
      <c r="BF646" s="4"/>
      <c r="BG646" s="4"/>
      <c r="BI646" s="4"/>
      <c r="BP646" s="4"/>
      <c r="BS646" s="4"/>
      <c r="BW646" s="4"/>
      <c r="BX646" s="4"/>
    </row>
    <row r="647" spans="1:76" ht="12.75" x14ac:dyDescent="0.2">
      <c r="A647" s="4" t="s">
        <v>431</v>
      </c>
      <c r="B647" s="4" t="s">
        <v>170</v>
      </c>
      <c r="C647" s="4" t="s">
        <v>1356</v>
      </c>
      <c r="D647" s="4">
        <v>2805</v>
      </c>
      <c r="E647" s="4" t="s">
        <v>18</v>
      </c>
      <c r="F647" s="4" t="s">
        <v>893</v>
      </c>
      <c r="G647" s="113">
        <v>0.5</v>
      </c>
      <c r="H647" t="s">
        <v>1781</v>
      </c>
      <c r="I647" s="4">
        <v>1.5337636363636364</v>
      </c>
      <c r="L647" s="4" t="s">
        <v>1582</v>
      </c>
      <c r="M647" s="4" t="s">
        <v>109</v>
      </c>
      <c r="N647" s="4" t="s">
        <v>6</v>
      </c>
      <c r="O647" s="4"/>
      <c r="P647" s="4" t="s">
        <v>1693</v>
      </c>
      <c r="Q647" t="s">
        <v>109</v>
      </c>
      <c r="R647" s="4"/>
      <c r="T647"/>
      <c r="U647" s="4"/>
      <c r="Y647" s="4"/>
      <c r="Z647" s="4"/>
      <c r="AA647" s="4"/>
      <c r="AB647" s="4"/>
      <c r="AC647" s="4"/>
      <c r="AD647" s="4"/>
      <c r="AE647" s="4"/>
      <c r="AF647" s="4"/>
      <c r="AG647" s="4"/>
      <c r="AH647" s="4"/>
      <c r="AI647" s="4"/>
      <c r="AJ647" s="4"/>
      <c r="AK647" s="4"/>
      <c r="AL647" s="4"/>
      <c r="AP647" s="4"/>
      <c r="AX647" s="4"/>
      <c r="AY647" s="4"/>
      <c r="AZ647" s="4"/>
      <c r="BA647" s="4"/>
      <c r="BB647" s="4"/>
      <c r="BC647" s="4"/>
      <c r="BD647" s="4"/>
      <c r="BE647" s="4"/>
      <c r="BF647" s="4"/>
      <c r="BG647" s="4"/>
      <c r="BI647" s="4"/>
      <c r="BP647" s="4"/>
      <c r="BS647" s="4"/>
      <c r="BW647" s="4"/>
      <c r="BX647" s="4"/>
    </row>
    <row r="648" spans="1:76" ht="12.75" x14ac:dyDescent="0.2">
      <c r="A648" s="4" t="s">
        <v>431</v>
      </c>
      <c r="B648" s="4" t="s">
        <v>143</v>
      </c>
      <c r="C648" s="4" t="s">
        <v>111</v>
      </c>
      <c r="D648" s="4">
        <v>2805</v>
      </c>
      <c r="E648" s="4" t="s">
        <v>18</v>
      </c>
      <c r="F648" s="4" t="s">
        <v>893</v>
      </c>
      <c r="G648" s="113">
        <v>1</v>
      </c>
      <c r="H648" t="s">
        <v>1781</v>
      </c>
      <c r="I648" s="4">
        <v>1.7662397142857145</v>
      </c>
      <c r="L648" s="4" t="s">
        <v>1580</v>
      </c>
      <c r="M648" s="4" t="s">
        <v>109</v>
      </c>
      <c r="N648" s="4" t="s">
        <v>6</v>
      </c>
      <c r="O648" s="4"/>
      <c r="P648" s="4" t="s">
        <v>1693</v>
      </c>
      <c r="Q648" t="s">
        <v>109</v>
      </c>
      <c r="R648" s="4"/>
      <c r="T648"/>
      <c r="U648" s="4"/>
      <c r="Y648" s="4"/>
      <c r="Z648" s="4"/>
      <c r="AA648" s="4"/>
      <c r="AB648" s="4"/>
      <c r="AC648" s="4"/>
      <c r="AD648" s="4"/>
      <c r="AE648" s="4"/>
      <c r="AF648" s="4"/>
      <c r="AG648" s="4"/>
      <c r="AH648" s="4"/>
      <c r="AI648" s="4"/>
      <c r="AJ648" s="4"/>
      <c r="AK648" s="4"/>
      <c r="AL648" s="4"/>
      <c r="AP648" s="4"/>
      <c r="AX648" s="4"/>
      <c r="AY648" s="4"/>
      <c r="AZ648" s="4"/>
      <c r="BA648" s="4"/>
      <c r="BB648" s="4"/>
      <c r="BC648" s="4"/>
      <c r="BD648" s="4"/>
      <c r="BE648" s="4"/>
      <c r="BF648" s="4"/>
      <c r="BG648" s="4"/>
      <c r="BI648" s="4"/>
      <c r="BP648" s="4"/>
      <c r="BS648" s="4"/>
      <c r="BW648" s="4"/>
      <c r="BX648" s="4"/>
    </row>
    <row r="649" spans="1:76" ht="12.75" x14ac:dyDescent="0.2">
      <c r="A649" s="4" t="s">
        <v>431</v>
      </c>
      <c r="B649" s="4" t="s">
        <v>77</v>
      </c>
      <c r="C649" s="4" t="s">
        <v>111</v>
      </c>
      <c r="D649" s="4">
        <v>2805</v>
      </c>
      <c r="E649" s="4" t="s">
        <v>18</v>
      </c>
      <c r="F649" s="4" t="s">
        <v>893</v>
      </c>
      <c r="G649" s="113">
        <v>0.5</v>
      </c>
      <c r="H649" t="s">
        <v>1781</v>
      </c>
      <c r="I649" s="4">
        <v>2.0735064935064935</v>
      </c>
      <c r="L649" s="4" t="s">
        <v>1555</v>
      </c>
      <c r="M649" s="4" t="s">
        <v>109</v>
      </c>
      <c r="N649" s="4" t="s">
        <v>6</v>
      </c>
      <c r="O649" s="4"/>
      <c r="P649" s="4" t="s">
        <v>1693</v>
      </c>
      <c r="Q649" t="s">
        <v>109</v>
      </c>
      <c r="R649" s="4"/>
      <c r="T649"/>
      <c r="U649" s="4"/>
      <c r="Y649" s="4"/>
      <c r="Z649" s="4"/>
      <c r="AA649" s="4"/>
      <c r="AB649" s="4"/>
      <c r="AC649" s="4"/>
      <c r="AD649" s="4"/>
      <c r="AE649" s="4"/>
      <c r="AF649" s="4"/>
      <c r="AG649" s="4"/>
      <c r="AH649" s="4"/>
      <c r="AI649" s="4"/>
      <c r="AJ649" s="4"/>
      <c r="AK649" s="4"/>
      <c r="AL649" s="4"/>
      <c r="AP649" s="4"/>
      <c r="AX649" s="4"/>
      <c r="AY649" s="4"/>
      <c r="AZ649" s="4"/>
      <c r="BA649" s="4"/>
      <c r="BB649" s="4"/>
      <c r="BC649" s="4"/>
      <c r="BD649" s="4"/>
      <c r="BE649" s="4"/>
      <c r="BF649" s="4"/>
      <c r="BG649" s="4"/>
      <c r="BI649" s="4"/>
      <c r="BP649" s="4"/>
      <c r="BS649" s="4"/>
      <c r="BW649" s="4"/>
      <c r="BX649" s="4"/>
    </row>
    <row r="650" spans="1:76" ht="12.75" x14ac:dyDescent="0.2">
      <c r="A650" s="4" t="s">
        <v>431</v>
      </c>
      <c r="B650" s="4" t="s">
        <v>77</v>
      </c>
      <c r="C650" s="4" t="s">
        <v>101</v>
      </c>
      <c r="D650" s="4">
        <v>2805</v>
      </c>
      <c r="E650" s="4" t="s">
        <v>18</v>
      </c>
      <c r="F650" s="4" t="s">
        <v>893</v>
      </c>
      <c r="G650" s="113">
        <v>0.5</v>
      </c>
      <c r="H650" t="s">
        <v>1781</v>
      </c>
      <c r="I650" s="4">
        <v>3.3580519480519486</v>
      </c>
      <c r="L650" s="4" t="s">
        <v>1555</v>
      </c>
      <c r="M650" s="4" t="s">
        <v>109</v>
      </c>
      <c r="N650" s="4" t="s">
        <v>6</v>
      </c>
      <c r="O650" s="4"/>
      <c r="P650" s="4" t="s">
        <v>1693</v>
      </c>
      <c r="Q650" t="s">
        <v>109</v>
      </c>
      <c r="R650" s="4"/>
      <c r="T650"/>
      <c r="U650" s="4"/>
      <c r="Y650" s="4"/>
      <c r="Z650" s="4"/>
      <c r="AA650" s="4"/>
      <c r="AB650" s="4"/>
      <c r="AC650" s="4"/>
      <c r="AD650" s="4"/>
      <c r="AE650" s="4"/>
      <c r="AF650" s="4"/>
      <c r="AG650" s="4"/>
      <c r="AH650" s="4"/>
      <c r="AI650" s="4"/>
      <c r="AJ650" s="4"/>
      <c r="AK650" s="4"/>
      <c r="AL650" s="4"/>
      <c r="AP650" s="4"/>
      <c r="AX650" s="4"/>
      <c r="AY650" s="4"/>
      <c r="AZ650" s="4"/>
      <c r="BA650" s="4"/>
      <c r="BB650" s="4"/>
      <c r="BC650" s="4"/>
      <c r="BD650" s="4"/>
      <c r="BE650" s="4"/>
      <c r="BF650" s="4"/>
      <c r="BG650" s="4"/>
      <c r="BI650" s="4"/>
      <c r="BP650" s="4"/>
      <c r="BS650" s="4"/>
      <c r="BW650" s="4"/>
      <c r="BX650" s="4"/>
    </row>
    <row r="651" spans="1:76" ht="12.75" x14ac:dyDescent="0.2">
      <c r="A651" s="4" t="s">
        <v>1072</v>
      </c>
      <c r="B651" s="4"/>
      <c r="C651" s="4"/>
      <c r="D651" s="4">
        <v>9001</v>
      </c>
      <c r="E651" s="4" t="s">
        <v>1248</v>
      </c>
      <c r="F651" s="4" t="s">
        <v>1642</v>
      </c>
      <c r="G651" s="113">
        <v>1</v>
      </c>
      <c r="H651" t="s">
        <v>1781</v>
      </c>
      <c r="I651" s="4">
        <v>0.31</v>
      </c>
      <c r="L651" s="4"/>
      <c r="M651" s="4" t="s">
        <v>109</v>
      </c>
      <c r="O651" s="4"/>
      <c r="P651" s="4" t="s">
        <v>1694</v>
      </c>
      <c r="Q651" s="124" t="s">
        <v>1432</v>
      </c>
      <c r="R651" s="4"/>
      <c r="T651"/>
      <c r="U651" s="4"/>
      <c r="Y651" s="4"/>
      <c r="Z651" s="4"/>
      <c r="AA651" s="4"/>
      <c r="AB651" s="4"/>
      <c r="AC651" s="4"/>
      <c r="AD651" s="4"/>
      <c r="AE651" s="4"/>
      <c r="AF651" s="4"/>
      <c r="AG651" s="4"/>
      <c r="AH651" s="4"/>
      <c r="AI651" s="4"/>
      <c r="AJ651" s="4"/>
      <c r="AK651" s="4"/>
      <c r="AL651" s="4"/>
      <c r="AP651" s="4"/>
      <c r="AX651" s="4"/>
      <c r="AY651" s="4"/>
      <c r="AZ651" s="4"/>
      <c r="BA651" s="4"/>
      <c r="BB651" s="4"/>
      <c r="BC651" s="4"/>
      <c r="BD651" s="4"/>
      <c r="BE651" s="4"/>
      <c r="BF651" s="4"/>
      <c r="BG651" s="4"/>
      <c r="BI651" s="4"/>
      <c r="BP651" s="4"/>
      <c r="BS651" s="4"/>
      <c r="BW651" s="4"/>
      <c r="BX651" s="4"/>
    </row>
    <row r="652" spans="1:76" ht="12.75" x14ac:dyDescent="0.2">
      <c r="A652" s="4" t="s">
        <v>976</v>
      </c>
      <c r="B652" s="4"/>
      <c r="C652" s="4"/>
      <c r="D652" s="4">
        <v>9001</v>
      </c>
      <c r="E652" s="4" t="s">
        <v>1248</v>
      </c>
      <c r="F652" s="4" t="s">
        <v>1642</v>
      </c>
      <c r="G652" s="113">
        <v>0.5</v>
      </c>
      <c r="H652" t="s">
        <v>1781</v>
      </c>
      <c r="I652" s="4">
        <v>0.35</v>
      </c>
      <c r="L652" s="4"/>
      <c r="M652" s="4" t="s">
        <v>109</v>
      </c>
      <c r="O652" s="4"/>
      <c r="P652" s="4" t="s">
        <v>1694</v>
      </c>
      <c r="Q652" t="s">
        <v>1432</v>
      </c>
      <c r="R652" s="4"/>
      <c r="T652"/>
      <c r="U652" s="4"/>
      <c r="Y652" s="4"/>
      <c r="Z652" s="4"/>
      <c r="AA652" s="4"/>
      <c r="AB652" s="4"/>
      <c r="AC652" s="4"/>
      <c r="AD652" s="4"/>
      <c r="AE652" s="4"/>
      <c r="AF652" s="4"/>
      <c r="AG652" s="4"/>
      <c r="AH652" s="4"/>
      <c r="AI652" s="4"/>
      <c r="AJ652" s="4"/>
      <c r="AK652" s="4"/>
      <c r="AL652" s="4"/>
      <c r="AP652" s="4"/>
      <c r="AX652" s="4"/>
      <c r="AY652" s="4"/>
      <c r="AZ652" s="4"/>
      <c r="BA652" s="4"/>
      <c r="BB652" s="4"/>
      <c r="BC652" s="4"/>
      <c r="BD652" s="4"/>
      <c r="BE652" s="4"/>
      <c r="BF652" s="4"/>
      <c r="BG652" s="4"/>
      <c r="BI652" s="4"/>
      <c r="BP652" s="4"/>
      <c r="BS652" s="4"/>
      <c r="BW652" s="4"/>
      <c r="BX652" s="4"/>
    </row>
    <row r="653" spans="1:76" ht="12.75" x14ac:dyDescent="0.2">
      <c r="A653" s="4" t="s">
        <v>1079</v>
      </c>
      <c r="B653" s="4"/>
      <c r="C653" s="4"/>
      <c r="D653" s="4">
        <v>9001</v>
      </c>
      <c r="E653" s="4" t="s">
        <v>1248</v>
      </c>
      <c r="F653" s="4" t="s">
        <v>1642</v>
      </c>
      <c r="G653" s="113">
        <v>0.5</v>
      </c>
      <c r="H653" t="s">
        <v>1781</v>
      </c>
      <c r="I653" s="4">
        <v>0.35399999999999998</v>
      </c>
      <c r="L653" s="4"/>
      <c r="M653" s="4" t="s">
        <v>109</v>
      </c>
      <c r="O653" s="4"/>
      <c r="P653" s="4" t="s">
        <v>1694</v>
      </c>
      <c r="Q653" t="s">
        <v>1432</v>
      </c>
      <c r="R653" s="4"/>
      <c r="T653"/>
      <c r="U653" s="4"/>
      <c r="Y653" s="4"/>
      <c r="Z653" s="4"/>
      <c r="AA653" s="4"/>
      <c r="AB653" s="4"/>
      <c r="AC653" s="4"/>
      <c r="AD653" s="4"/>
      <c r="AE653" s="4"/>
      <c r="AF653" s="4"/>
      <c r="AG653" s="4"/>
      <c r="AH653" s="4"/>
      <c r="AI653" s="4"/>
      <c r="AJ653" s="4"/>
      <c r="AK653" s="4"/>
      <c r="AL653" s="4"/>
      <c r="AP653" s="4"/>
      <c r="AX653" s="4"/>
      <c r="AY653" s="4"/>
      <c r="AZ653" s="4"/>
      <c r="BA653" s="4"/>
      <c r="BB653" s="4"/>
      <c r="BC653" s="4"/>
      <c r="BD653" s="4"/>
      <c r="BE653" s="4"/>
      <c r="BF653" s="4"/>
      <c r="BG653" s="4"/>
      <c r="BI653" s="4"/>
      <c r="BP653" s="4"/>
      <c r="BS653" s="4"/>
      <c r="BW653" s="4"/>
      <c r="BX653" s="4"/>
    </row>
    <row r="654" spans="1:76" ht="12.75" x14ac:dyDescent="0.2">
      <c r="A654" s="4" t="s">
        <v>976</v>
      </c>
      <c r="B654" s="4"/>
      <c r="C654" s="4"/>
      <c r="D654" s="4">
        <v>9001</v>
      </c>
      <c r="E654" s="4" t="s">
        <v>1248</v>
      </c>
      <c r="F654" s="4" t="s">
        <v>1642</v>
      </c>
      <c r="G654" s="113">
        <v>0.5</v>
      </c>
      <c r="H654" t="s">
        <v>1781</v>
      </c>
      <c r="I654" s="4">
        <v>0.36</v>
      </c>
      <c r="L654" s="4"/>
      <c r="M654" s="4" t="s">
        <v>109</v>
      </c>
      <c r="O654" s="4"/>
      <c r="P654" s="4" t="s">
        <v>1694</v>
      </c>
      <c r="Q654" t="s">
        <v>1432</v>
      </c>
      <c r="R654" s="4"/>
      <c r="T654"/>
      <c r="U654" s="4"/>
      <c r="Y654" s="4"/>
      <c r="Z654" s="4"/>
      <c r="AA654" s="4"/>
      <c r="AB654" s="4"/>
      <c r="AC654" s="4"/>
      <c r="AD654" s="4"/>
      <c r="AE654" s="4"/>
      <c r="AF654" s="4"/>
      <c r="AG654" s="4"/>
      <c r="AH654" s="4"/>
      <c r="AI654" s="4"/>
      <c r="AJ654" s="4"/>
      <c r="AK654" s="4"/>
      <c r="AL654" s="4"/>
      <c r="AP654" s="4"/>
      <c r="AX654" s="4"/>
      <c r="AY654" s="4"/>
      <c r="AZ654" s="4"/>
      <c r="BA654" s="4"/>
      <c r="BB654" s="4"/>
      <c r="BC654" s="4"/>
      <c r="BD654" s="4"/>
      <c r="BE654" s="4"/>
      <c r="BF654" s="4"/>
      <c r="BG654" s="4"/>
      <c r="BI654" s="4"/>
      <c r="BP654" s="4"/>
      <c r="BS654" s="4"/>
      <c r="BW654" s="4"/>
      <c r="BX654" s="4"/>
    </row>
    <row r="655" spans="1:76" ht="12.75" x14ac:dyDescent="0.2">
      <c r="A655" s="4" t="s">
        <v>1079</v>
      </c>
      <c r="B655" s="4"/>
      <c r="C655" s="4"/>
      <c r="D655" s="4">
        <v>9001</v>
      </c>
      <c r="E655" s="4" t="s">
        <v>1248</v>
      </c>
      <c r="F655" s="4" t="s">
        <v>1642</v>
      </c>
      <c r="G655" s="113">
        <v>0.5</v>
      </c>
      <c r="H655" t="s">
        <v>1781</v>
      </c>
      <c r="I655" s="4">
        <v>0.50700000000000001</v>
      </c>
      <c r="L655" s="4"/>
      <c r="M655" s="4" t="s">
        <v>109</v>
      </c>
      <c r="O655" s="4"/>
      <c r="P655" s="4" t="s">
        <v>1694</v>
      </c>
      <c r="Q655" t="s">
        <v>1432</v>
      </c>
      <c r="R655" s="4"/>
      <c r="T655"/>
      <c r="U655" s="4"/>
      <c r="Y655" s="4"/>
      <c r="Z655" s="4"/>
      <c r="AA655" s="4"/>
      <c r="AB655" s="4"/>
      <c r="AC655" s="4"/>
      <c r="AD655" s="4"/>
      <c r="AE655" s="4"/>
      <c r="AF655" s="4"/>
      <c r="AG655" s="4"/>
      <c r="AH655" s="4"/>
      <c r="AI655" s="4"/>
      <c r="AJ655" s="4"/>
      <c r="AK655" s="4"/>
      <c r="AL655" s="4"/>
      <c r="AP655" s="4"/>
      <c r="AX655" s="4"/>
      <c r="AY655" s="4"/>
      <c r="AZ655" s="4"/>
      <c r="BA655" s="4"/>
      <c r="BB655" s="4"/>
      <c r="BC655" s="4"/>
      <c r="BD655" s="4"/>
      <c r="BE655" s="4"/>
      <c r="BF655" s="4"/>
      <c r="BG655" s="4"/>
      <c r="BI655" s="4"/>
      <c r="BP655" s="4"/>
      <c r="BS655" s="4"/>
      <c r="BW655" s="4"/>
      <c r="BX655" s="4"/>
    </row>
    <row r="656" spans="1:76" ht="12.75" x14ac:dyDescent="0.2">
      <c r="A656" s="4" t="s">
        <v>1028</v>
      </c>
      <c r="B656" s="4"/>
      <c r="C656" s="4"/>
      <c r="D656" s="4">
        <v>9001</v>
      </c>
      <c r="E656" s="4" t="s">
        <v>1248</v>
      </c>
      <c r="F656" s="4" t="s">
        <v>1642</v>
      </c>
      <c r="G656" s="113">
        <v>1</v>
      </c>
      <c r="H656" t="s">
        <v>1781</v>
      </c>
      <c r="I656" s="4">
        <v>0.78</v>
      </c>
      <c r="L656" s="4"/>
      <c r="M656" s="4" t="s">
        <v>109</v>
      </c>
      <c r="O656" s="4"/>
      <c r="P656" s="4" t="s">
        <v>1694</v>
      </c>
      <c r="Q656" t="s">
        <v>1432</v>
      </c>
      <c r="R656" s="4"/>
      <c r="T656"/>
      <c r="U656" s="4"/>
      <c r="Y656" s="4"/>
      <c r="Z656" s="4"/>
      <c r="AA656" s="4"/>
      <c r="AB656" s="4"/>
      <c r="AC656" s="4"/>
      <c r="AD656" s="4"/>
      <c r="AE656" s="4"/>
      <c r="AF656" s="4"/>
      <c r="AG656" s="4"/>
      <c r="AH656" s="4"/>
      <c r="AI656" s="4"/>
      <c r="AJ656" s="4"/>
      <c r="AK656" s="4"/>
      <c r="AL656" s="4"/>
      <c r="AP656" s="4"/>
      <c r="AX656" s="4"/>
      <c r="AY656" s="4"/>
      <c r="AZ656" s="4"/>
      <c r="BA656" s="4"/>
      <c r="BB656" s="4"/>
      <c r="BC656" s="4"/>
      <c r="BD656" s="4"/>
      <c r="BE656" s="4"/>
      <c r="BF656" s="4"/>
      <c r="BG656" s="4"/>
      <c r="BI656" s="4"/>
      <c r="BP656" s="4"/>
      <c r="BS656" s="4"/>
      <c r="BW656" s="4"/>
      <c r="BX656" s="4"/>
    </row>
    <row r="657" spans="1:76" ht="12.75" x14ac:dyDescent="0.2">
      <c r="A657" s="4" t="s">
        <v>1400</v>
      </c>
      <c r="B657" s="4" t="s">
        <v>1387</v>
      </c>
      <c r="C657" s="4" t="s">
        <v>111</v>
      </c>
      <c r="D657" s="4">
        <v>9002</v>
      </c>
      <c r="E657" s="4" t="s">
        <v>1386</v>
      </c>
      <c r="F657" s="4" t="s">
        <v>1386</v>
      </c>
      <c r="G657" s="113">
        <v>1</v>
      </c>
      <c r="H657" t="s">
        <v>1781</v>
      </c>
      <c r="I657" s="4">
        <v>2.57</v>
      </c>
      <c r="L657" s="4" t="s">
        <v>1639</v>
      </c>
      <c r="M657" s="4" t="s">
        <v>109</v>
      </c>
      <c r="O657" s="4"/>
      <c r="P657" s="4" t="s">
        <v>1695</v>
      </c>
      <c r="Q657" t="s">
        <v>1432</v>
      </c>
      <c r="R657" s="4"/>
      <c r="T657"/>
      <c r="U657" s="4"/>
      <c r="Y657" s="4"/>
      <c r="Z657" s="4"/>
      <c r="AA657" s="4"/>
      <c r="AB657" s="4"/>
      <c r="AC657" s="4"/>
      <c r="AD657" s="4"/>
      <c r="AE657" s="4"/>
      <c r="AF657" s="4"/>
      <c r="AG657" s="4"/>
      <c r="AH657" s="4"/>
      <c r="AI657" s="4"/>
      <c r="AJ657" s="4"/>
      <c r="AK657" s="4"/>
      <c r="AL657" s="4"/>
      <c r="AP657" s="4"/>
      <c r="AX657" s="4"/>
      <c r="AY657" s="4"/>
      <c r="AZ657" s="4"/>
      <c r="BA657" s="4"/>
      <c r="BB657" s="4"/>
      <c r="BC657" s="4"/>
      <c r="BD657" s="4"/>
      <c r="BE657" s="4"/>
      <c r="BF657" s="4"/>
      <c r="BG657" s="4"/>
      <c r="BI657" s="4"/>
      <c r="BP657" s="4"/>
      <c r="BS657" s="4"/>
      <c r="BW657" s="4"/>
      <c r="BX657" s="4"/>
    </row>
    <row r="658" spans="1:76" ht="12.75" x14ac:dyDescent="0.2">
      <c r="A658" s="4" t="s">
        <v>1394</v>
      </c>
      <c r="B658" s="4" t="s">
        <v>554</v>
      </c>
      <c r="C658" s="4" t="s">
        <v>111</v>
      </c>
      <c r="D658" s="4">
        <v>9002</v>
      </c>
      <c r="E658" s="4" t="s">
        <v>1386</v>
      </c>
      <c r="F658" s="4" t="s">
        <v>1386</v>
      </c>
      <c r="G658" s="113">
        <v>1</v>
      </c>
      <c r="H658" t="s">
        <v>1781</v>
      </c>
      <c r="I658" s="4">
        <v>2.65</v>
      </c>
      <c r="L658" s="4" t="s">
        <v>1638</v>
      </c>
      <c r="M658" s="4" t="s">
        <v>109</v>
      </c>
      <c r="O658" s="4"/>
      <c r="P658" s="4" t="s">
        <v>1695</v>
      </c>
      <c r="Q658" t="s">
        <v>1432</v>
      </c>
      <c r="R658" s="4"/>
      <c r="T658"/>
      <c r="U658" s="4"/>
      <c r="Y658" s="4"/>
      <c r="Z658" s="4"/>
      <c r="AA658" s="4"/>
      <c r="AB658" s="4"/>
      <c r="AC658" s="4"/>
      <c r="AD658" s="4"/>
      <c r="AE658" s="4"/>
      <c r="AF658" s="4"/>
      <c r="AG658" s="4"/>
      <c r="AH658" s="4"/>
      <c r="AI658" s="4"/>
      <c r="AJ658" s="4"/>
      <c r="AK658" s="4"/>
      <c r="AL658" s="4"/>
      <c r="AP658" s="4"/>
      <c r="AX658" s="4"/>
      <c r="AY658" s="4"/>
      <c r="AZ658" s="4"/>
      <c r="BA658" s="4"/>
      <c r="BB658" s="4"/>
      <c r="BC658" s="4"/>
      <c r="BD658" s="4"/>
      <c r="BE658" s="4"/>
      <c r="BF658" s="4"/>
      <c r="BG658" s="4"/>
      <c r="BI658" s="4"/>
      <c r="BP658" s="4"/>
      <c r="BS658" s="4"/>
      <c r="BW658" s="4"/>
      <c r="BX658" s="4"/>
    </row>
    <row r="659" spans="1:76" ht="12.75" x14ac:dyDescent="0.2">
      <c r="J659" s="4"/>
      <c r="L659" s="4"/>
      <c r="S659" s="4"/>
      <c r="T659"/>
      <c r="W659"/>
      <c r="X659"/>
      <c r="AE659" s="4"/>
      <c r="AG659" s="4"/>
      <c r="AH659" s="4"/>
      <c r="AI659" s="4"/>
      <c r="AJ659" s="4"/>
      <c r="AK659" s="4"/>
      <c r="AL659" s="4"/>
      <c r="AM659"/>
      <c r="AP659" s="4"/>
      <c r="AX659" s="4"/>
      <c r="AY659" s="4"/>
      <c r="AZ659" s="4"/>
      <c r="BA659" s="4"/>
      <c r="BB659" s="4"/>
      <c r="BC659" s="4"/>
      <c r="BD659" s="4"/>
      <c r="BE659" s="4"/>
      <c r="BF659" s="4"/>
      <c r="BG659" s="4"/>
      <c r="BI659" s="4"/>
      <c r="BP659" s="4"/>
      <c r="BS659" s="4"/>
      <c r="BW659" s="4"/>
      <c r="BX659" s="4"/>
    </row>
    <row r="660" spans="1:76" ht="12.75" x14ac:dyDescent="0.2">
      <c r="J660" s="4"/>
      <c r="L660" s="4"/>
      <c r="S660" s="4"/>
      <c r="T660"/>
      <c r="W660"/>
      <c r="X660"/>
      <c r="AE660" s="4"/>
      <c r="AG660" s="4"/>
      <c r="AH660" s="4"/>
      <c r="AI660" s="4"/>
      <c r="AJ660" s="4"/>
      <c r="AK660" s="4"/>
      <c r="AL660" s="4"/>
      <c r="AM660"/>
      <c r="AP660" s="4"/>
      <c r="AX660" s="4"/>
      <c r="AY660" s="4"/>
      <c r="AZ660" s="4"/>
      <c r="BA660" s="4"/>
      <c r="BB660" s="4"/>
      <c r="BC660" s="4"/>
      <c r="BD660" s="4"/>
      <c r="BE660" s="4"/>
      <c r="BF660" s="4"/>
      <c r="BG660" s="4"/>
      <c r="BI660" s="4"/>
      <c r="BP660" s="4"/>
      <c r="BS660" s="4"/>
      <c r="BW660" s="4"/>
      <c r="BX660" s="4"/>
    </row>
    <row r="661" spans="1:76" ht="12.75" x14ac:dyDescent="0.2">
      <c r="J661" s="4"/>
      <c r="L661" s="4"/>
      <c r="S661" s="4"/>
      <c r="T661"/>
      <c r="W661"/>
      <c r="X661"/>
      <c r="AE661" s="4"/>
      <c r="AG661" s="4"/>
      <c r="AH661" s="4"/>
      <c r="AI661" s="4"/>
      <c r="AJ661" s="4"/>
      <c r="AK661" s="4"/>
      <c r="AL661" s="4"/>
      <c r="AM661"/>
      <c r="AP661" s="4"/>
      <c r="AX661" s="4"/>
      <c r="AY661" s="4"/>
      <c r="AZ661" s="4"/>
      <c r="BA661" s="4"/>
      <c r="BB661" s="4"/>
      <c r="BC661" s="4"/>
      <c r="BD661" s="4"/>
      <c r="BE661" s="4"/>
      <c r="BF661" s="4"/>
      <c r="BG661" s="4"/>
      <c r="BI661" s="4"/>
      <c r="BP661" s="4"/>
      <c r="BS661" s="4"/>
      <c r="BW661" s="4"/>
      <c r="BX661" s="4"/>
    </row>
    <row r="662" spans="1:76" ht="12.75" x14ac:dyDescent="0.2">
      <c r="J662" s="4"/>
      <c r="L662" s="4"/>
      <c r="S662" s="4"/>
      <c r="T662"/>
      <c r="W662"/>
      <c r="X662"/>
      <c r="AE662" s="4"/>
      <c r="AG662" s="4"/>
      <c r="AH662" s="4"/>
      <c r="AI662" s="4"/>
      <c r="AJ662" s="4"/>
      <c r="AK662" s="4"/>
      <c r="AL662" s="4"/>
      <c r="AM662"/>
      <c r="AP662" s="4"/>
      <c r="AX662" s="4"/>
      <c r="AY662" s="4"/>
      <c r="AZ662" s="4"/>
      <c r="BA662" s="4"/>
      <c r="BB662" s="4"/>
      <c r="BC662" s="4"/>
      <c r="BD662" s="4"/>
      <c r="BE662" s="4"/>
      <c r="BF662" s="4"/>
      <c r="BG662" s="4"/>
      <c r="BI662" s="4"/>
      <c r="BP662" s="4"/>
      <c r="BS662" s="4"/>
      <c r="BW662" s="4"/>
      <c r="BX662" s="4"/>
    </row>
    <row r="663" spans="1:76" ht="12.75" x14ac:dyDescent="0.2">
      <c r="J663" s="4"/>
      <c r="L663" s="4"/>
      <c r="S663" s="4"/>
      <c r="T663"/>
      <c r="W663"/>
      <c r="X663"/>
      <c r="AE663" s="4"/>
      <c r="AG663" s="4"/>
      <c r="AH663" s="4"/>
      <c r="AI663" s="4"/>
      <c r="AJ663" s="4"/>
      <c r="AK663" s="4"/>
      <c r="AL663" s="4"/>
      <c r="AM663"/>
      <c r="AP663" s="4"/>
      <c r="AX663" s="4"/>
      <c r="AY663" s="4"/>
      <c r="AZ663" s="4"/>
      <c r="BA663" s="4"/>
      <c r="BB663" s="4"/>
      <c r="BC663" s="4"/>
      <c r="BD663" s="4"/>
      <c r="BE663" s="4"/>
      <c r="BF663" s="4"/>
      <c r="BG663" s="4"/>
      <c r="BI663" s="4"/>
      <c r="BP663" s="4"/>
      <c r="BS663" s="4"/>
      <c r="BW663" s="4"/>
      <c r="BX663" s="4"/>
    </row>
    <row r="664" spans="1:76" ht="12.75" x14ac:dyDescent="0.2">
      <c r="J664" s="4"/>
      <c r="L664" s="4"/>
      <c r="S664" s="4"/>
      <c r="T664"/>
      <c r="W664"/>
      <c r="X664"/>
      <c r="AE664" s="4"/>
      <c r="AG664" s="4"/>
      <c r="AH664" s="4"/>
      <c r="AI664" s="4"/>
      <c r="AJ664" s="4"/>
      <c r="AK664" s="4"/>
      <c r="AL664" s="4"/>
      <c r="AM664"/>
      <c r="AP664" s="4"/>
      <c r="AX664" s="4"/>
      <c r="AY664" s="4"/>
      <c r="AZ664" s="4"/>
      <c r="BA664" s="4"/>
      <c r="BB664" s="4"/>
      <c r="BC664" s="4"/>
      <c r="BD664" s="4"/>
      <c r="BE664" s="4"/>
      <c r="BF664" s="4"/>
      <c r="BG664" s="4"/>
      <c r="BI664" s="4"/>
      <c r="BP664" s="4"/>
      <c r="BS664" s="4"/>
      <c r="BW664" s="4"/>
      <c r="BX664" s="4"/>
    </row>
    <row r="665" spans="1:76" ht="12.75" x14ac:dyDescent="0.2">
      <c r="J665" s="4"/>
      <c r="L665" s="4"/>
      <c r="S665" s="4"/>
      <c r="T665"/>
      <c r="W665"/>
      <c r="X665"/>
      <c r="AE665" s="4"/>
      <c r="AG665" s="4"/>
      <c r="AH665" s="4"/>
      <c r="AI665" s="4"/>
      <c r="AJ665" s="4"/>
      <c r="AK665" s="4"/>
      <c r="AL665" s="4"/>
      <c r="AM665"/>
      <c r="AP665" s="4"/>
      <c r="AX665" s="4"/>
      <c r="AY665" s="4"/>
      <c r="AZ665" s="4"/>
      <c r="BA665" s="4"/>
      <c r="BB665" s="4"/>
      <c r="BC665" s="4"/>
      <c r="BD665" s="4"/>
      <c r="BE665" s="4"/>
      <c r="BF665" s="4"/>
      <c r="BG665" s="4"/>
      <c r="BI665" s="4"/>
      <c r="BP665" s="4"/>
      <c r="BS665" s="4"/>
      <c r="BW665" s="4"/>
      <c r="BX665" s="4"/>
    </row>
    <row r="666" spans="1:76" ht="12.75" x14ac:dyDescent="0.2">
      <c r="J666" s="4"/>
      <c r="L666" s="4"/>
      <c r="S666" s="4"/>
      <c r="T666"/>
      <c r="W666"/>
      <c r="X666"/>
      <c r="AE666" s="4"/>
      <c r="AG666" s="4"/>
      <c r="AH666" s="4"/>
      <c r="AI666" s="4"/>
      <c r="AJ666" s="4"/>
      <c r="AK666" s="4"/>
      <c r="AL666" s="4"/>
      <c r="AM666"/>
      <c r="AP666" s="4"/>
      <c r="AX666" s="4"/>
      <c r="AY666" s="4"/>
      <c r="AZ666" s="4"/>
      <c r="BA666" s="4"/>
      <c r="BB666" s="4"/>
      <c r="BC666" s="4"/>
      <c r="BD666" s="4"/>
      <c r="BE666" s="4"/>
      <c r="BF666" s="4"/>
      <c r="BG666" s="4"/>
      <c r="BI666" s="4"/>
      <c r="BP666" s="4"/>
      <c r="BS666" s="4"/>
      <c r="BW666" s="4"/>
      <c r="BX666" s="4"/>
    </row>
    <row r="667" spans="1:76" ht="12.75" x14ac:dyDescent="0.2">
      <c r="J667" s="4"/>
      <c r="L667" s="4"/>
      <c r="S667" s="4"/>
      <c r="T667"/>
      <c r="W667"/>
      <c r="X667"/>
      <c r="AE667" s="4"/>
      <c r="AG667" s="4"/>
      <c r="AH667" s="4"/>
      <c r="AI667" s="4"/>
      <c r="AJ667" s="4"/>
      <c r="AK667" s="4"/>
      <c r="AL667" s="4"/>
      <c r="AM667"/>
      <c r="AP667" s="4"/>
      <c r="AX667" s="4"/>
      <c r="AY667" s="4"/>
      <c r="AZ667" s="4"/>
      <c r="BA667" s="4"/>
      <c r="BB667" s="4"/>
      <c r="BC667" s="4"/>
      <c r="BD667" s="4"/>
      <c r="BE667" s="4"/>
      <c r="BF667" s="4"/>
      <c r="BG667" s="4"/>
      <c r="BI667" s="4"/>
      <c r="BP667" s="4"/>
      <c r="BS667" s="4"/>
      <c r="BW667" s="4"/>
      <c r="BX667" s="4"/>
    </row>
    <row r="668" spans="1:76" ht="12.75" x14ac:dyDescent="0.2">
      <c r="J668" s="4"/>
      <c r="L668" s="4"/>
      <c r="S668" s="4"/>
      <c r="T668"/>
      <c r="W668"/>
      <c r="X668"/>
      <c r="AE668" s="4"/>
      <c r="AG668" s="4"/>
      <c r="AH668" s="4"/>
      <c r="AI668" s="4"/>
      <c r="AJ668" s="4"/>
      <c r="AK668" s="4"/>
      <c r="AL668" s="4"/>
      <c r="AM668"/>
      <c r="AP668" s="4"/>
      <c r="AX668" s="4"/>
      <c r="AY668" s="4"/>
      <c r="AZ668" s="4"/>
      <c r="BA668" s="4"/>
      <c r="BB668" s="4"/>
      <c r="BC668" s="4"/>
      <c r="BD668" s="4"/>
      <c r="BE668" s="4"/>
      <c r="BF668" s="4"/>
      <c r="BG668" s="4"/>
      <c r="BI668" s="4"/>
      <c r="BP668" s="4"/>
      <c r="BS668" s="4"/>
      <c r="BW668" s="4"/>
      <c r="BX668" s="4"/>
    </row>
    <row r="669" spans="1:76" ht="12.75" x14ac:dyDescent="0.2">
      <c r="J669" s="4"/>
      <c r="L669" s="4"/>
      <c r="S669" s="4"/>
      <c r="T669"/>
      <c r="W669"/>
      <c r="X669"/>
      <c r="AE669" s="4"/>
      <c r="AG669" s="4"/>
      <c r="AH669" s="4"/>
      <c r="AI669" s="4"/>
      <c r="AJ669" s="4"/>
      <c r="AK669" s="4"/>
      <c r="AL669" s="4"/>
      <c r="AM669"/>
      <c r="AP669" s="4"/>
      <c r="AX669" s="4"/>
      <c r="AY669" s="4"/>
      <c r="AZ669" s="4"/>
      <c r="BA669" s="4"/>
      <c r="BB669" s="4"/>
      <c r="BC669" s="4"/>
      <c r="BD669" s="4"/>
      <c r="BE669" s="4"/>
      <c r="BF669" s="4"/>
      <c r="BG669" s="4"/>
      <c r="BI669" s="4"/>
      <c r="BP669" s="4"/>
      <c r="BS669" s="4"/>
      <c r="BW669" s="4"/>
      <c r="BX669" s="4"/>
    </row>
    <row r="670" spans="1:76" ht="12.75" x14ac:dyDescent="0.2">
      <c r="J670" s="4"/>
      <c r="L670" s="4"/>
      <c r="S670" s="4"/>
      <c r="T670"/>
      <c r="W670"/>
      <c r="X670"/>
      <c r="AE670" s="4"/>
      <c r="AG670" s="4"/>
      <c r="AH670" s="4"/>
      <c r="AI670" s="4"/>
      <c r="AJ670" s="4"/>
      <c r="AK670" s="4"/>
      <c r="AL670" s="4"/>
      <c r="AM670"/>
      <c r="AP670" s="4"/>
      <c r="AX670" s="4"/>
      <c r="AY670" s="4"/>
      <c r="AZ670" s="4"/>
      <c r="BA670" s="4"/>
      <c r="BB670" s="4"/>
      <c r="BC670" s="4"/>
      <c r="BD670" s="4"/>
      <c r="BE670" s="4"/>
      <c r="BF670" s="4"/>
      <c r="BG670" s="4"/>
      <c r="BI670" s="4"/>
      <c r="BP670" s="4"/>
      <c r="BS670" s="4"/>
      <c r="BW670" s="4"/>
      <c r="BX670" s="4"/>
    </row>
    <row r="671" spans="1:76" ht="12.75" x14ac:dyDescent="0.2">
      <c r="J671" s="4"/>
      <c r="L671" s="4"/>
      <c r="S671" s="4"/>
      <c r="T671"/>
      <c r="W671"/>
      <c r="X671"/>
      <c r="AE671" s="4"/>
      <c r="AG671" s="4"/>
      <c r="AH671" s="4"/>
      <c r="AI671" s="4"/>
      <c r="AJ671" s="4"/>
      <c r="AK671" s="4"/>
      <c r="AL671" s="4"/>
      <c r="AM671"/>
      <c r="AP671" s="4"/>
      <c r="AX671" s="4"/>
      <c r="AY671" s="4"/>
      <c r="AZ671" s="4"/>
      <c r="BA671" s="4"/>
      <c r="BB671" s="4"/>
      <c r="BC671" s="4"/>
      <c r="BD671" s="4"/>
      <c r="BE671" s="4"/>
      <c r="BF671" s="4"/>
      <c r="BG671" s="4"/>
      <c r="BI671" s="4"/>
      <c r="BP671" s="4"/>
      <c r="BS671" s="4"/>
      <c r="BW671" s="4"/>
      <c r="BX671" s="4"/>
    </row>
    <row r="672" spans="1:76" ht="12.75" x14ac:dyDescent="0.2">
      <c r="J672" s="4"/>
      <c r="L672" s="4"/>
      <c r="S672" s="4"/>
      <c r="T672"/>
      <c r="W672"/>
      <c r="X672"/>
      <c r="AE672" s="4"/>
      <c r="AG672" s="4"/>
      <c r="AH672" s="4"/>
      <c r="AI672" s="4"/>
      <c r="AJ672" s="4"/>
      <c r="AK672" s="4"/>
      <c r="AL672" s="4"/>
      <c r="AM672"/>
      <c r="AP672" s="4"/>
      <c r="AX672" s="4"/>
      <c r="AY672" s="4"/>
      <c r="AZ672" s="4"/>
      <c r="BA672" s="4"/>
      <c r="BB672" s="4"/>
      <c r="BC672" s="4"/>
      <c r="BD672" s="4"/>
      <c r="BE672" s="4"/>
      <c r="BF672" s="4"/>
      <c r="BG672" s="4"/>
      <c r="BI672" s="4"/>
      <c r="BP672" s="4"/>
      <c r="BS672" s="4"/>
      <c r="BW672" s="4"/>
      <c r="BX672" s="4"/>
    </row>
    <row r="673" spans="10:76" ht="12.75" x14ac:dyDescent="0.2">
      <c r="J673" s="4"/>
      <c r="L673" s="4"/>
      <c r="S673" s="4"/>
      <c r="T673"/>
      <c r="W673"/>
      <c r="X673"/>
      <c r="AE673" s="4"/>
      <c r="AG673" s="4"/>
      <c r="AH673" s="4"/>
      <c r="AI673" s="4"/>
      <c r="AJ673" s="4"/>
      <c r="AK673" s="4"/>
      <c r="AL673" s="4"/>
      <c r="AM673"/>
      <c r="AP673" s="4"/>
      <c r="AX673" s="4"/>
      <c r="AY673" s="4"/>
      <c r="AZ673" s="4"/>
      <c r="BA673" s="4"/>
      <c r="BB673" s="4"/>
      <c r="BC673" s="4"/>
      <c r="BD673" s="4"/>
      <c r="BE673" s="4"/>
      <c r="BF673" s="4"/>
      <c r="BG673" s="4"/>
      <c r="BI673" s="4"/>
      <c r="BP673" s="4"/>
      <c r="BS673" s="4"/>
      <c r="BW673" s="4"/>
      <c r="BX673" s="4"/>
    </row>
    <row r="674" spans="10:76" ht="12.75" x14ac:dyDescent="0.2">
      <c r="J674" s="4"/>
      <c r="L674" s="4"/>
      <c r="S674" s="4"/>
      <c r="T674"/>
      <c r="W674"/>
      <c r="X674"/>
      <c r="AE674" s="4"/>
      <c r="AG674" s="4"/>
      <c r="AH674" s="4"/>
      <c r="AI674" s="4"/>
      <c r="AJ674" s="4"/>
      <c r="AK674" s="4"/>
      <c r="AL674" s="4"/>
      <c r="AM674"/>
      <c r="AP674" s="4"/>
      <c r="AX674" s="4"/>
      <c r="AY674" s="4"/>
      <c r="AZ674" s="4"/>
      <c r="BA674" s="4"/>
      <c r="BB674" s="4"/>
      <c r="BC674" s="4"/>
      <c r="BD674" s="4"/>
      <c r="BE674" s="4"/>
      <c r="BF674" s="4"/>
      <c r="BG674" s="4"/>
      <c r="BI674" s="4"/>
      <c r="BP674" s="4"/>
      <c r="BS674" s="4"/>
      <c r="BW674" s="4"/>
      <c r="BX674" s="4"/>
    </row>
    <row r="675" spans="10:76" ht="12.75" x14ac:dyDescent="0.2">
      <c r="J675" s="4"/>
      <c r="L675" s="4"/>
      <c r="S675" s="4"/>
      <c r="T675"/>
      <c r="W675"/>
      <c r="X675"/>
      <c r="AE675" s="4"/>
      <c r="AG675" s="4"/>
      <c r="AH675" s="4"/>
      <c r="AI675" s="4"/>
      <c r="AJ675" s="4"/>
      <c r="AK675" s="4"/>
      <c r="AL675" s="4"/>
      <c r="AM675"/>
      <c r="AP675" s="4"/>
      <c r="AX675" s="4"/>
      <c r="AY675" s="4"/>
      <c r="AZ675" s="4"/>
      <c r="BA675" s="4"/>
      <c r="BB675" s="4"/>
      <c r="BC675" s="4"/>
      <c r="BD675" s="4"/>
      <c r="BE675" s="4"/>
      <c r="BF675" s="4"/>
      <c r="BG675" s="4"/>
      <c r="BI675" s="4"/>
      <c r="BP675" s="4"/>
      <c r="BS675" s="4"/>
      <c r="BW675" s="4"/>
      <c r="BX675" s="4"/>
    </row>
    <row r="676" spans="10:76" ht="12.75" x14ac:dyDescent="0.2">
      <c r="J676" s="4"/>
      <c r="L676" s="4"/>
      <c r="S676" s="4"/>
      <c r="T676"/>
      <c r="W676"/>
      <c r="X676"/>
      <c r="AE676" s="4"/>
      <c r="AG676" s="4"/>
      <c r="AH676" s="4"/>
      <c r="AI676" s="4"/>
      <c r="AJ676" s="4"/>
      <c r="AK676" s="4"/>
      <c r="AL676" s="4"/>
      <c r="AM676"/>
      <c r="AP676" s="4"/>
      <c r="AX676" s="4"/>
      <c r="AY676" s="4"/>
      <c r="AZ676" s="4"/>
      <c r="BA676" s="4"/>
      <c r="BB676" s="4"/>
      <c r="BC676" s="4"/>
      <c r="BD676" s="4"/>
      <c r="BE676" s="4"/>
      <c r="BF676" s="4"/>
      <c r="BG676" s="4"/>
      <c r="BI676" s="4"/>
      <c r="BP676" s="4"/>
      <c r="BS676" s="4"/>
      <c r="BW676" s="4"/>
      <c r="BX676" s="4"/>
    </row>
    <row r="677" spans="10:76" ht="12.75" x14ac:dyDescent="0.2">
      <c r="J677" s="4"/>
      <c r="L677" s="4"/>
      <c r="S677" s="4"/>
      <c r="T677"/>
      <c r="W677"/>
      <c r="X677"/>
      <c r="AE677" s="4"/>
      <c r="AG677" s="4"/>
      <c r="AH677" s="4"/>
      <c r="AI677" s="4"/>
      <c r="AJ677" s="4"/>
      <c r="AK677" s="4"/>
      <c r="AL677" s="4"/>
      <c r="AM677"/>
      <c r="AP677" s="4"/>
      <c r="AX677" s="4"/>
      <c r="AY677" s="4"/>
      <c r="AZ677" s="4"/>
      <c r="BA677" s="4"/>
      <c r="BB677" s="4"/>
      <c r="BC677" s="4"/>
      <c r="BD677" s="4"/>
      <c r="BE677" s="4"/>
      <c r="BF677" s="4"/>
      <c r="BG677" s="4"/>
      <c r="BI677" s="4"/>
      <c r="BP677" s="4"/>
      <c r="BS677" s="4"/>
      <c r="BW677" s="4"/>
      <c r="BX677" s="4"/>
    </row>
    <row r="678" spans="10:76" ht="12.75" x14ac:dyDescent="0.2">
      <c r="J678" s="4"/>
      <c r="L678" s="4"/>
      <c r="S678" s="4"/>
      <c r="T678"/>
      <c r="W678"/>
      <c r="X678"/>
      <c r="AE678" s="4"/>
      <c r="AG678" s="4"/>
      <c r="AH678" s="4"/>
      <c r="AI678" s="4"/>
      <c r="AJ678" s="4"/>
      <c r="AK678" s="4"/>
      <c r="AL678" s="4"/>
      <c r="AM678"/>
      <c r="AP678" s="4"/>
      <c r="AX678" s="4"/>
      <c r="AY678" s="4"/>
      <c r="AZ678" s="4"/>
      <c r="BA678" s="4"/>
      <c r="BB678" s="4"/>
      <c r="BC678" s="4"/>
      <c r="BD678" s="4"/>
      <c r="BE678" s="4"/>
      <c r="BF678" s="4"/>
      <c r="BG678" s="4"/>
      <c r="BI678" s="4"/>
      <c r="BP678" s="4"/>
      <c r="BS678" s="4"/>
      <c r="BW678" s="4"/>
      <c r="BX678" s="4"/>
    </row>
    <row r="679" spans="10:76" ht="12.75" x14ac:dyDescent="0.2">
      <c r="J679" s="4"/>
      <c r="L679" s="4"/>
      <c r="S679" s="4"/>
      <c r="T679"/>
      <c r="W679"/>
      <c r="X679"/>
      <c r="AE679" s="4"/>
      <c r="AG679" s="4"/>
      <c r="AH679" s="4"/>
      <c r="AI679" s="4"/>
      <c r="AJ679" s="4"/>
      <c r="AK679" s="4"/>
      <c r="AL679" s="4"/>
      <c r="AM679"/>
      <c r="AP679" s="4"/>
      <c r="AX679" s="4"/>
      <c r="AY679" s="4"/>
      <c r="AZ679" s="4"/>
      <c r="BA679" s="4"/>
      <c r="BB679" s="4"/>
      <c r="BC679" s="4"/>
      <c r="BD679" s="4"/>
      <c r="BE679" s="4"/>
      <c r="BF679" s="4"/>
      <c r="BG679" s="4"/>
      <c r="BI679" s="4"/>
      <c r="BP679" s="4"/>
      <c r="BS679" s="4"/>
      <c r="BW679" s="4"/>
      <c r="BX679" s="4"/>
    </row>
    <row r="680" spans="10:76" ht="12.75" x14ac:dyDescent="0.2">
      <c r="J680" s="4"/>
      <c r="L680" s="4"/>
      <c r="S680" s="4"/>
      <c r="T680"/>
      <c r="W680"/>
      <c r="X680"/>
      <c r="AE680" s="4"/>
      <c r="AG680" s="4"/>
      <c r="AH680" s="4"/>
      <c r="AI680" s="4"/>
      <c r="AJ680" s="4"/>
      <c r="AK680" s="4"/>
      <c r="AL680" s="4"/>
      <c r="AM680"/>
      <c r="AP680" s="4"/>
      <c r="AX680" s="4"/>
      <c r="AY680" s="4"/>
      <c r="AZ680" s="4"/>
      <c r="BA680" s="4"/>
      <c r="BB680" s="4"/>
      <c r="BC680" s="4"/>
      <c r="BD680" s="4"/>
      <c r="BE680" s="4"/>
      <c r="BF680" s="4"/>
      <c r="BG680" s="4"/>
      <c r="BI680" s="4"/>
      <c r="BP680" s="4"/>
      <c r="BS680" s="4"/>
      <c r="BW680" s="4"/>
      <c r="BX680" s="4"/>
    </row>
    <row r="681" spans="10:76" ht="12.75" x14ac:dyDescent="0.2">
      <c r="J681" s="4"/>
      <c r="L681" s="4"/>
      <c r="S681" s="4"/>
      <c r="T681"/>
      <c r="W681"/>
      <c r="X681"/>
      <c r="AE681" s="4"/>
      <c r="AG681" s="4"/>
      <c r="AH681" s="4"/>
      <c r="AI681" s="4"/>
      <c r="AJ681" s="4"/>
      <c r="AK681" s="4"/>
      <c r="AL681" s="4"/>
      <c r="AM681"/>
      <c r="AP681" s="4"/>
      <c r="AX681" s="4"/>
      <c r="AY681" s="4"/>
      <c r="AZ681" s="4"/>
      <c r="BA681" s="4"/>
      <c r="BB681" s="4"/>
      <c r="BC681" s="4"/>
      <c r="BD681" s="4"/>
      <c r="BE681" s="4"/>
      <c r="BF681" s="4"/>
      <c r="BG681" s="4"/>
      <c r="BI681" s="4"/>
      <c r="BP681" s="4"/>
      <c r="BS681" s="4"/>
      <c r="BW681" s="4"/>
      <c r="BX681" s="4"/>
    </row>
    <row r="682" spans="10:76" ht="12.75" x14ac:dyDescent="0.2">
      <c r="J682" s="4"/>
      <c r="L682" s="4"/>
      <c r="S682" s="4"/>
      <c r="T682"/>
      <c r="W682"/>
      <c r="X682"/>
      <c r="AE682" s="4"/>
      <c r="AG682" s="4"/>
      <c r="AH682" s="4"/>
      <c r="AI682" s="4"/>
      <c r="AJ682" s="4"/>
      <c r="AK682" s="4"/>
      <c r="AL682" s="4"/>
      <c r="AM682"/>
      <c r="AP682" s="4"/>
      <c r="AX682" s="4"/>
      <c r="AY682" s="4"/>
      <c r="AZ682" s="4"/>
      <c r="BA682" s="4"/>
      <c r="BB682" s="4"/>
      <c r="BC682" s="4"/>
      <c r="BD682" s="4"/>
      <c r="BE682" s="4"/>
      <c r="BF682" s="4"/>
      <c r="BG682" s="4"/>
      <c r="BI682" s="4"/>
      <c r="BP682" s="4"/>
      <c r="BS682" s="4"/>
      <c r="BW682" s="4"/>
      <c r="BX682" s="4"/>
    </row>
    <row r="683" spans="10:76" ht="12.75" x14ac:dyDescent="0.2">
      <c r="J683" s="4"/>
      <c r="L683" s="4"/>
      <c r="S683" s="4"/>
      <c r="T683"/>
      <c r="W683"/>
      <c r="X683"/>
      <c r="AE683" s="4"/>
      <c r="AG683" s="4"/>
      <c r="AH683" s="4"/>
      <c r="AI683" s="4"/>
      <c r="AJ683" s="4"/>
      <c r="AK683" s="4"/>
      <c r="AL683" s="4"/>
      <c r="AM683"/>
      <c r="AP683" s="4"/>
      <c r="AX683" s="4"/>
      <c r="AY683" s="4"/>
      <c r="AZ683" s="4"/>
      <c r="BA683" s="4"/>
      <c r="BB683" s="4"/>
      <c r="BC683" s="4"/>
      <c r="BD683" s="4"/>
      <c r="BE683" s="4"/>
      <c r="BF683" s="4"/>
      <c r="BG683" s="4"/>
      <c r="BI683" s="4"/>
      <c r="BP683" s="4"/>
      <c r="BS683" s="4"/>
      <c r="BW683" s="4"/>
      <c r="BX683" s="4"/>
    </row>
    <row r="684" spans="10:76" ht="12.75" x14ac:dyDescent="0.2">
      <c r="J684" s="4"/>
      <c r="L684" s="4"/>
      <c r="S684" s="4"/>
      <c r="T684"/>
      <c r="W684"/>
      <c r="X684"/>
      <c r="AE684" s="4"/>
      <c r="AG684" s="4"/>
      <c r="AH684" s="4"/>
      <c r="AI684" s="4"/>
      <c r="AJ684" s="4"/>
      <c r="AK684" s="4"/>
      <c r="AL684" s="4"/>
      <c r="AM684"/>
      <c r="AP684" s="4"/>
      <c r="AX684" s="4"/>
      <c r="AY684" s="4"/>
      <c r="AZ684" s="4"/>
      <c r="BA684" s="4"/>
      <c r="BB684" s="4"/>
      <c r="BC684" s="4"/>
      <c r="BD684" s="4"/>
      <c r="BE684" s="4"/>
      <c r="BF684" s="4"/>
      <c r="BG684" s="4"/>
      <c r="BI684" s="4"/>
      <c r="BP684" s="4"/>
      <c r="BS684" s="4"/>
      <c r="BW684" s="4"/>
      <c r="BX684" s="4"/>
    </row>
    <row r="685" spans="10:76" ht="12.75" x14ac:dyDescent="0.2">
      <c r="J685" s="4"/>
      <c r="L685" s="4"/>
      <c r="S685" s="4"/>
      <c r="T685"/>
      <c r="W685"/>
      <c r="X685"/>
      <c r="AE685" s="4"/>
      <c r="AG685" s="4"/>
      <c r="AH685" s="4"/>
      <c r="AI685" s="4"/>
      <c r="AJ685" s="4"/>
      <c r="AK685" s="4"/>
      <c r="AL685" s="4"/>
      <c r="AM685"/>
      <c r="AP685" s="4"/>
      <c r="AX685" s="4"/>
      <c r="AY685" s="4"/>
      <c r="AZ685" s="4"/>
      <c r="BA685" s="4"/>
      <c r="BB685" s="4"/>
      <c r="BC685" s="4"/>
      <c r="BD685" s="4"/>
      <c r="BE685" s="4"/>
      <c r="BF685" s="4"/>
      <c r="BG685" s="4"/>
      <c r="BI685" s="4"/>
      <c r="BP685" s="4"/>
      <c r="BS685" s="4"/>
      <c r="BW685" s="4"/>
      <c r="BX685" s="4"/>
    </row>
    <row r="686" spans="10:76" ht="12.75" x14ac:dyDescent="0.2">
      <c r="J686" s="4"/>
      <c r="L686" s="4"/>
      <c r="S686" s="4"/>
      <c r="T686"/>
      <c r="W686"/>
      <c r="X686"/>
      <c r="AE686" s="4"/>
      <c r="AG686" s="4"/>
      <c r="AH686" s="4"/>
      <c r="AI686" s="4"/>
      <c r="AJ686" s="4"/>
      <c r="AK686" s="4"/>
      <c r="AL686" s="4"/>
      <c r="AM686"/>
      <c r="AP686" s="4"/>
      <c r="AX686" s="4"/>
      <c r="AY686" s="4"/>
      <c r="AZ686" s="4"/>
      <c r="BA686" s="4"/>
      <c r="BB686" s="4"/>
      <c r="BC686" s="4"/>
      <c r="BD686" s="4"/>
      <c r="BE686" s="4"/>
      <c r="BF686" s="4"/>
      <c r="BG686" s="4"/>
      <c r="BI686" s="4"/>
      <c r="BP686" s="4"/>
      <c r="BS686" s="4"/>
      <c r="BW686" s="4"/>
      <c r="BX686" s="4"/>
    </row>
    <row r="687" spans="10:76" ht="12.75" x14ac:dyDescent="0.2">
      <c r="J687" s="4"/>
      <c r="L687" s="4"/>
      <c r="S687" s="4"/>
      <c r="T687"/>
      <c r="W687"/>
      <c r="X687"/>
      <c r="AE687" s="4"/>
      <c r="AG687" s="4"/>
      <c r="AH687" s="4"/>
      <c r="AI687" s="4"/>
      <c r="AJ687" s="4"/>
      <c r="AK687" s="4"/>
      <c r="AL687" s="4"/>
      <c r="AM687"/>
      <c r="AP687" s="4"/>
      <c r="AX687" s="4"/>
      <c r="AY687" s="4"/>
      <c r="AZ687" s="4"/>
      <c r="BA687" s="4"/>
      <c r="BB687" s="4"/>
      <c r="BC687" s="4"/>
      <c r="BD687" s="4"/>
      <c r="BE687" s="4"/>
      <c r="BF687" s="4"/>
      <c r="BG687" s="4"/>
      <c r="BI687" s="4"/>
      <c r="BP687" s="4"/>
      <c r="BS687" s="4"/>
      <c r="BW687" s="4"/>
      <c r="BX687" s="4"/>
    </row>
    <row r="688" spans="10:76" ht="12.75" x14ac:dyDescent="0.2">
      <c r="J688" s="4"/>
      <c r="L688" s="4"/>
      <c r="S688" s="4"/>
      <c r="T688"/>
      <c r="W688"/>
      <c r="X688"/>
      <c r="AE688" s="4"/>
      <c r="AG688" s="4"/>
      <c r="AH688" s="4"/>
      <c r="AI688" s="4"/>
      <c r="AJ688" s="4"/>
      <c r="AK688" s="4"/>
      <c r="AL688" s="4"/>
      <c r="AM688"/>
      <c r="AP688" s="4"/>
      <c r="AX688" s="4"/>
      <c r="AY688" s="4"/>
      <c r="AZ688" s="4"/>
      <c r="BA688" s="4"/>
      <c r="BB688" s="4"/>
      <c r="BC688" s="4"/>
      <c r="BD688" s="4"/>
      <c r="BE688" s="4"/>
      <c r="BF688" s="4"/>
      <c r="BG688" s="4"/>
      <c r="BI688" s="4"/>
      <c r="BP688" s="4"/>
      <c r="BS688" s="4"/>
      <c r="BW688" s="4"/>
      <c r="BX688" s="4"/>
    </row>
    <row r="689" spans="10:76" ht="12.75" x14ac:dyDescent="0.2">
      <c r="J689" s="4"/>
      <c r="L689" s="4"/>
      <c r="S689" s="4"/>
      <c r="T689"/>
      <c r="W689"/>
      <c r="X689"/>
      <c r="AE689" s="4"/>
      <c r="AG689" s="4"/>
      <c r="AH689" s="4"/>
      <c r="AI689" s="4"/>
      <c r="AJ689" s="4"/>
      <c r="AK689" s="4"/>
      <c r="AL689" s="4"/>
      <c r="AM689"/>
      <c r="AP689" s="4"/>
      <c r="AX689" s="4"/>
      <c r="AY689" s="4"/>
      <c r="AZ689" s="4"/>
      <c r="BA689" s="4"/>
      <c r="BB689" s="4"/>
      <c r="BC689" s="4"/>
      <c r="BD689" s="4"/>
      <c r="BE689" s="4"/>
      <c r="BF689" s="4"/>
      <c r="BG689" s="4"/>
      <c r="BI689" s="4"/>
      <c r="BP689" s="4"/>
      <c r="BS689" s="4"/>
      <c r="BW689" s="4"/>
      <c r="BX689" s="4"/>
    </row>
    <row r="690" spans="10:76" ht="12.75" x14ac:dyDescent="0.2">
      <c r="J690" s="4"/>
      <c r="L690" s="4"/>
      <c r="S690" s="4"/>
      <c r="T690"/>
      <c r="W690"/>
      <c r="X690"/>
      <c r="AE690" s="4"/>
      <c r="AG690" s="4"/>
      <c r="AH690" s="4"/>
      <c r="AI690" s="4"/>
      <c r="AJ690" s="4"/>
      <c r="AK690" s="4"/>
      <c r="AL690" s="4"/>
      <c r="AM690"/>
      <c r="AP690" s="4"/>
      <c r="AX690" s="4"/>
      <c r="AY690" s="4"/>
      <c r="AZ690" s="4"/>
      <c r="BA690" s="4"/>
      <c r="BB690" s="4"/>
      <c r="BC690" s="4"/>
      <c r="BD690" s="4"/>
      <c r="BE690" s="4"/>
      <c r="BF690" s="4"/>
      <c r="BG690" s="4"/>
      <c r="BI690" s="4"/>
      <c r="BP690" s="4"/>
      <c r="BS690" s="4"/>
      <c r="BW690" s="4"/>
      <c r="BX690" s="4"/>
    </row>
    <row r="691" spans="10:76" ht="12.75" x14ac:dyDescent="0.2">
      <c r="J691" s="4"/>
      <c r="L691" s="4"/>
      <c r="S691" s="4"/>
      <c r="T691"/>
      <c r="W691"/>
      <c r="X691"/>
      <c r="AE691" s="4"/>
      <c r="AG691" s="4"/>
      <c r="AH691" s="4"/>
      <c r="AI691" s="4"/>
      <c r="AJ691" s="4"/>
      <c r="AK691" s="4"/>
      <c r="AL691" s="4"/>
      <c r="AM691"/>
      <c r="AP691" s="4"/>
      <c r="AX691" s="4"/>
      <c r="AY691" s="4"/>
      <c r="AZ691" s="4"/>
      <c r="BA691" s="4"/>
      <c r="BB691" s="4"/>
      <c r="BC691" s="4"/>
      <c r="BD691" s="4"/>
      <c r="BE691" s="4"/>
      <c r="BF691" s="4"/>
      <c r="BG691" s="4"/>
      <c r="BI691" s="4"/>
      <c r="BP691" s="4"/>
      <c r="BS691" s="4"/>
      <c r="BW691" s="4"/>
      <c r="BX691" s="4"/>
    </row>
    <row r="692" spans="10:76" ht="12.75" x14ac:dyDescent="0.2">
      <c r="J692" s="4"/>
      <c r="L692" s="4"/>
      <c r="S692" s="4"/>
      <c r="T692"/>
      <c r="W692"/>
      <c r="X692"/>
      <c r="AE692" s="4"/>
      <c r="AG692" s="4"/>
      <c r="AH692" s="4"/>
      <c r="AI692" s="4"/>
      <c r="AJ692" s="4"/>
      <c r="AK692" s="4"/>
      <c r="AL692" s="4"/>
      <c r="AM692"/>
      <c r="AP692" s="4"/>
      <c r="AX692" s="4"/>
      <c r="AY692" s="4"/>
      <c r="AZ692" s="4"/>
      <c r="BA692" s="4"/>
      <c r="BB692" s="4"/>
      <c r="BC692" s="4"/>
      <c r="BD692" s="4"/>
      <c r="BE692" s="4"/>
      <c r="BF692" s="4"/>
      <c r="BG692" s="4"/>
      <c r="BI692" s="4"/>
      <c r="BP692" s="4"/>
      <c r="BS692" s="4"/>
      <c r="BW692" s="4"/>
      <c r="BX692" s="4"/>
    </row>
    <row r="693" spans="10:76" ht="12.75" x14ac:dyDescent="0.2">
      <c r="J693" s="4"/>
      <c r="L693" s="4"/>
      <c r="S693" s="4"/>
      <c r="T693"/>
      <c r="W693"/>
      <c r="X693"/>
      <c r="AE693" s="4"/>
      <c r="AG693" s="4"/>
      <c r="AH693" s="4"/>
      <c r="AI693" s="4"/>
      <c r="AJ693" s="4"/>
      <c r="AK693" s="4"/>
      <c r="AL693" s="4"/>
      <c r="AM693"/>
      <c r="AP693" s="4"/>
      <c r="AX693" s="4"/>
      <c r="AY693" s="4"/>
      <c r="AZ693" s="4"/>
      <c r="BA693" s="4"/>
      <c r="BB693" s="4"/>
      <c r="BC693" s="4"/>
      <c r="BD693" s="4"/>
      <c r="BE693" s="4"/>
      <c r="BF693" s="4"/>
      <c r="BG693" s="4"/>
      <c r="BI693" s="4"/>
      <c r="BP693" s="4"/>
      <c r="BS693" s="4"/>
      <c r="BW693" s="4"/>
      <c r="BX693" s="4"/>
    </row>
    <row r="694" spans="10:76" ht="12.75" x14ac:dyDescent="0.2">
      <c r="J694" s="4"/>
      <c r="L694" s="4"/>
      <c r="S694" s="4"/>
      <c r="T694"/>
      <c r="W694"/>
      <c r="X694"/>
      <c r="AE694" s="4"/>
      <c r="AG694" s="4"/>
      <c r="AH694" s="4"/>
      <c r="AI694" s="4"/>
      <c r="AJ694" s="4"/>
      <c r="AK694" s="4"/>
      <c r="AL694" s="4"/>
      <c r="AM694"/>
      <c r="AP694" s="4"/>
      <c r="AX694" s="4"/>
      <c r="AY694" s="4"/>
      <c r="AZ694" s="4"/>
      <c r="BA694" s="4"/>
      <c r="BB694" s="4"/>
      <c r="BC694" s="4"/>
      <c r="BD694" s="4"/>
      <c r="BE694" s="4"/>
      <c r="BF694" s="4"/>
      <c r="BG694" s="4"/>
      <c r="BI694" s="4"/>
      <c r="BP694" s="4"/>
      <c r="BS694" s="4"/>
      <c r="BW694" s="4"/>
      <c r="BX694" s="4"/>
    </row>
    <row r="695" spans="10:76" ht="12.75" x14ac:dyDescent="0.2">
      <c r="J695" s="4"/>
      <c r="L695" s="4"/>
      <c r="S695" s="4"/>
      <c r="T695"/>
      <c r="W695"/>
      <c r="X695"/>
      <c r="AE695" s="4"/>
      <c r="AG695" s="4"/>
      <c r="AH695" s="4"/>
      <c r="AI695" s="4"/>
      <c r="AJ695" s="4"/>
      <c r="AK695" s="4"/>
      <c r="AL695" s="4"/>
      <c r="AM695"/>
      <c r="AP695" s="4"/>
      <c r="AX695" s="4"/>
      <c r="AY695" s="4"/>
      <c r="AZ695" s="4"/>
      <c r="BA695" s="4"/>
      <c r="BB695" s="4"/>
      <c r="BC695" s="4"/>
      <c r="BD695" s="4"/>
      <c r="BE695" s="4"/>
      <c r="BF695" s="4"/>
      <c r="BG695" s="4"/>
      <c r="BI695" s="4"/>
      <c r="BP695" s="4"/>
      <c r="BS695" s="4"/>
      <c r="BW695" s="4"/>
      <c r="BX695" s="4"/>
    </row>
    <row r="696" spans="10:76" ht="12.75" x14ac:dyDescent="0.2">
      <c r="J696" s="4"/>
      <c r="L696" s="4"/>
      <c r="S696" s="4"/>
      <c r="T696"/>
      <c r="W696"/>
      <c r="X696"/>
      <c r="AE696" s="4"/>
      <c r="AG696" s="4"/>
      <c r="AH696" s="4"/>
      <c r="AI696" s="4"/>
      <c r="AJ696" s="4"/>
      <c r="AK696" s="4"/>
      <c r="AL696" s="4"/>
      <c r="AM696"/>
      <c r="AP696" s="4"/>
      <c r="AX696" s="4"/>
      <c r="AY696" s="4"/>
      <c r="AZ696" s="4"/>
      <c r="BA696" s="4"/>
      <c r="BB696" s="4"/>
      <c r="BC696" s="4"/>
      <c r="BD696" s="4"/>
      <c r="BE696" s="4"/>
      <c r="BF696" s="4"/>
      <c r="BG696" s="4"/>
      <c r="BI696" s="4"/>
      <c r="BP696" s="4"/>
      <c r="BS696" s="4"/>
      <c r="BW696" s="4"/>
      <c r="BX696" s="4"/>
    </row>
    <row r="697" spans="10:76" ht="12.75" x14ac:dyDescent="0.2">
      <c r="J697" s="4"/>
      <c r="L697" s="4"/>
      <c r="S697" s="4"/>
      <c r="T697"/>
      <c r="W697"/>
      <c r="X697"/>
      <c r="AE697" s="4"/>
      <c r="AG697" s="4"/>
      <c r="AH697" s="4"/>
      <c r="AI697" s="4"/>
      <c r="AJ697" s="4"/>
      <c r="AK697" s="4"/>
      <c r="AL697" s="4"/>
      <c r="AM697"/>
      <c r="AP697" s="4"/>
      <c r="AX697" s="4"/>
      <c r="AY697" s="4"/>
      <c r="AZ697" s="4"/>
      <c r="BA697" s="4"/>
      <c r="BB697" s="4"/>
      <c r="BC697" s="4"/>
      <c r="BD697" s="4"/>
      <c r="BE697" s="4"/>
      <c r="BF697" s="4"/>
      <c r="BG697" s="4"/>
      <c r="BI697" s="4"/>
      <c r="BP697" s="4"/>
      <c r="BS697" s="4"/>
      <c r="BW697" s="4"/>
      <c r="BX697" s="4"/>
    </row>
    <row r="698" spans="10:76" ht="12.75" x14ac:dyDescent="0.2">
      <c r="J698" s="4"/>
      <c r="L698" s="4"/>
      <c r="S698" s="4"/>
      <c r="T698"/>
      <c r="W698"/>
      <c r="X698"/>
      <c r="AE698" s="4"/>
      <c r="AG698" s="4"/>
      <c r="AH698" s="4"/>
      <c r="AI698" s="4"/>
      <c r="AJ698" s="4"/>
      <c r="AK698" s="4"/>
      <c r="AL698" s="4"/>
      <c r="AM698"/>
      <c r="AP698" s="4"/>
      <c r="AX698" s="4"/>
      <c r="AY698" s="4"/>
      <c r="AZ698" s="4"/>
      <c r="BA698" s="4"/>
      <c r="BB698" s="4"/>
      <c r="BC698" s="4"/>
      <c r="BD698" s="4"/>
      <c r="BE698" s="4"/>
      <c r="BF698" s="4"/>
      <c r="BG698" s="4"/>
      <c r="BI698" s="4"/>
      <c r="BP698" s="4"/>
      <c r="BS698" s="4"/>
      <c r="BW698" s="4"/>
      <c r="BX698" s="4"/>
    </row>
    <row r="699" spans="10:76" ht="12.75" x14ac:dyDescent="0.2">
      <c r="J699" s="4"/>
      <c r="L699" s="4"/>
      <c r="S699" s="4"/>
      <c r="T699"/>
      <c r="W699"/>
      <c r="X699"/>
      <c r="AE699" s="4"/>
      <c r="AG699" s="4"/>
      <c r="AH699" s="4"/>
      <c r="AI699" s="4"/>
      <c r="AJ699" s="4"/>
      <c r="AK699" s="4"/>
      <c r="AL699" s="4"/>
      <c r="AM699"/>
      <c r="AP699" s="4"/>
      <c r="AX699" s="4"/>
      <c r="AY699" s="4"/>
      <c r="AZ699" s="4"/>
      <c r="BA699" s="4"/>
      <c r="BB699" s="4"/>
      <c r="BC699" s="4"/>
      <c r="BD699" s="4"/>
      <c r="BE699" s="4"/>
      <c r="BF699" s="4"/>
      <c r="BG699" s="4"/>
      <c r="BI699" s="4"/>
      <c r="BP699" s="4"/>
      <c r="BS699" s="4"/>
      <c r="BW699" s="4"/>
      <c r="BX699" s="4"/>
    </row>
    <row r="700" spans="10:76" ht="12.75" x14ac:dyDescent="0.2">
      <c r="J700" s="4"/>
      <c r="L700" s="4"/>
      <c r="S700" s="4"/>
      <c r="T700"/>
      <c r="W700"/>
      <c r="X700"/>
      <c r="AE700" s="4"/>
      <c r="AG700" s="4"/>
      <c r="AH700" s="4"/>
      <c r="AI700" s="4"/>
      <c r="AJ700" s="4"/>
      <c r="AK700" s="4"/>
      <c r="AL700" s="4"/>
      <c r="AM700"/>
      <c r="AP700" s="4"/>
      <c r="AX700" s="4"/>
      <c r="AY700" s="4"/>
      <c r="AZ700" s="4"/>
      <c r="BA700" s="4"/>
      <c r="BB700" s="4"/>
      <c r="BC700" s="4"/>
      <c r="BD700" s="4"/>
      <c r="BE700" s="4"/>
      <c r="BF700" s="4"/>
      <c r="BG700" s="4"/>
      <c r="BI700" s="4"/>
      <c r="BP700" s="4"/>
      <c r="BS700" s="4"/>
      <c r="BW700" s="4"/>
      <c r="BX700" s="4"/>
    </row>
    <row r="701" spans="10:76" ht="12.75" x14ac:dyDescent="0.2">
      <c r="J701" s="4"/>
      <c r="L701" s="4"/>
      <c r="S701" s="4"/>
      <c r="T701"/>
      <c r="W701"/>
      <c r="X701"/>
      <c r="AE701" s="4"/>
      <c r="AG701" s="4"/>
      <c r="AH701" s="4"/>
      <c r="AI701" s="4"/>
      <c r="AJ701" s="4"/>
      <c r="AK701" s="4"/>
      <c r="AL701" s="4"/>
      <c r="AM701"/>
      <c r="AP701" s="4"/>
      <c r="AX701" s="4"/>
      <c r="AY701" s="4"/>
      <c r="AZ701" s="4"/>
      <c r="BA701" s="4"/>
      <c r="BB701" s="4"/>
      <c r="BC701" s="4"/>
      <c r="BD701" s="4"/>
      <c r="BE701" s="4"/>
      <c r="BF701" s="4"/>
      <c r="BG701" s="4"/>
      <c r="BI701" s="4"/>
      <c r="BP701" s="4"/>
      <c r="BS701" s="4"/>
      <c r="BW701" s="4"/>
      <c r="BX701" s="4"/>
    </row>
    <row r="702" spans="10:76" ht="12.75" x14ac:dyDescent="0.2">
      <c r="J702" s="4"/>
      <c r="L702" s="4"/>
      <c r="S702" s="4"/>
      <c r="T702"/>
      <c r="W702"/>
      <c r="X702"/>
      <c r="AE702" s="4"/>
      <c r="AG702" s="4"/>
      <c r="AH702" s="4"/>
      <c r="AI702" s="4"/>
      <c r="AJ702" s="4"/>
      <c r="AK702" s="4"/>
      <c r="AL702" s="4"/>
      <c r="AM702"/>
      <c r="AP702" s="4"/>
      <c r="AX702" s="4"/>
      <c r="AY702" s="4"/>
      <c r="AZ702" s="4"/>
      <c r="BA702" s="4"/>
      <c r="BB702" s="4"/>
      <c r="BC702" s="4"/>
      <c r="BD702" s="4"/>
      <c r="BE702" s="4"/>
      <c r="BF702" s="4"/>
      <c r="BG702" s="4"/>
      <c r="BI702" s="4"/>
      <c r="BP702" s="4"/>
      <c r="BS702" s="4"/>
      <c r="BW702" s="4"/>
      <c r="BX702" s="4"/>
    </row>
    <row r="703" spans="10:76" ht="12.75" x14ac:dyDescent="0.2">
      <c r="J703" s="4"/>
      <c r="L703" s="4"/>
      <c r="S703" s="4"/>
      <c r="T703"/>
      <c r="W703"/>
      <c r="X703"/>
      <c r="AE703" s="4"/>
      <c r="AG703" s="4"/>
      <c r="AH703" s="4"/>
      <c r="AI703" s="4"/>
      <c r="AJ703" s="4"/>
      <c r="AK703" s="4"/>
      <c r="AL703" s="4"/>
      <c r="AM703"/>
      <c r="AP703" s="4"/>
      <c r="AX703" s="4"/>
      <c r="AY703" s="4"/>
      <c r="AZ703" s="4"/>
      <c r="BA703" s="4"/>
      <c r="BB703" s="4"/>
      <c r="BC703" s="4"/>
      <c r="BD703" s="4"/>
      <c r="BE703" s="4"/>
      <c r="BF703" s="4"/>
      <c r="BG703" s="4"/>
      <c r="BI703" s="4"/>
      <c r="BP703" s="4"/>
      <c r="BS703" s="4"/>
      <c r="BW703" s="4"/>
      <c r="BX703" s="4"/>
    </row>
    <row r="704" spans="10:76" ht="12.75" x14ac:dyDescent="0.2">
      <c r="J704" s="4"/>
      <c r="L704" s="4"/>
      <c r="S704" s="4"/>
      <c r="T704"/>
      <c r="W704"/>
      <c r="X704"/>
      <c r="AE704" s="4"/>
      <c r="AG704" s="4"/>
      <c r="AH704" s="4"/>
      <c r="AI704" s="4"/>
      <c r="AJ704" s="4"/>
      <c r="AK704" s="4"/>
      <c r="AL704" s="4"/>
      <c r="AM704"/>
      <c r="AP704" s="4"/>
      <c r="AX704" s="4"/>
      <c r="AY704" s="4"/>
      <c r="AZ704" s="4"/>
      <c r="BA704" s="4"/>
      <c r="BB704" s="4"/>
      <c r="BC704" s="4"/>
      <c r="BD704" s="4"/>
      <c r="BE704" s="4"/>
      <c r="BF704" s="4"/>
      <c r="BG704" s="4"/>
      <c r="BI704" s="4"/>
      <c r="BP704" s="4"/>
      <c r="BS704" s="4"/>
      <c r="BW704" s="4"/>
      <c r="BX704" s="4"/>
    </row>
    <row r="705" spans="10:76" ht="12.75" x14ac:dyDescent="0.2">
      <c r="J705" s="4"/>
      <c r="L705" s="4"/>
      <c r="S705" s="4"/>
      <c r="T705"/>
      <c r="W705"/>
      <c r="X705"/>
      <c r="AE705" s="4"/>
      <c r="AG705" s="4"/>
      <c r="AH705" s="4"/>
      <c r="AI705" s="4"/>
      <c r="AJ705" s="4"/>
      <c r="AK705" s="4"/>
      <c r="AL705" s="4"/>
      <c r="AM705"/>
      <c r="AP705" s="4"/>
      <c r="AX705" s="4"/>
      <c r="AY705" s="4"/>
      <c r="AZ705" s="4"/>
      <c r="BA705" s="4"/>
      <c r="BB705" s="4"/>
      <c r="BC705" s="4"/>
      <c r="BD705" s="4"/>
      <c r="BE705" s="4"/>
      <c r="BF705" s="4"/>
      <c r="BG705" s="4"/>
      <c r="BI705" s="4"/>
      <c r="BP705" s="4"/>
      <c r="BS705" s="4"/>
      <c r="BW705" s="4"/>
      <c r="BX705" s="4"/>
    </row>
    <row r="706" spans="10:76" ht="12.75" x14ac:dyDescent="0.2">
      <c r="J706" s="4"/>
      <c r="L706" s="4"/>
      <c r="S706" s="4"/>
      <c r="T706"/>
      <c r="W706"/>
      <c r="X706"/>
      <c r="AE706" s="4"/>
      <c r="AG706" s="4"/>
      <c r="AH706" s="4"/>
      <c r="AI706" s="4"/>
      <c r="AJ706" s="4"/>
      <c r="AK706" s="4"/>
      <c r="AL706" s="4"/>
      <c r="AM706"/>
      <c r="AP706" s="4"/>
      <c r="AX706" s="4"/>
      <c r="AY706" s="4"/>
      <c r="AZ706" s="4"/>
      <c r="BA706" s="4"/>
      <c r="BB706" s="4"/>
      <c r="BC706" s="4"/>
      <c r="BD706" s="4"/>
      <c r="BE706" s="4"/>
      <c r="BF706" s="4"/>
      <c r="BG706" s="4"/>
      <c r="BI706" s="4"/>
      <c r="BP706" s="4"/>
      <c r="BS706" s="4"/>
      <c r="BW706" s="4"/>
      <c r="BX706" s="4"/>
    </row>
    <row r="707" spans="10:76" ht="12.75" x14ac:dyDescent="0.2">
      <c r="J707" s="4"/>
      <c r="L707" s="4"/>
      <c r="S707" s="4"/>
      <c r="T707"/>
      <c r="W707"/>
      <c r="X707"/>
      <c r="AE707" s="4"/>
      <c r="AG707" s="4"/>
      <c r="AH707" s="4"/>
      <c r="AI707" s="4"/>
      <c r="AJ707" s="4"/>
      <c r="AK707" s="4"/>
      <c r="AL707" s="4"/>
      <c r="AM707"/>
      <c r="AP707" s="4"/>
      <c r="AX707" s="4"/>
      <c r="AY707" s="4"/>
      <c r="AZ707" s="4"/>
      <c r="BA707" s="4"/>
      <c r="BB707" s="4"/>
      <c r="BC707" s="4"/>
      <c r="BD707" s="4"/>
      <c r="BE707" s="4"/>
      <c r="BF707" s="4"/>
      <c r="BG707" s="4"/>
      <c r="BI707" s="4"/>
      <c r="BP707" s="4"/>
      <c r="BS707" s="4"/>
      <c r="BW707" s="4"/>
      <c r="BX707" s="4"/>
    </row>
    <row r="708" spans="10:76" ht="12.75" x14ac:dyDescent="0.2">
      <c r="J708" s="4"/>
      <c r="L708" s="4"/>
      <c r="S708" s="4"/>
      <c r="T708"/>
      <c r="W708"/>
      <c r="X708"/>
      <c r="AE708" s="4"/>
      <c r="AG708" s="4"/>
      <c r="AH708" s="4"/>
      <c r="AI708" s="4"/>
      <c r="AJ708" s="4"/>
      <c r="AK708" s="4"/>
      <c r="AL708" s="4"/>
      <c r="AM708"/>
      <c r="AP708" s="4"/>
      <c r="AX708" s="4"/>
      <c r="AY708" s="4"/>
      <c r="AZ708" s="4"/>
      <c r="BA708" s="4"/>
      <c r="BB708" s="4"/>
      <c r="BC708" s="4"/>
      <c r="BD708" s="4"/>
      <c r="BE708" s="4"/>
      <c r="BF708" s="4"/>
      <c r="BG708" s="4"/>
      <c r="BI708" s="4"/>
      <c r="BP708" s="4"/>
      <c r="BS708" s="4"/>
      <c r="BW708" s="4"/>
      <c r="BX708" s="4"/>
    </row>
    <row r="709" spans="10:76" ht="12.75" x14ac:dyDescent="0.2">
      <c r="J709" s="4"/>
      <c r="L709" s="4"/>
      <c r="S709" s="4"/>
      <c r="T709"/>
      <c r="W709"/>
      <c r="X709"/>
      <c r="AE709" s="4"/>
      <c r="AG709" s="4"/>
      <c r="AH709" s="4"/>
      <c r="AI709" s="4"/>
      <c r="AJ709" s="4"/>
      <c r="AK709" s="4"/>
      <c r="AL709" s="4"/>
      <c r="AM709"/>
      <c r="AP709" s="4"/>
      <c r="AX709" s="4"/>
      <c r="AY709" s="4"/>
      <c r="AZ709" s="4"/>
      <c r="BA709" s="4"/>
      <c r="BB709" s="4"/>
      <c r="BC709" s="4"/>
      <c r="BD709" s="4"/>
      <c r="BE709" s="4"/>
      <c r="BF709" s="4"/>
      <c r="BG709" s="4"/>
      <c r="BI709" s="4"/>
      <c r="BP709" s="4"/>
      <c r="BS709" s="4"/>
      <c r="BW709" s="4"/>
      <c r="BX709" s="4"/>
    </row>
    <row r="710" spans="10:76" ht="12.75" x14ac:dyDescent="0.2">
      <c r="J710" s="4"/>
      <c r="L710" s="4"/>
      <c r="S710" s="4"/>
      <c r="T710"/>
      <c r="W710"/>
      <c r="X710"/>
      <c r="AE710" s="4"/>
      <c r="AG710" s="4"/>
      <c r="AH710" s="4"/>
      <c r="AI710" s="4"/>
      <c r="AJ710" s="4"/>
      <c r="AK710" s="4"/>
      <c r="AL710" s="4"/>
      <c r="AM710"/>
      <c r="AP710" s="4"/>
      <c r="AX710" s="4"/>
      <c r="AY710" s="4"/>
      <c r="AZ710" s="4"/>
      <c r="BA710" s="4"/>
      <c r="BB710" s="4"/>
      <c r="BC710" s="4"/>
      <c r="BD710" s="4"/>
      <c r="BE710" s="4"/>
      <c r="BF710" s="4"/>
      <c r="BG710" s="4"/>
      <c r="BI710" s="4"/>
      <c r="BP710" s="4"/>
      <c r="BS710" s="4"/>
      <c r="BW710" s="4"/>
      <c r="BX710" s="4"/>
    </row>
    <row r="711" spans="10:76" ht="12.75" x14ac:dyDescent="0.2">
      <c r="J711" s="4"/>
      <c r="L711" s="4"/>
      <c r="S711" s="4"/>
      <c r="T711"/>
      <c r="W711"/>
      <c r="X711"/>
      <c r="AE711" s="4"/>
      <c r="AG711" s="4"/>
      <c r="AH711" s="4"/>
      <c r="AI711" s="4"/>
      <c r="AJ711" s="4"/>
      <c r="AK711" s="4"/>
      <c r="AL711" s="4"/>
      <c r="AM711"/>
      <c r="AP711" s="4"/>
      <c r="AX711" s="4"/>
      <c r="AY711" s="4"/>
      <c r="AZ711" s="4"/>
      <c r="BA711" s="4"/>
      <c r="BB711" s="4"/>
      <c r="BC711" s="4"/>
      <c r="BD711" s="4"/>
      <c r="BE711" s="4"/>
      <c r="BF711" s="4"/>
      <c r="BG711" s="4"/>
      <c r="BI711" s="4"/>
      <c r="BP711" s="4"/>
      <c r="BS711" s="4"/>
      <c r="BW711" s="4"/>
      <c r="BX711" s="4"/>
    </row>
    <row r="712" spans="10:76" ht="12.75" x14ac:dyDescent="0.2">
      <c r="J712" s="4"/>
      <c r="L712" s="4"/>
      <c r="S712" s="4"/>
      <c r="T712"/>
      <c r="W712"/>
      <c r="X712"/>
      <c r="AE712" s="4"/>
      <c r="AG712" s="4"/>
      <c r="AH712" s="4"/>
      <c r="AI712" s="4"/>
      <c r="AJ712" s="4"/>
      <c r="AK712" s="4"/>
      <c r="AL712" s="4"/>
      <c r="AM712"/>
      <c r="AP712" s="4"/>
      <c r="AX712" s="4"/>
      <c r="AY712" s="4"/>
      <c r="AZ712" s="4"/>
      <c r="BA712" s="4"/>
      <c r="BB712" s="4"/>
      <c r="BC712" s="4"/>
      <c r="BD712" s="4"/>
      <c r="BE712" s="4"/>
      <c r="BF712" s="4"/>
      <c r="BG712" s="4"/>
      <c r="BI712" s="4"/>
      <c r="BP712" s="4"/>
      <c r="BS712" s="4"/>
      <c r="BW712" s="4"/>
      <c r="BX712" s="4"/>
    </row>
    <row r="713" spans="10:76" x14ac:dyDescent="0.25">
      <c r="J713" s="4"/>
      <c r="L713" s="4"/>
      <c r="S713" s="4"/>
      <c r="T713"/>
      <c r="W713"/>
      <c r="X713"/>
      <c r="AE713" s="4"/>
      <c r="AG713" s="4"/>
      <c r="AH713" s="4"/>
      <c r="AI713" s="4"/>
      <c r="AJ713" s="4"/>
      <c r="AK713" s="4"/>
      <c r="AL713" s="4"/>
      <c r="AM713"/>
      <c r="AO713"/>
      <c r="AP713" s="3"/>
      <c r="AX713" s="4"/>
      <c r="AY713" s="4"/>
      <c r="AZ713" s="4"/>
      <c r="BA713" s="4"/>
      <c r="BB713" s="4"/>
      <c r="BC713" s="4"/>
      <c r="BD713" s="4"/>
      <c r="BE713" s="4"/>
      <c r="BF713" s="4"/>
      <c r="BG713" s="4"/>
      <c r="BI713" s="4"/>
      <c r="BP713" s="4"/>
      <c r="BS713" s="4"/>
      <c r="BW713" s="4"/>
      <c r="BX713" s="4"/>
    </row>
    <row r="714" spans="10:76" x14ac:dyDescent="0.25">
      <c r="J714" s="4"/>
      <c r="L714" s="4"/>
      <c r="S714" s="4"/>
      <c r="T714"/>
      <c r="W714"/>
      <c r="X714"/>
      <c r="AE714" s="4"/>
      <c r="AG714" s="4"/>
      <c r="AH714" s="4"/>
      <c r="AI714" s="4"/>
      <c r="AJ714" s="4"/>
      <c r="AK714" s="4"/>
      <c r="AL714" s="4"/>
      <c r="AM714"/>
      <c r="AO714"/>
      <c r="AP714" s="3"/>
      <c r="AX714" s="4"/>
      <c r="AY714" s="4"/>
      <c r="AZ714" s="4"/>
      <c r="BA714" s="4"/>
      <c r="BB714" s="4"/>
      <c r="BC714" s="4"/>
      <c r="BD714" s="4"/>
      <c r="BE714" s="4"/>
      <c r="BF714" s="4"/>
      <c r="BG714" s="4"/>
      <c r="BI714" s="4"/>
      <c r="BP714" s="4"/>
      <c r="BS714" s="4"/>
      <c r="BW714" s="4"/>
      <c r="BX714" s="4"/>
    </row>
    <row r="715" spans="10:76" x14ac:dyDescent="0.25">
      <c r="J715" s="4"/>
      <c r="L715" s="4"/>
      <c r="S715" s="4"/>
      <c r="T715"/>
      <c r="W715"/>
      <c r="X715"/>
      <c r="AE715" s="4"/>
      <c r="AG715" s="4"/>
      <c r="AH715" s="4"/>
      <c r="AI715" s="4"/>
      <c r="AJ715" s="4"/>
      <c r="AK715" s="4"/>
      <c r="AL715" s="4"/>
      <c r="AM715"/>
      <c r="AO715"/>
      <c r="AP715" s="3"/>
      <c r="AX715" s="4"/>
      <c r="AY715" s="4"/>
      <c r="AZ715" s="4"/>
      <c r="BA715" s="4"/>
      <c r="BB715" s="4"/>
      <c r="BC715" s="4"/>
      <c r="BD715" s="4"/>
      <c r="BE715" s="4"/>
      <c r="BF715" s="4"/>
      <c r="BG715" s="4"/>
      <c r="BI715" s="4"/>
      <c r="BP715" s="4"/>
      <c r="BS715" s="4"/>
      <c r="BW715" s="4"/>
      <c r="BX715" s="4"/>
    </row>
    <row r="716" spans="10:76" x14ac:dyDescent="0.25">
      <c r="J716" s="4"/>
      <c r="L716" s="4"/>
      <c r="S716" s="4"/>
      <c r="T716"/>
      <c r="W716"/>
      <c r="X716"/>
      <c r="AE716" s="4"/>
      <c r="AG716" s="4"/>
      <c r="AH716" s="4"/>
      <c r="AI716" s="4"/>
      <c r="AJ716" s="4"/>
      <c r="AK716" s="4"/>
      <c r="AL716" s="4"/>
      <c r="AM716"/>
      <c r="AO716"/>
      <c r="AP716" s="3"/>
      <c r="AX716" s="4"/>
      <c r="AY716" s="4"/>
      <c r="AZ716" s="4"/>
      <c r="BA716" s="4"/>
      <c r="BB716" s="4"/>
      <c r="BC716" s="4"/>
      <c r="BD716" s="4"/>
      <c r="BE716" s="4"/>
      <c r="BF716" s="4"/>
      <c r="BG716" s="4"/>
      <c r="BI716" s="4"/>
      <c r="BP716" s="4"/>
      <c r="BS716" s="4"/>
      <c r="BW716" s="4"/>
      <c r="BX716" s="4"/>
    </row>
    <row r="717" spans="10:76" x14ac:dyDescent="0.25">
      <c r="J717" s="4"/>
      <c r="L717" s="4"/>
      <c r="S717" s="4"/>
      <c r="T717"/>
      <c r="W717"/>
      <c r="X717"/>
      <c r="AE717" s="4"/>
      <c r="AG717" s="4"/>
      <c r="AH717" s="4"/>
      <c r="AI717" s="4"/>
      <c r="AJ717" s="4"/>
      <c r="AK717" s="4"/>
      <c r="AL717" s="4"/>
      <c r="AM717"/>
      <c r="AT717"/>
      <c r="AU717" s="3"/>
      <c r="AX717" s="4"/>
      <c r="AY717" s="4"/>
      <c r="AZ717" s="4"/>
      <c r="BA717" s="4"/>
      <c r="BB717" s="4"/>
      <c r="BC717" s="4"/>
      <c r="BD717" s="4"/>
      <c r="BE717" s="4"/>
      <c r="BF717" s="4"/>
      <c r="BG717" s="4"/>
      <c r="BI717" s="4"/>
      <c r="BP717" s="4"/>
      <c r="BS717" s="4"/>
      <c r="BW717" s="4"/>
      <c r="BX717" s="4"/>
    </row>
    <row r="718" spans="10:76" x14ac:dyDescent="0.25">
      <c r="J718" s="4"/>
      <c r="L718" s="4"/>
      <c r="S718" s="4"/>
      <c r="T718"/>
      <c r="W718"/>
      <c r="X718"/>
      <c r="AE718" s="4"/>
      <c r="AG718" s="4"/>
      <c r="AH718" s="4"/>
      <c r="AI718" s="4"/>
      <c r="AJ718" s="4"/>
      <c r="AK718" s="4"/>
      <c r="AL718" s="4"/>
      <c r="AM718"/>
      <c r="AT718"/>
      <c r="AU718" s="3"/>
      <c r="AX718" s="4"/>
      <c r="AY718" s="4"/>
      <c r="AZ718" s="4"/>
      <c r="BA718" s="4"/>
      <c r="BB718" s="4"/>
      <c r="BC718" s="4"/>
      <c r="BD718" s="4"/>
      <c r="BE718" s="4"/>
      <c r="BF718" s="4"/>
      <c r="BG718" s="4"/>
      <c r="BI718" s="4"/>
      <c r="BP718" s="4"/>
      <c r="BS718" s="4"/>
      <c r="BW718" s="4"/>
      <c r="BX718" s="4"/>
    </row>
    <row r="719" spans="10:76" x14ac:dyDescent="0.25">
      <c r="J719" s="4"/>
      <c r="L719" s="4"/>
      <c r="S719" s="4"/>
      <c r="T719"/>
      <c r="W719"/>
      <c r="X719"/>
      <c r="AE719" s="4"/>
      <c r="AG719" s="4"/>
      <c r="AH719" s="4"/>
      <c r="AI719" s="4"/>
      <c r="AJ719" s="4"/>
      <c r="AK719" s="4"/>
      <c r="AL719" s="4"/>
      <c r="AM719"/>
      <c r="AT719"/>
      <c r="AU719" s="3"/>
      <c r="AX719" s="4"/>
      <c r="AY719" s="4"/>
      <c r="AZ719" s="4"/>
      <c r="BA719" s="4"/>
      <c r="BB719" s="4"/>
      <c r="BC719" s="4"/>
      <c r="BD719" s="4"/>
      <c r="BE719" s="4"/>
      <c r="BF719" s="4"/>
      <c r="BG719" s="4"/>
      <c r="BI719" s="4"/>
      <c r="BP719" s="4"/>
      <c r="BS719" s="4"/>
      <c r="BW719" s="4"/>
      <c r="BX719" s="4"/>
    </row>
    <row r="720" spans="10:76" x14ac:dyDescent="0.25">
      <c r="J720" s="4"/>
      <c r="L720" s="4"/>
      <c r="S720" s="4"/>
      <c r="T720"/>
      <c r="W720"/>
      <c r="X720"/>
      <c r="AE720" s="4"/>
      <c r="AG720" s="4"/>
      <c r="AH720" s="4"/>
      <c r="AI720" s="4"/>
      <c r="AJ720" s="4"/>
      <c r="AK720" s="4"/>
      <c r="AL720" s="4"/>
      <c r="AM720"/>
      <c r="AT720"/>
      <c r="AU720" s="3"/>
      <c r="AX720" s="4"/>
      <c r="AY720" s="4"/>
      <c r="AZ720" s="4"/>
      <c r="BA720" s="4"/>
      <c r="BB720" s="4"/>
      <c r="BC720" s="4"/>
      <c r="BD720" s="4"/>
      <c r="BE720" s="4"/>
      <c r="BF720" s="4"/>
      <c r="BG720" s="4"/>
      <c r="BI720" s="4"/>
      <c r="BP720" s="4"/>
      <c r="BS720" s="4"/>
      <c r="BW720" s="4"/>
      <c r="BX720" s="4"/>
    </row>
    <row r="721" spans="10:76" x14ac:dyDescent="0.25">
      <c r="J721" s="4"/>
      <c r="L721" s="4"/>
      <c r="S721" s="4"/>
      <c r="T721"/>
      <c r="W721"/>
      <c r="X721"/>
      <c r="AE721" s="4"/>
      <c r="AG721" s="4"/>
      <c r="AH721" s="4"/>
      <c r="AI721" s="4"/>
      <c r="AJ721" s="4"/>
      <c r="AK721" s="4"/>
      <c r="AL721" s="4"/>
      <c r="AM721"/>
      <c r="AT721"/>
      <c r="AU721" s="3"/>
      <c r="AX721" s="4"/>
      <c r="AY721" s="4"/>
      <c r="AZ721" s="4"/>
      <c r="BA721" s="4"/>
      <c r="BB721" s="4"/>
      <c r="BC721" s="4"/>
      <c r="BD721" s="4"/>
      <c r="BE721" s="4"/>
      <c r="BF721" s="4"/>
      <c r="BG721" s="4"/>
      <c r="BI721" s="4"/>
      <c r="BP721" s="4"/>
      <c r="BS721" s="4"/>
      <c r="BW721" s="4"/>
      <c r="BX721" s="4"/>
    </row>
    <row r="722" spans="10:76" x14ac:dyDescent="0.25">
      <c r="J722" s="4"/>
      <c r="L722" s="4"/>
      <c r="S722" s="4"/>
      <c r="T722"/>
      <c r="W722"/>
      <c r="X722"/>
      <c r="AE722" s="4"/>
      <c r="AG722" s="4"/>
      <c r="AH722" s="4"/>
      <c r="AI722" s="4"/>
      <c r="AJ722" s="4"/>
      <c r="AK722" s="4"/>
      <c r="AL722" s="4"/>
      <c r="AM722"/>
      <c r="AT722"/>
      <c r="AU722" s="3"/>
      <c r="AX722" s="4"/>
      <c r="AY722" s="4"/>
      <c r="AZ722" s="4"/>
      <c r="BA722" s="4"/>
      <c r="BB722" s="4"/>
      <c r="BC722" s="4"/>
      <c r="BD722" s="4"/>
      <c r="BE722" s="4"/>
      <c r="BF722" s="4"/>
      <c r="BG722" s="4"/>
      <c r="BI722" s="4"/>
      <c r="BP722" s="4"/>
      <c r="BS722" s="4"/>
      <c r="BW722" s="4"/>
      <c r="BX722" s="4"/>
    </row>
    <row r="723" spans="10:76" x14ac:dyDescent="0.25">
      <c r="J723" s="4"/>
      <c r="L723" s="4"/>
      <c r="S723" s="4"/>
      <c r="T723"/>
      <c r="W723"/>
      <c r="X723"/>
      <c r="AE723" s="4"/>
      <c r="AG723" s="4"/>
      <c r="AH723" s="4"/>
      <c r="AI723" s="4"/>
      <c r="AJ723" s="4"/>
      <c r="AK723" s="4"/>
      <c r="AL723" s="4"/>
      <c r="AM723"/>
      <c r="AT723"/>
      <c r="AU723" s="3"/>
      <c r="AX723" s="4"/>
      <c r="AY723" s="4"/>
      <c r="AZ723" s="4"/>
      <c r="BA723" s="4"/>
      <c r="BB723" s="4"/>
      <c r="BC723" s="4"/>
      <c r="BD723" s="4"/>
      <c r="BE723" s="4"/>
      <c r="BF723" s="4"/>
      <c r="BG723" s="4"/>
      <c r="BI723" s="4"/>
      <c r="BP723" s="4"/>
      <c r="BS723" s="4"/>
      <c r="BW723" s="4"/>
      <c r="BX723" s="4"/>
    </row>
    <row r="724" spans="10:76" x14ac:dyDescent="0.25">
      <c r="J724" s="4"/>
      <c r="L724" s="4"/>
      <c r="S724" s="4"/>
      <c r="T724"/>
      <c r="W724"/>
      <c r="X724"/>
      <c r="AE724" s="4"/>
      <c r="AG724" s="4"/>
      <c r="AH724" s="4"/>
      <c r="AI724" s="4"/>
      <c r="AJ724" s="4"/>
      <c r="AK724" s="4"/>
      <c r="AL724" s="4"/>
      <c r="AM724"/>
      <c r="AT724"/>
      <c r="AU724" s="3"/>
      <c r="AX724" s="4"/>
      <c r="AY724" s="4"/>
      <c r="AZ724" s="4"/>
      <c r="BA724" s="4"/>
      <c r="BB724" s="4"/>
      <c r="BC724" s="4"/>
      <c r="BD724" s="4"/>
      <c r="BE724" s="4"/>
      <c r="BF724" s="4"/>
      <c r="BG724" s="4"/>
      <c r="BI724" s="4"/>
      <c r="BP724" s="4"/>
      <c r="BS724" s="4"/>
      <c r="BW724" s="4"/>
      <c r="BX724" s="4"/>
    </row>
    <row r="725" spans="10:76" x14ac:dyDescent="0.25">
      <c r="J725" s="4"/>
      <c r="L725" s="4"/>
      <c r="S725" s="4"/>
      <c r="T725"/>
      <c r="W725"/>
      <c r="X725"/>
      <c r="AE725" s="4"/>
      <c r="AG725" s="4"/>
      <c r="AH725" s="4"/>
      <c r="AI725" s="4"/>
      <c r="AJ725" s="4"/>
      <c r="AK725" s="4"/>
      <c r="AL725" s="4"/>
      <c r="AM725"/>
      <c r="AT725"/>
      <c r="AU725" s="3"/>
      <c r="AX725" s="4"/>
      <c r="AY725" s="4"/>
      <c r="AZ725" s="4"/>
      <c r="BA725" s="4"/>
      <c r="BB725" s="4"/>
      <c r="BC725" s="4"/>
      <c r="BD725" s="4"/>
      <c r="BE725" s="4"/>
      <c r="BF725" s="4"/>
      <c r="BG725" s="4"/>
      <c r="BI725" s="4"/>
      <c r="BP725" s="4"/>
      <c r="BS725" s="4"/>
      <c r="BW725" s="4"/>
      <c r="BX725" s="4"/>
    </row>
    <row r="726" spans="10:76" x14ac:dyDescent="0.25">
      <c r="J726" s="4"/>
      <c r="L726" s="4"/>
      <c r="S726" s="4"/>
      <c r="T726"/>
      <c r="W726"/>
      <c r="X726"/>
      <c r="AE726" s="4"/>
      <c r="AG726" s="4"/>
      <c r="AH726" s="4"/>
      <c r="AI726" s="4"/>
      <c r="AJ726" s="4"/>
      <c r="AK726" s="4"/>
      <c r="AL726" s="4"/>
      <c r="AM726"/>
      <c r="AT726"/>
      <c r="AU726" s="3"/>
      <c r="AX726" s="4"/>
      <c r="AY726" s="4"/>
      <c r="AZ726" s="4"/>
      <c r="BA726" s="4"/>
      <c r="BB726" s="4"/>
      <c r="BC726" s="4"/>
      <c r="BD726" s="4"/>
      <c r="BE726" s="4"/>
      <c r="BF726" s="4"/>
      <c r="BG726" s="4"/>
      <c r="BI726" s="4"/>
      <c r="BP726" s="4"/>
      <c r="BS726" s="4"/>
      <c r="BW726" s="4"/>
      <c r="BX726" s="4"/>
    </row>
    <row r="727" spans="10:76" x14ac:dyDescent="0.25">
      <c r="J727" s="4"/>
      <c r="L727" s="4"/>
      <c r="S727" s="4"/>
      <c r="T727"/>
      <c r="W727"/>
      <c r="X727"/>
      <c r="AE727" s="4"/>
      <c r="AG727" s="4"/>
      <c r="AH727" s="4"/>
      <c r="AI727" s="4"/>
      <c r="AJ727" s="4"/>
      <c r="AK727" s="4"/>
      <c r="AL727" s="4"/>
      <c r="AM727"/>
      <c r="AT727"/>
      <c r="AU727" s="3"/>
      <c r="AX727" s="4"/>
      <c r="AY727" s="4"/>
      <c r="AZ727" s="4"/>
      <c r="BA727" s="4"/>
      <c r="BB727" s="4"/>
      <c r="BC727" s="4"/>
      <c r="BD727" s="4"/>
      <c r="BE727" s="4"/>
      <c r="BF727" s="4"/>
      <c r="BG727" s="4"/>
      <c r="BI727" s="4"/>
      <c r="BP727" s="4"/>
      <c r="BS727" s="4"/>
      <c r="BW727" s="4"/>
      <c r="BX727" s="4"/>
    </row>
    <row r="728" spans="10:76" x14ac:dyDescent="0.25">
      <c r="J728" s="4"/>
      <c r="L728" s="4"/>
      <c r="S728" s="4"/>
      <c r="T728"/>
      <c r="W728"/>
      <c r="X728"/>
      <c r="AE728" s="4"/>
      <c r="AG728" s="4"/>
      <c r="AH728" s="4"/>
      <c r="AI728" s="4"/>
      <c r="AJ728" s="4"/>
      <c r="AK728" s="4"/>
      <c r="AL728" s="4"/>
      <c r="AM728"/>
      <c r="AT728"/>
      <c r="AU728" s="3"/>
      <c r="AX728" s="4"/>
      <c r="AY728" s="4"/>
      <c r="AZ728" s="4"/>
      <c r="BA728" s="4"/>
      <c r="BB728" s="4"/>
      <c r="BC728" s="4"/>
      <c r="BD728" s="4"/>
      <c r="BE728" s="4"/>
      <c r="BF728" s="4"/>
      <c r="BG728" s="4"/>
      <c r="BI728" s="4"/>
      <c r="BP728" s="4"/>
      <c r="BS728" s="4"/>
      <c r="BW728" s="4"/>
      <c r="BX728" s="4"/>
    </row>
    <row r="729" spans="10:76" x14ac:dyDescent="0.25">
      <c r="J729" s="4"/>
      <c r="L729" s="4"/>
      <c r="S729" s="4"/>
      <c r="T729"/>
      <c r="W729"/>
      <c r="X729"/>
      <c r="AE729" s="4"/>
      <c r="AG729" s="4"/>
      <c r="AH729" s="4"/>
      <c r="AI729" s="4"/>
      <c r="AJ729" s="4"/>
      <c r="AK729" s="4"/>
      <c r="AL729" s="4"/>
      <c r="AM729"/>
      <c r="AT729"/>
      <c r="AU729" s="3"/>
      <c r="AX729" s="4"/>
      <c r="AY729" s="4"/>
      <c r="AZ729" s="4"/>
      <c r="BA729" s="4"/>
      <c r="BB729" s="4"/>
      <c r="BC729" s="4"/>
      <c r="BD729" s="4"/>
      <c r="BE729" s="4"/>
      <c r="BF729" s="4"/>
      <c r="BG729" s="4"/>
      <c r="BI729" s="4"/>
      <c r="BP729" s="4"/>
      <c r="BS729" s="4"/>
      <c r="BW729" s="4"/>
      <c r="BX729" s="4"/>
    </row>
    <row r="730" spans="10:76" x14ac:dyDescent="0.25">
      <c r="J730" s="4"/>
      <c r="L730" s="4"/>
      <c r="S730" s="4"/>
      <c r="T730"/>
      <c r="W730"/>
      <c r="X730"/>
      <c r="AE730" s="4"/>
      <c r="AG730" s="4"/>
      <c r="AH730" s="4"/>
      <c r="AI730" s="4"/>
      <c r="AJ730" s="4"/>
      <c r="AK730" s="4"/>
      <c r="AL730" s="4"/>
      <c r="AM730"/>
      <c r="AT730"/>
      <c r="AU730" s="3"/>
      <c r="AX730" s="4"/>
      <c r="AY730" s="4"/>
      <c r="AZ730" s="4"/>
      <c r="BA730" s="4"/>
      <c r="BB730" s="4"/>
      <c r="BC730" s="4"/>
      <c r="BD730" s="4"/>
      <c r="BE730" s="4"/>
      <c r="BF730" s="4"/>
      <c r="BG730" s="4"/>
      <c r="BI730" s="4"/>
      <c r="BP730" s="4"/>
      <c r="BS730" s="4"/>
      <c r="BW730" s="4"/>
      <c r="BX730" s="4"/>
    </row>
    <row r="731" spans="10:76" x14ac:dyDescent="0.25">
      <c r="J731" s="4"/>
      <c r="L731" s="4"/>
      <c r="S731" s="4"/>
      <c r="T731"/>
      <c r="W731"/>
      <c r="X731"/>
      <c r="AE731" s="4"/>
      <c r="AG731" s="4"/>
      <c r="AH731" s="4"/>
      <c r="AI731" s="4"/>
      <c r="AJ731" s="4"/>
      <c r="AK731" s="4"/>
      <c r="AL731" s="4"/>
      <c r="AM731"/>
      <c r="AT731"/>
      <c r="AU731" s="3"/>
      <c r="AX731" s="4"/>
      <c r="AY731" s="4"/>
      <c r="AZ731" s="4"/>
      <c r="BA731" s="4"/>
      <c r="BB731" s="4"/>
      <c r="BC731" s="4"/>
      <c r="BD731" s="4"/>
      <c r="BE731" s="4"/>
      <c r="BF731" s="4"/>
      <c r="BG731" s="4"/>
      <c r="BI731" s="4"/>
      <c r="BP731" s="4"/>
      <c r="BS731" s="4"/>
      <c r="BW731" s="4"/>
      <c r="BX731" s="4"/>
    </row>
    <row r="732" spans="10:76" x14ac:dyDescent="0.25">
      <c r="J732" s="4"/>
      <c r="L732" s="4"/>
      <c r="S732" s="4"/>
      <c r="T732"/>
      <c r="W732"/>
      <c r="X732"/>
      <c r="AE732" s="4"/>
      <c r="AG732" s="4"/>
      <c r="AH732" s="4"/>
      <c r="AI732" s="4"/>
      <c r="AJ732" s="4"/>
      <c r="AK732" s="4"/>
      <c r="AL732" s="4"/>
      <c r="AM732"/>
      <c r="AT732"/>
      <c r="AU732" s="3"/>
      <c r="AX732" s="4"/>
      <c r="AY732" s="4"/>
      <c r="AZ732" s="4"/>
      <c r="BA732" s="4"/>
      <c r="BB732" s="4"/>
      <c r="BC732" s="4"/>
      <c r="BD732" s="4"/>
      <c r="BE732" s="4"/>
      <c r="BF732" s="4"/>
      <c r="BG732" s="4"/>
      <c r="BI732" s="4"/>
      <c r="BP732" s="4"/>
      <c r="BS732" s="4"/>
      <c r="BW732" s="4"/>
      <c r="BX732" s="4"/>
    </row>
    <row r="733" spans="10:76" x14ac:dyDescent="0.25">
      <c r="J733" s="4"/>
      <c r="L733" s="4"/>
      <c r="S733" s="4"/>
      <c r="T733"/>
      <c r="W733"/>
      <c r="X733"/>
      <c r="AE733" s="4"/>
      <c r="AG733" s="4"/>
      <c r="AH733" s="4"/>
      <c r="AI733" s="4"/>
      <c r="AJ733" s="4"/>
      <c r="AK733" s="4"/>
      <c r="AL733" s="4"/>
      <c r="AM733"/>
      <c r="AT733"/>
      <c r="AU733" s="3"/>
      <c r="AX733" s="4"/>
      <c r="AY733" s="4"/>
      <c r="AZ733" s="4"/>
      <c r="BA733" s="4"/>
      <c r="BB733" s="4"/>
      <c r="BC733" s="4"/>
      <c r="BD733" s="4"/>
      <c r="BE733" s="4"/>
      <c r="BF733" s="4"/>
      <c r="BG733" s="4"/>
      <c r="BI733" s="4"/>
      <c r="BP733" s="4"/>
      <c r="BS733" s="4"/>
      <c r="BW733" s="4"/>
      <c r="BX733" s="4"/>
    </row>
    <row r="734" spans="10:76" x14ac:dyDescent="0.25">
      <c r="J734" s="4"/>
      <c r="L734" s="4"/>
      <c r="S734" s="4"/>
      <c r="T734"/>
      <c r="W734"/>
      <c r="X734"/>
      <c r="AE734" s="4"/>
      <c r="AG734" s="4"/>
      <c r="AH734" s="4"/>
      <c r="AI734" s="4"/>
      <c r="AJ734" s="4"/>
      <c r="AK734" s="4"/>
      <c r="AL734" s="4"/>
      <c r="AM734"/>
      <c r="AT734"/>
      <c r="AU734" s="3"/>
      <c r="AX734" s="4"/>
      <c r="AY734" s="4"/>
      <c r="AZ734" s="4"/>
      <c r="BA734" s="4"/>
      <c r="BB734" s="4"/>
      <c r="BC734" s="4"/>
      <c r="BD734" s="4"/>
      <c r="BE734" s="4"/>
      <c r="BF734" s="4"/>
      <c r="BG734" s="4"/>
      <c r="BI734" s="4"/>
      <c r="BP734" s="4"/>
      <c r="BS734" s="4"/>
      <c r="BW734" s="4"/>
      <c r="BX734" s="4"/>
    </row>
    <row r="735" spans="10:76" x14ac:dyDescent="0.25">
      <c r="J735" s="4"/>
      <c r="L735" s="4"/>
      <c r="S735" s="4"/>
      <c r="T735"/>
      <c r="W735"/>
      <c r="X735"/>
      <c r="AE735" s="4"/>
      <c r="AG735" s="4"/>
      <c r="AH735" s="4"/>
      <c r="AI735" s="4"/>
      <c r="AJ735" s="4"/>
      <c r="AK735" s="4"/>
      <c r="AL735" s="4"/>
      <c r="AM735"/>
      <c r="AT735"/>
      <c r="AU735" s="3"/>
      <c r="AX735" s="4"/>
      <c r="AY735" s="4"/>
      <c r="AZ735" s="4"/>
      <c r="BA735" s="4"/>
      <c r="BB735" s="4"/>
      <c r="BC735" s="4"/>
      <c r="BD735" s="4"/>
      <c r="BE735" s="4"/>
      <c r="BF735" s="4"/>
      <c r="BG735" s="4"/>
      <c r="BI735" s="4"/>
      <c r="BP735" s="4"/>
      <c r="BS735" s="4"/>
      <c r="BW735" s="4"/>
      <c r="BX735" s="4"/>
    </row>
    <row r="736" spans="10:76" x14ac:dyDescent="0.25">
      <c r="J736" s="4"/>
      <c r="L736" s="4"/>
      <c r="S736" s="4"/>
      <c r="T736"/>
      <c r="W736"/>
      <c r="X736"/>
      <c r="AE736" s="4"/>
      <c r="AG736" s="4"/>
      <c r="AH736" s="4"/>
      <c r="AI736" s="4"/>
      <c r="AJ736" s="4"/>
      <c r="AK736" s="4"/>
      <c r="AL736" s="4"/>
      <c r="AM736"/>
      <c r="AT736"/>
      <c r="AU736" s="3"/>
      <c r="AX736" s="4"/>
      <c r="AY736" s="4"/>
      <c r="AZ736" s="4"/>
      <c r="BA736" s="4"/>
      <c r="BB736" s="4"/>
      <c r="BC736" s="4"/>
      <c r="BD736" s="4"/>
      <c r="BE736" s="4"/>
      <c r="BF736" s="4"/>
      <c r="BG736" s="4"/>
      <c r="BI736" s="4"/>
      <c r="BP736" s="4"/>
      <c r="BS736" s="4"/>
      <c r="BW736" s="4"/>
      <c r="BX736" s="4"/>
    </row>
    <row r="737" spans="10:76" x14ac:dyDescent="0.25">
      <c r="J737" s="4"/>
      <c r="L737" s="4"/>
      <c r="S737" s="4"/>
      <c r="T737"/>
      <c r="W737"/>
      <c r="X737"/>
      <c r="AE737" s="4"/>
      <c r="AG737" s="4"/>
      <c r="AH737" s="4"/>
      <c r="AI737" s="4"/>
      <c r="AJ737" s="4"/>
      <c r="AK737" s="4"/>
      <c r="AL737" s="4"/>
      <c r="AM737"/>
      <c r="AT737"/>
      <c r="AU737" s="3"/>
      <c r="AX737" s="4"/>
      <c r="AY737" s="4"/>
      <c r="AZ737" s="4"/>
      <c r="BA737" s="4"/>
      <c r="BB737" s="4"/>
      <c r="BC737" s="4"/>
      <c r="BD737" s="4"/>
      <c r="BE737" s="4"/>
      <c r="BF737" s="4"/>
      <c r="BG737" s="4"/>
      <c r="BI737" s="4"/>
      <c r="BP737" s="4"/>
      <c r="BS737" s="4"/>
      <c r="BW737" s="4"/>
      <c r="BX737" s="4"/>
    </row>
    <row r="738" spans="10:76" x14ac:dyDescent="0.25">
      <c r="J738" s="4"/>
      <c r="L738" s="4"/>
      <c r="S738" s="4"/>
      <c r="T738"/>
      <c r="W738"/>
      <c r="X738"/>
      <c r="AE738" s="4"/>
      <c r="AG738" s="4"/>
      <c r="AH738" s="4"/>
      <c r="AI738" s="4"/>
      <c r="AJ738" s="4"/>
      <c r="AK738" s="4"/>
      <c r="AL738" s="4"/>
      <c r="AM738"/>
      <c r="AT738"/>
      <c r="AU738" s="3"/>
      <c r="AX738" s="4"/>
      <c r="AY738" s="4"/>
      <c r="AZ738" s="4"/>
      <c r="BA738" s="4"/>
      <c r="BB738" s="4"/>
      <c r="BC738" s="4"/>
      <c r="BD738" s="4"/>
      <c r="BE738" s="4"/>
      <c r="BF738" s="4"/>
      <c r="BG738" s="4"/>
      <c r="BI738" s="4"/>
      <c r="BP738" s="4"/>
      <c r="BS738" s="4"/>
      <c r="BW738" s="4"/>
      <c r="BX738" s="4"/>
    </row>
    <row r="739" spans="10:76" x14ac:dyDescent="0.25">
      <c r="J739" s="4"/>
      <c r="L739" s="4"/>
      <c r="S739" s="4"/>
      <c r="T739"/>
      <c r="W739"/>
      <c r="X739"/>
      <c r="AE739" s="4"/>
      <c r="AG739" s="4"/>
      <c r="AH739" s="4"/>
      <c r="AI739" s="4"/>
      <c r="AJ739" s="4"/>
      <c r="AK739" s="4"/>
      <c r="AL739" s="4"/>
      <c r="AM739"/>
      <c r="AT739"/>
      <c r="AU739" s="3"/>
      <c r="AX739" s="4"/>
      <c r="AY739" s="4"/>
      <c r="AZ739" s="4"/>
      <c r="BA739" s="4"/>
      <c r="BB739" s="4"/>
      <c r="BC739" s="4"/>
      <c r="BD739" s="4"/>
      <c r="BE739" s="4"/>
      <c r="BF739" s="4"/>
      <c r="BG739" s="4"/>
      <c r="BI739" s="4"/>
      <c r="BP739" s="4"/>
      <c r="BS739" s="4"/>
      <c r="BW739" s="4"/>
      <c r="BX739" s="4"/>
    </row>
    <row r="740" spans="10:76" x14ac:dyDescent="0.25">
      <c r="J740" s="4"/>
      <c r="L740" s="4"/>
      <c r="S740" s="4"/>
      <c r="T740"/>
      <c r="W740"/>
      <c r="X740"/>
      <c r="AE740" s="4"/>
      <c r="AG740" s="4"/>
      <c r="AH740" s="4"/>
      <c r="AI740" s="4"/>
      <c r="AJ740" s="4"/>
      <c r="AK740" s="4"/>
      <c r="AL740" s="4"/>
      <c r="AM740"/>
      <c r="AT740"/>
      <c r="AU740" s="3"/>
      <c r="AX740" s="4"/>
      <c r="AY740" s="4"/>
      <c r="AZ740" s="4"/>
      <c r="BA740" s="4"/>
      <c r="BB740" s="4"/>
      <c r="BC740" s="4"/>
      <c r="BD740" s="4"/>
      <c r="BE740" s="4"/>
      <c r="BF740" s="4"/>
      <c r="BG740" s="4"/>
      <c r="BI740" s="4"/>
      <c r="BP740" s="4"/>
      <c r="BS740" s="4"/>
      <c r="BW740" s="4"/>
      <c r="BX740" s="4"/>
    </row>
    <row r="741" spans="10:76" x14ac:dyDescent="0.25">
      <c r="J741" s="4"/>
      <c r="L741" s="4"/>
      <c r="S741" s="4"/>
      <c r="T741"/>
      <c r="W741"/>
      <c r="X741"/>
      <c r="AE741" s="4"/>
      <c r="AG741" s="4"/>
      <c r="AH741" s="4"/>
      <c r="AI741" s="4"/>
      <c r="AJ741" s="4"/>
      <c r="AK741" s="4"/>
      <c r="AL741" s="4"/>
      <c r="AM741"/>
      <c r="AT741"/>
      <c r="AU741" s="3"/>
      <c r="AX741" s="4"/>
      <c r="AY741" s="4"/>
      <c r="AZ741" s="4"/>
      <c r="BA741" s="4"/>
      <c r="BB741" s="4"/>
      <c r="BC741" s="4"/>
      <c r="BD741" s="4"/>
      <c r="BE741" s="4"/>
      <c r="BF741" s="4"/>
      <c r="BG741" s="4"/>
      <c r="BI741" s="4"/>
      <c r="BP741" s="4"/>
      <c r="BS741" s="4"/>
      <c r="BW741" s="4"/>
      <c r="BX741" s="4"/>
    </row>
    <row r="742" spans="10:76" x14ac:dyDescent="0.25">
      <c r="J742" s="4"/>
      <c r="L742" s="4"/>
      <c r="S742" s="4"/>
      <c r="T742"/>
      <c r="W742"/>
      <c r="X742"/>
      <c r="AE742" s="4"/>
      <c r="AG742" s="4"/>
      <c r="AH742" s="4"/>
      <c r="AI742" s="4"/>
      <c r="AJ742" s="4"/>
      <c r="AK742" s="4"/>
      <c r="AL742" s="4"/>
      <c r="AM742"/>
      <c r="AT742"/>
      <c r="AU742" s="3"/>
      <c r="AX742" s="4"/>
      <c r="AY742" s="4"/>
      <c r="AZ742" s="4"/>
      <c r="BA742" s="4"/>
      <c r="BB742" s="4"/>
      <c r="BC742" s="4"/>
      <c r="BD742" s="4"/>
      <c r="BE742" s="4"/>
      <c r="BF742" s="4"/>
      <c r="BG742" s="4"/>
      <c r="BI742" s="4"/>
      <c r="BP742" s="4"/>
      <c r="BS742" s="4"/>
      <c r="BW742" s="4"/>
      <c r="BX742" s="4"/>
    </row>
    <row r="743" spans="10:76" x14ac:dyDescent="0.25">
      <c r="J743" s="4"/>
      <c r="L743" s="4"/>
      <c r="S743" s="4"/>
      <c r="T743"/>
      <c r="W743"/>
      <c r="X743"/>
      <c r="AE743" s="4"/>
      <c r="AG743" s="4"/>
      <c r="AH743" s="4"/>
      <c r="AI743" s="4"/>
      <c r="AJ743" s="4"/>
      <c r="AK743" s="4"/>
      <c r="AL743" s="4"/>
      <c r="AM743"/>
      <c r="AT743"/>
      <c r="AU743" s="3"/>
      <c r="AX743" s="4"/>
      <c r="AY743" s="4"/>
      <c r="AZ743" s="4"/>
      <c r="BA743" s="4"/>
      <c r="BB743" s="4"/>
      <c r="BC743" s="4"/>
      <c r="BD743" s="4"/>
      <c r="BE743" s="4"/>
      <c r="BF743" s="4"/>
      <c r="BG743" s="4"/>
      <c r="BI743" s="4"/>
      <c r="BP743" s="4"/>
      <c r="BS743" s="4"/>
      <c r="BW743" s="4"/>
      <c r="BX743" s="4"/>
    </row>
    <row r="744" spans="10:76" x14ac:dyDescent="0.25">
      <c r="J744" s="4"/>
      <c r="L744" s="4"/>
      <c r="S744" s="4"/>
      <c r="T744"/>
      <c r="W744"/>
      <c r="X744"/>
      <c r="AE744" s="4"/>
      <c r="AG744" s="4"/>
      <c r="AH744" s="4"/>
      <c r="AI744" s="4"/>
      <c r="AJ744" s="4"/>
      <c r="AK744" s="4"/>
      <c r="AL744" s="4"/>
      <c r="AM744"/>
      <c r="AT744"/>
      <c r="AU744" s="3"/>
      <c r="AX744" s="4"/>
      <c r="AY744" s="4"/>
      <c r="AZ744" s="4"/>
      <c r="BA744" s="4"/>
      <c r="BB744" s="4"/>
      <c r="BC744" s="4"/>
      <c r="BD744" s="4"/>
      <c r="BE744" s="4"/>
      <c r="BF744" s="4"/>
      <c r="BG744" s="4"/>
      <c r="BI744" s="4"/>
      <c r="BP744" s="4"/>
      <c r="BS744" s="4"/>
      <c r="BW744" s="4"/>
      <c r="BX744" s="4"/>
    </row>
    <row r="745" spans="10:76" x14ac:dyDescent="0.25">
      <c r="J745" s="4"/>
      <c r="L745" s="4"/>
      <c r="S745" s="4"/>
      <c r="T745"/>
      <c r="W745"/>
      <c r="X745"/>
      <c r="AE745" s="4"/>
      <c r="AG745" s="4"/>
      <c r="AH745" s="4"/>
      <c r="AI745" s="4"/>
      <c r="AJ745" s="4"/>
      <c r="AK745" s="4"/>
      <c r="AL745" s="4"/>
      <c r="AM745"/>
      <c r="AT745"/>
      <c r="AU745" s="3"/>
      <c r="AX745" s="4"/>
      <c r="AY745" s="4"/>
      <c r="AZ745" s="4"/>
      <c r="BA745" s="4"/>
      <c r="BB745" s="4"/>
      <c r="BC745" s="4"/>
      <c r="BD745" s="4"/>
      <c r="BE745" s="4"/>
      <c r="BF745" s="4"/>
      <c r="BG745" s="4"/>
      <c r="BI745" s="4"/>
      <c r="BP745" s="4"/>
      <c r="BS745" s="4"/>
      <c r="BW745" s="4"/>
      <c r="BX745" s="4"/>
    </row>
    <row r="746" spans="10:76" x14ac:dyDescent="0.25">
      <c r="J746" s="4"/>
      <c r="L746" s="4"/>
      <c r="S746" s="4"/>
      <c r="T746"/>
      <c r="W746"/>
      <c r="X746"/>
      <c r="AE746" s="4"/>
      <c r="AG746" s="4"/>
      <c r="AH746" s="4"/>
      <c r="AI746" s="4"/>
      <c r="AJ746" s="4"/>
      <c r="AK746" s="4"/>
      <c r="AL746" s="4"/>
      <c r="AM746"/>
      <c r="AT746"/>
      <c r="AU746" s="3"/>
      <c r="AX746" s="4"/>
      <c r="AY746" s="4"/>
      <c r="AZ746" s="4"/>
      <c r="BA746" s="4"/>
      <c r="BB746" s="4"/>
      <c r="BC746" s="4"/>
      <c r="BD746" s="4"/>
      <c r="BE746" s="4"/>
      <c r="BF746" s="4"/>
      <c r="BG746" s="4"/>
      <c r="BI746" s="4"/>
      <c r="BP746" s="4"/>
      <c r="BS746" s="4"/>
      <c r="BW746" s="4"/>
      <c r="BX746" s="4"/>
    </row>
    <row r="747" spans="10:76" x14ac:dyDescent="0.25">
      <c r="J747" s="4"/>
      <c r="L747" s="4"/>
      <c r="S747" s="4"/>
      <c r="T747"/>
      <c r="W747"/>
      <c r="X747"/>
      <c r="AE747" s="4"/>
      <c r="AG747" s="4"/>
      <c r="AH747" s="4"/>
      <c r="AI747" s="4"/>
      <c r="AJ747" s="4"/>
      <c r="AK747" s="4"/>
      <c r="AL747" s="4"/>
      <c r="AM747"/>
      <c r="AT747"/>
      <c r="AU747" s="3"/>
      <c r="AX747" s="4"/>
      <c r="AY747" s="4"/>
      <c r="AZ747" s="4"/>
      <c r="BA747" s="4"/>
      <c r="BB747" s="4"/>
      <c r="BC747" s="4"/>
      <c r="BD747" s="4"/>
      <c r="BE747" s="4"/>
      <c r="BF747" s="4"/>
      <c r="BG747" s="4"/>
      <c r="BI747" s="4"/>
      <c r="BP747" s="4"/>
      <c r="BS747" s="4"/>
      <c r="BW747" s="4"/>
      <c r="BX747" s="4"/>
    </row>
    <row r="748" spans="10:76" x14ac:dyDescent="0.25">
      <c r="J748" s="4"/>
      <c r="L748" s="4"/>
      <c r="S748" s="4"/>
      <c r="T748"/>
      <c r="W748"/>
      <c r="X748"/>
      <c r="AE748" s="4"/>
      <c r="AG748" s="4"/>
      <c r="AH748" s="4"/>
      <c r="AI748" s="4"/>
      <c r="AJ748" s="4"/>
      <c r="AK748" s="4"/>
      <c r="AL748" s="4"/>
      <c r="AM748"/>
      <c r="AT748"/>
      <c r="AU748" s="3"/>
      <c r="AX748" s="4"/>
      <c r="AY748" s="4"/>
      <c r="AZ748" s="4"/>
      <c r="BA748" s="4"/>
      <c r="BB748" s="4"/>
      <c r="BC748" s="4"/>
      <c r="BD748" s="4"/>
      <c r="BE748" s="4"/>
      <c r="BF748" s="4"/>
      <c r="BG748" s="4"/>
      <c r="BI748" s="4"/>
      <c r="BP748" s="4"/>
      <c r="BS748" s="4"/>
      <c r="BW748" s="4"/>
      <c r="BX748" s="4"/>
    </row>
    <row r="749" spans="10:76" x14ac:dyDescent="0.25">
      <c r="J749" s="4"/>
      <c r="L749" s="4"/>
      <c r="S749" s="4"/>
      <c r="T749"/>
      <c r="W749"/>
      <c r="X749"/>
      <c r="AE749" s="4"/>
      <c r="AG749" s="4"/>
      <c r="AH749" s="4"/>
      <c r="AI749" s="4"/>
      <c r="AJ749" s="4"/>
      <c r="AK749" s="4"/>
      <c r="AL749" s="4"/>
      <c r="AM749"/>
      <c r="AT749"/>
      <c r="AU749" s="3"/>
      <c r="AX749" s="4"/>
      <c r="AY749" s="4"/>
      <c r="AZ749" s="4"/>
      <c r="BA749" s="4"/>
      <c r="BB749" s="4"/>
      <c r="BC749" s="4"/>
      <c r="BD749" s="4"/>
      <c r="BE749" s="4"/>
      <c r="BF749" s="4"/>
      <c r="BG749" s="4"/>
      <c r="BI749" s="4"/>
      <c r="BP749" s="4"/>
      <c r="BS749" s="4"/>
      <c r="BW749" s="4"/>
      <c r="BX749" s="4"/>
    </row>
    <row r="750" spans="10:76" x14ac:dyDescent="0.25">
      <c r="J750" s="4"/>
      <c r="L750" s="4"/>
      <c r="S750" s="4"/>
      <c r="T750"/>
      <c r="W750"/>
      <c r="X750"/>
      <c r="AE750" s="4"/>
      <c r="AG750" s="4"/>
      <c r="AH750" s="4"/>
      <c r="AI750" s="4"/>
      <c r="AJ750" s="4"/>
      <c r="AK750" s="4"/>
      <c r="AL750" s="4"/>
      <c r="AM750"/>
      <c r="AT750"/>
      <c r="AU750" s="3"/>
      <c r="AX750" s="4"/>
      <c r="AY750" s="4"/>
      <c r="AZ750" s="4"/>
      <c r="BA750" s="4"/>
      <c r="BB750" s="4"/>
      <c r="BC750" s="4"/>
      <c r="BD750" s="4"/>
      <c r="BE750" s="4"/>
      <c r="BF750" s="4"/>
      <c r="BG750" s="4"/>
      <c r="BI750" s="4"/>
      <c r="BP750" s="4"/>
      <c r="BS750" s="4"/>
      <c r="BW750" s="4"/>
      <c r="BX750" s="4"/>
    </row>
    <row r="751" spans="10:76" x14ac:dyDescent="0.25">
      <c r="J751" s="4"/>
      <c r="L751" s="4"/>
      <c r="S751" s="4"/>
      <c r="T751"/>
      <c r="W751"/>
      <c r="X751"/>
      <c r="AE751" s="4"/>
      <c r="AG751" s="4"/>
      <c r="AH751" s="4"/>
      <c r="AI751" s="4"/>
      <c r="AJ751" s="4"/>
      <c r="AK751" s="4"/>
      <c r="AL751" s="4"/>
      <c r="AM751"/>
      <c r="AT751"/>
      <c r="AU751" s="3"/>
      <c r="AX751" s="4"/>
      <c r="AY751" s="4"/>
      <c r="AZ751" s="4"/>
      <c r="BA751" s="4"/>
      <c r="BB751" s="4"/>
      <c r="BC751" s="4"/>
      <c r="BD751" s="4"/>
      <c r="BE751" s="4"/>
      <c r="BF751" s="4"/>
      <c r="BG751" s="4"/>
      <c r="BI751" s="4"/>
      <c r="BP751" s="4"/>
      <c r="BS751" s="4"/>
      <c r="BW751" s="4"/>
      <c r="BX751" s="4"/>
    </row>
    <row r="752" spans="10:76" x14ac:dyDescent="0.25">
      <c r="J752" s="4"/>
      <c r="L752" s="4"/>
      <c r="S752" s="4"/>
      <c r="T752"/>
      <c r="W752"/>
      <c r="X752"/>
      <c r="AE752" s="4"/>
      <c r="AG752" s="4"/>
      <c r="AH752" s="4"/>
      <c r="AI752" s="4"/>
      <c r="AJ752" s="4"/>
      <c r="AK752" s="4"/>
      <c r="AL752" s="4"/>
      <c r="AM752"/>
      <c r="AT752"/>
      <c r="AU752" s="3"/>
      <c r="AX752" s="4"/>
      <c r="AY752" s="4"/>
      <c r="AZ752" s="4"/>
      <c r="BA752" s="4"/>
      <c r="BB752" s="4"/>
      <c r="BC752" s="4"/>
      <c r="BD752" s="4"/>
      <c r="BE752" s="4"/>
      <c r="BF752" s="4"/>
      <c r="BG752" s="4"/>
      <c r="BI752" s="4"/>
      <c r="BP752" s="4"/>
      <c r="BS752" s="4"/>
      <c r="BW752" s="4"/>
      <c r="BX752" s="4"/>
    </row>
    <row r="753" spans="10:76" x14ac:dyDescent="0.25">
      <c r="J753" s="4"/>
      <c r="L753" s="4"/>
      <c r="S753" s="4"/>
      <c r="T753"/>
      <c r="W753"/>
      <c r="X753"/>
      <c r="AE753" s="4"/>
      <c r="AG753" s="4"/>
      <c r="AH753" s="4"/>
      <c r="AI753" s="4"/>
      <c r="AJ753" s="4"/>
      <c r="AK753" s="4"/>
      <c r="AL753" s="4"/>
      <c r="AM753"/>
      <c r="AT753"/>
      <c r="AU753" s="3"/>
      <c r="AX753" s="4"/>
      <c r="AY753" s="4"/>
      <c r="AZ753" s="4"/>
      <c r="BA753" s="4"/>
      <c r="BB753" s="4"/>
      <c r="BC753" s="4"/>
      <c r="BD753" s="4"/>
      <c r="BE753" s="4"/>
      <c r="BF753" s="4"/>
      <c r="BG753" s="4"/>
      <c r="BI753" s="4"/>
      <c r="BP753" s="4"/>
      <c r="BS753" s="4"/>
      <c r="BW753" s="4"/>
      <c r="BX753" s="4"/>
    </row>
    <row r="754" spans="10:76" x14ac:dyDescent="0.25">
      <c r="J754" s="4"/>
      <c r="L754" s="4"/>
      <c r="S754" s="4"/>
      <c r="T754"/>
      <c r="W754"/>
      <c r="X754"/>
      <c r="AE754" s="4"/>
      <c r="AG754" s="4"/>
      <c r="AH754" s="4"/>
      <c r="AI754" s="4"/>
      <c r="AJ754" s="4"/>
      <c r="AK754" s="4"/>
      <c r="AL754" s="4"/>
      <c r="AM754"/>
      <c r="AT754"/>
      <c r="AU754" s="3"/>
      <c r="AX754" s="4"/>
      <c r="AY754" s="4"/>
      <c r="AZ754" s="4"/>
      <c r="BA754" s="4"/>
      <c r="BB754" s="4"/>
      <c r="BC754" s="4"/>
      <c r="BD754" s="4"/>
      <c r="BE754" s="4"/>
      <c r="BF754" s="4"/>
      <c r="BG754" s="4"/>
      <c r="BI754" s="4"/>
      <c r="BP754" s="4"/>
      <c r="BS754" s="4"/>
      <c r="BW754" s="4"/>
      <c r="BX754" s="4"/>
    </row>
    <row r="755" spans="10:76" x14ac:dyDescent="0.25">
      <c r="J755" s="4"/>
      <c r="L755" s="4"/>
      <c r="S755" s="4"/>
      <c r="T755"/>
      <c r="W755"/>
      <c r="X755"/>
      <c r="AE755" s="4"/>
      <c r="AG755" s="4"/>
      <c r="AH755" s="4"/>
      <c r="AI755" s="4"/>
      <c r="AJ755" s="4"/>
      <c r="AK755" s="4"/>
      <c r="AL755" s="4"/>
      <c r="AM755"/>
      <c r="AT755"/>
      <c r="AU755" s="3"/>
      <c r="AX755" s="4"/>
      <c r="AY755" s="4"/>
      <c r="AZ755" s="4"/>
      <c r="BA755" s="4"/>
      <c r="BB755" s="4"/>
      <c r="BC755" s="4"/>
      <c r="BD755" s="4"/>
      <c r="BE755" s="4"/>
      <c r="BF755" s="4"/>
      <c r="BG755" s="4"/>
      <c r="BI755" s="4"/>
      <c r="BP755" s="4"/>
      <c r="BS755" s="4"/>
      <c r="BW755" s="4"/>
      <c r="BX755" s="4"/>
    </row>
    <row r="756" spans="10:76" x14ac:dyDescent="0.25">
      <c r="J756" s="4"/>
      <c r="L756" s="4"/>
      <c r="S756" s="4"/>
      <c r="T756"/>
      <c r="W756"/>
      <c r="X756"/>
      <c r="AE756" s="4"/>
      <c r="AG756" s="4"/>
      <c r="AH756" s="4"/>
      <c r="AI756" s="4"/>
      <c r="AJ756" s="4"/>
      <c r="AK756" s="4"/>
      <c r="AL756" s="4"/>
      <c r="AM756"/>
      <c r="AT756"/>
      <c r="AU756" s="3"/>
      <c r="AX756" s="4"/>
      <c r="AY756" s="4"/>
      <c r="AZ756" s="4"/>
      <c r="BA756" s="4"/>
      <c r="BB756" s="4"/>
      <c r="BC756" s="4"/>
      <c r="BD756" s="4"/>
      <c r="BE756" s="4"/>
      <c r="BF756" s="4"/>
      <c r="BG756" s="4"/>
      <c r="BI756" s="4"/>
      <c r="BP756" s="4"/>
      <c r="BS756" s="4"/>
      <c r="BW756" s="4"/>
      <c r="BX756" s="4"/>
    </row>
    <row r="757" spans="10:76" x14ac:dyDescent="0.25">
      <c r="J757" s="4"/>
      <c r="L757" s="4"/>
      <c r="S757" s="4"/>
      <c r="T757"/>
      <c r="W757"/>
      <c r="X757"/>
      <c r="AE757" s="4"/>
      <c r="AG757" s="4"/>
      <c r="AH757" s="4"/>
      <c r="AI757" s="4"/>
      <c r="AJ757" s="4"/>
      <c r="AK757" s="4"/>
      <c r="AL757" s="4"/>
      <c r="AM757"/>
      <c r="AT757"/>
      <c r="AU757" s="3"/>
      <c r="AX757" s="4"/>
      <c r="AY757" s="4"/>
      <c r="AZ757" s="4"/>
      <c r="BA757" s="4"/>
      <c r="BB757" s="4"/>
      <c r="BC757" s="4"/>
      <c r="BD757" s="4"/>
      <c r="BE757" s="4"/>
      <c r="BF757" s="4"/>
      <c r="BG757" s="4"/>
      <c r="BI757" s="4"/>
      <c r="BP757" s="4"/>
      <c r="BS757" s="4"/>
      <c r="BW757" s="4"/>
      <c r="BX757" s="4"/>
    </row>
    <row r="758" spans="10:76" x14ac:dyDescent="0.25">
      <c r="J758" s="4"/>
      <c r="L758" s="4"/>
      <c r="S758" s="4"/>
      <c r="T758"/>
      <c r="W758"/>
      <c r="X758"/>
      <c r="AE758" s="4"/>
      <c r="AG758" s="4"/>
      <c r="AH758" s="4"/>
      <c r="AI758" s="4"/>
      <c r="AJ758" s="4"/>
      <c r="AK758" s="4"/>
      <c r="AL758" s="4"/>
      <c r="AM758"/>
      <c r="AT758"/>
      <c r="AU758" s="3"/>
      <c r="AX758" s="4"/>
      <c r="AY758" s="4"/>
      <c r="AZ758" s="4"/>
      <c r="BA758" s="4"/>
      <c r="BB758" s="4"/>
      <c r="BC758" s="4"/>
      <c r="BD758" s="4"/>
      <c r="BE758" s="4"/>
      <c r="BF758" s="4"/>
      <c r="BG758" s="4"/>
      <c r="BI758" s="4"/>
      <c r="BP758" s="4"/>
      <c r="BS758" s="4"/>
      <c r="BW758" s="4"/>
      <c r="BX758" s="4"/>
    </row>
    <row r="759" spans="10:76" x14ac:dyDescent="0.25">
      <c r="J759" s="4"/>
      <c r="L759" s="4"/>
      <c r="S759" s="4"/>
      <c r="T759"/>
      <c r="W759"/>
      <c r="X759"/>
      <c r="AE759" s="4"/>
      <c r="AG759" s="4"/>
      <c r="AH759" s="4"/>
      <c r="AI759" s="4"/>
      <c r="AJ759" s="4"/>
      <c r="AK759" s="4"/>
      <c r="AL759" s="4"/>
      <c r="AM759"/>
      <c r="AT759"/>
      <c r="AU759" s="3"/>
      <c r="AX759" s="4"/>
      <c r="AY759" s="4"/>
      <c r="AZ759" s="4"/>
      <c r="BA759" s="4"/>
      <c r="BB759" s="4"/>
      <c r="BC759" s="4"/>
      <c r="BD759" s="4"/>
      <c r="BE759" s="4"/>
      <c r="BF759" s="4"/>
      <c r="BG759" s="4"/>
      <c r="BI759" s="4"/>
      <c r="BP759" s="4"/>
      <c r="BS759" s="4"/>
      <c r="BW759" s="4"/>
      <c r="BX759" s="4"/>
    </row>
    <row r="760" spans="10:76" x14ac:dyDescent="0.25">
      <c r="J760" s="4"/>
      <c r="L760" s="4"/>
      <c r="S760" s="4"/>
      <c r="T760"/>
      <c r="W760"/>
      <c r="X760"/>
      <c r="AE760" s="4"/>
      <c r="AG760" s="4"/>
      <c r="AH760" s="4"/>
      <c r="AI760" s="4"/>
      <c r="AJ760" s="4"/>
      <c r="AK760" s="4"/>
      <c r="AL760" s="4"/>
      <c r="AM760"/>
      <c r="AT760"/>
      <c r="AU760" s="3"/>
      <c r="AX760" s="4"/>
      <c r="AY760" s="4"/>
      <c r="AZ760" s="4"/>
      <c r="BA760" s="4"/>
      <c r="BB760" s="4"/>
      <c r="BC760" s="4"/>
      <c r="BD760" s="4"/>
      <c r="BE760" s="4"/>
      <c r="BF760" s="4"/>
      <c r="BG760" s="4"/>
      <c r="BI760" s="4"/>
      <c r="BP760" s="4"/>
      <c r="BS760" s="4"/>
      <c r="BW760" s="4"/>
      <c r="BX760" s="4"/>
    </row>
    <row r="761" spans="10:76" x14ac:dyDescent="0.25">
      <c r="J761" s="4"/>
      <c r="L761" s="4"/>
      <c r="S761" s="4"/>
      <c r="T761"/>
      <c r="W761"/>
      <c r="X761"/>
      <c r="AE761" s="4"/>
      <c r="AG761" s="4"/>
      <c r="AH761" s="4"/>
      <c r="AI761" s="4"/>
      <c r="AJ761" s="4"/>
      <c r="AK761" s="4"/>
      <c r="AL761" s="4"/>
      <c r="AM761"/>
      <c r="AT761"/>
      <c r="AU761" s="3"/>
      <c r="AX761" s="4"/>
      <c r="AY761" s="4"/>
      <c r="AZ761" s="4"/>
      <c r="BA761" s="4"/>
      <c r="BB761" s="4"/>
      <c r="BC761" s="4"/>
      <c r="BD761" s="4"/>
      <c r="BE761" s="4"/>
      <c r="BF761" s="4"/>
      <c r="BG761" s="4"/>
      <c r="BI761" s="4"/>
      <c r="BP761" s="4"/>
      <c r="BS761" s="4"/>
      <c r="BW761" s="4"/>
      <c r="BX761" s="4"/>
    </row>
    <row r="762" spans="10:76" x14ac:dyDescent="0.25">
      <c r="J762" s="4"/>
      <c r="L762" s="4"/>
      <c r="S762" s="4"/>
      <c r="T762"/>
      <c r="W762"/>
      <c r="X762"/>
      <c r="AE762" s="4"/>
      <c r="AG762" s="4"/>
      <c r="AH762" s="4"/>
      <c r="AI762" s="4"/>
      <c r="AJ762" s="4"/>
      <c r="AK762" s="4"/>
      <c r="AL762" s="4"/>
      <c r="AM762"/>
      <c r="AT762"/>
      <c r="AU762" s="3"/>
      <c r="AX762" s="4"/>
      <c r="AY762" s="4"/>
      <c r="AZ762" s="4"/>
      <c r="BA762" s="4"/>
      <c r="BB762" s="4"/>
      <c r="BC762" s="4"/>
      <c r="BD762" s="4"/>
      <c r="BE762" s="4"/>
      <c r="BF762" s="4"/>
      <c r="BG762" s="4"/>
      <c r="BI762" s="4"/>
      <c r="BP762" s="4"/>
      <c r="BS762" s="4"/>
      <c r="BW762" s="4"/>
      <c r="BX762" s="4"/>
    </row>
    <row r="763" spans="10:76" x14ac:dyDescent="0.25">
      <c r="J763" s="4"/>
      <c r="L763" s="4"/>
      <c r="S763" s="4"/>
      <c r="T763"/>
      <c r="W763"/>
      <c r="X763"/>
      <c r="AE763" s="4"/>
      <c r="AG763" s="4"/>
      <c r="AH763" s="4"/>
      <c r="AI763" s="4"/>
      <c r="AJ763" s="4"/>
      <c r="AK763" s="4"/>
      <c r="AL763" s="4"/>
      <c r="AM763"/>
      <c r="AT763"/>
      <c r="AU763" s="3"/>
      <c r="AX763" s="4"/>
      <c r="AY763" s="4"/>
      <c r="AZ763" s="4"/>
      <c r="BA763" s="4"/>
      <c r="BB763" s="4"/>
      <c r="BC763" s="4"/>
      <c r="BD763" s="4"/>
      <c r="BE763" s="4"/>
      <c r="BF763" s="4"/>
      <c r="BG763" s="4"/>
      <c r="BI763" s="4"/>
      <c r="BP763" s="4"/>
      <c r="BS763" s="4"/>
      <c r="BW763" s="4"/>
      <c r="BX763" s="4"/>
    </row>
    <row r="764" spans="10:76" x14ac:dyDescent="0.25">
      <c r="J764" s="4"/>
      <c r="L764" s="4"/>
      <c r="S764" s="4"/>
      <c r="T764"/>
      <c r="W764"/>
      <c r="X764"/>
      <c r="AE764" s="4"/>
      <c r="AG764" s="4"/>
      <c r="AH764" s="4"/>
      <c r="AI764" s="4"/>
      <c r="AJ764" s="4"/>
      <c r="AK764" s="4"/>
      <c r="AL764" s="4"/>
      <c r="AM764"/>
      <c r="AT764"/>
      <c r="AU764" s="3"/>
      <c r="AX764" s="4"/>
      <c r="AY764" s="4"/>
      <c r="AZ764" s="4"/>
      <c r="BA764" s="4"/>
      <c r="BB764" s="4"/>
      <c r="BC764" s="4"/>
      <c r="BD764" s="4"/>
      <c r="BE764" s="4"/>
      <c r="BF764" s="4"/>
      <c r="BG764" s="4"/>
      <c r="BI764" s="4"/>
      <c r="BP764" s="4"/>
      <c r="BS764" s="4"/>
      <c r="BW764" s="4"/>
      <c r="BX764" s="4"/>
    </row>
    <row r="765" spans="10:76" x14ac:dyDescent="0.25">
      <c r="J765" s="4"/>
      <c r="L765" s="4"/>
      <c r="S765" s="4"/>
      <c r="T765"/>
      <c r="W765"/>
      <c r="X765"/>
      <c r="AE765" s="4"/>
      <c r="AG765" s="4"/>
      <c r="AH765" s="4"/>
      <c r="AI765" s="4"/>
      <c r="AJ765" s="4"/>
      <c r="AK765" s="4"/>
      <c r="AL765" s="4"/>
      <c r="AM765"/>
      <c r="AT765"/>
      <c r="AU765" s="3"/>
      <c r="AX765" s="4"/>
      <c r="AY765" s="4"/>
      <c r="AZ765" s="4"/>
      <c r="BA765" s="4"/>
      <c r="BB765" s="4"/>
      <c r="BC765" s="4"/>
      <c r="BD765" s="4"/>
      <c r="BE765" s="4"/>
      <c r="BF765" s="4"/>
      <c r="BG765" s="4"/>
      <c r="BI765" s="4"/>
      <c r="BP765" s="4"/>
      <c r="BS765" s="4"/>
      <c r="BW765" s="4"/>
      <c r="BX765" s="4"/>
    </row>
    <row r="766" spans="10:76" x14ac:dyDescent="0.25">
      <c r="J766" s="4"/>
      <c r="L766" s="4"/>
      <c r="S766" s="4"/>
      <c r="T766"/>
      <c r="W766"/>
      <c r="X766"/>
      <c r="AE766" s="4"/>
      <c r="AG766" s="4"/>
      <c r="AH766" s="4"/>
      <c r="AI766" s="4"/>
      <c r="AJ766" s="4"/>
      <c r="AK766" s="4"/>
      <c r="AL766" s="4"/>
      <c r="AM766"/>
      <c r="AT766"/>
      <c r="AU766" s="3"/>
      <c r="AX766" s="4"/>
      <c r="AY766" s="4"/>
      <c r="AZ766" s="4"/>
      <c r="BA766" s="4"/>
      <c r="BB766" s="4"/>
      <c r="BC766" s="4"/>
      <c r="BD766" s="4"/>
      <c r="BE766" s="4"/>
      <c r="BF766" s="4"/>
      <c r="BG766" s="4"/>
      <c r="BI766" s="4"/>
      <c r="BP766" s="4"/>
      <c r="BS766" s="4"/>
      <c r="BW766" s="4"/>
      <c r="BX766" s="4"/>
    </row>
    <row r="767" spans="10:76" x14ac:dyDescent="0.25">
      <c r="J767" s="4"/>
      <c r="L767" s="4"/>
      <c r="S767" s="4"/>
      <c r="T767"/>
      <c r="W767"/>
      <c r="X767"/>
      <c r="AE767" s="4"/>
      <c r="AG767" s="4"/>
      <c r="AH767" s="4"/>
      <c r="AI767" s="4"/>
      <c r="AJ767" s="4"/>
      <c r="AK767" s="4"/>
      <c r="AL767" s="4"/>
      <c r="AM767"/>
      <c r="AT767"/>
      <c r="AU767" s="3"/>
      <c r="AX767" s="4"/>
      <c r="AY767" s="4"/>
      <c r="AZ767" s="4"/>
      <c r="BA767" s="4"/>
      <c r="BB767" s="4"/>
      <c r="BC767" s="4"/>
      <c r="BD767" s="4"/>
      <c r="BE767" s="4"/>
      <c r="BF767" s="4"/>
      <c r="BG767" s="4"/>
      <c r="BI767" s="4"/>
      <c r="BP767" s="4"/>
      <c r="BS767" s="4"/>
      <c r="BW767" s="4"/>
      <c r="BX767" s="4"/>
    </row>
    <row r="768" spans="10:76" x14ac:dyDescent="0.25">
      <c r="J768" s="4"/>
      <c r="L768" s="4"/>
      <c r="S768" s="4"/>
      <c r="T768"/>
      <c r="W768"/>
      <c r="X768"/>
      <c r="AE768" s="4"/>
      <c r="AG768" s="4"/>
      <c r="AH768" s="4"/>
      <c r="AI768" s="4"/>
      <c r="AJ768" s="4"/>
      <c r="AK768" s="4"/>
      <c r="AL768" s="4"/>
      <c r="AM768"/>
      <c r="AT768"/>
      <c r="AU768" s="3"/>
      <c r="AX768" s="4"/>
      <c r="AY768" s="4"/>
      <c r="AZ768" s="4"/>
      <c r="BA768" s="4"/>
      <c r="BB768" s="4"/>
      <c r="BC768" s="4"/>
      <c r="BD768" s="4"/>
      <c r="BE768" s="4"/>
      <c r="BF768" s="4"/>
      <c r="BG768" s="4"/>
      <c r="BI768" s="4"/>
      <c r="BP768" s="4"/>
      <c r="BS768" s="4"/>
      <c r="BW768" s="4"/>
      <c r="BX768" s="4"/>
    </row>
    <row r="769" spans="10:76" x14ac:dyDescent="0.25">
      <c r="J769" s="4"/>
      <c r="L769" s="4"/>
      <c r="S769" s="4"/>
      <c r="T769"/>
      <c r="W769"/>
      <c r="X769"/>
      <c r="AE769" s="4"/>
      <c r="AG769" s="4"/>
      <c r="AH769" s="4"/>
      <c r="AI769" s="4"/>
      <c r="AJ769" s="4"/>
      <c r="AK769" s="4"/>
      <c r="AL769" s="4"/>
      <c r="AM769"/>
      <c r="AT769"/>
      <c r="AU769" s="3"/>
      <c r="AX769" s="4"/>
      <c r="AY769" s="4"/>
      <c r="AZ769" s="4"/>
      <c r="BA769" s="4"/>
      <c r="BB769" s="4"/>
      <c r="BC769" s="4"/>
      <c r="BD769" s="4"/>
      <c r="BE769" s="4"/>
      <c r="BF769" s="4"/>
      <c r="BG769" s="4"/>
      <c r="BI769" s="4"/>
      <c r="BP769" s="4"/>
      <c r="BS769" s="4"/>
      <c r="BW769" s="4"/>
      <c r="BX769" s="4"/>
    </row>
    <row r="770" spans="10:76" x14ac:dyDescent="0.25">
      <c r="J770" s="4"/>
      <c r="L770" s="4"/>
      <c r="S770" s="4"/>
      <c r="T770"/>
      <c r="W770"/>
      <c r="X770"/>
      <c r="AE770" s="4"/>
      <c r="AG770" s="4"/>
      <c r="AH770" s="4"/>
      <c r="AI770" s="4"/>
      <c r="AJ770" s="4"/>
      <c r="AK770" s="4"/>
      <c r="AL770" s="4"/>
      <c r="AM770"/>
      <c r="AT770"/>
      <c r="AU770" s="3"/>
      <c r="AX770" s="4"/>
      <c r="AY770" s="4"/>
      <c r="AZ770" s="4"/>
      <c r="BA770" s="4"/>
      <c r="BB770" s="4"/>
      <c r="BC770" s="4"/>
      <c r="BD770" s="4"/>
      <c r="BE770" s="4"/>
      <c r="BF770" s="4"/>
      <c r="BG770" s="4"/>
      <c r="BI770" s="4"/>
      <c r="BP770" s="4"/>
      <c r="BS770" s="4"/>
      <c r="BW770" s="4"/>
      <c r="BX770" s="4"/>
    </row>
    <row r="771" spans="10:76" x14ac:dyDescent="0.25">
      <c r="J771" s="4"/>
      <c r="L771" s="4"/>
      <c r="S771" s="4"/>
      <c r="T771"/>
      <c r="W771"/>
      <c r="X771"/>
      <c r="AE771" s="4"/>
      <c r="AG771" s="4"/>
      <c r="AH771" s="4"/>
      <c r="AI771" s="4"/>
      <c r="AJ771" s="4"/>
      <c r="AK771" s="4"/>
      <c r="AL771" s="4"/>
      <c r="AM771"/>
      <c r="AT771"/>
      <c r="AU771" s="3"/>
      <c r="AX771" s="4"/>
      <c r="AY771" s="4"/>
      <c r="AZ771" s="4"/>
      <c r="BA771" s="4"/>
      <c r="BB771" s="4"/>
      <c r="BC771" s="4"/>
      <c r="BD771" s="4"/>
      <c r="BE771" s="4"/>
      <c r="BF771" s="4"/>
      <c r="BG771" s="4"/>
      <c r="BI771" s="4"/>
      <c r="BP771" s="4"/>
      <c r="BS771" s="4"/>
      <c r="BW771" s="4"/>
      <c r="BX771" s="4"/>
    </row>
    <row r="772" spans="10:76" x14ac:dyDescent="0.25">
      <c r="J772" s="4"/>
      <c r="L772" s="4"/>
      <c r="S772" s="4"/>
      <c r="T772"/>
      <c r="W772"/>
      <c r="X772"/>
      <c r="AE772" s="4"/>
      <c r="AG772" s="4"/>
      <c r="AH772" s="4"/>
      <c r="AI772" s="4"/>
      <c r="AJ772" s="4"/>
      <c r="AK772" s="4"/>
      <c r="AL772" s="4"/>
      <c r="AM772"/>
      <c r="AT772"/>
      <c r="AU772" s="3"/>
      <c r="AX772" s="4"/>
      <c r="AY772" s="4"/>
      <c r="AZ772" s="4"/>
      <c r="BA772" s="4"/>
      <c r="BB772" s="4"/>
      <c r="BC772" s="4"/>
      <c r="BD772" s="4"/>
      <c r="BE772" s="4"/>
      <c r="BF772" s="4"/>
      <c r="BG772" s="4"/>
      <c r="BI772" s="4"/>
      <c r="BP772" s="4"/>
      <c r="BS772" s="4"/>
      <c r="BW772" s="4"/>
      <c r="BX772" s="4"/>
    </row>
    <row r="773" spans="10:76" x14ac:dyDescent="0.25">
      <c r="J773" s="4"/>
      <c r="L773" s="4"/>
      <c r="S773" s="4"/>
      <c r="T773"/>
      <c r="W773"/>
      <c r="X773"/>
      <c r="AE773" s="4"/>
      <c r="AG773" s="4"/>
      <c r="AH773" s="4"/>
      <c r="AI773" s="4"/>
      <c r="AJ773" s="4"/>
      <c r="AK773" s="4"/>
      <c r="AL773" s="4"/>
      <c r="AM773"/>
      <c r="AT773"/>
      <c r="AU773" s="3"/>
      <c r="AX773" s="4"/>
      <c r="AY773" s="4"/>
      <c r="AZ773" s="4"/>
      <c r="BA773" s="4"/>
      <c r="BB773" s="4"/>
      <c r="BC773" s="4"/>
      <c r="BD773" s="4"/>
      <c r="BE773" s="4"/>
      <c r="BF773" s="4"/>
      <c r="BG773" s="4"/>
      <c r="BI773" s="4"/>
      <c r="BP773" s="4"/>
      <c r="BS773" s="4"/>
      <c r="BW773" s="4"/>
      <c r="BX773" s="4"/>
    </row>
    <row r="774" spans="10:76" x14ac:dyDescent="0.25">
      <c r="J774" s="4"/>
      <c r="L774" s="4"/>
      <c r="S774" s="4"/>
      <c r="T774"/>
      <c r="W774"/>
      <c r="X774"/>
      <c r="AE774" s="4"/>
      <c r="AG774" s="4"/>
      <c r="AH774" s="4"/>
      <c r="AI774" s="4"/>
      <c r="AJ774" s="4"/>
      <c r="AK774" s="4"/>
      <c r="AL774" s="4"/>
      <c r="AM774"/>
      <c r="AT774"/>
      <c r="AU774" s="3"/>
      <c r="AX774" s="4"/>
      <c r="AY774" s="4"/>
      <c r="AZ774" s="4"/>
      <c r="BA774" s="4"/>
      <c r="BB774" s="4"/>
      <c r="BC774" s="4"/>
      <c r="BD774" s="4"/>
      <c r="BE774" s="4"/>
      <c r="BF774" s="4"/>
      <c r="BG774" s="4"/>
      <c r="BI774" s="4"/>
      <c r="BP774" s="4"/>
      <c r="BS774" s="4"/>
      <c r="BW774" s="4"/>
      <c r="BX774" s="4"/>
    </row>
    <row r="775" spans="10:76" x14ac:dyDescent="0.25">
      <c r="J775" s="4"/>
      <c r="L775" s="4"/>
      <c r="S775" s="4"/>
      <c r="T775"/>
      <c r="W775"/>
      <c r="X775"/>
      <c r="AE775" s="4"/>
      <c r="AG775" s="4"/>
      <c r="AH775" s="4"/>
      <c r="AI775" s="4"/>
      <c r="AJ775" s="4"/>
      <c r="AK775" s="4"/>
      <c r="AL775" s="4"/>
      <c r="AM775"/>
      <c r="AT775"/>
      <c r="AU775" s="3"/>
      <c r="AX775" s="4"/>
      <c r="AY775" s="4"/>
      <c r="AZ775" s="4"/>
      <c r="BA775" s="4"/>
      <c r="BB775" s="4"/>
      <c r="BC775" s="4"/>
      <c r="BD775" s="4"/>
      <c r="BE775" s="4"/>
      <c r="BF775" s="4"/>
      <c r="BG775" s="4"/>
      <c r="BI775" s="4"/>
      <c r="BP775" s="4"/>
      <c r="BS775" s="4"/>
      <c r="BW775" s="4"/>
      <c r="BX775" s="4"/>
    </row>
    <row r="776" spans="10:76" x14ac:dyDescent="0.25">
      <c r="J776" s="4"/>
      <c r="L776" s="4"/>
      <c r="S776" s="4"/>
      <c r="T776"/>
      <c r="W776"/>
      <c r="X776"/>
      <c r="AE776" s="4"/>
      <c r="AG776" s="4"/>
      <c r="AH776" s="4"/>
      <c r="AI776" s="4"/>
      <c r="AJ776" s="4"/>
      <c r="AK776" s="4"/>
      <c r="AL776" s="4"/>
      <c r="AM776"/>
      <c r="AT776"/>
      <c r="AU776" s="3"/>
      <c r="AX776" s="4"/>
      <c r="AY776" s="4"/>
      <c r="AZ776" s="4"/>
      <c r="BA776" s="4"/>
      <c r="BB776" s="4"/>
      <c r="BC776" s="4"/>
      <c r="BD776" s="4"/>
      <c r="BE776" s="4"/>
      <c r="BF776" s="4"/>
      <c r="BG776" s="4"/>
      <c r="BI776" s="4"/>
      <c r="BP776" s="4"/>
      <c r="BS776" s="4"/>
      <c r="BW776" s="4"/>
      <c r="BX776" s="4"/>
    </row>
    <row r="777" spans="10:76" x14ac:dyDescent="0.25">
      <c r="J777" s="4"/>
      <c r="L777" s="4"/>
      <c r="S777" s="4"/>
      <c r="T777"/>
      <c r="W777"/>
      <c r="X777"/>
      <c r="AE777" s="4"/>
      <c r="AG777" s="4"/>
      <c r="AH777" s="4"/>
      <c r="AI777" s="4"/>
      <c r="AJ777" s="4"/>
      <c r="AK777" s="4"/>
      <c r="AL777" s="4"/>
      <c r="AM777"/>
      <c r="AT777"/>
      <c r="AU777" s="3"/>
      <c r="AX777" s="4"/>
      <c r="AY777" s="4"/>
      <c r="AZ777" s="4"/>
      <c r="BA777" s="4"/>
      <c r="BB777" s="4"/>
      <c r="BC777" s="4"/>
      <c r="BD777" s="4"/>
      <c r="BE777" s="4"/>
      <c r="BF777" s="4"/>
      <c r="BG777" s="4"/>
      <c r="BI777" s="4"/>
      <c r="BP777" s="4"/>
      <c r="BS777" s="4"/>
      <c r="BW777" s="4"/>
      <c r="BX777" s="4"/>
    </row>
    <row r="778" spans="10:76" x14ac:dyDescent="0.25">
      <c r="J778" s="4"/>
      <c r="L778" s="4"/>
      <c r="S778" s="4"/>
      <c r="U778" s="4"/>
      <c r="W778"/>
      <c r="X778"/>
      <c r="AH778" s="4"/>
      <c r="AM778"/>
      <c r="AN778"/>
      <c r="AO778"/>
      <c r="AR778"/>
      <c r="AX778" s="4"/>
      <c r="AZ778" s="4"/>
      <c r="BA778" s="4"/>
      <c r="BC778" s="4"/>
      <c r="BD778" s="4"/>
      <c r="BE778" s="4"/>
      <c r="BG778" s="3"/>
      <c r="BI778" s="4"/>
      <c r="BP778" s="4"/>
      <c r="BS778" s="4"/>
      <c r="BW778" s="4"/>
      <c r="BX778" s="4"/>
    </row>
    <row r="779" spans="10:76" x14ac:dyDescent="0.25">
      <c r="J779" s="4"/>
      <c r="L779" s="4"/>
      <c r="S779" s="4"/>
      <c r="U779" s="4"/>
      <c r="W779"/>
      <c r="X779"/>
      <c r="AH779" s="4"/>
      <c r="AM779"/>
      <c r="AN779"/>
      <c r="AO779"/>
      <c r="AR779"/>
      <c r="AX779" s="4"/>
      <c r="AZ779" s="4"/>
      <c r="BA779" s="4"/>
      <c r="BC779" s="4"/>
      <c r="BD779" s="4"/>
      <c r="BE779" s="4"/>
      <c r="BG779" s="3"/>
      <c r="BI779" s="4"/>
      <c r="BP779" s="4"/>
      <c r="BS779" s="4"/>
      <c r="BW779" s="4"/>
      <c r="BX779" s="4"/>
    </row>
    <row r="780" spans="10:76" x14ac:dyDescent="0.25">
      <c r="J780" s="4"/>
      <c r="L780" s="4"/>
      <c r="S780" s="4"/>
      <c r="U780" s="4"/>
      <c r="W780"/>
      <c r="X780"/>
      <c r="AH780" s="4"/>
      <c r="AM780"/>
      <c r="AN780"/>
      <c r="AO780"/>
      <c r="AR780"/>
      <c r="AX780" s="4"/>
      <c r="AZ780" s="4"/>
      <c r="BA780" s="4"/>
      <c r="BC780" s="4"/>
      <c r="BD780" s="4"/>
      <c r="BE780" s="4"/>
      <c r="BG780" s="3"/>
      <c r="BI780" s="4"/>
      <c r="BP780" s="4"/>
      <c r="BS780" s="4"/>
      <c r="BW780" s="4"/>
      <c r="BX780" s="4"/>
    </row>
    <row r="781" spans="10:76" x14ac:dyDescent="0.25">
      <c r="J781" s="4"/>
      <c r="L781" s="4"/>
      <c r="S781" s="4"/>
      <c r="U781" s="4"/>
      <c r="W781"/>
      <c r="X781"/>
      <c r="AH781" s="4"/>
      <c r="AM781"/>
      <c r="AN781"/>
      <c r="AO781"/>
      <c r="AR781"/>
      <c r="AX781" s="4"/>
      <c r="AZ781" s="4"/>
      <c r="BA781" s="4"/>
      <c r="BC781" s="4"/>
      <c r="BD781" s="4"/>
      <c r="BE781" s="4"/>
      <c r="BG781" s="3"/>
      <c r="BI781" s="4"/>
      <c r="BP781" s="4"/>
      <c r="BS781" s="4"/>
      <c r="BW781" s="4"/>
      <c r="BX781" s="4"/>
    </row>
    <row r="782" spans="10:76" x14ac:dyDescent="0.25">
      <c r="J782" s="4"/>
      <c r="L782" s="4"/>
      <c r="S782" s="4"/>
      <c r="U782" s="4"/>
      <c r="W782"/>
      <c r="X782"/>
      <c r="AH782" s="4"/>
      <c r="AM782"/>
      <c r="AN782"/>
      <c r="AO782"/>
      <c r="AR782"/>
      <c r="AX782" s="4"/>
      <c r="AZ782" s="4"/>
      <c r="BA782" s="4"/>
      <c r="BC782" s="4"/>
      <c r="BD782" s="4"/>
      <c r="BE782" s="4"/>
      <c r="BG782" s="3"/>
      <c r="BI782" s="4"/>
      <c r="BP782" s="4"/>
      <c r="BS782" s="4"/>
      <c r="BW782" s="4"/>
      <c r="BX782" s="4"/>
    </row>
    <row r="783" spans="10:76" x14ac:dyDescent="0.25">
      <c r="J783" s="4"/>
      <c r="L783" s="4"/>
      <c r="S783" s="4"/>
      <c r="U783" s="4"/>
      <c r="W783"/>
      <c r="X783"/>
      <c r="AH783" s="4"/>
      <c r="AM783"/>
      <c r="AN783"/>
      <c r="AO783"/>
      <c r="AR783"/>
      <c r="AX783" s="4"/>
      <c r="AZ783" s="4"/>
      <c r="BA783" s="4"/>
      <c r="BC783" s="4"/>
      <c r="BD783" s="4"/>
      <c r="BE783" s="4"/>
      <c r="BG783" s="3"/>
      <c r="BI783" s="4"/>
      <c r="BP783" s="4"/>
      <c r="BS783" s="4"/>
      <c r="BW783" s="4"/>
      <c r="BX783" s="4"/>
    </row>
    <row r="784" spans="10:76" x14ac:dyDescent="0.25">
      <c r="J784" s="4"/>
      <c r="L784" s="4"/>
      <c r="S784" s="4"/>
      <c r="U784" s="4"/>
      <c r="W784"/>
      <c r="X784"/>
      <c r="AH784" s="4"/>
      <c r="AM784"/>
      <c r="AN784"/>
      <c r="AO784"/>
      <c r="AR784"/>
      <c r="AX784" s="4"/>
      <c r="AZ784" s="4"/>
      <c r="BA784" s="4"/>
      <c r="BC784" s="4"/>
      <c r="BD784" s="4"/>
      <c r="BE784" s="4"/>
      <c r="BG784" s="3"/>
      <c r="BI784" s="4"/>
      <c r="BP784" s="4"/>
      <c r="BS784" s="4"/>
      <c r="BW784" s="4"/>
      <c r="BX784" s="4"/>
    </row>
    <row r="785" spans="10:76" x14ac:dyDescent="0.25">
      <c r="J785" s="4"/>
      <c r="L785" s="4"/>
      <c r="S785" s="4"/>
      <c r="U785" s="4"/>
      <c r="W785"/>
      <c r="X785"/>
      <c r="AH785" s="4"/>
      <c r="AM785"/>
      <c r="AN785"/>
      <c r="AO785"/>
      <c r="AR785"/>
      <c r="AX785" s="4"/>
      <c r="AZ785" s="4"/>
      <c r="BA785" s="4"/>
      <c r="BC785" s="4"/>
      <c r="BD785" s="4"/>
      <c r="BE785" s="4"/>
      <c r="BG785" s="3"/>
      <c r="BI785" s="4"/>
      <c r="BP785" s="4"/>
      <c r="BS785" s="4"/>
      <c r="BW785" s="4"/>
      <c r="BX785" s="4"/>
    </row>
    <row r="786" spans="10:76" x14ac:dyDescent="0.25">
      <c r="J786" s="4"/>
      <c r="L786" s="4"/>
      <c r="S786" s="4"/>
      <c r="U786" s="4"/>
      <c r="W786"/>
      <c r="X786"/>
      <c r="AH786" s="4"/>
      <c r="AM786"/>
      <c r="AN786"/>
      <c r="AO786"/>
      <c r="AR786"/>
      <c r="AX786" s="4"/>
      <c r="AZ786" s="4"/>
      <c r="BA786" s="4"/>
      <c r="BC786" s="4"/>
      <c r="BD786" s="4"/>
      <c r="BE786" s="4"/>
      <c r="BG786" s="3"/>
      <c r="BI786" s="4"/>
      <c r="BP786" s="4"/>
      <c r="BS786" s="4"/>
      <c r="BW786" s="4"/>
      <c r="BX786" s="4"/>
    </row>
    <row r="787" spans="10:76" x14ac:dyDescent="0.25">
      <c r="J787" s="4"/>
      <c r="L787" s="4"/>
      <c r="S787" s="4"/>
      <c r="U787" s="4"/>
      <c r="W787"/>
      <c r="X787"/>
      <c r="AH787" s="4"/>
      <c r="AM787"/>
      <c r="AN787"/>
      <c r="AO787"/>
      <c r="AR787"/>
      <c r="AX787" s="4"/>
      <c r="AZ787" s="4"/>
      <c r="BA787" s="4"/>
      <c r="BC787" s="4"/>
      <c r="BD787" s="4"/>
      <c r="BE787" s="4"/>
      <c r="BG787" s="3"/>
      <c r="BI787" s="4"/>
      <c r="BP787" s="4"/>
      <c r="BS787" s="4"/>
      <c r="BW787" s="4"/>
      <c r="BX787" s="4"/>
    </row>
    <row r="788" spans="10:76" x14ac:dyDescent="0.25">
      <c r="J788" s="4"/>
      <c r="L788" s="4"/>
      <c r="S788" s="4"/>
      <c r="U788" s="4"/>
      <c r="W788"/>
      <c r="X788"/>
      <c r="AH788" s="4"/>
      <c r="AM788"/>
      <c r="AN788"/>
      <c r="AO788"/>
      <c r="AR788"/>
      <c r="AX788" s="4"/>
      <c r="AZ788" s="4"/>
      <c r="BA788" s="4"/>
      <c r="BC788" s="4"/>
      <c r="BD788" s="4"/>
      <c r="BE788" s="4"/>
      <c r="BG788" s="3"/>
      <c r="BI788" s="4"/>
      <c r="BP788" s="4"/>
      <c r="BS788" s="4"/>
      <c r="BW788" s="4"/>
      <c r="BX788" s="4"/>
    </row>
    <row r="789" spans="10:76" x14ac:dyDescent="0.25">
      <c r="J789" s="4"/>
      <c r="L789" s="4"/>
      <c r="S789" s="4"/>
      <c r="U789" s="4"/>
      <c r="W789"/>
      <c r="X789"/>
      <c r="AH789" s="4"/>
      <c r="AM789"/>
      <c r="AN789"/>
      <c r="AO789"/>
      <c r="AR789"/>
      <c r="AX789" s="4"/>
      <c r="AZ789" s="4"/>
      <c r="BA789" s="4"/>
      <c r="BC789" s="4"/>
      <c r="BD789" s="4"/>
      <c r="BE789" s="4"/>
      <c r="BG789" s="3"/>
      <c r="BI789" s="4"/>
      <c r="BP789" s="4"/>
      <c r="BS789" s="4"/>
      <c r="BW789" s="4"/>
      <c r="BX789" s="4"/>
    </row>
    <row r="790" spans="10:76" x14ac:dyDescent="0.25">
      <c r="J790" s="4"/>
      <c r="L790" s="4"/>
      <c r="S790" s="4"/>
      <c r="U790" s="4"/>
      <c r="W790"/>
      <c r="X790"/>
      <c r="AH790" s="4"/>
      <c r="AM790"/>
      <c r="AN790"/>
      <c r="AO790"/>
      <c r="AR790"/>
      <c r="AX790" s="4"/>
      <c r="AZ790" s="4"/>
      <c r="BA790" s="4"/>
      <c r="BC790" s="4"/>
      <c r="BD790" s="4"/>
      <c r="BE790" s="4"/>
      <c r="BG790" s="3"/>
      <c r="BI790" s="4"/>
      <c r="BP790" s="4"/>
      <c r="BS790" s="4"/>
      <c r="BW790" s="4"/>
      <c r="BX790" s="4"/>
    </row>
    <row r="791" spans="10:76" x14ac:dyDescent="0.25">
      <c r="J791" s="4"/>
      <c r="L791" s="4"/>
      <c r="S791" s="4"/>
      <c r="U791" s="4"/>
      <c r="W791"/>
      <c r="X791"/>
      <c r="AH791" s="4"/>
      <c r="AM791"/>
      <c r="AN791"/>
      <c r="AO791"/>
      <c r="AR791"/>
      <c r="AX791" s="4"/>
      <c r="AZ791" s="4"/>
      <c r="BA791" s="4"/>
      <c r="BC791" s="4"/>
      <c r="BD791" s="4"/>
      <c r="BE791" s="4"/>
      <c r="BG791" s="3"/>
      <c r="BI791" s="4"/>
      <c r="BP791" s="4"/>
      <c r="BS791" s="4"/>
      <c r="BW791" s="4"/>
      <c r="BX791" s="4"/>
    </row>
    <row r="792" spans="10:76" x14ac:dyDescent="0.25">
      <c r="J792" s="4"/>
      <c r="L792" s="4"/>
      <c r="S792" s="4"/>
      <c r="U792" s="4"/>
      <c r="W792"/>
      <c r="X792"/>
      <c r="AH792" s="4"/>
      <c r="AM792"/>
      <c r="AN792"/>
      <c r="AO792"/>
      <c r="AR792"/>
      <c r="AX792" s="4"/>
      <c r="AZ792" s="4"/>
      <c r="BA792" s="4"/>
      <c r="BC792" s="4"/>
      <c r="BD792" s="4"/>
      <c r="BE792" s="4"/>
      <c r="BG792" s="3"/>
      <c r="BI792" s="4"/>
      <c r="BP792" s="4"/>
      <c r="BS792" s="4"/>
      <c r="BW792" s="4"/>
      <c r="BX792" s="4"/>
    </row>
    <row r="793" spans="10:76" x14ac:dyDescent="0.25">
      <c r="J793" s="4"/>
      <c r="L793" s="4"/>
      <c r="S793" s="4"/>
      <c r="U793" s="4"/>
      <c r="W793"/>
      <c r="X793"/>
      <c r="AH793" s="4"/>
      <c r="AM793"/>
      <c r="AN793"/>
      <c r="AO793"/>
      <c r="AR793"/>
      <c r="AX793" s="4"/>
      <c r="AZ793" s="4"/>
      <c r="BA793" s="4"/>
      <c r="BC793" s="4"/>
      <c r="BD793" s="4"/>
      <c r="BE793" s="4"/>
      <c r="BG793" s="3"/>
      <c r="BI793" s="4"/>
      <c r="BP793" s="4"/>
      <c r="BS793" s="4"/>
      <c r="BW793" s="4"/>
      <c r="BX793" s="4"/>
    </row>
    <row r="794" spans="10:76" x14ac:dyDescent="0.25">
      <c r="J794" s="4"/>
      <c r="L794" s="4"/>
      <c r="S794" s="4"/>
      <c r="U794" s="4"/>
      <c r="W794"/>
      <c r="X794"/>
      <c r="AH794" s="4"/>
      <c r="AM794"/>
      <c r="AN794"/>
      <c r="AO794"/>
      <c r="AR794"/>
      <c r="AX794" s="4"/>
      <c r="AZ794" s="4"/>
      <c r="BA794" s="4"/>
      <c r="BC794" s="4"/>
      <c r="BD794" s="4"/>
      <c r="BE794" s="4"/>
      <c r="BG794" s="3"/>
      <c r="BI794" s="4"/>
      <c r="BP794" s="4"/>
      <c r="BS794" s="4"/>
      <c r="BW794" s="4"/>
      <c r="BX794" s="4"/>
    </row>
    <row r="795" spans="10:76" x14ac:dyDescent="0.25">
      <c r="J795" s="4"/>
      <c r="L795" s="4"/>
      <c r="S795" s="4"/>
      <c r="U795" s="4"/>
      <c r="W795"/>
      <c r="X795"/>
      <c r="AH795" s="4"/>
      <c r="AM795"/>
      <c r="AN795"/>
      <c r="AO795"/>
      <c r="AR795"/>
      <c r="AX795" s="4"/>
      <c r="AZ795" s="4"/>
      <c r="BA795" s="4"/>
      <c r="BC795" s="4"/>
      <c r="BD795" s="4"/>
      <c r="BE795" s="4"/>
      <c r="BG795" s="3"/>
      <c r="BI795" s="4"/>
      <c r="BP795" s="4"/>
      <c r="BS795" s="4"/>
      <c r="BW795" s="4"/>
      <c r="BX795" s="4"/>
    </row>
    <row r="796" spans="10:76" x14ac:dyDescent="0.25">
      <c r="J796" s="4"/>
      <c r="L796" s="4"/>
      <c r="S796" s="4"/>
      <c r="U796" s="4"/>
      <c r="W796"/>
      <c r="X796"/>
      <c r="AH796" s="4"/>
      <c r="AM796"/>
      <c r="AN796"/>
      <c r="AO796"/>
      <c r="AR796"/>
      <c r="AX796" s="4"/>
      <c r="AZ796" s="4"/>
      <c r="BA796" s="4"/>
      <c r="BC796" s="4"/>
      <c r="BD796" s="4"/>
      <c r="BE796" s="4"/>
      <c r="BG796" s="3"/>
      <c r="BI796" s="4"/>
      <c r="BP796" s="4"/>
      <c r="BS796" s="4"/>
      <c r="BW796" s="4"/>
      <c r="BX796" s="4"/>
    </row>
    <row r="797" spans="10:76" x14ac:dyDescent="0.25">
      <c r="J797" s="4"/>
      <c r="L797" s="4"/>
      <c r="S797" s="4"/>
      <c r="U797" s="4"/>
      <c r="W797"/>
      <c r="X797"/>
      <c r="AH797" s="4"/>
      <c r="AM797"/>
      <c r="AN797"/>
      <c r="AO797"/>
      <c r="AR797"/>
      <c r="AX797" s="4"/>
      <c r="AZ797" s="4"/>
      <c r="BA797" s="4"/>
      <c r="BC797" s="4"/>
      <c r="BD797" s="4"/>
      <c r="BE797" s="4"/>
      <c r="BG797" s="3"/>
      <c r="BI797" s="4"/>
      <c r="BP797" s="4"/>
      <c r="BS797" s="4"/>
      <c r="BW797" s="4"/>
      <c r="BX797" s="4"/>
    </row>
    <row r="798" spans="10:76" x14ac:dyDescent="0.25">
      <c r="J798" s="4"/>
      <c r="L798" s="4"/>
      <c r="S798" s="4"/>
      <c r="U798" s="4"/>
      <c r="W798"/>
      <c r="X798"/>
      <c r="AH798" s="4"/>
      <c r="AI798" s="4"/>
      <c r="AM798"/>
      <c r="AN798"/>
      <c r="AO798"/>
      <c r="AQ798"/>
      <c r="AR798"/>
      <c r="AS798"/>
      <c r="AU798"/>
      <c r="AX798" s="4"/>
      <c r="AY798" s="4"/>
      <c r="AZ798" s="4"/>
      <c r="BA798" s="4"/>
      <c r="BC798" s="4"/>
      <c r="BD798" s="4"/>
      <c r="BF798" s="4"/>
      <c r="BG798" s="4"/>
      <c r="BJ798" s="3"/>
      <c r="BP798" s="4"/>
      <c r="BS798" s="4"/>
      <c r="BW798" s="4"/>
      <c r="BX798" s="4"/>
    </row>
    <row r="799" spans="10:76" x14ac:dyDescent="0.25">
      <c r="J799" s="4"/>
      <c r="L799" s="4"/>
      <c r="S799" s="4"/>
      <c r="U799" s="4"/>
      <c r="W799"/>
      <c r="X799"/>
      <c r="AH799" s="4"/>
      <c r="AI799" s="4"/>
      <c r="AM799"/>
      <c r="AN799"/>
      <c r="AO799"/>
      <c r="AQ799"/>
      <c r="AR799"/>
      <c r="AS799"/>
      <c r="AU799"/>
      <c r="AX799" s="4"/>
      <c r="AY799" s="4"/>
      <c r="AZ799" s="4"/>
      <c r="BA799" s="4"/>
      <c r="BC799" s="4"/>
      <c r="BD799" s="4"/>
      <c r="BF799" s="4"/>
      <c r="BG799" s="4"/>
      <c r="BJ799" s="3"/>
      <c r="BP799" s="4"/>
      <c r="BS799" s="4"/>
      <c r="BW799" s="4"/>
      <c r="BX799" s="4"/>
    </row>
    <row r="800" spans="10:76" x14ac:dyDescent="0.25">
      <c r="J800" s="4"/>
      <c r="L800" s="4"/>
      <c r="S800" s="4"/>
      <c r="U800" s="4"/>
      <c r="W800"/>
      <c r="X800"/>
      <c r="AH800" s="4"/>
      <c r="AI800" s="4"/>
      <c r="AM800"/>
      <c r="AN800"/>
      <c r="AO800"/>
      <c r="AQ800"/>
      <c r="AR800"/>
      <c r="AS800"/>
      <c r="AU800"/>
      <c r="AX800" s="4"/>
      <c r="AY800" s="4"/>
      <c r="AZ800" s="4"/>
      <c r="BA800" s="4"/>
      <c r="BC800" s="4"/>
      <c r="BD800" s="4"/>
      <c r="BF800" s="4"/>
      <c r="BG800" s="4"/>
      <c r="BJ800" s="3"/>
      <c r="BP800" s="4"/>
      <c r="BS800" s="4"/>
      <c r="BW800" s="4"/>
      <c r="BX800" s="4"/>
    </row>
    <row r="801" spans="10:76" x14ac:dyDescent="0.25">
      <c r="J801" s="4"/>
      <c r="L801" s="4"/>
      <c r="S801" s="4"/>
      <c r="U801" s="4"/>
      <c r="W801"/>
      <c r="X801"/>
      <c r="AH801" s="4"/>
      <c r="AI801" s="4"/>
      <c r="AM801"/>
      <c r="AN801"/>
      <c r="AO801"/>
      <c r="AQ801"/>
      <c r="AR801"/>
      <c r="AS801"/>
      <c r="AU801"/>
      <c r="AX801" s="4"/>
      <c r="AY801" s="4"/>
      <c r="AZ801" s="4"/>
      <c r="BA801" s="4"/>
      <c r="BC801" s="4"/>
      <c r="BD801" s="4"/>
      <c r="BF801" s="4"/>
      <c r="BG801" s="4"/>
      <c r="BJ801" s="3"/>
      <c r="BP801" s="4"/>
      <c r="BS801" s="4"/>
      <c r="BW801" s="4"/>
      <c r="BX801" s="4"/>
    </row>
    <row r="802" spans="10:76" x14ac:dyDescent="0.25">
      <c r="S802" s="4"/>
      <c r="U802" s="4"/>
      <c r="W802"/>
      <c r="X802"/>
      <c r="AH802" s="4"/>
      <c r="AI802" s="4"/>
      <c r="AM802"/>
      <c r="AN802"/>
      <c r="AO802"/>
      <c r="AQ802"/>
      <c r="AR802"/>
      <c r="AS802"/>
      <c r="AU802"/>
      <c r="AX802" s="4"/>
      <c r="AY802" s="4"/>
      <c r="AZ802" s="4"/>
      <c r="BA802" s="4"/>
      <c r="BC802" s="4"/>
      <c r="BD802" s="4"/>
      <c r="BF802" s="4"/>
      <c r="BG802" s="4"/>
      <c r="BJ802" s="3"/>
      <c r="BP802" s="4"/>
      <c r="BS802" s="4"/>
      <c r="BW802" s="4"/>
      <c r="BX802" s="4"/>
    </row>
    <row r="803" spans="10:76" x14ac:dyDescent="0.25">
      <c r="S803" s="4"/>
      <c r="U803" s="4"/>
      <c r="W803"/>
      <c r="X803"/>
      <c r="AH803" s="4"/>
      <c r="AI803" s="4"/>
      <c r="AM803"/>
      <c r="AN803"/>
      <c r="AO803"/>
      <c r="AQ803"/>
      <c r="AR803"/>
      <c r="AS803"/>
      <c r="AU803"/>
      <c r="AX803" s="4"/>
      <c r="AY803" s="4"/>
      <c r="AZ803" s="4"/>
      <c r="BA803" s="4"/>
      <c r="BC803" s="4"/>
      <c r="BD803" s="4"/>
      <c r="BF803" s="4"/>
      <c r="BG803" s="4"/>
      <c r="BJ803" s="3"/>
      <c r="BP803" s="4"/>
      <c r="BS803" s="4"/>
      <c r="BW803" s="4"/>
      <c r="BX803" s="4"/>
    </row>
    <row r="804" spans="10:76" x14ac:dyDescent="0.25">
      <c r="S804" s="4"/>
      <c r="U804" s="4"/>
      <c r="W804"/>
      <c r="X804"/>
      <c r="AH804" s="4"/>
      <c r="AI804" s="4"/>
      <c r="AM804"/>
      <c r="AN804"/>
      <c r="AO804"/>
      <c r="AQ804"/>
      <c r="AR804"/>
      <c r="AS804"/>
      <c r="AU804"/>
      <c r="AX804" s="4"/>
      <c r="AY804" s="4"/>
      <c r="AZ804" s="4"/>
      <c r="BA804" s="4"/>
      <c r="BC804" s="4"/>
      <c r="BD804" s="4"/>
      <c r="BF804" s="4"/>
      <c r="BG804" s="4"/>
      <c r="BJ804" s="3"/>
      <c r="BP804" s="4"/>
      <c r="BS804" s="4"/>
      <c r="BW804" s="4"/>
      <c r="BX804" s="4"/>
    </row>
    <row r="805" spans="10:76" x14ac:dyDescent="0.25">
      <c r="S805" s="4"/>
      <c r="U805" s="4"/>
      <c r="W805"/>
      <c r="X805"/>
      <c r="AH805" s="4"/>
      <c r="AI805" s="4"/>
      <c r="AM805"/>
      <c r="AN805"/>
      <c r="AO805"/>
      <c r="AQ805"/>
      <c r="AR805"/>
      <c r="AS805"/>
      <c r="AU805"/>
      <c r="AX805" s="4"/>
      <c r="AY805" s="4"/>
      <c r="AZ805" s="4"/>
      <c r="BA805" s="4"/>
      <c r="BC805" s="4"/>
      <c r="BD805" s="4"/>
      <c r="BF805" s="4"/>
      <c r="BG805" s="4"/>
      <c r="BJ805" s="3"/>
      <c r="BP805" s="4"/>
      <c r="BS805" s="4"/>
      <c r="BW805" s="4"/>
      <c r="BX805" s="4"/>
    </row>
    <row r="806" spans="10:76" x14ac:dyDescent="0.25">
      <c r="S806" s="4"/>
      <c r="U806" s="4"/>
      <c r="W806"/>
      <c r="X806"/>
      <c r="AH806" s="4"/>
      <c r="AI806" s="4"/>
      <c r="AM806"/>
      <c r="AN806"/>
      <c r="AO806"/>
      <c r="AQ806"/>
      <c r="AR806"/>
      <c r="AS806"/>
      <c r="AU806"/>
      <c r="AX806" s="4"/>
      <c r="AY806" s="4"/>
      <c r="AZ806" s="4"/>
      <c r="BA806" s="4"/>
      <c r="BC806" s="4"/>
      <c r="BD806" s="4"/>
      <c r="BF806" s="4"/>
      <c r="BG806" s="4"/>
      <c r="BJ806" s="3"/>
      <c r="BP806" s="4"/>
      <c r="BS806" s="4"/>
      <c r="BW806" s="4"/>
      <c r="BX806" s="4"/>
    </row>
    <row r="807" spans="10:76" x14ac:dyDescent="0.25">
      <c r="J807" s="4"/>
      <c r="L807" s="4"/>
      <c r="S807" s="4"/>
      <c r="U807" s="4"/>
      <c r="W807"/>
      <c r="X807"/>
      <c r="AH807" s="4"/>
      <c r="AI807" s="4"/>
      <c r="AM807"/>
      <c r="AN807"/>
      <c r="AO807"/>
      <c r="AQ807"/>
      <c r="AR807"/>
      <c r="AS807"/>
      <c r="AU807"/>
      <c r="AX807" s="4"/>
      <c r="AY807" s="4"/>
      <c r="AZ807" s="4"/>
      <c r="BA807" s="4"/>
      <c r="BC807" s="4"/>
      <c r="BD807" s="4"/>
      <c r="BF807" s="4"/>
      <c r="BG807" s="4"/>
      <c r="BJ807" s="3"/>
      <c r="BP807" s="4"/>
      <c r="BS807" s="4"/>
      <c r="BW807" s="4"/>
      <c r="BX807" s="4"/>
    </row>
    <row r="808" spans="10:76" x14ac:dyDescent="0.25">
      <c r="S808" s="4"/>
      <c r="U808" s="4"/>
      <c r="W808"/>
      <c r="X808"/>
      <c r="AH808" s="4"/>
      <c r="AI808" s="4"/>
      <c r="AM808"/>
      <c r="AN808"/>
      <c r="AO808"/>
      <c r="AQ808"/>
      <c r="AR808"/>
      <c r="AS808"/>
      <c r="AU808"/>
      <c r="AX808" s="4"/>
      <c r="AY808" s="4"/>
      <c r="AZ808" s="4"/>
      <c r="BA808" s="4"/>
      <c r="BC808" s="4"/>
      <c r="BD808" s="4"/>
      <c r="BF808" s="4"/>
      <c r="BG808" s="4"/>
      <c r="BJ808" s="3"/>
      <c r="BP808" s="4"/>
      <c r="BS808" s="4"/>
      <c r="BW808" s="4"/>
      <c r="BX808" s="4"/>
    </row>
    <row r="809" spans="10:76" x14ac:dyDescent="0.25">
      <c r="S809" s="4"/>
      <c r="U809" s="4"/>
      <c r="W809"/>
      <c r="X809"/>
      <c r="AH809" s="4"/>
      <c r="AI809" s="4"/>
      <c r="AM809"/>
      <c r="AN809"/>
      <c r="AO809"/>
      <c r="AQ809"/>
      <c r="AR809"/>
      <c r="AS809"/>
      <c r="AU809"/>
      <c r="AX809" s="4"/>
      <c r="AY809" s="4"/>
      <c r="AZ809" s="4"/>
      <c r="BA809" s="4"/>
      <c r="BC809" s="4"/>
      <c r="BD809" s="4"/>
      <c r="BF809" s="4"/>
      <c r="BG809" s="4"/>
      <c r="BJ809" s="3"/>
      <c r="BP809" s="4"/>
      <c r="BS809" s="4"/>
      <c r="BW809" s="4"/>
      <c r="BX809" s="4"/>
    </row>
    <row r="810" spans="10:76" x14ac:dyDescent="0.25">
      <c r="S810" s="4"/>
      <c r="U810" s="4"/>
      <c r="W810"/>
      <c r="X810"/>
      <c r="AH810" s="4"/>
      <c r="AI810" s="4"/>
      <c r="AM810"/>
      <c r="AN810"/>
      <c r="AO810"/>
      <c r="AQ810"/>
      <c r="AR810"/>
      <c r="AS810"/>
      <c r="AU810"/>
      <c r="AX810" s="4"/>
      <c r="AY810" s="4"/>
      <c r="AZ810" s="4"/>
      <c r="BA810" s="4"/>
      <c r="BC810" s="4"/>
      <c r="BD810" s="4"/>
      <c r="BF810" s="4"/>
      <c r="BG810" s="4"/>
      <c r="BJ810" s="3"/>
      <c r="BP810" s="4"/>
      <c r="BS810" s="4"/>
      <c r="BW810" s="4"/>
      <c r="BX810" s="4"/>
    </row>
    <row r="811" spans="10:76" x14ac:dyDescent="0.25">
      <c r="S811" s="4"/>
      <c r="U811" s="4"/>
      <c r="W811"/>
      <c r="X811"/>
      <c r="AH811" s="4"/>
      <c r="AI811" s="4"/>
      <c r="AM811"/>
      <c r="AN811"/>
      <c r="AO811"/>
      <c r="AQ811"/>
      <c r="AR811"/>
      <c r="AS811"/>
      <c r="AU811"/>
      <c r="AX811" s="4"/>
      <c r="AY811" s="4"/>
      <c r="AZ811" s="4"/>
      <c r="BA811" s="4"/>
      <c r="BC811" s="4"/>
      <c r="BD811" s="4"/>
      <c r="BF811" s="4"/>
      <c r="BG811" s="4"/>
      <c r="BJ811" s="3"/>
      <c r="BP811" s="4"/>
      <c r="BS811" s="4"/>
      <c r="BW811" s="4"/>
      <c r="BX811" s="4"/>
    </row>
    <row r="812" spans="10:76" x14ac:dyDescent="0.25">
      <c r="S812" s="4"/>
      <c r="U812" s="4"/>
      <c r="W812"/>
      <c r="X812"/>
      <c r="AH812" s="4"/>
      <c r="AI812" s="4"/>
      <c r="AM812"/>
      <c r="AN812"/>
      <c r="AO812"/>
      <c r="AQ812"/>
      <c r="AR812"/>
      <c r="AS812"/>
      <c r="AU812"/>
      <c r="AX812" s="4"/>
      <c r="AY812" s="4"/>
      <c r="AZ812" s="4"/>
      <c r="BA812" s="4"/>
      <c r="BC812" s="4"/>
      <c r="BD812" s="4"/>
      <c r="BF812" s="4"/>
      <c r="BG812" s="4"/>
      <c r="BJ812" s="3"/>
      <c r="BP812" s="4"/>
      <c r="BS812" s="4"/>
      <c r="BW812" s="4"/>
      <c r="BX812" s="4"/>
    </row>
    <row r="813" spans="10:76" x14ac:dyDescent="0.25">
      <c r="S813" s="4"/>
      <c r="U813" s="4"/>
      <c r="W813"/>
      <c r="X813"/>
      <c r="AH813" s="4"/>
      <c r="AI813" s="4"/>
      <c r="AM813"/>
      <c r="AN813"/>
      <c r="AO813"/>
      <c r="AQ813"/>
      <c r="AR813"/>
      <c r="AS813"/>
      <c r="AU813"/>
      <c r="AX813" s="4"/>
      <c r="AY813" s="4"/>
      <c r="AZ813" s="4"/>
      <c r="BA813" s="4"/>
      <c r="BC813" s="4"/>
      <c r="BD813" s="4"/>
      <c r="BF813" s="4"/>
      <c r="BG813" s="4"/>
      <c r="BJ813" s="3"/>
      <c r="BP813" s="4"/>
      <c r="BS813" s="4"/>
      <c r="BW813" s="4"/>
      <c r="BX813" s="4"/>
    </row>
    <row r="814" spans="10:76" x14ac:dyDescent="0.25">
      <c r="S814" s="4"/>
      <c r="U814" s="4"/>
      <c r="W814"/>
      <c r="X814"/>
      <c r="AH814" s="4"/>
      <c r="AI814" s="4"/>
      <c r="AM814"/>
      <c r="AN814"/>
      <c r="AO814"/>
      <c r="AQ814"/>
      <c r="AR814"/>
      <c r="AS814"/>
      <c r="AU814"/>
      <c r="AX814" s="4"/>
      <c r="AY814" s="4"/>
      <c r="AZ814" s="4"/>
      <c r="BA814" s="4"/>
      <c r="BC814" s="4"/>
      <c r="BD814" s="4"/>
      <c r="BF814" s="4"/>
      <c r="BG814" s="4"/>
      <c r="BJ814" s="3"/>
      <c r="BP814" s="4"/>
      <c r="BS814" s="4"/>
      <c r="BW814" s="4"/>
      <c r="BX814" s="4"/>
    </row>
    <row r="815" spans="10:76" x14ac:dyDescent="0.25">
      <c r="S815" s="4"/>
      <c r="U815" s="4"/>
      <c r="W815"/>
      <c r="X815"/>
      <c r="AH815" s="4"/>
      <c r="AI815" s="4"/>
      <c r="AM815"/>
      <c r="AN815"/>
      <c r="AO815"/>
      <c r="AQ815"/>
      <c r="AR815"/>
      <c r="AS815"/>
      <c r="AU815"/>
      <c r="AX815" s="4"/>
      <c r="AY815" s="4"/>
      <c r="AZ815" s="4"/>
      <c r="BA815" s="4"/>
      <c r="BC815" s="4"/>
      <c r="BD815" s="4"/>
      <c r="BF815" s="4"/>
      <c r="BG815" s="4"/>
      <c r="BJ815" s="3"/>
      <c r="BP815" s="4"/>
      <c r="BS815" s="4"/>
      <c r="BW815" s="4"/>
      <c r="BX815" s="4"/>
    </row>
    <row r="816" spans="10:76" x14ac:dyDescent="0.25">
      <c r="S816" s="4"/>
      <c r="U816" s="4"/>
      <c r="W816"/>
      <c r="X816"/>
      <c r="AH816" s="4"/>
      <c r="AI816" s="4"/>
      <c r="AM816"/>
      <c r="AN816"/>
      <c r="AO816"/>
      <c r="AQ816"/>
      <c r="AR816"/>
      <c r="AS816"/>
      <c r="AU816"/>
      <c r="AX816" s="4"/>
      <c r="AY816" s="4"/>
      <c r="AZ816" s="4"/>
      <c r="BA816" s="4"/>
      <c r="BC816" s="4"/>
      <c r="BD816" s="4"/>
      <c r="BF816" s="4"/>
      <c r="BG816" s="4"/>
      <c r="BJ816" s="3"/>
      <c r="BP816" s="4"/>
      <c r="BS816" s="4"/>
      <c r="BW816" s="4"/>
      <c r="BX816" s="4"/>
    </row>
    <row r="817" spans="19:76" x14ac:dyDescent="0.25">
      <c r="S817" s="4"/>
      <c r="U817" s="4"/>
      <c r="W817"/>
      <c r="X817"/>
      <c r="AH817" s="4"/>
      <c r="AI817" s="4"/>
      <c r="AM817"/>
      <c r="AN817"/>
      <c r="AO817"/>
      <c r="AQ817"/>
      <c r="AR817"/>
      <c r="AS817"/>
      <c r="AU817"/>
      <c r="AX817" s="4"/>
      <c r="AY817" s="4"/>
      <c r="AZ817" s="4"/>
      <c r="BA817" s="4"/>
      <c r="BC817" s="4"/>
      <c r="BD817" s="4"/>
      <c r="BF817" s="4"/>
      <c r="BG817" s="4"/>
      <c r="BJ817" s="3"/>
      <c r="BP817" s="4"/>
      <c r="BS817" s="4"/>
      <c r="BW817" s="4"/>
      <c r="BX817" s="4"/>
    </row>
    <row r="818" spans="19:76" x14ac:dyDescent="0.25">
      <c r="S818" s="4"/>
      <c r="U818" s="4"/>
      <c r="W818"/>
      <c r="X818"/>
      <c r="AH818" s="4"/>
      <c r="AI818" s="4"/>
      <c r="AM818"/>
      <c r="AN818"/>
      <c r="AO818"/>
      <c r="AQ818"/>
      <c r="AR818"/>
      <c r="AS818"/>
      <c r="AU818"/>
      <c r="AX818" s="4"/>
      <c r="AY818" s="4"/>
      <c r="AZ818" s="4"/>
      <c r="BA818" s="4"/>
      <c r="BC818" s="4"/>
      <c r="BD818" s="4"/>
      <c r="BF818" s="4"/>
      <c r="BG818" s="4"/>
      <c r="BJ818" s="3"/>
      <c r="BP818" s="4"/>
      <c r="BS818" s="4"/>
      <c r="BW818" s="4"/>
      <c r="BX818" s="4"/>
    </row>
    <row r="819" spans="19:76" x14ac:dyDescent="0.25">
      <c r="S819" s="4"/>
      <c r="U819" s="4"/>
      <c r="W819"/>
      <c r="X819"/>
      <c r="AH819" s="4"/>
      <c r="AI819" s="4"/>
      <c r="AM819"/>
      <c r="AN819"/>
      <c r="AO819"/>
      <c r="AQ819"/>
      <c r="AR819"/>
      <c r="AS819"/>
      <c r="AU819"/>
      <c r="AX819" s="4"/>
      <c r="AY819" s="4"/>
      <c r="AZ819" s="4"/>
      <c r="BA819" s="4"/>
      <c r="BC819" s="4"/>
      <c r="BD819" s="4"/>
      <c r="BF819" s="4"/>
      <c r="BG819" s="4"/>
      <c r="BJ819" s="3"/>
      <c r="BP819" s="4"/>
      <c r="BS819" s="4"/>
      <c r="BW819" s="4"/>
      <c r="BX819" s="4"/>
    </row>
    <row r="820" spans="19:76" x14ac:dyDescent="0.25">
      <c r="S820" s="4"/>
      <c r="U820" s="4"/>
      <c r="W820"/>
      <c r="X820"/>
      <c r="AH820" s="4"/>
      <c r="AI820" s="4"/>
      <c r="AM820"/>
      <c r="AN820"/>
      <c r="AO820"/>
      <c r="AQ820"/>
      <c r="AR820"/>
      <c r="AS820"/>
      <c r="AU820"/>
      <c r="AX820" s="4"/>
      <c r="AY820" s="4"/>
      <c r="AZ820" s="4"/>
      <c r="BA820" s="4"/>
      <c r="BC820" s="4"/>
      <c r="BD820" s="4"/>
      <c r="BF820" s="4"/>
      <c r="BG820" s="4"/>
      <c r="BJ820" s="3"/>
      <c r="BP820" s="4"/>
      <c r="BS820" s="4"/>
      <c r="BW820" s="4"/>
      <c r="BX820" s="4"/>
    </row>
    <row r="821" spans="19:76" x14ac:dyDescent="0.25">
      <c r="S821" s="4"/>
      <c r="U821" s="4"/>
      <c r="W821"/>
      <c r="X821"/>
      <c r="AH821" s="4"/>
      <c r="AI821" s="4"/>
      <c r="AM821"/>
      <c r="AN821"/>
      <c r="AO821"/>
      <c r="AQ821"/>
      <c r="AR821"/>
      <c r="AS821"/>
      <c r="AU821"/>
      <c r="AX821" s="4"/>
      <c r="AY821" s="4"/>
      <c r="AZ821" s="4"/>
      <c r="BA821" s="4"/>
      <c r="BC821" s="4"/>
      <c r="BD821" s="4"/>
      <c r="BF821" s="4"/>
      <c r="BG821" s="4"/>
      <c r="BJ821" s="3"/>
      <c r="BP821" s="4"/>
      <c r="BS821" s="4"/>
      <c r="BW821" s="4"/>
      <c r="BX821" s="4"/>
    </row>
    <row r="822" spans="19:76" x14ac:dyDescent="0.25">
      <c r="S822" s="4"/>
      <c r="U822" s="4"/>
      <c r="W822"/>
      <c r="X822"/>
      <c r="AH822" s="4"/>
      <c r="AI822" s="4"/>
      <c r="AM822"/>
      <c r="AN822"/>
      <c r="AO822"/>
      <c r="AQ822"/>
      <c r="AR822"/>
      <c r="AS822"/>
      <c r="AU822"/>
      <c r="AX822" s="4"/>
      <c r="AY822" s="4"/>
      <c r="AZ822" s="4"/>
      <c r="BA822" s="4"/>
      <c r="BC822" s="4"/>
      <c r="BD822" s="4"/>
      <c r="BF822" s="4"/>
      <c r="BG822" s="4"/>
      <c r="BJ822" s="3"/>
      <c r="BP822" s="4"/>
      <c r="BS822" s="4"/>
      <c r="BW822" s="4"/>
      <c r="BX822" s="4"/>
    </row>
    <row r="823" spans="19:76" x14ac:dyDescent="0.25">
      <c r="S823" s="4"/>
      <c r="U823" s="4"/>
      <c r="W823"/>
      <c r="X823"/>
      <c r="AH823" s="4"/>
      <c r="AI823" s="4"/>
      <c r="AM823"/>
      <c r="AN823"/>
      <c r="AO823"/>
      <c r="AQ823"/>
      <c r="AR823"/>
      <c r="AS823"/>
      <c r="AU823"/>
      <c r="AX823" s="4"/>
      <c r="AY823" s="4"/>
      <c r="AZ823" s="4"/>
      <c r="BA823" s="4"/>
      <c r="BC823" s="4"/>
      <c r="BD823" s="4"/>
      <c r="BF823" s="4"/>
      <c r="BG823" s="4"/>
      <c r="BJ823" s="3"/>
      <c r="BP823" s="4"/>
      <c r="BS823" s="4"/>
      <c r="BW823" s="4"/>
      <c r="BX823" s="4"/>
    </row>
    <row r="824" spans="19:76" x14ac:dyDescent="0.25">
      <c r="S824" s="4"/>
      <c r="U824" s="4"/>
      <c r="W824"/>
      <c r="X824"/>
      <c r="AH824" s="4"/>
      <c r="AI824" s="4"/>
      <c r="AM824"/>
      <c r="AN824"/>
      <c r="AO824"/>
      <c r="AQ824"/>
      <c r="AR824"/>
      <c r="AS824"/>
      <c r="AU824"/>
      <c r="AX824" s="4"/>
      <c r="AY824" s="4"/>
      <c r="AZ824" s="4"/>
      <c r="BA824" s="4"/>
      <c r="BC824" s="4"/>
      <c r="BD824" s="4"/>
      <c r="BF824" s="4"/>
      <c r="BG824" s="4"/>
      <c r="BJ824" s="3"/>
      <c r="BP824" s="4"/>
      <c r="BS824" s="4"/>
      <c r="BW824" s="4"/>
      <c r="BX824" s="4"/>
    </row>
    <row r="825" spans="19:76" x14ac:dyDescent="0.25">
      <c r="S825" s="4"/>
      <c r="U825" s="4"/>
      <c r="W825"/>
      <c r="X825"/>
      <c r="AH825" s="4"/>
      <c r="AI825" s="4"/>
      <c r="AM825"/>
      <c r="AN825"/>
      <c r="AO825"/>
      <c r="AQ825"/>
      <c r="AR825"/>
      <c r="AS825"/>
      <c r="AU825"/>
      <c r="AX825" s="4"/>
      <c r="AY825" s="4"/>
      <c r="AZ825" s="4"/>
      <c r="BA825" s="4"/>
      <c r="BC825" s="4"/>
      <c r="BD825" s="4"/>
      <c r="BF825" s="4"/>
      <c r="BG825" s="4"/>
      <c r="BJ825" s="3"/>
      <c r="BP825" s="4"/>
      <c r="BS825" s="4"/>
      <c r="BW825" s="4"/>
      <c r="BX825" s="4"/>
    </row>
    <row r="826" spans="19:76" x14ac:dyDescent="0.25">
      <c r="S826" s="4"/>
      <c r="U826" s="4"/>
      <c r="W826"/>
      <c r="X826"/>
      <c r="AH826" s="4"/>
      <c r="AI826" s="4"/>
      <c r="AM826"/>
      <c r="AN826"/>
      <c r="AO826"/>
      <c r="AQ826"/>
      <c r="AR826"/>
      <c r="AS826"/>
      <c r="AU826"/>
      <c r="AX826" s="4"/>
      <c r="AY826" s="4"/>
      <c r="AZ826" s="4"/>
      <c r="BA826" s="4"/>
      <c r="BC826" s="4"/>
      <c r="BD826" s="4"/>
      <c r="BF826" s="4"/>
      <c r="BG826" s="4"/>
      <c r="BJ826" s="3"/>
      <c r="BP826" s="4"/>
      <c r="BS826" s="4"/>
      <c r="BW826" s="4"/>
      <c r="BX826" s="4"/>
    </row>
    <row r="827" spans="19:76" x14ac:dyDescent="0.25">
      <c r="S827" s="4"/>
      <c r="U827" s="4"/>
      <c r="W827"/>
      <c r="X827"/>
      <c r="AH827" s="4"/>
      <c r="AI827" s="4"/>
      <c r="AM827"/>
      <c r="AN827"/>
      <c r="AO827"/>
      <c r="AQ827"/>
      <c r="AR827"/>
      <c r="AS827"/>
      <c r="AU827"/>
      <c r="AX827" s="4"/>
      <c r="AY827" s="4"/>
      <c r="AZ827" s="4"/>
      <c r="BA827" s="4"/>
      <c r="BC827" s="4"/>
      <c r="BD827" s="4"/>
      <c r="BF827" s="4"/>
      <c r="BG827" s="4"/>
      <c r="BJ827" s="3"/>
      <c r="BP827" s="4"/>
      <c r="BS827" s="4"/>
      <c r="BW827" s="4"/>
      <c r="BX827" s="4"/>
    </row>
    <row r="828" spans="19:76" x14ac:dyDescent="0.25">
      <c r="S828" s="4"/>
      <c r="U828" s="4"/>
      <c r="W828"/>
      <c r="X828"/>
      <c r="AH828" s="4"/>
      <c r="AI828" s="4"/>
      <c r="AM828"/>
      <c r="AN828"/>
      <c r="AO828"/>
      <c r="AQ828"/>
      <c r="AR828"/>
      <c r="AS828"/>
      <c r="AU828"/>
      <c r="AX828" s="4"/>
      <c r="AY828" s="4"/>
      <c r="AZ828" s="4"/>
      <c r="BA828" s="4"/>
      <c r="BC828" s="4"/>
      <c r="BD828" s="4"/>
      <c r="BF828" s="4"/>
      <c r="BG828" s="4"/>
      <c r="BJ828" s="3"/>
      <c r="BP828" s="4"/>
      <c r="BS828" s="4"/>
      <c r="BW828" s="4"/>
      <c r="BX828" s="4"/>
    </row>
    <row r="829" spans="19:76" x14ac:dyDescent="0.25">
      <c r="S829" s="4"/>
      <c r="U829" s="4"/>
      <c r="W829"/>
      <c r="X829"/>
      <c r="AH829" s="4"/>
      <c r="AI829" s="4"/>
      <c r="AM829"/>
      <c r="AN829"/>
      <c r="AO829"/>
      <c r="AQ829"/>
      <c r="AR829"/>
      <c r="AS829"/>
      <c r="AU829"/>
      <c r="AX829" s="4"/>
      <c r="AY829" s="4"/>
      <c r="AZ829" s="4"/>
      <c r="BA829" s="4"/>
      <c r="BC829" s="4"/>
      <c r="BD829" s="4"/>
      <c r="BF829" s="4"/>
      <c r="BG829" s="4"/>
      <c r="BJ829" s="3"/>
      <c r="BP829" s="4"/>
      <c r="BS829" s="4"/>
      <c r="BW829" s="4"/>
      <c r="BX829" s="4"/>
    </row>
    <row r="830" spans="19:76" x14ac:dyDescent="0.25">
      <c r="S830" s="4"/>
      <c r="U830" s="4"/>
      <c r="W830"/>
      <c r="X830"/>
      <c r="AH830" s="4"/>
      <c r="AI830" s="4"/>
      <c r="AM830"/>
      <c r="AN830"/>
      <c r="AO830"/>
      <c r="AQ830"/>
      <c r="AR830"/>
      <c r="AS830"/>
      <c r="AU830"/>
      <c r="AX830" s="4"/>
      <c r="AY830" s="4"/>
      <c r="AZ830" s="4"/>
      <c r="BA830" s="4"/>
      <c r="BC830" s="4"/>
      <c r="BD830" s="4"/>
      <c r="BF830" s="4"/>
      <c r="BG830" s="4"/>
      <c r="BJ830" s="3"/>
      <c r="BP830" s="4"/>
      <c r="BS830" s="4"/>
      <c r="BW830" s="4"/>
      <c r="BX830" s="4"/>
    </row>
    <row r="831" spans="19:76" x14ac:dyDescent="0.25">
      <c r="S831" s="4"/>
      <c r="U831" s="4"/>
      <c r="W831"/>
      <c r="X831"/>
      <c r="AH831" s="4"/>
      <c r="AI831" s="4"/>
      <c r="AM831"/>
      <c r="AN831"/>
      <c r="AO831"/>
      <c r="AQ831"/>
      <c r="AR831"/>
      <c r="AS831"/>
      <c r="AU831"/>
      <c r="AX831" s="4"/>
      <c r="AY831" s="4"/>
      <c r="AZ831" s="4"/>
      <c r="BA831" s="4"/>
      <c r="BC831" s="4"/>
      <c r="BD831" s="4"/>
      <c r="BF831" s="4"/>
      <c r="BG831" s="4"/>
      <c r="BJ831" s="3"/>
      <c r="BP831" s="4"/>
      <c r="BS831" s="4"/>
      <c r="BW831" s="4"/>
      <c r="BX831" s="4"/>
    </row>
    <row r="832" spans="19:76" x14ac:dyDescent="0.25">
      <c r="S832" s="4"/>
      <c r="U832" s="4"/>
      <c r="W832"/>
      <c r="X832"/>
      <c r="AH832" s="4"/>
      <c r="AI832" s="4"/>
      <c r="AM832"/>
      <c r="AN832"/>
      <c r="AO832"/>
      <c r="AQ832"/>
      <c r="AR832"/>
      <c r="AS832"/>
      <c r="AU832"/>
      <c r="AX832" s="4"/>
      <c r="AY832" s="4"/>
      <c r="AZ832" s="4"/>
      <c r="BA832" s="4"/>
      <c r="BC832" s="4"/>
      <c r="BD832" s="4"/>
      <c r="BF832" s="4"/>
      <c r="BG832" s="4"/>
      <c r="BJ832" s="3"/>
      <c r="BP832" s="4"/>
      <c r="BS832" s="4"/>
      <c r="BW832" s="4"/>
      <c r="BX832" s="4"/>
    </row>
    <row r="833" spans="19:76" x14ac:dyDescent="0.25">
      <c r="S833" s="4"/>
      <c r="U833" s="4"/>
      <c r="W833"/>
      <c r="X833"/>
      <c r="AH833" s="4"/>
      <c r="AI833" s="4"/>
      <c r="AM833"/>
      <c r="AN833"/>
      <c r="AO833"/>
      <c r="AQ833"/>
      <c r="AR833"/>
      <c r="AS833"/>
      <c r="AU833"/>
      <c r="AX833" s="4"/>
      <c r="AY833" s="4"/>
      <c r="AZ833" s="4"/>
      <c r="BA833" s="4"/>
      <c r="BC833" s="4"/>
      <c r="BD833" s="4"/>
      <c r="BF833" s="4"/>
      <c r="BG833" s="4"/>
      <c r="BJ833" s="3"/>
      <c r="BP833" s="4"/>
      <c r="BS833" s="4"/>
      <c r="BW833" s="4"/>
      <c r="BX833" s="4"/>
    </row>
    <row r="834" spans="19:76" x14ac:dyDescent="0.25">
      <c r="S834" s="4"/>
      <c r="U834" s="4"/>
      <c r="W834"/>
      <c r="X834"/>
      <c r="AH834" s="4"/>
      <c r="AI834" s="4"/>
      <c r="AM834"/>
      <c r="AN834"/>
      <c r="AO834"/>
      <c r="AQ834"/>
      <c r="AR834"/>
      <c r="AS834"/>
      <c r="AU834"/>
      <c r="AX834" s="4"/>
      <c r="AY834" s="4"/>
      <c r="AZ834" s="4"/>
      <c r="BA834" s="4"/>
      <c r="BC834" s="4"/>
      <c r="BD834" s="4"/>
      <c r="BF834" s="4"/>
      <c r="BG834" s="4"/>
      <c r="BJ834" s="3"/>
      <c r="BP834" s="4"/>
      <c r="BS834" s="4"/>
      <c r="BW834" s="4"/>
      <c r="BX834" s="4"/>
    </row>
    <row r="835" spans="19:76" x14ac:dyDescent="0.25">
      <c r="S835" s="4"/>
      <c r="U835" s="4"/>
      <c r="W835"/>
      <c r="X835"/>
      <c r="AH835" s="4"/>
      <c r="AI835" s="4"/>
      <c r="AM835"/>
      <c r="AN835"/>
      <c r="AO835"/>
      <c r="AQ835"/>
      <c r="AR835"/>
      <c r="AS835"/>
      <c r="AU835"/>
      <c r="AX835" s="4"/>
      <c r="AY835" s="4"/>
      <c r="AZ835" s="4"/>
      <c r="BA835" s="4"/>
      <c r="BC835" s="4"/>
      <c r="BD835" s="4"/>
      <c r="BF835" s="4"/>
      <c r="BG835" s="4"/>
      <c r="BJ835" s="3"/>
      <c r="BP835" s="4"/>
      <c r="BS835" s="4"/>
      <c r="BW835" s="4"/>
      <c r="BX835" s="4"/>
    </row>
    <row r="836" spans="19:76" x14ac:dyDescent="0.25">
      <c r="S836" s="4"/>
      <c r="U836" s="4"/>
      <c r="W836"/>
      <c r="X836"/>
      <c r="AH836" s="4"/>
      <c r="AI836" s="4"/>
      <c r="AM836"/>
      <c r="AN836"/>
      <c r="AO836"/>
      <c r="AQ836"/>
      <c r="AR836"/>
      <c r="AS836"/>
      <c r="AU836"/>
      <c r="AX836" s="4"/>
      <c r="AY836" s="4"/>
      <c r="AZ836" s="4"/>
      <c r="BA836" s="4"/>
      <c r="BC836" s="4"/>
      <c r="BD836" s="4"/>
      <c r="BF836" s="4"/>
      <c r="BG836" s="4"/>
      <c r="BJ836" s="3"/>
      <c r="BP836" s="4"/>
      <c r="BS836" s="4"/>
      <c r="BW836" s="4"/>
      <c r="BX836" s="4"/>
    </row>
    <row r="837" spans="19:76" x14ac:dyDescent="0.25">
      <c r="S837" s="4"/>
      <c r="U837" s="4"/>
      <c r="W837"/>
      <c r="X837"/>
      <c r="AH837" s="4"/>
      <c r="AI837" s="4"/>
      <c r="AM837"/>
      <c r="AN837"/>
      <c r="AO837"/>
      <c r="AQ837"/>
      <c r="AR837"/>
      <c r="AS837"/>
      <c r="AU837"/>
      <c r="AX837" s="4"/>
      <c r="AY837" s="4"/>
      <c r="AZ837" s="4"/>
      <c r="BA837" s="4"/>
      <c r="BC837" s="4"/>
      <c r="BD837" s="4"/>
      <c r="BF837" s="4"/>
      <c r="BG837" s="4"/>
      <c r="BJ837" s="3"/>
      <c r="BP837" s="4"/>
      <c r="BS837" s="4"/>
      <c r="BW837" s="4"/>
      <c r="BX837" s="4"/>
    </row>
    <row r="838" spans="19:76" x14ac:dyDescent="0.25">
      <c r="S838" s="4"/>
      <c r="U838" s="4"/>
      <c r="W838"/>
      <c r="X838"/>
      <c r="AH838" s="4"/>
      <c r="AI838" s="4"/>
      <c r="AM838"/>
      <c r="AN838"/>
      <c r="AO838"/>
      <c r="AQ838"/>
      <c r="AR838"/>
      <c r="AS838"/>
      <c r="AU838"/>
      <c r="AX838" s="4"/>
      <c r="AY838" s="4"/>
      <c r="AZ838" s="4"/>
      <c r="BA838" s="4"/>
      <c r="BC838" s="4"/>
      <c r="BD838" s="4"/>
      <c r="BF838" s="4"/>
      <c r="BG838" s="4"/>
      <c r="BJ838" s="3"/>
      <c r="BP838" s="4"/>
      <c r="BS838" s="4"/>
      <c r="BW838" s="4"/>
      <c r="BX838" s="4"/>
    </row>
    <row r="839" spans="19:76" x14ac:dyDescent="0.25">
      <c r="S839" s="4"/>
      <c r="U839" s="4"/>
      <c r="W839"/>
      <c r="X839"/>
      <c r="AH839" s="4"/>
      <c r="AI839" s="4"/>
      <c r="AM839"/>
      <c r="AN839"/>
      <c r="AO839"/>
      <c r="AQ839"/>
      <c r="AR839"/>
      <c r="AS839"/>
      <c r="AU839"/>
      <c r="AX839" s="4"/>
      <c r="AY839" s="4"/>
      <c r="AZ839" s="4"/>
      <c r="BA839" s="4"/>
      <c r="BC839" s="4"/>
      <c r="BD839" s="4"/>
      <c r="BF839" s="4"/>
      <c r="BG839" s="4"/>
      <c r="BJ839" s="3"/>
      <c r="BP839" s="4"/>
      <c r="BS839" s="4"/>
      <c r="BW839" s="4"/>
      <c r="BX839" s="4"/>
    </row>
    <row r="840" spans="19:76" x14ac:dyDescent="0.25">
      <c r="S840" s="4"/>
      <c r="U840" s="4"/>
      <c r="W840"/>
      <c r="X840"/>
      <c r="AH840" s="4"/>
      <c r="AI840" s="4"/>
      <c r="AM840"/>
      <c r="AN840"/>
      <c r="AO840"/>
      <c r="AQ840"/>
      <c r="AR840"/>
      <c r="AS840"/>
      <c r="AU840"/>
      <c r="AX840" s="4"/>
      <c r="AY840" s="4"/>
      <c r="AZ840" s="4"/>
      <c r="BA840" s="4"/>
      <c r="BC840" s="4"/>
      <c r="BD840" s="4"/>
      <c r="BF840" s="4"/>
      <c r="BG840" s="4"/>
      <c r="BJ840" s="3"/>
      <c r="BP840" s="4"/>
      <c r="BS840" s="4"/>
      <c r="BW840" s="4"/>
      <c r="BX840" s="4"/>
    </row>
    <row r="841" spans="19:76" x14ac:dyDescent="0.25">
      <c r="S841" s="4"/>
      <c r="U841" s="4"/>
      <c r="W841"/>
      <c r="X841"/>
      <c r="AH841" s="4"/>
      <c r="AI841" s="4"/>
      <c r="AM841"/>
      <c r="AN841"/>
      <c r="AO841"/>
      <c r="AQ841"/>
      <c r="AR841"/>
      <c r="AS841"/>
      <c r="AU841"/>
      <c r="AX841" s="4"/>
      <c r="AY841" s="4"/>
      <c r="AZ841" s="4"/>
      <c r="BA841" s="4"/>
      <c r="BC841" s="4"/>
      <c r="BD841" s="4"/>
      <c r="BF841" s="4"/>
      <c r="BG841" s="4"/>
      <c r="BJ841" s="3"/>
      <c r="BP841" s="4"/>
      <c r="BS841" s="4"/>
      <c r="BW841" s="4"/>
      <c r="BX841" s="4"/>
    </row>
    <row r="842" spans="19:76" x14ac:dyDescent="0.25">
      <c r="S842" s="4"/>
      <c r="U842" s="4"/>
      <c r="W842"/>
      <c r="X842"/>
      <c r="AH842" s="4"/>
      <c r="AI842" s="4"/>
      <c r="AM842"/>
      <c r="AN842"/>
      <c r="AO842"/>
      <c r="AQ842"/>
      <c r="AR842"/>
      <c r="AS842"/>
      <c r="AU842"/>
      <c r="AX842" s="4"/>
      <c r="AY842" s="4"/>
      <c r="AZ842" s="4"/>
      <c r="BA842" s="4"/>
      <c r="BC842" s="4"/>
      <c r="BD842" s="4"/>
      <c r="BF842" s="4"/>
      <c r="BG842" s="4"/>
      <c r="BJ842" s="3"/>
      <c r="BP842" s="4"/>
      <c r="BS842" s="4"/>
      <c r="BW842" s="4"/>
      <c r="BX842" s="4"/>
    </row>
    <row r="843" spans="19:76" x14ac:dyDescent="0.25">
      <c r="S843" s="4"/>
      <c r="U843" s="4"/>
      <c r="W843"/>
      <c r="X843"/>
      <c r="AH843" s="4"/>
      <c r="AI843" s="4"/>
      <c r="AM843"/>
      <c r="AN843"/>
      <c r="AO843"/>
      <c r="AQ843"/>
      <c r="AR843"/>
      <c r="AS843"/>
      <c r="AU843"/>
      <c r="AX843" s="4"/>
      <c r="AY843" s="4"/>
      <c r="AZ843" s="4"/>
      <c r="BA843" s="4"/>
      <c r="BC843" s="4"/>
      <c r="BD843" s="4"/>
      <c r="BF843" s="4"/>
      <c r="BG843" s="4"/>
      <c r="BJ843" s="3"/>
      <c r="BP843" s="4"/>
      <c r="BS843" s="4"/>
      <c r="BW843" s="4"/>
      <c r="BX843" s="4"/>
    </row>
    <row r="844" spans="19:76" x14ac:dyDescent="0.25">
      <c r="S844" s="4"/>
      <c r="U844" s="4"/>
      <c r="W844"/>
      <c r="X844"/>
      <c r="AH844" s="4"/>
      <c r="AI844" s="4"/>
      <c r="AM844"/>
      <c r="AN844"/>
      <c r="AO844"/>
      <c r="AQ844"/>
      <c r="AR844"/>
      <c r="AS844"/>
      <c r="AU844"/>
      <c r="AX844" s="4"/>
      <c r="AY844" s="4"/>
      <c r="AZ844" s="4"/>
      <c r="BA844" s="4"/>
      <c r="BC844" s="4"/>
      <c r="BD844" s="4"/>
      <c r="BF844" s="4"/>
      <c r="BG844" s="4"/>
      <c r="BJ844" s="3"/>
      <c r="BP844" s="4"/>
      <c r="BS844" s="4"/>
      <c r="BW844" s="4"/>
      <c r="BX844" s="4"/>
    </row>
    <row r="845" spans="19:76" x14ac:dyDescent="0.25">
      <c r="S845" s="4"/>
      <c r="U845" s="4"/>
      <c r="W845"/>
      <c r="X845"/>
      <c r="AH845" s="4"/>
      <c r="AI845" s="4"/>
      <c r="AM845"/>
      <c r="AN845"/>
      <c r="AO845"/>
      <c r="AQ845"/>
      <c r="AR845"/>
      <c r="AS845"/>
      <c r="AU845"/>
      <c r="AX845" s="4"/>
      <c r="AY845" s="4"/>
      <c r="AZ845" s="4"/>
      <c r="BA845" s="4"/>
      <c r="BC845" s="4"/>
      <c r="BD845" s="4"/>
      <c r="BF845" s="4"/>
      <c r="BG845" s="4"/>
      <c r="BJ845" s="3"/>
      <c r="BP845" s="4"/>
      <c r="BS845" s="4"/>
      <c r="BW845" s="4"/>
      <c r="BX845" s="4"/>
    </row>
    <row r="846" spans="19:76" x14ac:dyDescent="0.25">
      <c r="S846" s="4"/>
      <c r="U846" s="4"/>
      <c r="W846"/>
      <c r="X846"/>
      <c r="AH846" s="4"/>
      <c r="AI846" s="4"/>
      <c r="AM846"/>
      <c r="AN846"/>
      <c r="AO846"/>
      <c r="AQ846"/>
      <c r="AR846"/>
      <c r="AS846"/>
      <c r="AU846"/>
      <c r="AX846" s="4"/>
      <c r="AY846" s="4"/>
      <c r="AZ846" s="4"/>
      <c r="BA846" s="4"/>
      <c r="BC846" s="4"/>
      <c r="BD846" s="4"/>
      <c r="BF846" s="4"/>
      <c r="BG846" s="4"/>
      <c r="BJ846" s="3"/>
      <c r="BP846" s="4"/>
      <c r="BS846" s="4"/>
      <c r="BW846" s="4"/>
      <c r="BX846" s="4"/>
    </row>
    <row r="847" spans="19:76" x14ac:dyDescent="0.25">
      <c r="S847" s="4"/>
      <c r="U847" s="4"/>
      <c r="W847"/>
      <c r="X847"/>
      <c r="AH847" s="4"/>
      <c r="AI847" s="4"/>
      <c r="AM847"/>
      <c r="AN847"/>
      <c r="AO847"/>
      <c r="AQ847"/>
      <c r="AR847"/>
      <c r="AS847"/>
      <c r="AU847"/>
      <c r="AX847" s="4"/>
      <c r="AY847" s="4"/>
      <c r="AZ847" s="4"/>
      <c r="BA847" s="4"/>
      <c r="BC847" s="4"/>
      <c r="BD847" s="4"/>
      <c r="BF847" s="4"/>
      <c r="BG847" s="4"/>
      <c r="BJ847" s="3"/>
      <c r="BP847" s="4"/>
      <c r="BS847" s="4"/>
      <c r="BW847" s="4"/>
      <c r="BX847" s="4"/>
    </row>
    <row r="848" spans="19:76" x14ac:dyDescent="0.25">
      <c r="S848" s="4"/>
      <c r="U848" s="4"/>
      <c r="W848"/>
      <c r="X848"/>
      <c r="AH848" s="4"/>
      <c r="AI848" s="4"/>
      <c r="AM848"/>
      <c r="AN848"/>
      <c r="AO848"/>
      <c r="AQ848"/>
      <c r="AR848"/>
      <c r="AS848"/>
      <c r="AU848"/>
      <c r="AX848" s="4"/>
      <c r="AY848" s="4"/>
      <c r="AZ848" s="4"/>
      <c r="BA848" s="4"/>
      <c r="BC848" s="4"/>
      <c r="BD848" s="4"/>
      <c r="BF848" s="4"/>
      <c r="BG848" s="4"/>
      <c r="BJ848" s="3"/>
      <c r="BP848" s="4"/>
      <c r="BS848" s="4"/>
      <c r="BW848" s="4"/>
      <c r="BX848" s="4"/>
    </row>
    <row r="849" spans="19:76" x14ac:dyDescent="0.25">
      <c r="S849" s="4"/>
      <c r="U849" s="4"/>
      <c r="W849"/>
      <c r="X849"/>
      <c r="AH849" s="4"/>
      <c r="AI849" s="4"/>
      <c r="AM849"/>
      <c r="AN849"/>
      <c r="AO849"/>
      <c r="AQ849"/>
      <c r="AR849"/>
      <c r="AS849"/>
      <c r="AU849"/>
      <c r="AX849" s="4"/>
      <c r="AY849" s="4"/>
      <c r="AZ849" s="4"/>
      <c r="BA849" s="4"/>
      <c r="BC849" s="4"/>
      <c r="BD849" s="4"/>
      <c r="BF849" s="4"/>
      <c r="BG849" s="4"/>
      <c r="BJ849" s="3"/>
      <c r="BP849" s="4"/>
      <c r="BS849" s="4"/>
      <c r="BW849" s="4"/>
      <c r="BX849" s="4"/>
    </row>
    <row r="850" spans="19:76" x14ac:dyDescent="0.25">
      <c r="S850" s="4"/>
      <c r="U850" s="4"/>
      <c r="W850"/>
      <c r="X850"/>
      <c r="AH850" s="4"/>
      <c r="AI850" s="4"/>
      <c r="AM850"/>
      <c r="AN850"/>
      <c r="AO850"/>
      <c r="AQ850"/>
      <c r="AR850"/>
      <c r="AS850"/>
      <c r="AU850"/>
      <c r="AX850" s="4"/>
      <c r="AY850" s="4"/>
      <c r="AZ850" s="4"/>
      <c r="BA850" s="4"/>
      <c r="BC850" s="4"/>
      <c r="BD850" s="4"/>
      <c r="BF850" s="4"/>
      <c r="BG850" s="4"/>
      <c r="BJ850" s="3"/>
      <c r="BP850" s="4"/>
      <c r="BS850" s="4"/>
      <c r="BW850" s="4"/>
      <c r="BX850" s="4"/>
    </row>
    <row r="851" spans="19:76" x14ac:dyDescent="0.25">
      <c r="S851" s="4"/>
      <c r="U851" s="4"/>
      <c r="W851"/>
      <c r="X851"/>
      <c r="AH851" s="4"/>
      <c r="AI851" s="4"/>
      <c r="AM851"/>
      <c r="AN851"/>
      <c r="AO851"/>
      <c r="AQ851"/>
      <c r="AR851"/>
      <c r="AS851"/>
      <c r="AU851"/>
      <c r="AX851" s="4"/>
      <c r="AY851" s="4"/>
      <c r="AZ851" s="4"/>
      <c r="BA851" s="4"/>
      <c r="BC851" s="4"/>
      <c r="BD851" s="4"/>
      <c r="BF851" s="4"/>
      <c r="BG851" s="4"/>
      <c r="BJ851" s="3"/>
      <c r="BP851" s="4"/>
      <c r="BS851" s="4"/>
      <c r="BW851" s="4"/>
      <c r="BX851" s="4"/>
    </row>
    <row r="852" spans="19:76" x14ac:dyDescent="0.25">
      <c r="S852" s="4"/>
      <c r="U852" s="4"/>
      <c r="W852"/>
      <c r="X852"/>
      <c r="AH852" s="4"/>
      <c r="AI852" s="4"/>
      <c r="AM852"/>
      <c r="AN852"/>
      <c r="AO852"/>
      <c r="AQ852"/>
      <c r="AR852"/>
      <c r="AS852"/>
      <c r="AU852"/>
      <c r="AX852" s="4"/>
      <c r="AY852" s="4"/>
      <c r="AZ852" s="4"/>
      <c r="BA852" s="4"/>
      <c r="BC852" s="4"/>
      <c r="BD852" s="4"/>
      <c r="BF852" s="4"/>
      <c r="BG852" s="4"/>
      <c r="BJ852" s="3"/>
      <c r="BP852" s="4"/>
      <c r="BS852" s="4"/>
      <c r="BW852" s="4"/>
      <c r="BX852" s="4"/>
    </row>
    <row r="853" spans="19:76" x14ac:dyDescent="0.25">
      <c r="S853" s="4"/>
      <c r="U853" s="4"/>
      <c r="W853"/>
      <c r="X853"/>
      <c r="AH853" s="4"/>
      <c r="AI853" s="4"/>
      <c r="AM853"/>
      <c r="AN853"/>
      <c r="AO853"/>
      <c r="AQ853"/>
      <c r="AR853"/>
      <c r="AS853"/>
      <c r="AU853"/>
      <c r="AX853" s="4"/>
      <c r="AY853" s="4"/>
      <c r="AZ853" s="4"/>
      <c r="BA853" s="4"/>
      <c r="BC853" s="4"/>
      <c r="BD853" s="4"/>
      <c r="BF853" s="4"/>
      <c r="BG853" s="4"/>
      <c r="BJ853" s="3"/>
      <c r="BP853" s="4"/>
      <c r="BS853" s="4"/>
      <c r="BW853" s="4"/>
      <c r="BX853" s="4"/>
    </row>
    <row r="854" spans="19:76" x14ac:dyDescent="0.25">
      <c r="S854" s="4"/>
      <c r="U854" s="4"/>
      <c r="W854"/>
      <c r="X854"/>
      <c r="AH854" s="4"/>
      <c r="AI854" s="4"/>
      <c r="AM854"/>
      <c r="AN854"/>
      <c r="AO854"/>
      <c r="AQ854"/>
      <c r="AR854"/>
      <c r="AS854"/>
      <c r="AU854"/>
      <c r="AX854" s="4"/>
      <c r="AY854" s="4"/>
      <c r="AZ854" s="4"/>
      <c r="BA854" s="4"/>
      <c r="BC854" s="4"/>
      <c r="BD854" s="4"/>
      <c r="BF854" s="4"/>
      <c r="BG854" s="4"/>
      <c r="BJ854" s="3"/>
      <c r="BP854" s="4"/>
      <c r="BS854" s="4"/>
      <c r="BW854" s="4"/>
      <c r="BX854" s="4"/>
    </row>
    <row r="855" spans="19:76" x14ac:dyDescent="0.25">
      <c r="S855" s="4"/>
      <c r="U855" s="4"/>
      <c r="W855"/>
      <c r="X855"/>
      <c r="AH855" s="4"/>
      <c r="AI855" s="4"/>
      <c r="AM855"/>
      <c r="AN855"/>
      <c r="AO855"/>
      <c r="AQ855"/>
      <c r="AR855"/>
      <c r="AS855"/>
      <c r="AU855"/>
      <c r="AX855" s="4"/>
      <c r="AY855" s="4"/>
      <c r="AZ855" s="4"/>
      <c r="BA855" s="4"/>
      <c r="BC855" s="4"/>
      <c r="BD855" s="4"/>
      <c r="BF855" s="4"/>
      <c r="BG855" s="4"/>
      <c r="BJ855" s="3"/>
      <c r="BP855" s="4"/>
      <c r="BS855" s="4"/>
      <c r="BW855" s="4"/>
      <c r="BX855" s="4"/>
    </row>
    <row r="856" spans="19:76" x14ac:dyDescent="0.25">
      <c r="S856" s="4"/>
      <c r="U856" s="4"/>
      <c r="W856"/>
      <c r="X856"/>
      <c r="AH856" s="4"/>
      <c r="AI856" s="4"/>
      <c r="AM856"/>
      <c r="AN856"/>
      <c r="AO856"/>
      <c r="AQ856"/>
      <c r="AR856"/>
      <c r="AS856"/>
      <c r="AU856"/>
      <c r="AX856" s="4"/>
      <c r="AY856" s="4"/>
      <c r="AZ856" s="4"/>
      <c r="BA856" s="4"/>
      <c r="BC856" s="4"/>
      <c r="BD856" s="4"/>
      <c r="BF856" s="4"/>
      <c r="BG856" s="4"/>
      <c r="BJ856" s="3"/>
      <c r="BP856" s="4"/>
      <c r="BS856" s="4"/>
      <c r="BW856" s="4"/>
      <c r="BX856" s="4"/>
    </row>
    <row r="857" spans="19:76" x14ac:dyDescent="0.25">
      <c r="S857" s="4"/>
      <c r="U857" s="4"/>
      <c r="W857"/>
      <c r="X857"/>
      <c r="AH857" s="4"/>
      <c r="AI857" s="4"/>
      <c r="AM857"/>
      <c r="AN857"/>
      <c r="AO857"/>
      <c r="AQ857"/>
      <c r="AR857"/>
      <c r="AS857"/>
      <c r="AU857"/>
      <c r="AX857" s="4"/>
      <c r="AY857" s="4"/>
      <c r="AZ857" s="4"/>
      <c r="BA857" s="4"/>
      <c r="BC857" s="4"/>
      <c r="BD857" s="4"/>
      <c r="BF857" s="4"/>
      <c r="BG857" s="4"/>
      <c r="BJ857" s="3"/>
      <c r="BP857" s="4"/>
      <c r="BS857" s="4"/>
      <c r="BW857" s="4"/>
      <c r="BX857" s="4"/>
    </row>
    <row r="858" spans="19:76" x14ac:dyDescent="0.25">
      <c r="S858" s="4"/>
      <c r="U858" s="4"/>
      <c r="W858"/>
      <c r="X858"/>
      <c r="AH858" s="4"/>
      <c r="AI858" s="4"/>
      <c r="AM858"/>
      <c r="AN858"/>
      <c r="AO858"/>
      <c r="AQ858"/>
      <c r="AR858"/>
      <c r="AS858"/>
      <c r="AU858"/>
      <c r="AX858" s="4"/>
      <c r="AY858" s="4"/>
      <c r="AZ858" s="4"/>
      <c r="BA858" s="4"/>
      <c r="BC858" s="4"/>
      <c r="BD858" s="4"/>
      <c r="BF858" s="4"/>
      <c r="BG858" s="4"/>
      <c r="BJ858" s="3"/>
      <c r="BP858" s="4"/>
      <c r="BS858" s="4"/>
      <c r="BW858" s="4"/>
      <c r="BX858" s="4"/>
    </row>
    <row r="859" spans="19:76" x14ac:dyDescent="0.25">
      <c r="S859" s="4"/>
      <c r="U859" s="4"/>
      <c r="W859"/>
      <c r="X859"/>
      <c r="AH859" s="4"/>
      <c r="AI859" s="4"/>
      <c r="AM859"/>
      <c r="AN859"/>
      <c r="AO859"/>
      <c r="AQ859"/>
      <c r="AR859"/>
      <c r="AS859"/>
      <c r="AU859"/>
      <c r="AX859" s="4"/>
      <c r="AY859" s="4"/>
      <c r="AZ859" s="4"/>
      <c r="BA859" s="4"/>
      <c r="BC859" s="4"/>
      <c r="BD859" s="4"/>
      <c r="BF859" s="4"/>
      <c r="BG859" s="4"/>
      <c r="BJ859" s="3"/>
      <c r="BP859" s="4"/>
      <c r="BS859" s="4"/>
      <c r="BW859" s="4"/>
      <c r="BX859" s="4"/>
    </row>
    <row r="860" spans="19:76" x14ac:dyDescent="0.25">
      <c r="S860" s="4"/>
      <c r="U860" s="4"/>
      <c r="W860"/>
      <c r="X860"/>
      <c r="AH860" s="4"/>
      <c r="AI860" s="4"/>
      <c r="AM860"/>
      <c r="AN860"/>
      <c r="AO860"/>
      <c r="AQ860"/>
      <c r="AR860"/>
      <c r="AS860"/>
      <c r="AU860"/>
      <c r="AX860" s="4"/>
      <c r="AY860" s="4"/>
      <c r="AZ860" s="4"/>
      <c r="BA860" s="4"/>
      <c r="BC860" s="4"/>
      <c r="BD860" s="4"/>
      <c r="BF860" s="4"/>
      <c r="BG860" s="4"/>
      <c r="BJ860" s="3"/>
      <c r="BP860" s="4"/>
      <c r="BS860" s="4"/>
      <c r="BW860" s="4"/>
      <c r="BX860" s="4"/>
    </row>
    <row r="861" spans="19:76" x14ac:dyDescent="0.25">
      <c r="S861" s="4"/>
      <c r="U861" s="4"/>
      <c r="W861"/>
      <c r="X861"/>
      <c r="AH861" s="4"/>
      <c r="AI861" s="4"/>
      <c r="AM861"/>
      <c r="AN861"/>
      <c r="AO861"/>
      <c r="AQ861"/>
      <c r="AR861"/>
      <c r="AS861"/>
      <c r="AU861"/>
      <c r="AX861" s="4"/>
      <c r="AY861" s="4"/>
      <c r="AZ861" s="4"/>
      <c r="BA861" s="4"/>
      <c r="BC861" s="4"/>
      <c r="BD861" s="4"/>
      <c r="BF861" s="4"/>
      <c r="BG861" s="4"/>
      <c r="BJ861" s="3"/>
      <c r="BP861" s="4"/>
      <c r="BS861" s="4"/>
      <c r="BW861" s="4"/>
      <c r="BX861" s="4"/>
    </row>
    <row r="862" spans="19:76" x14ac:dyDescent="0.25">
      <c r="S862" s="4"/>
      <c r="U862" s="4"/>
      <c r="W862"/>
      <c r="X862"/>
      <c r="AH862" s="4"/>
      <c r="AI862" s="4"/>
      <c r="AM862"/>
      <c r="AN862"/>
      <c r="AO862"/>
      <c r="AQ862"/>
      <c r="AR862"/>
      <c r="AS862"/>
      <c r="AU862"/>
      <c r="AX862" s="4"/>
      <c r="AY862" s="4"/>
      <c r="AZ862" s="4"/>
      <c r="BA862" s="4"/>
      <c r="BC862" s="4"/>
      <c r="BD862" s="4"/>
      <c r="BF862" s="4"/>
      <c r="BG862" s="4"/>
      <c r="BJ862" s="3"/>
      <c r="BP862" s="4"/>
      <c r="BS862" s="4"/>
      <c r="BW862" s="4"/>
      <c r="BX862" s="4"/>
    </row>
    <row r="863" spans="19:76" x14ac:dyDescent="0.25">
      <c r="S863" s="4"/>
      <c r="U863" s="4"/>
      <c r="W863"/>
      <c r="X863"/>
      <c r="AH863" s="4"/>
      <c r="AI863" s="4"/>
      <c r="AM863"/>
      <c r="AN863"/>
      <c r="AO863"/>
      <c r="AQ863"/>
      <c r="AR863"/>
      <c r="AS863"/>
      <c r="AU863"/>
      <c r="AX863" s="4"/>
      <c r="AY863" s="4"/>
      <c r="AZ863" s="4"/>
      <c r="BA863" s="4"/>
      <c r="BC863" s="4"/>
      <c r="BD863" s="4"/>
      <c r="BF863" s="4"/>
      <c r="BG863" s="4"/>
      <c r="BJ863" s="3"/>
      <c r="BP863" s="4"/>
      <c r="BS863" s="4"/>
      <c r="BW863" s="4"/>
      <c r="BX863" s="4"/>
    </row>
    <row r="864" spans="19:76" x14ac:dyDescent="0.25">
      <c r="S864" s="4"/>
      <c r="U864" s="4"/>
      <c r="W864"/>
      <c r="X864"/>
      <c r="AH864" s="4"/>
      <c r="AI864" s="4"/>
      <c r="AM864"/>
      <c r="AN864"/>
      <c r="AO864"/>
      <c r="AQ864"/>
      <c r="AR864"/>
      <c r="AS864"/>
      <c r="AU864"/>
      <c r="AX864" s="4"/>
      <c r="AY864" s="4"/>
      <c r="AZ864" s="4"/>
      <c r="BA864" s="4"/>
      <c r="BC864" s="4"/>
      <c r="BD864" s="4"/>
      <c r="BF864" s="4"/>
      <c r="BG864" s="4"/>
      <c r="BJ864" s="3"/>
      <c r="BP864" s="4"/>
      <c r="BS864" s="4"/>
      <c r="BW864" s="4"/>
      <c r="BX864" s="4"/>
    </row>
    <row r="865" spans="19:76" x14ac:dyDescent="0.25">
      <c r="S865" s="4"/>
      <c r="U865" s="4"/>
      <c r="W865"/>
      <c r="X865"/>
      <c r="AH865" s="4"/>
      <c r="AI865" s="4"/>
      <c r="AM865"/>
      <c r="AN865"/>
      <c r="AO865"/>
      <c r="AQ865"/>
      <c r="AR865"/>
      <c r="AS865"/>
      <c r="AU865"/>
      <c r="AX865" s="4"/>
      <c r="AY865" s="4"/>
      <c r="AZ865" s="4"/>
      <c r="BA865" s="4"/>
      <c r="BC865" s="4"/>
      <c r="BD865" s="4"/>
      <c r="BF865" s="4"/>
      <c r="BG865" s="4"/>
      <c r="BJ865" s="3"/>
      <c r="BP865" s="4"/>
      <c r="BS865" s="4"/>
      <c r="BW865" s="4"/>
      <c r="BX865" s="4"/>
    </row>
    <row r="866" spans="19:76" x14ac:dyDescent="0.25">
      <c r="S866" s="4"/>
      <c r="U866" s="4"/>
      <c r="W866"/>
      <c r="X866"/>
      <c r="AH866" s="4"/>
      <c r="AI866" s="4"/>
      <c r="AM866"/>
      <c r="AN866"/>
      <c r="AO866"/>
      <c r="AQ866"/>
      <c r="AR866"/>
      <c r="AS866"/>
      <c r="AU866"/>
      <c r="AX866" s="4"/>
      <c r="AY866" s="4"/>
      <c r="AZ866" s="4"/>
      <c r="BA866" s="4"/>
      <c r="BC866" s="4"/>
      <c r="BD866" s="4"/>
      <c r="BF866" s="4"/>
      <c r="BG866" s="4"/>
      <c r="BJ866" s="3"/>
      <c r="BP866" s="4"/>
      <c r="BS866" s="4"/>
      <c r="BW866" s="4"/>
      <c r="BX866" s="4"/>
    </row>
    <row r="867" spans="19:76" x14ac:dyDescent="0.25">
      <c r="S867" s="4"/>
      <c r="U867" s="4"/>
      <c r="W867"/>
      <c r="X867"/>
      <c r="AH867" s="4"/>
      <c r="AI867" s="4"/>
      <c r="AM867"/>
      <c r="AN867"/>
      <c r="AO867"/>
      <c r="AQ867"/>
      <c r="AR867"/>
      <c r="AS867"/>
      <c r="AU867"/>
      <c r="AX867" s="4"/>
      <c r="AY867" s="4"/>
      <c r="AZ867" s="4"/>
      <c r="BA867" s="4"/>
      <c r="BC867" s="4"/>
      <c r="BD867" s="4"/>
      <c r="BF867" s="4"/>
      <c r="BG867" s="4"/>
      <c r="BJ867" s="3"/>
      <c r="BP867" s="4"/>
      <c r="BS867" s="4"/>
      <c r="BW867" s="4"/>
      <c r="BX867" s="4"/>
    </row>
    <row r="868" spans="19:76" x14ac:dyDescent="0.25">
      <c r="S868" s="4"/>
      <c r="U868" s="4"/>
      <c r="W868"/>
      <c r="X868"/>
      <c r="AH868" s="4"/>
      <c r="AI868" s="4"/>
      <c r="AM868"/>
      <c r="AN868"/>
      <c r="AO868"/>
      <c r="AQ868"/>
      <c r="AR868"/>
      <c r="AS868"/>
      <c r="AU868"/>
      <c r="AX868" s="4"/>
      <c r="AY868" s="4"/>
      <c r="AZ868" s="4"/>
      <c r="BA868" s="4"/>
      <c r="BC868" s="4"/>
      <c r="BD868" s="4"/>
      <c r="BF868" s="4"/>
      <c r="BG868" s="4"/>
      <c r="BJ868" s="3"/>
      <c r="BP868" s="4"/>
      <c r="BS868" s="4"/>
      <c r="BW868" s="4"/>
      <c r="BX868" s="4"/>
    </row>
    <row r="869" spans="19:76" x14ac:dyDescent="0.25">
      <c r="S869" s="4"/>
      <c r="U869" s="4"/>
      <c r="W869"/>
      <c r="X869"/>
      <c r="AH869" s="4"/>
      <c r="AI869" s="4"/>
      <c r="AM869"/>
      <c r="AN869"/>
      <c r="AO869"/>
      <c r="AQ869"/>
      <c r="AR869"/>
      <c r="AS869"/>
      <c r="AU869"/>
      <c r="AX869" s="4"/>
      <c r="AY869" s="4"/>
      <c r="AZ869" s="4"/>
      <c r="BA869" s="4"/>
      <c r="BC869" s="4"/>
      <c r="BD869" s="4"/>
      <c r="BF869" s="4"/>
      <c r="BG869" s="4"/>
      <c r="BJ869" s="3"/>
      <c r="BP869" s="4"/>
      <c r="BS869" s="4"/>
      <c r="BW869" s="4"/>
      <c r="BX869" s="4"/>
    </row>
    <row r="870" spans="19:76" x14ac:dyDescent="0.25">
      <c r="S870" s="4"/>
      <c r="U870" s="4"/>
      <c r="W870"/>
      <c r="X870"/>
      <c r="AH870" s="4"/>
      <c r="AI870" s="4"/>
      <c r="AM870"/>
      <c r="AN870"/>
      <c r="AO870"/>
      <c r="AQ870"/>
      <c r="AR870"/>
      <c r="AS870"/>
      <c r="AU870"/>
      <c r="AX870" s="4"/>
      <c r="AY870" s="4"/>
      <c r="AZ870" s="4"/>
      <c r="BA870" s="4"/>
      <c r="BC870" s="4"/>
      <c r="BD870" s="4"/>
      <c r="BF870" s="4"/>
      <c r="BG870" s="4"/>
      <c r="BJ870" s="3"/>
      <c r="BP870" s="4"/>
      <c r="BS870" s="4"/>
      <c r="BW870" s="4"/>
      <c r="BX870" s="4"/>
    </row>
    <row r="871" spans="19:76" x14ac:dyDescent="0.25">
      <c r="S871" s="4"/>
      <c r="U871" s="4"/>
      <c r="W871"/>
      <c r="X871"/>
      <c r="AH871" s="4"/>
      <c r="AI871" s="4"/>
      <c r="AM871"/>
      <c r="AN871"/>
      <c r="AO871"/>
      <c r="AQ871"/>
      <c r="AR871"/>
      <c r="AS871"/>
      <c r="AU871"/>
      <c r="AX871" s="4"/>
      <c r="AY871" s="4"/>
      <c r="AZ871" s="4"/>
      <c r="BA871" s="4"/>
      <c r="BC871" s="4"/>
      <c r="BD871" s="4"/>
      <c r="BF871" s="4"/>
      <c r="BG871" s="4"/>
      <c r="BJ871" s="3"/>
      <c r="BP871" s="4"/>
      <c r="BS871" s="4"/>
      <c r="BW871" s="4"/>
      <c r="BX871" s="4"/>
    </row>
    <row r="872" spans="19:76" x14ac:dyDescent="0.25">
      <c r="S872" s="4"/>
      <c r="U872" s="4"/>
      <c r="W872"/>
      <c r="X872"/>
      <c r="AH872" s="4"/>
      <c r="AI872" s="4"/>
      <c r="AM872"/>
      <c r="AN872"/>
      <c r="AO872"/>
      <c r="AQ872"/>
      <c r="AR872"/>
      <c r="AS872"/>
      <c r="AU872"/>
      <c r="AX872" s="4"/>
      <c r="AY872" s="4"/>
      <c r="AZ872" s="4"/>
      <c r="BA872" s="4"/>
      <c r="BC872" s="4"/>
      <c r="BD872" s="4"/>
      <c r="BF872" s="4"/>
      <c r="BG872" s="4"/>
      <c r="BJ872" s="3"/>
      <c r="BP872" s="4"/>
      <c r="BS872" s="4"/>
      <c r="BW872" s="4"/>
      <c r="BX872" s="4"/>
    </row>
    <row r="873" spans="19:76" x14ac:dyDescent="0.25">
      <c r="S873" s="4"/>
      <c r="U873" s="4"/>
      <c r="W873"/>
      <c r="X873"/>
      <c r="AH873" s="4"/>
      <c r="AI873" s="4"/>
      <c r="AM873"/>
      <c r="AN873"/>
      <c r="AO873"/>
      <c r="AQ873"/>
      <c r="AR873"/>
      <c r="AS873"/>
      <c r="AU873"/>
      <c r="AX873" s="4"/>
      <c r="AY873" s="4"/>
      <c r="AZ873" s="4"/>
      <c r="BA873" s="4"/>
      <c r="BC873" s="4"/>
      <c r="BD873" s="4"/>
      <c r="BF873" s="4"/>
      <c r="BG873" s="4"/>
      <c r="BJ873" s="3"/>
      <c r="BP873" s="4"/>
      <c r="BS873" s="4"/>
      <c r="BW873" s="4"/>
      <c r="BX873" s="4"/>
    </row>
    <row r="874" spans="19:76" x14ac:dyDescent="0.25">
      <c r="S874" s="4"/>
      <c r="U874" s="4"/>
      <c r="W874"/>
      <c r="X874"/>
      <c r="AH874" s="4"/>
      <c r="AI874" s="4"/>
      <c r="AM874"/>
      <c r="AN874"/>
      <c r="AO874"/>
      <c r="AQ874"/>
      <c r="AR874"/>
      <c r="AS874"/>
      <c r="AU874"/>
      <c r="AX874" s="4"/>
      <c r="AY874" s="4"/>
      <c r="AZ874" s="4"/>
      <c r="BA874" s="4"/>
      <c r="BC874" s="4"/>
      <c r="BD874" s="4"/>
      <c r="BF874" s="4"/>
      <c r="BG874" s="4"/>
      <c r="BJ874" s="3"/>
      <c r="BP874" s="4"/>
      <c r="BS874" s="4"/>
      <c r="BW874" s="4"/>
      <c r="BX874" s="4"/>
    </row>
    <row r="875" spans="19:76" x14ac:dyDescent="0.25">
      <c r="S875" s="4"/>
      <c r="U875" s="4"/>
      <c r="W875"/>
      <c r="X875"/>
      <c r="AH875" s="4"/>
      <c r="AI875" s="4"/>
      <c r="AM875"/>
      <c r="AN875"/>
      <c r="AO875"/>
      <c r="AQ875"/>
      <c r="AR875"/>
      <c r="AS875"/>
      <c r="AU875"/>
      <c r="AX875" s="4"/>
      <c r="AY875" s="4"/>
      <c r="AZ875" s="4"/>
      <c r="BA875" s="4"/>
      <c r="BC875" s="4"/>
      <c r="BD875" s="4"/>
      <c r="BF875" s="4"/>
      <c r="BG875" s="4"/>
      <c r="BJ875" s="3"/>
      <c r="BP875" s="4"/>
      <c r="BS875" s="4"/>
      <c r="BW875" s="4"/>
      <c r="BX875" s="4"/>
    </row>
    <row r="876" spans="19:76" x14ac:dyDescent="0.25">
      <c r="S876" s="4"/>
      <c r="U876" s="4"/>
      <c r="W876"/>
      <c r="X876"/>
      <c r="AH876" s="4"/>
      <c r="AI876" s="4"/>
      <c r="AM876"/>
      <c r="AN876"/>
      <c r="AO876"/>
      <c r="AQ876"/>
      <c r="AR876"/>
      <c r="AS876"/>
      <c r="AU876"/>
      <c r="AX876" s="4"/>
      <c r="AY876" s="4"/>
      <c r="AZ876" s="4"/>
      <c r="BA876" s="4"/>
      <c r="BC876" s="4"/>
      <c r="BD876" s="4"/>
      <c r="BF876" s="4"/>
      <c r="BG876" s="4"/>
      <c r="BJ876" s="3"/>
      <c r="BP876" s="4"/>
      <c r="BS876" s="4"/>
      <c r="BW876" s="4"/>
      <c r="BX876" s="4"/>
    </row>
    <row r="877" spans="19:76" x14ac:dyDescent="0.25">
      <c r="S877" s="4"/>
      <c r="U877" s="4"/>
      <c r="W877"/>
      <c r="X877"/>
      <c r="AH877" s="4"/>
      <c r="AI877" s="4"/>
      <c r="AM877"/>
      <c r="AN877"/>
      <c r="AO877"/>
      <c r="AQ877"/>
      <c r="AR877"/>
      <c r="AS877"/>
      <c r="AU877"/>
      <c r="AX877" s="4"/>
      <c r="AY877" s="4"/>
      <c r="AZ877" s="4"/>
      <c r="BA877" s="4"/>
      <c r="BC877" s="4"/>
      <c r="BD877" s="4"/>
      <c r="BF877" s="4"/>
      <c r="BG877" s="4"/>
      <c r="BJ877" s="3"/>
      <c r="BP877" s="4"/>
      <c r="BS877" s="4"/>
      <c r="BW877" s="4"/>
      <c r="BX877" s="4"/>
    </row>
    <row r="878" spans="19:76" x14ac:dyDescent="0.25">
      <c r="S878" s="4"/>
      <c r="U878" s="4"/>
      <c r="W878"/>
      <c r="X878"/>
      <c r="AH878" s="4"/>
      <c r="AI878" s="4"/>
      <c r="AM878"/>
      <c r="AN878"/>
      <c r="AO878"/>
      <c r="AQ878"/>
      <c r="AR878"/>
      <c r="AS878"/>
      <c r="AU878"/>
      <c r="AX878" s="4"/>
      <c r="AY878" s="4"/>
      <c r="AZ878" s="4"/>
      <c r="BA878" s="4"/>
      <c r="BC878" s="4"/>
      <c r="BD878" s="4"/>
      <c r="BF878" s="4"/>
      <c r="BG878" s="4"/>
      <c r="BJ878" s="3"/>
      <c r="BP878" s="4"/>
      <c r="BS878" s="4"/>
      <c r="BW878" s="4"/>
      <c r="BX878" s="4"/>
    </row>
    <row r="879" spans="19:76" x14ac:dyDescent="0.25">
      <c r="S879" s="4"/>
      <c r="U879" s="4"/>
      <c r="W879"/>
      <c r="X879"/>
      <c r="AH879" s="4"/>
      <c r="AI879" s="4"/>
      <c r="AM879"/>
      <c r="AN879"/>
      <c r="AO879"/>
      <c r="AQ879"/>
      <c r="AR879"/>
      <c r="AS879"/>
      <c r="AU879"/>
      <c r="AX879" s="4"/>
      <c r="AY879" s="4"/>
      <c r="AZ879" s="4"/>
      <c r="BA879" s="4"/>
      <c r="BC879" s="4"/>
      <c r="BD879" s="4"/>
      <c r="BF879" s="4"/>
      <c r="BG879" s="4"/>
      <c r="BJ879" s="3"/>
      <c r="BP879" s="4"/>
      <c r="BS879" s="4"/>
      <c r="BW879" s="4"/>
      <c r="BX879" s="4"/>
    </row>
    <row r="880" spans="19:76" x14ac:dyDescent="0.25">
      <c r="S880" s="4"/>
      <c r="U880" s="4"/>
      <c r="W880"/>
      <c r="X880"/>
      <c r="AH880" s="4"/>
      <c r="AI880" s="4"/>
      <c r="AM880"/>
      <c r="AN880"/>
      <c r="AO880"/>
      <c r="AQ880"/>
      <c r="AR880"/>
      <c r="AS880"/>
      <c r="AU880"/>
      <c r="AX880" s="4"/>
      <c r="AY880" s="4"/>
      <c r="AZ880" s="4"/>
      <c r="BA880" s="4"/>
      <c r="BC880" s="4"/>
      <c r="BD880" s="4"/>
      <c r="BF880" s="4"/>
      <c r="BG880" s="4"/>
      <c r="BJ880" s="3"/>
      <c r="BP880" s="4"/>
      <c r="BS880" s="4"/>
      <c r="BW880" s="4"/>
      <c r="BX880" s="4"/>
    </row>
    <row r="881" spans="19:76" x14ac:dyDescent="0.25">
      <c r="S881" s="4"/>
      <c r="U881" s="4"/>
      <c r="W881"/>
      <c r="X881"/>
      <c r="AH881" s="4"/>
      <c r="AI881" s="4"/>
      <c r="AM881"/>
      <c r="AN881"/>
      <c r="AO881"/>
      <c r="AQ881"/>
      <c r="AR881"/>
      <c r="AS881"/>
      <c r="AU881"/>
      <c r="AX881" s="4"/>
      <c r="AY881" s="4"/>
      <c r="AZ881" s="4"/>
      <c r="BA881" s="4"/>
      <c r="BC881" s="4"/>
      <c r="BD881" s="4"/>
      <c r="BF881" s="4"/>
      <c r="BG881" s="4"/>
      <c r="BJ881" s="3"/>
      <c r="BP881" s="4"/>
      <c r="BS881" s="4"/>
      <c r="BW881" s="4"/>
      <c r="BX881" s="4"/>
    </row>
    <row r="882" spans="19:76" x14ac:dyDescent="0.25">
      <c r="S882" s="4"/>
      <c r="U882" s="4"/>
      <c r="W882"/>
      <c r="X882"/>
      <c r="AH882" s="4"/>
      <c r="AI882" s="4"/>
      <c r="AM882"/>
      <c r="AN882"/>
      <c r="AO882"/>
      <c r="AQ882"/>
      <c r="AR882"/>
      <c r="AS882"/>
      <c r="AU882"/>
      <c r="AX882" s="4"/>
      <c r="AY882" s="4"/>
      <c r="AZ882" s="4"/>
      <c r="BA882" s="4"/>
      <c r="BC882" s="4"/>
      <c r="BD882" s="4"/>
      <c r="BF882" s="4"/>
      <c r="BG882" s="4"/>
      <c r="BJ882" s="3"/>
      <c r="BP882" s="4"/>
      <c r="BS882" s="4"/>
      <c r="BW882" s="4"/>
      <c r="BX882" s="4"/>
    </row>
    <row r="883" spans="19:76" x14ac:dyDescent="0.25">
      <c r="S883" s="4"/>
      <c r="U883" s="4"/>
      <c r="W883"/>
      <c r="X883"/>
      <c r="AH883" s="4"/>
      <c r="AI883" s="4"/>
      <c r="AM883"/>
      <c r="AN883"/>
      <c r="AO883"/>
      <c r="AQ883"/>
      <c r="AR883"/>
      <c r="AS883"/>
      <c r="AU883"/>
      <c r="AX883" s="4"/>
      <c r="AY883" s="4"/>
      <c r="AZ883" s="4"/>
      <c r="BA883" s="4"/>
      <c r="BC883" s="4"/>
      <c r="BD883" s="4"/>
      <c r="BF883" s="4"/>
      <c r="BG883" s="4"/>
      <c r="BJ883" s="3"/>
      <c r="BP883" s="4"/>
      <c r="BS883" s="4"/>
      <c r="BW883" s="4"/>
      <c r="BX883" s="4"/>
    </row>
    <row r="884" spans="19:76" x14ac:dyDescent="0.25">
      <c r="S884" s="4"/>
      <c r="U884" s="4"/>
      <c r="W884"/>
      <c r="X884"/>
      <c r="AH884" s="4"/>
      <c r="AI884" s="4"/>
      <c r="AM884"/>
      <c r="AN884"/>
      <c r="AO884"/>
      <c r="AQ884"/>
      <c r="AR884"/>
      <c r="AS884"/>
      <c r="AU884"/>
      <c r="AX884" s="4"/>
      <c r="AY884" s="4"/>
      <c r="AZ884" s="4"/>
      <c r="BA884" s="4"/>
      <c r="BC884" s="4"/>
      <c r="BD884" s="4"/>
      <c r="BF884" s="4"/>
      <c r="BG884" s="4"/>
      <c r="BJ884" s="3"/>
      <c r="BP884" s="4"/>
      <c r="BS884" s="4"/>
      <c r="BW884" s="4"/>
      <c r="BX884" s="4"/>
    </row>
    <row r="885" spans="19:76" x14ac:dyDescent="0.25">
      <c r="S885" s="4"/>
      <c r="U885" s="4"/>
      <c r="W885"/>
      <c r="X885"/>
      <c r="AH885" s="4"/>
      <c r="AI885" s="4"/>
      <c r="AM885"/>
      <c r="AN885"/>
      <c r="AO885"/>
      <c r="AQ885"/>
      <c r="AR885"/>
      <c r="AS885"/>
      <c r="AU885"/>
      <c r="AX885" s="4"/>
      <c r="AY885" s="4"/>
      <c r="AZ885" s="4"/>
      <c r="BA885" s="4"/>
      <c r="BC885" s="4"/>
      <c r="BD885" s="4"/>
      <c r="BF885" s="4"/>
      <c r="BG885" s="4"/>
      <c r="BJ885" s="3"/>
      <c r="BP885" s="4"/>
      <c r="BS885" s="4"/>
      <c r="BW885" s="4"/>
      <c r="BX885" s="4"/>
    </row>
    <row r="886" spans="19:76" x14ac:dyDescent="0.25">
      <c r="S886" s="4"/>
      <c r="U886" s="4"/>
      <c r="W886"/>
      <c r="X886"/>
      <c r="AH886" s="4"/>
      <c r="AI886" s="4"/>
      <c r="AM886"/>
      <c r="AN886"/>
      <c r="AO886"/>
      <c r="AQ886"/>
      <c r="AR886"/>
      <c r="AS886"/>
      <c r="AU886"/>
      <c r="AX886" s="4"/>
      <c r="AY886" s="4"/>
      <c r="AZ886" s="4"/>
      <c r="BA886" s="4"/>
      <c r="BC886" s="4"/>
      <c r="BD886" s="4"/>
      <c r="BF886" s="4"/>
      <c r="BG886" s="4"/>
      <c r="BJ886" s="3"/>
      <c r="BP886" s="4"/>
      <c r="BS886" s="4"/>
      <c r="BW886" s="4"/>
      <c r="BX886" s="4"/>
    </row>
    <row r="887" spans="19:76" x14ac:dyDescent="0.25">
      <c r="S887" s="4"/>
      <c r="U887" s="4"/>
      <c r="W887"/>
      <c r="X887"/>
      <c r="AH887" s="4"/>
      <c r="AI887" s="4"/>
      <c r="AM887"/>
      <c r="AN887"/>
      <c r="AO887"/>
      <c r="AQ887"/>
      <c r="AR887"/>
      <c r="AS887"/>
      <c r="AU887"/>
      <c r="AX887" s="4"/>
      <c r="AY887" s="4"/>
      <c r="AZ887" s="4"/>
      <c r="BA887" s="4"/>
      <c r="BC887" s="4"/>
      <c r="BD887" s="4"/>
      <c r="BF887" s="4"/>
      <c r="BG887" s="4"/>
      <c r="BJ887" s="3"/>
      <c r="BP887" s="4"/>
      <c r="BS887" s="4"/>
      <c r="BW887" s="4"/>
      <c r="BX887" s="4"/>
    </row>
    <row r="888" spans="19:76" x14ac:dyDescent="0.25">
      <c r="S888" s="4"/>
      <c r="U888" s="4"/>
      <c r="W888"/>
      <c r="X888"/>
      <c r="AH888" s="4"/>
      <c r="AI888" s="4"/>
      <c r="AM888"/>
      <c r="AN888"/>
      <c r="AO888"/>
      <c r="AQ888"/>
      <c r="AR888"/>
      <c r="AS888"/>
      <c r="AU888"/>
      <c r="AX888" s="4"/>
      <c r="AY888" s="4"/>
      <c r="AZ888" s="4"/>
      <c r="BA888" s="4"/>
      <c r="BC888" s="4"/>
      <c r="BD888" s="4"/>
      <c r="BF888" s="4"/>
      <c r="BG888" s="4"/>
      <c r="BJ888" s="3"/>
      <c r="BP888" s="4"/>
      <c r="BS888" s="4"/>
      <c r="BW888" s="4"/>
      <c r="BX888" s="4"/>
    </row>
    <row r="889" spans="19:76" x14ac:dyDescent="0.25">
      <c r="S889" s="4"/>
      <c r="U889" s="4"/>
      <c r="W889"/>
      <c r="X889"/>
      <c r="AH889" s="4"/>
      <c r="AI889" s="4"/>
      <c r="AM889"/>
      <c r="AN889"/>
      <c r="AO889"/>
      <c r="AQ889"/>
      <c r="AR889"/>
      <c r="AS889"/>
      <c r="AU889"/>
      <c r="AX889" s="4"/>
      <c r="AY889" s="4"/>
      <c r="AZ889" s="4"/>
      <c r="BA889" s="4"/>
      <c r="BC889" s="4"/>
      <c r="BD889" s="4"/>
      <c r="BF889" s="4"/>
      <c r="BG889" s="4"/>
      <c r="BJ889" s="3"/>
      <c r="BP889" s="4"/>
      <c r="BS889" s="4"/>
      <c r="BW889" s="4"/>
      <c r="BX889" s="4"/>
    </row>
    <row r="890" spans="19:76" x14ac:dyDescent="0.25">
      <c r="S890" s="4"/>
      <c r="U890" s="4"/>
      <c r="W890"/>
      <c r="X890"/>
      <c r="AH890" s="4"/>
      <c r="AI890" s="4"/>
      <c r="AM890"/>
      <c r="AN890"/>
      <c r="AO890"/>
      <c r="AQ890"/>
      <c r="AR890"/>
      <c r="AS890"/>
      <c r="AU890"/>
      <c r="AX890" s="4"/>
      <c r="AY890" s="4"/>
      <c r="AZ890" s="4"/>
      <c r="BA890" s="4"/>
      <c r="BC890" s="4"/>
      <c r="BD890" s="4"/>
      <c r="BF890" s="4"/>
      <c r="BG890" s="4"/>
      <c r="BJ890" s="3"/>
      <c r="BP890" s="4"/>
      <c r="BS890" s="4"/>
      <c r="BW890" s="4"/>
      <c r="BX890" s="4"/>
    </row>
    <row r="891" spans="19:76" x14ac:dyDescent="0.25">
      <c r="S891" s="4"/>
      <c r="U891" s="4"/>
      <c r="W891"/>
      <c r="X891"/>
      <c r="AH891" s="4"/>
      <c r="AI891" s="4"/>
      <c r="AM891"/>
      <c r="AN891"/>
      <c r="AO891"/>
      <c r="AQ891"/>
      <c r="AR891"/>
      <c r="AS891"/>
      <c r="AU891"/>
      <c r="AX891" s="4"/>
      <c r="AY891" s="4"/>
      <c r="AZ891" s="4"/>
      <c r="BA891" s="4"/>
      <c r="BC891" s="4"/>
      <c r="BD891" s="4"/>
      <c r="BF891" s="4"/>
      <c r="BG891" s="4"/>
      <c r="BJ891" s="3"/>
      <c r="BP891" s="4"/>
      <c r="BS891" s="4"/>
      <c r="BW891" s="4"/>
      <c r="BX891" s="4"/>
    </row>
    <row r="892" spans="19:76" x14ac:dyDescent="0.25">
      <c r="S892" s="4"/>
      <c r="U892" s="4"/>
      <c r="W892"/>
      <c r="X892"/>
      <c r="AH892" s="4"/>
      <c r="AI892" s="4"/>
      <c r="AM892"/>
      <c r="AN892"/>
      <c r="AO892"/>
      <c r="AQ892"/>
      <c r="AR892"/>
      <c r="AS892"/>
      <c r="AU892"/>
      <c r="AX892" s="4"/>
      <c r="AY892" s="4"/>
      <c r="AZ892" s="4"/>
      <c r="BA892" s="4"/>
      <c r="BC892" s="4"/>
      <c r="BD892" s="4"/>
      <c r="BF892" s="4"/>
      <c r="BG892" s="4"/>
      <c r="BJ892" s="3"/>
      <c r="BP892" s="4"/>
      <c r="BS892" s="4"/>
      <c r="BW892" s="4"/>
      <c r="BX892" s="4"/>
    </row>
    <row r="893" spans="19:76" x14ac:dyDescent="0.25">
      <c r="S893" s="4"/>
      <c r="U893" s="4"/>
      <c r="W893"/>
      <c r="X893"/>
      <c r="AH893" s="4"/>
      <c r="AI893" s="4"/>
      <c r="AM893"/>
      <c r="AN893"/>
      <c r="AO893"/>
      <c r="AQ893"/>
      <c r="AR893"/>
      <c r="AS893"/>
      <c r="AU893"/>
      <c r="AX893" s="4"/>
      <c r="AY893" s="4"/>
      <c r="AZ893" s="4"/>
      <c r="BA893" s="4"/>
      <c r="BC893" s="4"/>
      <c r="BD893" s="4"/>
      <c r="BF893" s="4"/>
      <c r="BG893" s="4"/>
      <c r="BJ893" s="3"/>
      <c r="BP893" s="4"/>
      <c r="BS893" s="4"/>
      <c r="BW893" s="4"/>
      <c r="BX893" s="4"/>
    </row>
    <row r="894" spans="19:76" x14ac:dyDescent="0.25">
      <c r="S894" s="4"/>
      <c r="U894" s="4"/>
      <c r="W894"/>
      <c r="X894"/>
      <c r="AH894" s="4"/>
      <c r="AI894" s="4"/>
      <c r="AM894"/>
      <c r="AN894"/>
      <c r="AO894"/>
      <c r="AQ894"/>
      <c r="AR894"/>
      <c r="AS894"/>
      <c r="AU894"/>
      <c r="AX894" s="4"/>
      <c r="AY894" s="4"/>
      <c r="AZ894" s="4"/>
      <c r="BA894" s="4"/>
      <c r="BC894" s="4"/>
      <c r="BD894" s="4"/>
      <c r="BF894" s="4"/>
      <c r="BG894" s="4"/>
      <c r="BJ894" s="3"/>
      <c r="BP894" s="4"/>
      <c r="BS894" s="4"/>
      <c r="BW894" s="4"/>
      <c r="BX894" s="4"/>
    </row>
    <row r="895" spans="19:76" x14ac:dyDescent="0.25">
      <c r="S895" s="4"/>
      <c r="U895" s="4"/>
      <c r="W895"/>
      <c r="X895"/>
      <c r="AH895" s="4"/>
      <c r="AI895" s="4"/>
      <c r="AM895"/>
      <c r="AN895"/>
      <c r="AO895"/>
      <c r="AQ895"/>
      <c r="AR895"/>
      <c r="AS895"/>
      <c r="AU895"/>
      <c r="AX895" s="4"/>
      <c r="AY895" s="4"/>
      <c r="AZ895" s="4"/>
      <c r="BA895" s="4"/>
      <c r="BC895" s="4"/>
      <c r="BD895" s="4"/>
      <c r="BF895" s="4"/>
      <c r="BG895" s="4"/>
      <c r="BJ895" s="3"/>
      <c r="BP895" s="4"/>
      <c r="BS895" s="4"/>
      <c r="BW895" s="4"/>
      <c r="BX895" s="4"/>
    </row>
    <row r="896" spans="19:76" x14ac:dyDescent="0.25">
      <c r="S896" s="4"/>
      <c r="U896" s="4"/>
      <c r="W896"/>
      <c r="X896"/>
      <c r="AH896" s="4"/>
      <c r="AI896" s="4"/>
      <c r="AM896"/>
      <c r="AN896"/>
      <c r="AO896"/>
      <c r="AQ896"/>
      <c r="AR896"/>
      <c r="AS896"/>
      <c r="AU896"/>
      <c r="AX896" s="4"/>
      <c r="AY896" s="4"/>
      <c r="AZ896" s="4"/>
      <c r="BA896" s="4"/>
      <c r="BC896" s="4"/>
      <c r="BD896" s="4"/>
      <c r="BF896" s="4"/>
      <c r="BG896" s="4"/>
      <c r="BJ896" s="3"/>
      <c r="BP896" s="4"/>
      <c r="BS896" s="4"/>
      <c r="BW896" s="4"/>
      <c r="BX896" s="4"/>
    </row>
    <row r="897" spans="19:76" x14ac:dyDescent="0.25">
      <c r="S897" s="4"/>
      <c r="U897" s="4"/>
      <c r="W897"/>
      <c r="X897"/>
      <c r="AH897" s="4"/>
      <c r="AI897" s="4"/>
      <c r="AM897"/>
      <c r="AN897"/>
      <c r="AO897"/>
      <c r="AQ897"/>
      <c r="AR897"/>
      <c r="AS897"/>
      <c r="AU897"/>
      <c r="AX897" s="4"/>
      <c r="AY897" s="4"/>
      <c r="AZ897" s="4"/>
      <c r="BA897" s="4"/>
      <c r="BC897" s="4"/>
      <c r="BD897" s="4"/>
      <c r="BF897" s="4"/>
      <c r="BG897" s="4"/>
      <c r="BJ897" s="3"/>
      <c r="BP897" s="4"/>
      <c r="BS897" s="4"/>
      <c r="BW897" s="4"/>
      <c r="BX897" s="4"/>
    </row>
    <row r="898" spans="19:76" x14ac:dyDescent="0.25">
      <c r="S898" s="4"/>
      <c r="U898" s="4"/>
      <c r="W898"/>
      <c r="X898"/>
      <c r="AH898" s="4"/>
      <c r="AI898" s="4"/>
      <c r="AM898"/>
      <c r="AN898"/>
      <c r="AO898"/>
      <c r="AQ898"/>
      <c r="AR898"/>
      <c r="AS898"/>
      <c r="AU898"/>
      <c r="AX898" s="4"/>
      <c r="AY898" s="4"/>
      <c r="AZ898" s="4"/>
      <c r="BA898" s="4"/>
      <c r="BC898" s="4"/>
      <c r="BD898" s="4"/>
      <c r="BF898" s="4"/>
      <c r="BG898" s="4"/>
      <c r="BJ898" s="3"/>
      <c r="BP898" s="4"/>
      <c r="BS898" s="4"/>
      <c r="BW898" s="4"/>
      <c r="BX898" s="4"/>
    </row>
    <row r="899" spans="19:76" x14ac:dyDescent="0.25">
      <c r="S899" s="4"/>
      <c r="U899" s="4"/>
      <c r="W899"/>
      <c r="X899"/>
      <c r="AI899" s="4"/>
      <c r="AJ899" s="4"/>
      <c r="AK899" s="4"/>
      <c r="AM899"/>
      <c r="AN899"/>
      <c r="AO899"/>
      <c r="AQ899"/>
      <c r="AR899"/>
      <c r="AS899"/>
      <c r="AT899"/>
      <c r="AU899"/>
      <c r="AW899"/>
      <c r="AX899" s="4"/>
      <c r="AY899" s="4"/>
      <c r="AZ899" s="4"/>
      <c r="BA899" s="4"/>
      <c r="BB899" s="4"/>
      <c r="BC899" s="4"/>
      <c r="BE899" s="4"/>
      <c r="BF899" s="4"/>
      <c r="BI899" s="4"/>
      <c r="BK899"/>
      <c r="BL899" s="3"/>
      <c r="BP899" s="4"/>
      <c r="BS899" s="4"/>
      <c r="BW899" s="4"/>
      <c r="BX899" s="4"/>
    </row>
    <row r="900" spans="19:76" x14ac:dyDescent="0.25">
      <c r="S900" s="4"/>
      <c r="U900" s="4"/>
      <c r="W900"/>
      <c r="X900"/>
      <c r="AI900" s="4"/>
      <c r="AJ900" s="4"/>
      <c r="AK900" s="4"/>
      <c r="AM900"/>
      <c r="AN900"/>
      <c r="AO900"/>
      <c r="AQ900"/>
      <c r="AR900"/>
      <c r="AS900"/>
      <c r="AT900"/>
      <c r="AU900"/>
      <c r="AW900"/>
      <c r="AX900" s="4"/>
      <c r="AY900" s="4"/>
      <c r="AZ900" s="4"/>
      <c r="BA900" s="4"/>
      <c r="BB900" s="4"/>
      <c r="BC900" s="4"/>
      <c r="BE900" s="4"/>
      <c r="BF900" s="4"/>
      <c r="BI900" s="4"/>
      <c r="BK900"/>
      <c r="BL900" s="3"/>
      <c r="BP900" s="4"/>
      <c r="BS900" s="4"/>
      <c r="BW900" s="4"/>
      <c r="BX900" s="4"/>
    </row>
    <row r="901" spans="19:76" x14ac:dyDescent="0.25">
      <c r="S901" s="4"/>
      <c r="U901" s="4"/>
      <c r="W901"/>
      <c r="X901"/>
      <c r="AI901" s="4"/>
      <c r="AJ901" s="4"/>
      <c r="AK901" s="4"/>
      <c r="AM901"/>
      <c r="AN901"/>
      <c r="AO901"/>
      <c r="AQ901"/>
      <c r="AR901"/>
      <c r="AS901"/>
      <c r="AT901"/>
      <c r="AU901"/>
      <c r="AW901"/>
      <c r="AX901" s="4"/>
      <c r="AY901" s="4"/>
      <c r="AZ901" s="4"/>
      <c r="BA901" s="4"/>
      <c r="BB901" s="4"/>
      <c r="BC901" s="4"/>
      <c r="BE901" s="4"/>
      <c r="BF901" s="4"/>
      <c r="BI901" s="4"/>
      <c r="BK901"/>
      <c r="BL901" s="3"/>
      <c r="BP901" s="4"/>
      <c r="BS901" s="4"/>
      <c r="BW901" s="4"/>
      <c r="BX901" s="4"/>
    </row>
    <row r="902" spans="19:76" x14ac:dyDescent="0.25">
      <c r="S902" s="4"/>
      <c r="U902" s="4"/>
      <c r="W902"/>
      <c r="X902"/>
      <c r="AI902" s="4"/>
      <c r="AJ902" s="4"/>
      <c r="AK902" s="4"/>
      <c r="AM902"/>
      <c r="AN902"/>
      <c r="AO902"/>
      <c r="AQ902"/>
      <c r="AR902"/>
      <c r="AS902"/>
      <c r="AT902"/>
      <c r="AU902"/>
      <c r="AW902"/>
      <c r="AX902" s="4"/>
      <c r="AY902" s="4"/>
      <c r="AZ902" s="4"/>
      <c r="BA902" s="4"/>
      <c r="BB902" s="4"/>
      <c r="BC902" s="4"/>
      <c r="BE902" s="4"/>
      <c r="BF902" s="4"/>
      <c r="BI902" s="4"/>
      <c r="BK902"/>
      <c r="BL902" s="3"/>
      <c r="BP902" s="4"/>
      <c r="BS902" s="4"/>
      <c r="BW902" s="4"/>
      <c r="BX902" s="4"/>
    </row>
    <row r="903" spans="19:76" x14ac:dyDescent="0.25">
      <c r="S903" s="4"/>
      <c r="U903" s="4"/>
      <c r="W903"/>
      <c r="X903"/>
      <c r="AI903" s="4"/>
      <c r="AJ903" s="4"/>
      <c r="AK903" s="4"/>
      <c r="AM903"/>
      <c r="AN903"/>
      <c r="AO903"/>
      <c r="AQ903"/>
      <c r="AR903"/>
      <c r="AS903"/>
      <c r="AT903"/>
      <c r="AU903"/>
      <c r="AW903"/>
      <c r="AX903" s="4"/>
      <c r="AY903" s="4"/>
      <c r="AZ903" s="4"/>
      <c r="BA903" s="4"/>
      <c r="BB903" s="4"/>
      <c r="BC903" s="4"/>
      <c r="BE903" s="4"/>
      <c r="BF903" s="4"/>
      <c r="BI903" s="4"/>
      <c r="BK903"/>
      <c r="BL903" s="3"/>
      <c r="BP903" s="4"/>
      <c r="BS903" s="4"/>
      <c r="BW903" s="4"/>
      <c r="BX903" s="4"/>
    </row>
    <row r="904" spans="19:76" x14ac:dyDescent="0.25">
      <c r="S904" s="4"/>
      <c r="U904" s="4"/>
      <c r="W904"/>
      <c r="X904"/>
      <c r="AI904" s="4"/>
      <c r="AJ904" s="4"/>
      <c r="AK904" s="4"/>
      <c r="AM904"/>
      <c r="AN904"/>
      <c r="AO904"/>
      <c r="AQ904"/>
      <c r="AR904"/>
      <c r="AS904"/>
      <c r="AT904"/>
      <c r="AU904"/>
      <c r="AW904"/>
      <c r="AX904" s="4"/>
      <c r="AY904" s="4"/>
      <c r="AZ904" s="4"/>
      <c r="BA904" s="4"/>
      <c r="BB904" s="4"/>
      <c r="BC904" s="4"/>
      <c r="BE904" s="4"/>
      <c r="BF904" s="4"/>
      <c r="BI904" s="4"/>
      <c r="BK904"/>
      <c r="BL904" s="3"/>
      <c r="BP904" s="4"/>
      <c r="BS904" s="4"/>
      <c r="BW904" s="4"/>
      <c r="BX904" s="4"/>
    </row>
    <row r="905" spans="19:76" x14ac:dyDescent="0.25">
      <c r="U905" s="4"/>
      <c r="X905"/>
      <c r="AJ905" s="4"/>
      <c r="AK905" s="4"/>
      <c r="AL905" s="4"/>
      <c r="AM905"/>
      <c r="AN905"/>
      <c r="AO905"/>
      <c r="AQ905"/>
      <c r="AR905"/>
      <c r="AS905"/>
      <c r="AT905"/>
      <c r="AU905"/>
      <c r="AV905"/>
      <c r="AY905" s="4"/>
      <c r="AZ905" s="4"/>
      <c r="BA905" s="4"/>
      <c r="BB905" s="4"/>
      <c r="BC905" s="4"/>
      <c r="BD905" s="4"/>
      <c r="BF905" s="4"/>
      <c r="BG905" s="4"/>
      <c r="BH905"/>
      <c r="BI905" s="4"/>
      <c r="BL905"/>
      <c r="BM905" s="3"/>
      <c r="BP905" s="4"/>
      <c r="BS905" s="4"/>
      <c r="BW905" s="4"/>
      <c r="BX905" s="4"/>
    </row>
    <row r="906" spans="19:76" x14ac:dyDescent="0.25">
      <c r="U906" s="4"/>
      <c r="X906"/>
      <c r="AJ906" s="4"/>
      <c r="AK906" s="4"/>
      <c r="AL906" s="4"/>
      <c r="AM906"/>
      <c r="AN906"/>
      <c r="AO906"/>
      <c r="AQ906"/>
      <c r="AR906"/>
      <c r="AS906"/>
      <c r="AT906"/>
      <c r="AU906"/>
      <c r="AV906"/>
      <c r="AY906" s="4"/>
      <c r="AZ906" s="4"/>
      <c r="BA906" s="4"/>
      <c r="BB906" s="4"/>
      <c r="BC906" s="4"/>
      <c r="BD906" s="4"/>
      <c r="BF906" s="4"/>
      <c r="BG906" s="4"/>
      <c r="BH906"/>
      <c r="BI906" s="4"/>
      <c r="BL906"/>
      <c r="BM906" s="3"/>
      <c r="BP906" s="4"/>
      <c r="BS906" s="4"/>
      <c r="BW906" s="4"/>
      <c r="BX906" s="4"/>
    </row>
    <row r="907" spans="19:76" x14ac:dyDescent="0.25">
      <c r="U907" s="4"/>
      <c r="X907"/>
      <c r="AJ907" s="4"/>
      <c r="AK907" s="4"/>
      <c r="AL907" s="4"/>
      <c r="AM907"/>
      <c r="AN907"/>
      <c r="AO907"/>
      <c r="AQ907"/>
      <c r="AR907"/>
      <c r="AS907"/>
      <c r="AT907"/>
      <c r="AU907"/>
      <c r="AV907"/>
      <c r="AY907" s="4"/>
      <c r="AZ907" s="4"/>
      <c r="BA907" s="4"/>
      <c r="BB907" s="4"/>
      <c r="BC907" s="4"/>
      <c r="BD907" s="4"/>
      <c r="BF907" s="4"/>
      <c r="BG907" s="4"/>
      <c r="BH907"/>
      <c r="BI907" s="4"/>
      <c r="BL907"/>
      <c r="BM907" s="3"/>
      <c r="BP907" s="4"/>
      <c r="BS907" s="4"/>
      <c r="BW907" s="4"/>
      <c r="BX907" s="4"/>
    </row>
    <row r="908" spans="19:76" x14ac:dyDescent="0.25">
      <c r="U908" s="4"/>
      <c r="X908"/>
      <c r="AJ908" s="4"/>
      <c r="AK908" s="4"/>
      <c r="AL908" s="4"/>
      <c r="AM908"/>
      <c r="AN908"/>
      <c r="AO908"/>
      <c r="AQ908"/>
      <c r="AR908"/>
      <c r="AS908"/>
      <c r="AT908"/>
      <c r="AU908"/>
      <c r="AV908"/>
      <c r="AY908" s="4"/>
      <c r="AZ908" s="4"/>
      <c r="BA908" s="4"/>
      <c r="BB908" s="4"/>
      <c r="BC908" s="4"/>
      <c r="BD908" s="4"/>
      <c r="BF908" s="4"/>
      <c r="BG908" s="4"/>
      <c r="BH908"/>
      <c r="BI908" s="4"/>
      <c r="BL908"/>
      <c r="BM908" s="3"/>
      <c r="BP908" s="4"/>
      <c r="BS908" s="4"/>
      <c r="BW908" s="4"/>
      <c r="BX908" s="4"/>
    </row>
    <row r="909" spans="19:76" x14ac:dyDescent="0.25">
      <c r="U909" s="4"/>
      <c r="X909"/>
      <c r="AJ909" s="4"/>
      <c r="AK909" s="4"/>
      <c r="AL909" s="4"/>
      <c r="AM909"/>
      <c r="AN909"/>
      <c r="AO909"/>
      <c r="AQ909"/>
      <c r="AR909"/>
      <c r="AS909"/>
      <c r="AT909"/>
      <c r="AU909"/>
      <c r="AV909"/>
      <c r="AY909" s="4"/>
      <c r="AZ909" s="4"/>
      <c r="BA909" s="4"/>
      <c r="BB909" s="4"/>
      <c r="BC909" s="4"/>
      <c r="BD909" s="4"/>
      <c r="BF909" s="4"/>
      <c r="BG909" s="4"/>
      <c r="BH909"/>
      <c r="BI909" s="4"/>
      <c r="BL909"/>
      <c r="BM909" s="3"/>
      <c r="BP909" s="4"/>
      <c r="BS909" s="4"/>
      <c r="BW909" s="4"/>
      <c r="BX909" s="4"/>
    </row>
    <row r="910" spans="19:76" x14ac:dyDescent="0.25">
      <c r="U910" s="4"/>
      <c r="X910"/>
      <c r="AJ910" s="4"/>
      <c r="AK910" s="4"/>
      <c r="AL910" s="4"/>
      <c r="AM910"/>
      <c r="AN910"/>
      <c r="AO910"/>
      <c r="AQ910"/>
      <c r="AR910"/>
      <c r="AS910"/>
      <c r="AT910"/>
      <c r="AU910"/>
      <c r="AV910"/>
      <c r="AY910" s="4"/>
      <c r="AZ910" s="4"/>
      <c r="BA910" s="4"/>
      <c r="BB910" s="4"/>
      <c r="BC910" s="4"/>
      <c r="BD910" s="4"/>
      <c r="BF910" s="4"/>
      <c r="BG910" s="4"/>
      <c r="BH910"/>
      <c r="BI910" s="4"/>
      <c r="BL910"/>
      <c r="BM910" s="3"/>
      <c r="BP910" s="4"/>
      <c r="BS910" s="4"/>
      <c r="BW910" s="4"/>
      <c r="BX910" s="4"/>
    </row>
    <row r="911" spans="19:76" x14ac:dyDescent="0.25">
      <c r="U911" s="4"/>
      <c r="X911"/>
      <c r="AJ911" s="4"/>
      <c r="AK911" s="4"/>
      <c r="AL911" s="4"/>
      <c r="AM911"/>
      <c r="AN911"/>
      <c r="AO911"/>
      <c r="AQ911"/>
      <c r="AR911"/>
      <c r="AS911"/>
      <c r="AT911"/>
      <c r="AU911"/>
      <c r="AV911"/>
      <c r="AY911" s="4"/>
      <c r="AZ911" s="4"/>
      <c r="BA911" s="4"/>
      <c r="BB911" s="4"/>
      <c r="BC911" s="4"/>
      <c r="BD911" s="4"/>
      <c r="BF911" s="4"/>
      <c r="BG911" s="4"/>
      <c r="BH911"/>
      <c r="BI911" s="4"/>
      <c r="BL911"/>
      <c r="BM911" s="3"/>
      <c r="BP911" s="4"/>
      <c r="BS911" s="4"/>
      <c r="BW911" s="4"/>
      <c r="BX911" s="4"/>
    </row>
    <row r="912" spans="19:76" x14ac:dyDescent="0.25">
      <c r="U912" s="4"/>
      <c r="X912"/>
      <c r="AJ912" s="4"/>
      <c r="AK912" s="4"/>
      <c r="AL912" s="4"/>
      <c r="AM912"/>
      <c r="AN912"/>
      <c r="AO912"/>
      <c r="AQ912"/>
      <c r="AR912"/>
      <c r="AS912"/>
      <c r="AT912"/>
      <c r="AU912"/>
      <c r="AV912"/>
      <c r="AY912" s="4"/>
      <c r="AZ912" s="4"/>
      <c r="BA912" s="4"/>
      <c r="BB912" s="4"/>
      <c r="BC912" s="4"/>
      <c r="BD912" s="4"/>
      <c r="BF912" s="4"/>
      <c r="BG912" s="4"/>
      <c r="BH912"/>
      <c r="BI912" s="4"/>
      <c r="BL912"/>
      <c r="BM912" s="3"/>
      <c r="BP912" s="4"/>
      <c r="BS912" s="4"/>
      <c r="BW912" s="4"/>
      <c r="BX912" s="4"/>
    </row>
    <row r="913" spans="21:76" x14ac:dyDescent="0.25">
      <c r="U913" s="4"/>
      <c r="X913"/>
      <c r="AJ913" s="4"/>
      <c r="AK913" s="4"/>
      <c r="AL913" s="4"/>
      <c r="AM913"/>
      <c r="AN913"/>
      <c r="AO913"/>
      <c r="AQ913"/>
      <c r="AR913"/>
      <c r="AS913"/>
      <c r="AT913"/>
      <c r="AU913"/>
      <c r="AV913"/>
      <c r="AY913" s="4"/>
      <c r="AZ913" s="4"/>
      <c r="BA913" s="4"/>
      <c r="BB913" s="4"/>
      <c r="BC913" s="4"/>
      <c r="BD913" s="4"/>
      <c r="BF913" s="4"/>
      <c r="BG913" s="4"/>
      <c r="BH913"/>
      <c r="BI913" s="4"/>
      <c r="BL913"/>
      <c r="BM913" s="3"/>
      <c r="BP913" s="4"/>
      <c r="BS913" s="4"/>
      <c r="BW913" s="4"/>
      <c r="BX913" s="4"/>
    </row>
    <row r="914" spans="21:76" x14ac:dyDescent="0.25">
      <c r="U914" s="4"/>
      <c r="X914"/>
      <c r="AJ914" s="4"/>
      <c r="AK914" s="4"/>
      <c r="AL914" s="4"/>
      <c r="AM914"/>
      <c r="AN914"/>
      <c r="AO914"/>
      <c r="AQ914"/>
      <c r="AR914"/>
      <c r="AS914"/>
      <c r="AT914"/>
      <c r="AU914"/>
      <c r="AV914"/>
      <c r="AY914" s="4"/>
      <c r="AZ914" s="4"/>
      <c r="BA914" s="4"/>
      <c r="BB914" s="4"/>
      <c r="BC914" s="4"/>
      <c r="BD914" s="4"/>
      <c r="BF914" s="4"/>
      <c r="BG914" s="4"/>
      <c r="BH914"/>
      <c r="BI914" s="4"/>
      <c r="BL914"/>
      <c r="BM914" s="3"/>
      <c r="BP914" s="4"/>
      <c r="BS914" s="4"/>
      <c r="BW914" s="4"/>
      <c r="BX914" s="4"/>
    </row>
    <row r="915" spans="21:76" x14ac:dyDescent="0.25">
      <c r="U915" s="4"/>
      <c r="X915"/>
      <c r="AJ915" s="4"/>
      <c r="AK915" s="4"/>
      <c r="AL915" s="4"/>
      <c r="AM915"/>
      <c r="AN915"/>
      <c r="AO915"/>
      <c r="AQ915"/>
      <c r="AR915"/>
      <c r="AS915"/>
      <c r="AT915"/>
      <c r="AU915"/>
      <c r="AV915"/>
      <c r="AY915" s="4"/>
      <c r="AZ915" s="4"/>
      <c r="BA915" s="4"/>
      <c r="BB915" s="4"/>
      <c r="BC915" s="4"/>
      <c r="BD915" s="4"/>
      <c r="BF915" s="4"/>
      <c r="BG915" s="4"/>
      <c r="BH915"/>
      <c r="BI915" s="4"/>
      <c r="BL915"/>
      <c r="BM915" s="3"/>
      <c r="BP915" s="4"/>
      <c r="BS915" s="4"/>
      <c r="BW915" s="4"/>
      <c r="BX915" s="4"/>
    </row>
    <row r="916" spans="21:76" x14ac:dyDescent="0.25">
      <c r="U916" s="4"/>
      <c r="X916"/>
      <c r="AJ916" s="4"/>
      <c r="AK916" s="4"/>
      <c r="AL916" s="4"/>
      <c r="AM916"/>
      <c r="AN916"/>
      <c r="AO916"/>
      <c r="AQ916"/>
      <c r="AR916"/>
      <c r="AS916"/>
      <c r="AT916"/>
      <c r="AU916"/>
      <c r="AV916"/>
      <c r="AY916" s="4"/>
      <c r="AZ916" s="4"/>
      <c r="BA916" s="4"/>
      <c r="BB916" s="4"/>
      <c r="BC916" s="4"/>
      <c r="BD916" s="4"/>
      <c r="BF916" s="4"/>
      <c r="BG916" s="4"/>
      <c r="BH916"/>
      <c r="BI916" s="4"/>
      <c r="BL916"/>
      <c r="BM916" s="3"/>
      <c r="BP916" s="4"/>
      <c r="BS916" s="4"/>
      <c r="BW916" s="4"/>
      <c r="BX916" s="4"/>
    </row>
    <row r="917" spans="21:76" x14ac:dyDescent="0.25">
      <c r="U917" s="4"/>
      <c r="X917"/>
      <c r="AJ917" s="4"/>
      <c r="AK917" s="4"/>
      <c r="AL917" s="4"/>
      <c r="AM917"/>
      <c r="AN917"/>
      <c r="AO917"/>
      <c r="AQ917"/>
      <c r="AR917"/>
      <c r="AS917"/>
      <c r="AT917"/>
      <c r="AU917"/>
      <c r="AV917"/>
      <c r="AY917" s="4"/>
      <c r="AZ917" s="4"/>
      <c r="BA917" s="4"/>
      <c r="BB917" s="4"/>
      <c r="BC917" s="4"/>
      <c r="BD917" s="4"/>
      <c r="BF917" s="4"/>
      <c r="BG917" s="4"/>
      <c r="BH917"/>
      <c r="BI917" s="4"/>
      <c r="BL917"/>
      <c r="BM917" s="3"/>
      <c r="BP917" s="4"/>
      <c r="BS917" s="4"/>
      <c r="BW917" s="4"/>
      <c r="BX917" s="4"/>
    </row>
    <row r="918" spans="21:76" x14ac:dyDescent="0.25">
      <c r="U918" s="4"/>
      <c r="X918"/>
      <c r="AJ918" s="4"/>
      <c r="AK918" s="4"/>
      <c r="AL918" s="4"/>
      <c r="AP918" s="4"/>
      <c r="AQ918"/>
      <c r="AR918"/>
      <c r="AS918"/>
      <c r="AT918"/>
      <c r="AU918"/>
      <c r="AV918"/>
      <c r="AW918"/>
      <c r="BA918" s="4"/>
      <c r="BC918" s="4"/>
      <c r="BD918" s="4"/>
      <c r="BE918" s="4"/>
      <c r="BF918" s="4"/>
      <c r="BG918" s="4"/>
      <c r="BL918"/>
      <c r="BQ918" s="3"/>
      <c r="BS918" s="4"/>
      <c r="BW918" s="4"/>
      <c r="BX918" s="4"/>
    </row>
    <row r="919" spans="21:76" x14ac:dyDescent="0.25">
      <c r="U919" s="4"/>
      <c r="X919"/>
      <c r="AJ919" s="4"/>
      <c r="AK919" s="4"/>
      <c r="AL919" s="4"/>
      <c r="AP919" s="4"/>
      <c r="AQ919"/>
      <c r="AR919"/>
      <c r="AS919"/>
      <c r="AT919"/>
      <c r="AU919"/>
      <c r="AV919"/>
      <c r="AW919"/>
      <c r="BA919" s="4"/>
      <c r="BC919" s="4"/>
      <c r="BD919" s="4"/>
      <c r="BE919" s="4"/>
      <c r="BF919" s="4"/>
      <c r="BG919" s="4"/>
      <c r="BL919"/>
      <c r="BQ919" s="3"/>
      <c r="BS919" s="4"/>
      <c r="BW919" s="4"/>
      <c r="BX919" s="4"/>
    </row>
    <row r="920" spans="21:76" x14ac:dyDescent="0.25">
      <c r="U920" s="4"/>
      <c r="X920"/>
      <c r="AJ920" s="4"/>
      <c r="AK920" s="4"/>
      <c r="AL920" s="4"/>
      <c r="AP920" s="4"/>
      <c r="AQ920"/>
      <c r="AR920"/>
      <c r="AS920"/>
      <c r="AT920"/>
      <c r="AU920"/>
      <c r="AV920"/>
      <c r="AW920"/>
      <c r="BA920" s="4"/>
      <c r="BC920" s="4"/>
      <c r="BD920" s="4"/>
      <c r="BE920" s="4"/>
      <c r="BF920" s="4"/>
      <c r="BG920" s="4"/>
      <c r="BL920"/>
      <c r="BQ920" s="3"/>
      <c r="BS920" s="4"/>
      <c r="BW920" s="4"/>
      <c r="BX920" s="4"/>
    </row>
    <row r="926" spans="21:76" x14ac:dyDescent="0.25">
      <c r="AK926" s="111"/>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J114"/>
  <sheetViews>
    <sheetView zoomScaleNormal="100" workbookViewId="0">
      <pane ySplit="4" topLeftCell="A5" activePane="bottomLeft" state="frozen"/>
      <selection activeCell="F13" sqref="F13"/>
      <selection pane="bottomLeft" activeCell="A19" sqref="A19"/>
    </sheetView>
  </sheetViews>
  <sheetFormatPr defaultColWidth="200.7109375" defaultRowHeight="12" x14ac:dyDescent="0.2"/>
  <cols>
    <col min="1" max="1" width="81.140625" style="114" customWidth="1"/>
    <col min="2" max="2" width="18.85546875" style="114" customWidth="1"/>
    <col min="3" max="3" width="18.5703125" style="114" customWidth="1"/>
    <col min="4" max="4" width="29" style="114" customWidth="1"/>
    <col min="5" max="5" width="22.28515625" style="114" customWidth="1"/>
    <col min="6" max="6" width="58.5703125" style="114" customWidth="1"/>
    <col min="7" max="7" width="42.5703125" style="114" customWidth="1"/>
    <col min="8" max="8" width="81.140625" style="114" customWidth="1"/>
    <col min="9" max="9" width="32.140625" style="114" customWidth="1"/>
    <col min="10" max="11" width="81.140625" style="114" customWidth="1"/>
    <col min="12" max="12" width="200.7109375" style="114"/>
    <col min="13" max="14" width="14.28515625" style="114" customWidth="1"/>
    <col min="15" max="15" width="200.7109375" style="114"/>
    <col min="16" max="16" width="16.28515625" style="114" customWidth="1"/>
    <col min="17" max="17" width="19.5703125" style="114" customWidth="1"/>
    <col min="18" max="18" width="32.140625" style="114" customWidth="1"/>
    <col min="19" max="20" width="81.140625" style="114" customWidth="1"/>
    <col min="21" max="21" width="16.28515625" style="114" customWidth="1"/>
    <col min="22" max="22" width="19.5703125" style="114" customWidth="1"/>
    <col min="23" max="23" width="18.28515625" style="114" customWidth="1"/>
    <col min="24" max="28" width="10.7109375" style="114" customWidth="1"/>
    <col min="29" max="29" width="15.28515625" style="114" customWidth="1"/>
    <col min="30" max="30" width="18.42578125" style="114" customWidth="1"/>
    <col min="31" max="31" width="15.28515625" style="114" customWidth="1"/>
    <col min="32" max="33" width="18.42578125" style="114" customWidth="1"/>
    <col min="34" max="34" width="10.7109375" style="114" customWidth="1"/>
    <col min="35" max="16384" width="200.7109375" style="114"/>
  </cols>
  <sheetData>
    <row r="1" spans="1:10" ht="12" customHeight="1" x14ac:dyDescent="0.2">
      <c r="A1" s="120" t="s">
        <v>1789</v>
      </c>
    </row>
    <row r="2" spans="1:10" ht="12" customHeight="1" x14ac:dyDescent="0.2">
      <c r="A2" s="114" t="s">
        <v>1791</v>
      </c>
    </row>
    <row r="3" spans="1:10" ht="12" customHeight="1" x14ac:dyDescent="0.2">
      <c r="A3" s="114" t="s">
        <v>1790</v>
      </c>
    </row>
    <row r="4" spans="1:10" s="117" customFormat="1" ht="24" x14ac:dyDescent="0.2">
      <c r="A4" s="115" t="s">
        <v>1798</v>
      </c>
      <c r="B4" s="115" t="s">
        <v>1756</v>
      </c>
      <c r="C4" s="116" t="s">
        <v>1768</v>
      </c>
      <c r="D4" s="116" t="s">
        <v>1769</v>
      </c>
      <c r="E4" s="115" t="s">
        <v>1658</v>
      </c>
      <c r="F4" s="115" t="s">
        <v>1659</v>
      </c>
      <c r="G4" s="115" t="s">
        <v>1660</v>
      </c>
      <c r="H4" s="115" t="s">
        <v>1661</v>
      </c>
      <c r="I4" s="115" t="s">
        <v>1691</v>
      </c>
      <c r="J4" s="116" t="s">
        <v>1670</v>
      </c>
    </row>
    <row r="5" spans="1:10" x14ac:dyDescent="0.2">
      <c r="A5" s="114" t="s">
        <v>1568</v>
      </c>
      <c r="B5" s="114">
        <v>7</v>
      </c>
      <c r="C5" s="114">
        <f>COUNTIF(fp_distributions[source],studies_summary[[#This Row],[source]])</f>
        <v>7</v>
      </c>
      <c r="D5" s="114" t="str">
        <f>IF(studies_summary[[#This Row],[numb_data_points_incl_all_aqua_pond]]=studies_summary[[#This Row],[num_data_points]],"yes","")</f>
        <v>yes</v>
      </c>
      <c r="E5" s="114" t="s">
        <v>210</v>
      </c>
      <c r="F5" s="114" t="s">
        <v>1656</v>
      </c>
      <c r="G5" s="114" t="s">
        <v>1696</v>
      </c>
      <c r="H5" s="114" t="s">
        <v>11</v>
      </c>
      <c r="I5" s="114" t="s">
        <v>1764</v>
      </c>
      <c r="J5" s="114">
        <f>1</f>
        <v>1</v>
      </c>
    </row>
    <row r="6" spans="1:10" x14ac:dyDescent="0.2">
      <c r="A6" s="114" t="s">
        <v>1555</v>
      </c>
      <c r="B6" s="114">
        <v>18</v>
      </c>
      <c r="C6" s="114">
        <f>COUNTIF(fp_distributions[source],studies_summary[[#This Row],[source]])</f>
        <v>18</v>
      </c>
      <c r="D6" s="114" t="str">
        <f>IF(studies_summary[[#This Row],[numb_data_points_incl_all_aqua_pond]]=studies_summary[[#This Row],[num_data_points]],"yes","")</f>
        <v>yes</v>
      </c>
      <c r="E6" s="114" t="s">
        <v>77</v>
      </c>
      <c r="F6" s="114" t="s">
        <v>1757</v>
      </c>
      <c r="G6" s="114" t="s">
        <v>1758</v>
      </c>
      <c r="H6" s="114" t="s">
        <v>1759</v>
      </c>
      <c r="I6" s="114" t="s">
        <v>1765</v>
      </c>
      <c r="J6" s="114">
        <f>1</f>
        <v>1</v>
      </c>
    </row>
    <row r="7" spans="1:10" x14ac:dyDescent="0.2">
      <c r="A7" s="114" t="s">
        <v>1570</v>
      </c>
      <c r="B7" s="114">
        <v>18</v>
      </c>
      <c r="C7" s="114">
        <f>COUNTIF(fp_distributions[source],studies_summary[[#This Row],[source]])</f>
        <v>18</v>
      </c>
      <c r="D7" s="114" t="str">
        <f>IF(studies_summary[[#This Row],[numb_data_points_incl_all_aqua_pond]]=studies_summary[[#This Row],[num_data_points]],"yes","")</f>
        <v>yes</v>
      </c>
      <c r="E7" s="114" t="s">
        <v>77</v>
      </c>
      <c r="F7" s="114" t="s">
        <v>1697</v>
      </c>
      <c r="G7" s="114" t="s">
        <v>1762</v>
      </c>
      <c r="H7" s="114" t="s">
        <v>1763</v>
      </c>
      <c r="I7" s="114" t="s">
        <v>1765</v>
      </c>
      <c r="J7" s="114">
        <f>1</f>
        <v>1</v>
      </c>
    </row>
    <row r="8" spans="1:10" x14ac:dyDescent="0.2">
      <c r="A8" s="114" t="s">
        <v>1605</v>
      </c>
      <c r="B8" s="114">
        <v>9</v>
      </c>
      <c r="C8" s="114">
        <f>COUNTIF(fp_distributions[source],studies_summary[[#This Row],[source]])</f>
        <v>9</v>
      </c>
      <c r="D8" s="114" t="str">
        <f>IF(studies_summary[[#This Row],[numb_data_points_incl_all_aqua_pond]]=studies_summary[[#This Row],[num_data_points]],"yes","")</f>
        <v>yes</v>
      </c>
      <c r="E8" s="114" t="s">
        <v>114</v>
      </c>
      <c r="F8" s="114" t="s">
        <v>1698</v>
      </c>
      <c r="G8" s="114" t="s">
        <v>1699</v>
      </c>
      <c r="H8" s="114" t="s">
        <v>30</v>
      </c>
      <c r="I8" s="114" t="s">
        <v>1764</v>
      </c>
      <c r="J8" s="114">
        <f>1</f>
        <v>1</v>
      </c>
    </row>
    <row r="9" spans="1:10" x14ac:dyDescent="0.2">
      <c r="A9" s="114" t="s">
        <v>1553</v>
      </c>
      <c r="B9" s="114">
        <v>12</v>
      </c>
      <c r="C9" s="114">
        <f>COUNTIF(fp_distributions[source],studies_summary[[#This Row],[source]])</f>
        <v>12</v>
      </c>
      <c r="D9" s="114" t="str">
        <f>IF(studies_summary[[#This Row],[numb_data_points_incl_all_aqua_pond]]=studies_summary[[#This Row],[num_data_points]],"yes","")</f>
        <v>yes</v>
      </c>
      <c r="E9" s="114" t="s">
        <v>314</v>
      </c>
      <c r="F9" s="114" t="s">
        <v>1700</v>
      </c>
      <c r="G9" s="114" t="s">
        <v>1320</v>
      </c>
      <c r="H9" s="114" t="s">
        <v>5</v>
      </c>
      <c r="I9" s="114" t="s">
        <v>1764</v>
      </c>
      <c r="J9" s="114">
        <f>1</f>
        <v>1</v>
      </c>
    </row>
    <row r="10" spans="1:10" x14ac:dyDescent="0.2">
      <c r="A10" s="114" t="s">
        <v>1629</v>
      </c>
      <c r="B10" s="114">
        <v>2</v>
      </c>
      <c r="C10" s="114">
        <f>COUNTIF(fp_distributions[source],studies_summary[[#This Row],[source]])</f>
        <v>2</v>
      </c>
      <c r="D10" s="114" t="str">
        <f>IF(studies_summary[[#This Row],[numb_data_points_incl_all_aqua_pond]]=studies_summary[[#This Row],[num_data_points]],"yes","")</f>
        <v>yes</v>
      </c>
      <c r="E10" s="114" t="s">
        <v>977</v>
      </c>
      <c r="F10" s="114" t="s">
        <v>905</v>
      </c>
      <c r="G10" s="114" t="s">
        <v>976</v>
      </c>
      <c r="H10" s="114" t="s">
        <v>68</v>
      </c>
      <c r="I10" s="114" t="s">
        <v>1767</v>
      </c>
      <c r="J10" s="114">
        <f>1</f>
        <v>1</v>
      </c>
    </row>
    <row r="11" spans="1:10" x14ac:dyDescent="0.2">
      <c r="A11" s="114" t="s">
        <v>1620</v>
      </c>
      <c r="B11" s="114">
        <v>1</v>
      </c>
      <c r="C11" s="114">
        <f>COUNTIF(fp_distributions[source],studies_summary[[#This Row],[source]])</f>
        <v>1</v>
      </c>
      <c r="D11" s="114" t="str">
        <f>IF(studies_summary[[#This Row],[numb_data_points_incl_all_aqua_pond]]=studies_summary[[#This Row],[num_data_points]],"yes","")</f>
        <v>yes</v>
      </c>
      <c r="E11" s="114" t="s">
        <v>120</v>
      </c>
      <c r="F11" s="114" t="s">
        <v>916</v>
      </c>
      <c r="G11" s="114" t="s">
        <v>945</v>
      </c>
      <c r="H11" s="114" t="s">
        <v>66</v>
      </c>
      <c r="I11" s="114" t="s">
        <v>1767</v>
      </c>
      <c r="J11" s="114">
        <f>1</f>
        <v>1</v>
      </c>
    </row>
    <row r="12" spans="1:10" x14ac:dyDescent="0.2">
      <c r="A12" s="114" t="s">
        <v>1618</v>
      </c>
      <c r="B12" s="114">
        <v>3</v>
      </c>
      <c r="C12" s="114">
        <f>COUNTIF(fp_distributions[source],studies_summary[[#This Row],[source]])</f>
        <v>3</v>
      </c>
      <c r="D12" s="114" t="str">
        <f>IF(studies_summary[[#This Row],[numb_data_points_incl_all_aqua_pond]]=studies_summary[[#This Row],[num_data_points]],"yes","")</f>
        <v>yes</v>
      </c>
      <c r="E12" s="114" t="s">
        <v>120</v>
      </c>
      <c r="F12" s="114" t="s">
        <v>916</v>
      </c>
      <c r="G12" s="114" t="s">
        <v>1063</v>
      </c>
      <c r="H12" s="114" t="s">
        <v>66</v>
      </c>
      <c r="I12" s="114" t="s">
        <v>1767</v>
      </c>
      <c r="J12" s="114">
        <f>1</f>
        <v>1</v>
      </c>
    </row>
    <row r="13" spans="1:10" x14ac:dyDescent="0.2">
      <c r="A13" s="114" t="s">
        <v>1628</v>
      </c>
      <c r="B13" s="114">
        <v>4</v>
      </c>
      <c r="C13" s="114">
        <f>COUNTIF(fp_distributions[source],studies_summary[[#This Row],[source]])</f>
        <v>4</v>
      </c>
      <c r="D13" s="114" t="str">
        <f>IF(studies_summary[[#This Row],[numb_data_points_incl_all_aqua_pond]]=studies_summary[[#This Row],[num_data_points]],"yes","")</f>
        <v>yes</v>
      </c>
      <c r="E13" s="114" t="s">
        <v>904</v>
      </c>
      <c r="F13" s="114" t="s">
        <v>905</v>
      </c>
      <c r="G13" s="114" t="s">
        <v>902</v>
      </c>
      <c r="H13" s="114" t="s">
        <v>68</v>
      </c>
      <c r="I13" s="114" t="s">
        <v>1767</v>
      </c>
      <c r="J13" s="114">
        <f>1</f>
        <v>1</v>
      </c>
    </row>
    <row r="14" spans="1:10" x14ac:dyDescent="0.2">
      <c r="A14" s="114" t="s">
        <v>1619</v>
      </c>
      <c r="B14" s="114">
        <v>3</v>
      </c>
      <c r="C14" s="114">
        <f>COUNTIF(fp_distributions[source],studies_summary[[#This Row],[source]])</f>
        <v>3</v>
      </c>
      <c r="D14" s="114" t="str">
        <f>IF(studies_summary[[#This Row],[numb_data_points_incl_all_aqua_pond]]=studies_summary[[#This Row],[num_data_points]],"yes","")</f>
        <v>yes</v>
      </c>
      <c r="E14" s="114" t="s">
        <v>642</v>
      </c>
      <c r="F14" s="114" t="s">
        <v>916</v>
      </c>
      <c r="G14" s="114" t="s">
        <v>915</v>
      </c>
      <c r="H14" s="114" t="s">
        <v>66</v>
      </c>
      <c r="I14" s="114" t="s">
        <v>1767</v>
      </c>
      <c r="J14" s="114">
        <f>1</f>
        <v>1</v>
      </c>
    </row>
    <row r="15" spans="1:10" x14ac:dyDescent="0.2">
      <c r="A15" s="114" t="s">
        <v>1623</v>
      </c>
      <c r="B15" s="114">
        <v>2</v>
      </c>
      <c r="C15" s="114">
        <f>COUNTIF(fp_distributions[source],studies_summary[[#This Row],[source]])</f>
        <v>2</v>
      </c>
      <c r="D15" s="114" t="str">
        <f>IF(studies_summary[[#This Row],[numb_data_points_incl_all_aqua_pond]]=studies_summary[[#This Row],[num_data_points]],"yes","")</f>
        <v>yes</v>
      </c>
      <c r="E15" s="114" t="s">
        <v>1010</v>
      </c>
      <c r="F15" s="114" t="s">
        <v>916</v>
      </c>
      <c r="G15" s="114" t="s">
        <v>1643</v>
      </c>
      <c r="H15" s="114" t="s">
        <v>66</v>
      </c>
      <c r="I15" s="114" t="s">
        <v>1767</v>
      </c>
      <c r="J15" s="114">
        <f>1</f>
        <v>1</v>
      </c>
    </row>
    <row r="16" spans="1:10" x14ac:dyDescent="0.2">
      <c r="A16" s="114" t="s">
        <v>1561</v>
      </c>
      <c r="B16" s="114">
        <v>9</v>
      </c>
      <c r="C16" s="114">
        <f>COUNTIF(fp_distributions[source],studies_summary[[#This Row],[source]])</f>
        <v>9</v>
      </c>
      <c r="D16" s="114" t="str">
        <f>IF(studies_summary[[#This Row],[numb_data_points_incl_all_aqua_pond]]=studies_summary[[#This Row],[num_data_points]],"yes","")</f>
        <v>yes</v>
      </c>
      <c r="E16" s="114" t="s">
        <v>120</v>
      </c>
      <c r="F16" s="114" t="s">
        <v>111</v>
      </c>
      <c r="G16" s="114" t="s">
        <v>1760</v>
      </c>
      <c r="H16" s="114" t="s">
        <v>1761</v>
      </c>
      <c r="I16" s="114" t="s">
        <v>1765</v>
      </c>
      <c r="J16" s="114">
        <f>1</f>
        <v>1</v>
      </c>
    </row>
    <row r="17" spans="1:10" x14ac:dyDescent="0.2">
      <c r="A17" s="114" t="s">
        <v>1552</v>
      </c>
      <c r="B17" s="114">
        <v>27</v>
      </c>
      <c r="C17" s="114">
        <f>COUNTIF(fp_distributions[source],studies_summary[[#This Row],[source]])</f>
        <v>27</v>
      </c>
      <c r="D17" s="114" t="str">
        <f>IF(studies_summary[[#This Row],[numb_data_points_incl_all_aqua_pond]]=studies_summary[[#This Row],[num_data_points]],"yes","")</f>
        <v>yes</v>
      </c>
      <c r="E17" s="114" t="s">
        <v>1378</v>
      </c>
      <c r="F17" s="114" t="s">
        <v>778</v>
      </c>
      <c r="G17" s="114" t="s">
        <v>1321</v>
      </c>
      <c r="H17" s="114" t="s">
        <v>5</v>
      </c>
      <c r="I17" s="114" t="s">
        <v>1764</v>
      </c>
      <c r="J17" s="114">
        <f>1</f>
        <v>1</v>
      </c>
    </row>
    <row r="18" spans="1:10" x14ac:dyDescent="0.2">
      <c r="A18" s="114" t="s">
        <v>1557</v>
      </c>
      <c r="B18" s="114">
        <v>1</v>
      </c>
      <c r="C18" s="114">
        <f>COUNTIF(fp_distributions[source],studies_summary[[#This Row],[source]])</f>
        <v>1</v>
      </c>
      <c r="D18" s="114" t="str">
        <f>IF(studies_summary[[#This Row],[numb_data_points_incl_all_aqua_pond]]=studies_summary[[#This Row],[num_data_points]],"yes","")</f>
        <v>yes</v>
      </c>
      <c r="E18" s="114" t="s">
        <v>631</v>
      </c>
      <c r="F18" s="114" t="s">
        <v>1364</v>
      </c>
      <c r="G18" s="114" t="s">
        <v>630</v>
      </c>
      <c r="H18" s="114" t="s">
        <v>5</v>
      </c>
      <c r="I18" s="114" t="s">
        <v>1764</v>
      </c>
      <c r="J18" s="114">
        <f>1</f>
        <v>1</v>
      </c>
    </row>
    <row r="19" spans="1:10" x14ac:dyDescent="0.2">
      <c r="A19" s="114" t="s">
        <v>1621</v>
      </c>
      <c r="B19" s="114">
        <v>2</v>
      </c>
      <c r="C19" s="114">
        <f>COUNTIF(fp_distributions[source],studies_summary[[#This Row],[source]])</f>
        <v>2</v>
      </c>
      <c r="D19" s="114" t="str">
        <f>IF(studies_summary[[#This Row],[numb_data_points_incl_all_aqua_pond]]=studies_summary[[#This Row],[num_data_points]],"yes","")</f>
        <v>yes</v>
      </c>
      <c r="E19" s="114" t="s">
        <v>860</v>
      </c>
      <c r="F19" s="114" t="s">
        <v>916</v>
      </c>
      <c r="G19" s="114" t="s">
        <v>915</v>
      </c>
      <c r="H19" s="114" t="s">
        <v>66</v>
      </c>
      <c r="I19" s="114" t="s">
        <v>1767</v>
      </c>
      <c r="J19" s="114">
        <f>1</f>
        <v>1</v>
      </c>
    </row>
    <row r="20" spans="1:10" x14ac:dyDescent="0.2">
      <c r="A20" s="114" t="s">
        <v>1589</v>
      </c>
      <c r="B20" s="114">
        <v>1</v>
      </c>
      <c r="C20" s="114">
        <f>COUNTIF(fp_distributions[source],studies_summary[[#This Row],[source]])</f>
        <v>1</v>
      </c>
      <c r="D20" s="114" t="str">
        <f>IF(studies_summary[[#This Row],[numb_data_points_incl_all_aqua_pond]]=studies_summary[[#This Row],[num_data_points]],"yes","")</f>
        <v>yes</v>
      </c>
      <c r="E20" s="114" t="s">
        <v>218</v>
      </c>
      <c r="F20" s="114" t="s">
        <v>230</v>
      </c>
      <c r="G20" s="114" t="s">
        <v>503</v>
      </c>
      <c r="H20" s="114" t="s">
        <v>9</v>
      </c>
      <c r="I20" s="114" t="s">
        <v>1764</v>
      </c>
      <c r="J20" s="114">
        <f>1</f>
        <v>1</v>
      </c>
    </row>
    <row r="21" spans="1:10" x14ac:dyDescent="0.2">
      <c r="A21" s="114" t="s">
        <v>1550</v>
      </c>
      <c r="B21" s="114">
        <v>7</v>
      </c>
      <c r="C21" s="114">
        <f>COUNTIF(fp_distributions[source],studies_summary[[#This Row],[source]])</f>
        <v>7</v>
      </c>
      <c r="D21" s="114" t="str">
        <f>IF(studies_summary[[#This Row],[numb_data_points_incl_all_aqua_pond]]=studies_summary[[#This Row],[num_data_points]],"yes","")</f>
        <v>yes</v>
      </c>
      <c r="E21" s="114" t="s">
        <v>477</v>
      </c>
      <c r="F21" s="114" t="s">
        <v>778</v>
      </c>
      <c r="G21" s="114" t="s">
        <v>1321</v>
      </c>
      <c r="H21" s="114" t="s">
        <v>5</v>
      </c>
      <c r="I21" s="114" t="s">
        <v>1764</v>
      </c>
      <c r="J21" s="114">
        <f>1</f>
        <v>1</v>
      </c>
    </row>
    <row r="22" spans="1:10" x14ac:dyDescent="0.2">
      <c r="A22" s="114" t="s">
        <v>1633</v>
      </c>
      <c r="B22" s="114">
        <v>2</v>
      </c>
      <c r="C22" s="114">
        <f>COUNTIF(fp_distributions[source],studies_summary[[#This Row],[source]])</f>
        <v>2</v>
      </c>
      <c r="D22" s="114" t="str">
        <f>IF(studies_summary[[#This Row],[numb_data_points_incl_all_aqua_pond]]=studies_summary[[#This Row],[num_data_points]],"yes","")</f>
        <v>yes</v>
      </c>
      <c r="E22" s="114" t="s">
        <v>143</v>
      </c>
      <c r="F22" s="114" t="s">
        <v>916</v>
      </c>
      <c r="G22" s="114" t="s">
        <v>953</v>
      </c>
      <c r="H22" s="114" t="s">
        <v>69</v>
      </c>
      <c r="I22" s="114" t="s">
        <v>1767</v>
      </c>
      <c r="J22" s="114">
        <f>1</f>
        <v>1</v>
      </c>
    </row>
    <row r="23" spans="1:10" x14ac:dyDescent="0.2">
      <c r="A23" s="114" t="s">
        <v>1606</v>
      </c>
      <c r="B23" s="114">
        <v>1</v>
      </c>
      <c r="C23" s="114">
        <f>COUNTIF(fp_distributions[source],studies_summary[[#This Row],[source]])</f>
        <v>1</v>
      </c>
      <c r="D23" s="114" t="str">
        <f>IF(studies_summary[[#This Row],[numb_data_points_incl_all_aqua_pond]]=studies_summary[[#This Row],[num_data_points]],"yes","")</f>
        <v>yes</v>
      </c>
      <c r="E23" s="114" t="s">
        <v>253</v>
      </c>
      <c r="F23" s="114" t="s">
        <v>111</v>
      </c>
      <c r="G23" s="114" t="s">
        <v>1645</v>
      </c>
      <c r="H23" s="114" t="s">
        <v>30</v>
      </c>
      <c r="I23" s="114" t="s">
        <v>1764</v>
      </c>
      <c r="J23" s="114">
        <f>1</f>
        <v>1</v>
      </c>
    </row>
    <row r="24" spans="1:10" x14ac:dyDescent="0.2">
      <c r="A24" s="114" t="s">
        <v>1676</v>
      </c>
      <c r="B24" s="114">
        <v>4</v>
      </c>
      <c r="C24" s="114">
        <f>COUNTIF(fp_distributions[source],studies_summary[[#This Row],[source]])</f>
        <v>2</v>
      </c>
      <c r="D24" s="114" t="str">
        <f>IF(studies_summary[[#This Row],[numb_data_points_incl_all_aqua_pond]]=studies_summary[[#This Row],[num_data_points]],"yes","")</f>
        <v/>
      </c>
      <c r="E24" s="114" t="s">
        <v>367</v>
      </c>
      <c r="F24" s="114" t="s">
        <v>111</v>
      </c>
      <c r="G24" s="114" t="s">
        <v>1771</v>
      </c>
      <c r="H24" s="114" t="s">
        <v>1772</v>
      </c>
      <c r="I24" s="114" t="s">
        <v>1765</v>
      </c>
      <c r="J24" s="114">
        <f>1</f>
        <v>1</v>
      </c>
    </row>
    <row r="25" spans="1:10" x14ac:dyDescent="0.2">
      <c r="A25" s="114" t="s">
        <v>1573</v>
      </c>
      <c r="B25" s="114">
        <v>4</v>
      </c>
      <c r="C25" s="114">
        <f>COUNTIF(fp_distributions[source],studies_summary[[#This Row],[source]])</f>
        <v>4</v>
      </c>
      <c r="D25" s="114" t="str">
        <f>IF(studies_summary[[#This Row],[numb_data_points_incl_all_aqua_pond]]=studies_summary[[#This Row],[num_data_points]],"yes","")</f>
        <v>yes</v>
      </c>
      <c r="E25" s="114" t="s">
        <v>351</v>
      </c>
      <c r="F25" s="114" t="s">
        <v>138</v>
      </c>
      <c r="G25" s="114" t="s">
        <v>453</v>
      </c>
      <c r="H25" s="114" t="s">
        <v>1680</v>
      </c>
      <c r="I25" s="114" t="s">
        <v>1765</v>
      </c>
      <c r="J25" s="114">
        <f>1</f>
        <v>1</v>
      </c>
    </row>
    <row r="26" spans="1:10" x14ac:dyDescent="0.2">
      <c r="A26" s="114" t="s">
        <v>1594</v>
      </c>
      <c r="B26" s="114">
        <v>2</v>
      </c>
      <c r="C26" s="114">
        <f>COUNTIF(fp_distributions[source],studies_summary[[#This Row],[source]])</f>
        <v>2</v>
      </c>
      <c r="D26" s="114" t="str">
        <f>IF(studies_summary[[#This Row],[numb_data_points_incl_all_aqua_pond]]=studies_summary[[#This Row],[num_data_points]],"yes","")</f>
        <v>yes</v>
      </c>
      <c r="E26" s="114" t="s">
        <v>566</v>
      </c>
      <c r="F26" s="114" t="s">
        <v>1367</v>
      </c>
      <c r="G26" s="114" t="s">
        <v>565</v>
      </c>
      <c r="H26" s="114" t="s">
        <v>1662</v>
      </c>
      <c r="I26" s="114" t="s">
        <v>1764</v>
      </c>
      <c r="J26" s="114">
        <f>1</f>
        <v>1</v>
      </c>
    </row>
    <row r="27" spans="1:10" x14ac:dyDescent="0.2">
      <c r="A27" s="114" t="s">
        <v>1549</v>
      </c>
      <c r="B27" s="114">
        <v>6</v>
      </c>
      <c r="C27" s="114">
        <f>COUNTIF(fp_distributions[source],studies_summary[[#This Row],[source]])</f>
        <v>5</v>
      </c>
      <c r="D27" s="114" t="str">
        <f>IF(studies_summary[[#This Row],[numb_data_points_incl_all_aqua_pond]]=studies_summary[[#This Row],[num_data_points]],"yes","")</f>
        <v/>
      </c>
      <c r="E27" s="114" t="s">
        <v>225</v>
      </c>
      <c r="F27" s="114" t="s">
        <v>1366</v>
      </c>
      <c r="G27" s="114" t="s">
        <v>1701</v>
      </c>
      <c r="H27" s="114" t="s">
        <v>1773</v>
      </c>
      <c r="I27" s="114" t="s">
        <v>1765</v>
      </c>
      <c r="J27" s="114">
        <f>1</f>
        <v>1</v>
      </c>
    </row>
    <row r="28" spans="1:10" x14ac:dyDescent="0.2">
      <c r="A28" s="114" t="s">
        <v>1622</v>
      </c>
      <c r="B28" s="114">
        <v>2</v>
      </c>
      <c r="C28" s="114">
        <f>COUNTIF(fp_distributions[source],studies_summary[[#This Row],[source]])</f>
        <v>2</v>
      </c>
      <c r="D28" s="114" t="str">
        <f>IF(studies_summary[[#This Row],[numb_data_points_incl_all_aqua_pond]]=studies_summary[[#This Row],[num_data_points]],"yes","")</f>
        <v>yes</v>
      </c>
      <c r="E28" s="114" t="s">
        <v>186</v>
      </c>
      <c r="F28" s="114" t="s">
        <v>916</v>
      </c>
      <c r="G28" s="114" t="s">
        <v>915</v>
      </c>
      <c r="H28" s="114" t="s">
        <v>66</v>
      </c>
      <c r="I28" s="114" t="s">
        <v>1767</v>
      </c>
      <c r="J28" s="114">
        <f>1</f>
        <v>1</v>
      </c>
    </row>
    <row r="29" spans="1:10" x14ac:dyDescent="0.2">
      <c r="A29" s="114" t="s">
        <v>1548</v>
      </c>
      <c r="B29" s="114">
        <v>20</v>
      </c>
      <c r="C29" s="114">
        <f>COUNTIF(fp_distributions[source],studies_summary[[#This Row],[source]])</f>
        <v>20</v>
      </c>
      <c r="D29" s="114" t="str">
        <f>IF(studies_summary[[#This Row],[numb_data_points_incl_all_aqua_pond]]=studies_summary[[#This Row],[num_data_points]],"yes","")</f>
        <v>yes</v>
      </c>
      <c r="E29" s="114" t="s">
        <v>170</v>
      </c>
      <c r="F29" s="114" t="s">
        <v>1702</v>
      </c>
      <c r="G29" s="114" t="s">
        <v>1703</v>
      </c>
      <c r="H29" s="114" t="s">
        <v>1704</v>
      </c>
      <c r="I29" s="114" t="s">
        <v>1764</v>
      </c>
      <c r="J29" s="114">
        <f>1</f>
        <v>1</v>
      </c>
    </row>
    <row r="30" spans="1:10" x14ac:dyDescent="0.2">
      <c r="A30" s="114" t="s">
        <v>1634</v>
      </c>
      <c r="B30" s="114">
        <v>1</v>
      </c>
      <c r="C30" s="114">
        <f>COUNTIF(fp_distributions[source],studies_summary[[#This Row],[source]])</f>
        <v>1</v>
      </c>
      <c r="D30" s="114" t="str">
        <f>IF(studies_summary[[#This Row],[numb_data_points_incl_all_aqua_pond]]=studies_summary[[#This Row],[num_data_points]],"yes","")</f>
        <v>yes</v>
      </c>
      <c r="E30" s="114" t="s">
        <v>225</v>
      </c>
      <c r="F30" s="114" t="s">
        <v>905</v>
      </c>
      <c r="G30" s="114" t="s">
        <v>960</v>
      </c>
      <c r="H30" s="114" t="s">
        <v>69</v>
      </c>
      <c r="I30" s="114" t="s">
        <v>1767</v>
      </c>
      <c r="J30" s="114">
        <f>1</f>
        <v>1</v>
      </c>
    </row>
    <row r="31" spans="1:10" x14ac:dyDescent="0.2">
      <c r="A31" s="114" t="s">
        <v>1581</v>
      </c>
      <c r="B31" s="114">
        <v>4</v>
      </c>
      <c r="C31" s="114">
        <f>COUNTIF(fp_distributions[source],studies_summary[[#This Row],[source]])</f>
        <v>4</v>
      </c>
      <c r="D31" s="114" t="str">
        <f>IF(studies_summary[[#This Row],[numb_data_points_incl_all_aqua_pond]]=studies_summary[[#This Row],[num_data_points]],"yes","")</f>
        <v>yes</v>
      </c>
      <c r="E31" s="114" t="s">
        <v>314</v>
      </c>
      <c r="F31" s="114" t="s">
        <v>778</v>
      </c>
      <c r="G31" s="114" t="s">
        <v>431</v>
      </c>
      <c r="H31" s="114" t="s">
        <v>1705</v>
      </c>
      <c r="I31" s="114" t="s">
        <v>1765</v>
      </c>
      <c r="J31" s="114">
        <f>1</f>
        <v>1</v>
      </c>
    </row>
    <row r="32" spans="1:10" x14ac:dyDescent="0.2">
      <c r="A32" s="114" t="s">
        <v>1675</v>
      </c>
      <c r="B32" s="114">
        <v>70</v>
      </c>
      <c r="C32" s="114">
        <f>COUNTIF(fp_distributions[source],studies_summary[[#This Row],[source]])</f>
        <v>35</v>
      </c>
      <c r="D32" s="114" t="str">
        <f>IF(studies_summary[[#This Row],[numb_data_points_incl_all_aqua_pond]]=studies_summary[[#This Row],[num_data_points]],"yes","")</f>
        <v/>
      </c>
      <c r="E32" s="114" t="s">
        <v>642</v>
      </c>
      <c r="F32" s="114" t="s">
        <v>778</v>
      </c>
      <c r="G32" s="114" t="s">
        <v>1706</v>
      </c>
      <c r="H32" s="114" t="s">
        <v>1774</v>
      </c>
      <c r="I32" s="114" t="s">
        <v>1765</v>
      </c>
      <c r="J32" s="114">
        <f>1</f>
        <v>1</v>
      </c>
    </row>
    <row r="33" spans="1:10" x14ac:dyDescent="0.2">
      <c r="A33" s="114" t="s">
        <v>1545</v>
      </c>
      <c r="B33" s="114">
        <v>12</v>
      </c>
      <c r="C33" s="114">
        <f>COUNTIF(fp_distributions[source],studies_summary[[#This Row],[source]])</f>
        <v>12</v>
      </c>
      <c r="D33" s="114" t="str">
        <f>IF(studies_summary[[#This Row],[numb_data_points_incl_all_aqua_pond]]=studies_summary[[#This Row],[num_data_points]],"yes","")</f>
        <v>yes</v>
      </c>
      <c r="E33" s="114" t="s">
        <v>642</v>
      </c>
      <c r="F33" s="114" t="s">
        <v>778</v>
      </c>
      <c r="G33" s="114" t="s">
        <v>1324</v>
      </c>
      <c r="H33" s="114" t="s">
        <v>5</v>
      </c>
      <c r="I33" s="114" t="s">
        <v>1764</v>
      </c>
      <c r="J33" s="114">
        <f>1</f>
        <v>1</v>
      </c>
    </row>
    <row r="34" spans="1:10" x14ac:dyDescent="0.2">
      <c r="A34" s="114" t="s">
        <v>1547</v>
      </c>
      <c r="B34" s="114">
        <v>2</v>
      </c>
      <c r="C34" s="114">
        <f>COUNTIF(fp_distributions[source],studies_summary[[#This Row],[source]])</f>
        <v>2</v>
      </c>
      <c r="D34" s="114" t="str">
        <f>IF(studies_summary[[#This Row],[numb_data_points_incl_all_aqua_pond]]=studies_summary[[#This Row],[num_data_points]],"yes","")</f>
        <v>yes</v>
      </c>
      <c r="E34" s="114" t="s">
        <v>180</v>
      </c>
      <c r="F34" s="114" t="s">
        <v>1707</v>
      </c>
      <c r="G34" s="114" t="s">
        <v>1321</v>
      </c>
      <c r="H34" s="114" t="s">
        <v>5</v>
      </c>
      <c r="I34" s="114" t="s">
        <v>1764</v>
      </c>
      <c r="J34" s="114">
        <f>1</f>
        <v>1</v>
      </c>
    </row>
    <row r="35" spans="1:10" x14ac:dyDescent="0.2">
      <c r="A35" s="114" t="s">
        <v>1630</v>
      </c>
      <c r="B35" s="114">
        <v>2</v>
      </c>
      <c r="C35" s="114">
        <f>COUNTIF(fp_distributions[source],studies_summary[[#This Row],[source]])</f>
        <v>2</v>
      </c>
      <c r="D35" s="114" t="str">
        <f>IF(studies_summary[[#This Row],[numb_data_points_incl_all_aqua_pond]]=studies_summary[[#This Row],[num_data_points]],"yes","")</f>
        <v>yes</v>
      </c>
      <c r="E35" s="114" t="s">
        <v>977</v>
      </c>
      <c r="F35" s="114" t="s">
        <v>905</v>
      </c>
      <c r="G35" s="114" t="s">
        <v>1079</v>
      </c>
      <c r="H35" s="114" t="s">
        <v>68</v>
      </c>
      <c r="I35" s="114" t="s">
        <v>1767</v>
      </c>
      <c r="J35" s="114">
        <f>1</f>
        <v>1</v>
      </c>
    </row>
    <row r="36" spans="1:10" x14ac:dyDescent="0.2">
      <c r="A36" s="114" t="s">
        <v>1596</v>
      </c>
      <c r="B36" s="114">
        <v>6</v>
      </c>
      <c r="C36" s="114">
        <f>COUNTIF(fp_distributions[source],studies_summary[[#This Row],[source]])</f>
        <v>6</v>
      </c>
      <c r="D36" s="114" t="str">
        <f>IF(studies_summary[[#This Row],[numb_data_points_incl_all_aqua_pond]]=studies_summary[[#This Row],[num_data_points]],"yes","")</f>
        <v>yes</v>
      </c>
      <c r="E36" s="114" t="s">
        <v>218</v>
      </c>
      <c r="F36" s="114" t="s">
        <v>219</v>
      </c>
      <c r="G36" s="114" t="s">
        <v>1708</v>
      </c>
      <c r="H36" s="114" t="s">
        <v>1709</v>
      </c>
      <c r="I36" s="114" t="s">
        <v>1764</v>
      </c>
      <c r="J36" s="114">
        <f>1</f>
        <v>1</v>
      </c>
    </row>
    <row r="37" spans="1:10" x14ac:dyDescent="0.2">
      <c r="A37" s="114" t="s">
        <v>1560</v>
      </c>
      <c r="B37" s="114">
        <v>16</v>
      </c>
      <c r="C37" s="114">
        <f>COUNTIF(fp_distributions[source],studies_summary[[#This Row],[source]])</f>
        <v>16</v>
      </c>
      <c r="D37" s="114" t="str">
        <f>IF(studies_summary[[#This Row],[numb_data_points_incl_all_aqua_pond]]=studies_summary[[#This Row],[num_data_points]],"yes","")</f>
        <v>yes</v>
      </c>
      <c r="E37" s="114" t="s">
        <v>253</v>
      </c>
      <c r="F37" s="114" t="s">
        <v>1669</v>
      </c>
      <c r="G37" s="114" t="s">
        <v>271</v>
      </c>
      <c r="H37" s="114" t="s">
        <v>1677</v>
      </c>
      <c r="I37" s="114" t="s">
        <v>1765</v>
      </c>
      <c r="J37" s="114">
        <f>1</f>
        <v>1</v>
      </c>
    </row>
    <row r="38" spans="1:10" x14ac:dyDescent="0.2">
      <c r="A38" s="114" t="s">
        <v>1600</v>
      </c>
      <c r="B38" s="114">
        <v>3</v>
      </c>
      <c r="C38" s="114">
        <f>COUNTIF(fp_distributions[source],studies_summary[[#This Row],[source]])</f>
        <v>3</v>
      </c>
      <c r="D38" s="114" t="str">
        <f>IF(studies_summary[[#This Row],[numb_data_points_incl_all_aqua_pond]]=studies_summary[[#This Row],[num_data_points]],"yes","")</f>
        <v>yes</v>
      </c>
      <c r="E38" s="114" t="s">
        <v>225</v>
      </c>
      <c r="F38" s="114" t="s">
        <v>111</v>
      </c>
      <c r="G38" s="114" t="s">
        <v>1710</v>
      </c>
      <c r="H38" s="114" t="s">
        <v>1666</v>
      </c>
      <c r="I38" s="114" t="s">
        <v>1764</v>
      </c>
      <c r="J38" s="114">
        <f>1</f>
        <v>1</v>
      </c>
    </row>
    <row r="39" spans="1:10" x14ac:dyDescent="0.2">
      <c r="A39" s="114" t="s">
        <v>1636</v>
      </c>
      <c r="B39" s="114">
        <v>1</v>
      </c>
      <c r="C39" s="114">
        <f>COUNTIF(fp_distributions[source],studies_summary[[#This Row],[source]])</f>
        <v>1</v>
      </c>
      <c r="D39" s="114" t="str">
        <f>IF(studies_summary[[#This Row],[numb_data_points_incl_all_aqua_pond]]=studies_summary[[#This Row],[num_data_points]],"yes","")</f>
        <v>yes</v>
      </c>
      <c r="E39" s="114" t="s">
        <v>1381</v>
      </c>
      <c r="F39" s="114" t="s">
        <v>916</v>
      </c>
      <c r="G39" s="114" t="s">
        <v>1260</v>
      </c>
      <c r="H39" s="114" t="s">
        <v>1665</v>
      </c>
      <c r="I39" s="114" t="s">
        <v>1767</v>
      </c>
      <c r="J39" s="114">
        <f>1</f>
        <v>1</v>
      </c>
    </row>
    <row r="40" spans="1:10" x14ac:dyDescent="0.2">
      <c r="A40" s="114" t="s">
        <v>1639</v>
      </c>
      <c r="B40" s="114">
        <v>1</v>
      </c>
      <c r="C40" s="114">
        <f>COUNTIF(fp_distributions[source],studies_summary[[#This Row],[source]])</f>
        <v>1</v>
      </c>
      <c r="D40" s="114" t="str">
        <f>IF(studies_summary[[#This Row],[numb_data_points_incl_all_aqua_pond]]=studies_summary[[#This Row],[num_data_points]],"yes","")</f>
        <v>yes</v>
      </c>
      <c r="E40" s="114" t="s">
        <v>1387</v>
      </c>
      <c r="F40" s="114" t="s">
        <v>111</v>
      </c>
      <c r="G40" s="114" t="s">
        <v>1400</v>
      </c>
      <c r="H40" s="114" t="s">
        <v>1386</v>
      </c>
      <c r="I40" s="114" t="s">
        <v>1766</v>
      </c>
      <c r="J40" s="114">
        <f>1</f>
        <v>1</v>
      </c>
    </row>
    <row r="41" spans="1:10" x14ac:dyDescent="0.2">
      <c r="A41" s="114" t="s">
        <v>1583</v>
      </c>
      <c r="B41" s="114">
        <v>4</v>
      </c>
      <c r="C41" s="118">
        <f>COUNTIF(fp_distributions[source],studies_summary[[#This Row],[source]])</f>
        <v>4</v>
      </c>
      <c r="D41" s="114" t="str">
        <f>IF(studies_summary[[#This Row],[numb_data_points_incl_all_aqua_pond]]=studies_summary[[#This Row],[num_data_points]],"yes","")</f>
        <v>yes</v>
      </c>
      <c r="E41" s="114" t="s">
        <v>440</v>
      </c>
      <c r="F41" s="114" t="s">
        <v>1683</v>
      </c>
      <c r="G41" s="114" t="s">
        <v>431</v>
      </c>
      <c r="H41" s="114" t="s">
        <v>1705</v>
      </c>
      <c r="I41" s="114" t="s">
        <v>1765</v>
      </c>
      <c r="J41" s="118">
        <f>1</f>
        <v>1</v>
      </c>
    </row>
    <row r="42" spans="1:10" x14ac:dyDescent="0.2">
      <c r="A42" s="114" t="s">
        <v>1627</v>
      </c>
      <c r="B42" s="114">
        <v>3</v>
      </c>
      <c r="C42" s="114">
        <f>COUNTIF(fp_distributions[source],studies_summary[[#This Row],[source]])</f>
        <v>3</v>
      </c>
      <c r="D42" s="114" t="str">
        <f>IF(studies_summary[[#This Row],[numb_data_points_incl_all_aqua_pond]]=studies_summary[[#This Row],[num_data_points]],"yes","")</f>
        <v>yes</v>
      </c>
      <c r="E42" s="114" t="s">
        <v>77</v>
      </c>
      <c r="F42" s="114" t="s">
        <v>905</v>
      </c>
      <c r="G42" s="114" t="s">
        <v>902</v>
      </c>
      <c r="H42" s="114" t="s">
        <v>68</v>
      </c>
      <c r="I42" s="114" t="s">
        <v>1767</v>
      </c>
      <c r="J42" s="114">
        <f>1</f>
        <v>1</v>
      </c>
    </row>
    <row r="43" spans="1:10" x14ac:dyDescent="0.2">
      <c r="A43" s="114" t="s">
        <v>1578</v>
      </c>
      <c r="B43" s="114">
        <v>2</v>
      </c>
      <c r="C43" s="114">
        <f>COUNTIF(fp_distributions[source],studies_summary[[#This Row],[source]])</f>
        <v>2</v>
      </c>
      <c r="D43" s="114" t="str">
        <f>IF(studies_summary[[#This Row],[numb_data_points_incl_all_aqua_pond]]=studies_summary[[#This Row],[num_data_points]],"yes","")</f>
        <v>yes</v>
      </c>
      <c r="E43" s="114" t="s">
        <v>308</v>
      </c>
      <c r="F43" s="114" t="s">
        <v>1380</v>
      </c>
      <c r="G43" s="114" t="s">
        <v>305</v>
      </c>
      <c r="H43" s="114" t="s">
        <v>1681</v>
      </c>
      <c r="I43" s="114" t="s">
        <v>1765</v>
      </c>
      <c r="J43" s="114">
        <f>1</f>
        <v>1</v>
      </c>
    </row>
    <row r="44" spans="1:10" x14ac:dyDescent="0.2">
      <c r="A44" s="114" t="s">
        <v>1604</v>
      </c>
      <c r="B44" s="114">
        <v>3</v>
      </c>
      <c r="C44" s="114">
        <f>COUNTIF(fp_distributions[source],studies_summary[[#This Row],[source]])</f>
        <v>3</v>
      </c>
      <c r="D44" s="114" t="str">
        <f>IF(studies_summary[[#This Row],[numb_data_points_incl_all_aqua_pond]]=studies_summary[[#This Row],[num_data_points]],"yes","")</f>
        <v>yes</v>
      </c>
      <c r="E44" s="114" t="s">
        <v>149</v>
      </c>
      <c r="F44" s="114" t="s">
        <v>111</v>
      </c>
      <c r="G44" s="114" t="s">
        <v>148</v>
      </c>
      <c r="H44" s="114" t="s">
        <v>29</v>
      </c>
      <c r="I44" s="114" t="s">
        <v>1764</v>
      </c>
      <c r="J44" s="114">
        <f>1</f>
        <v>1</v>
      </c>
    </row>
    <row r="45" spans="1:10" x14ac:dyDescent="0.2">
      <c r="A45" s="114" t="s">
        <v>1637</v>
      </c>
      <c r="B45" s="114">
        <v>1</v>
      </c>
      <c r="C45" s="114">
        <f>COUNTIF(fp_distributions[source],studies_summary[[#This Row],[source]])</f>
        <v>1</v>
      </c>
      <c r="D45" s="114" t="str">
        <f>IF(studies_summary[[#This Row],[numb_data_points_incl_all_aqua_pond]]=studies_summary[[#This Row],[num_data_points]],"yes","")</f>
        <v>yes</v>
      </c>
      <c r="E45" s="114" t="s">
        <v>77</v>
      </c>
      <c r="F45" s="114" t="s">
        <v>916</v>
      </c>
      <c r="G45" s="114" t="s">
        <v>1078</v>
      </c>
      <c r="H45" s="114" t="s">
        <v>1665</v>
      </c>
      <c r="I45" s="114" t="s">
        <v>1767</v>
      </c>
      <c r="J45" s="114">
        <f>1</f>
        <v>1</v>
      </c>
    </row>
    <row r="46" spans="1:10" x14ac:dyDescent="0.2">
      <c r="A46" s="114" t="s">
        <v>1626</v>
      </c>
      <c r="B46" s="114">
        <v>13</v>
      </c>
      <c r="C46" s="114">
        <f>COUNTIF(fp_distributions[source],studies_summary[[#This Row],[source]])</f>
        <v>13</v>
      </c>
      <c r="D46" s="114" t="str">
        <f>IF(studies_summary[[#This Row],[numb_data_points_incl_all_aqua_pond]]=studies_summary[[#This Row],[num_data_points]],"yes","")</f>
        <v>yes</v>
      </c>
      <c r="E46" s="114" t="s">
        <v>77</v>
      </c>
      <c r="F46" s="114" t="s">
        <v>905</v>
      </c>
      <c r="G46" s="114" t="s">
        <v>1792</v>
      </c>
      <c r="H46" s="114" t="s">
        <v>1689</v>
      </c>
      <c r="I46" s="114" t="s">
        <v>1767</v>
      </c>
      <c r="J46" s="114">
        <f>1</f>
        <v>1</v>
      </c>
    </row>
    <row r="47" spans="1:10" x14ac:dyDescent="0.2">
      <c r="A47" s="114" t="s">
        <v>1559</v>
      </c>
      <c r="B47" s="114">
        <v>2</v>
      </c>
      <c r="C47" s="114">
        <f>COUNTIF(fp_distributions[source],studies_summary[[#This Row],[source]])</f>
        <v>2</v>
      </c>
      <c r="D47" s="114" t="str">
        <f>IF(studies_summary[[#This Row],[numb_data_points_incl_all_aqua_pond]]=studies_summary[[#This Row],[num_data_points]],"yes","")</f>
        <v>yes</v>
      </c>
      <c r="E47" s="114" t="s">
        <v>180</v>
      </c>
      <c r="F47" s="114" t="s">
        <v>111</v>
      </c>
      <c r="G47" s="114" t="s">
        <v>1711</v>
      </c>
      <c r="H47" s="114" t="s">
        <v>1712</v>
      </c>
      <c r="I47" s="114" t="s">
        <v>1764</v>
      </c>
      <c r="J47" s="114">
        <f>1</f>
        <v>1</v>
      </c>
    </row>
    <row r="48" spans="1:10" x14ac:dyDescent="0.2">
      <c r="A48" s="114" t="s">
        <v>1586</v>
      </c>
      <c r="B48" s="114">
        <v>4</v>
      </c>
      <c r="C48" s="114">
        <f>COUNTIF(fp_distributions[source],studies_summary[[#This Row],[source]])</f>
        <v>4</v>
      </c>
      <c r="D48" s="114" t="str">
        <f>IF(studies_summary[[#This Row],[numb_data_points_incl_all_aqua_pond]]=studies_summary[[#This Row],[num_data_points]],"yes","")</f>
        <v>yes</v>
      </c>
      <c r="E48" s="114" t="s">
        <v>253</v>
      </c>
      <c r="F48" s="114" t="s">
        <v>1360</v>
      </c>
      <c r="G48" s="114" t="s">
        <v>503</v>
      </c>
      <c r="H48" s="114" t="s">
        <v>9</v>
      </c>
      <c r="I48" s="114" t="s">
        <v>1764</v>
      </c>
      <c r="J48" s="114">
        <f>1</f>
        <v>1</v>
      </c>
    </row>
    <row r="49" spans="1:10" x14ac:dyDescent="0.2">
      <c r="A49" s="114" t="s">
        <v>1610</v>
      </c>
      <c r="B49" s="114">
        <v>2</v>
      </c>
      <c r="C49" s="114">
        <f>COUNTIF(fp_distributions[source],studies_summary[[#This Row],[source]])</f>
        <v>2</v>
      </c>
      <c r="D49" s="114" t="str">
        <f>IF(studies_summary[[#This Row],[numb_data_points_incl_all_aqua_pond]]=studies_summary[[#This Row],[num_data_points]],"yes","")</f>
        <v>yes</v>
      </c>
      <c r="E49" s="114" t="s">
        <v>170</v>
      </c>
      <c r="F49" s="114" t="s">
        <v>1369</v>
      </c>
      <c r="G49" s="114" t="s">
        <v>214</v>
      </c>
      <c r="H49" s="114" t="s">
        <v>1663</v>
      </c>
      <c r="I49" s="114" t="s">
        <v>1764</v>
      </c>
      <c r="J49" s="114">
        <f>1</f>
        <v>1</v>
      </c>
    </row>
    <row r="50" spans="1:10" x14ac:dyDescent="0.2">
      <c r="A50" s="114" t="s">
        <v>1592</v>
      </c>
      <c r="B50" s="114">
        <v>2</v>
      </c>
      <c r="C50" s="114">
        <f>COUNTIF(fp_distributions[source],studies_summary[[#This Row],[source]])</f>
        <v>2</v>
      </c>
      <c r="D50" s="114" t="str">
        <f>IF(studies_summary[[#This Row],[numb_data_points_incl_all_aqua_pond]]=studies_summary[[#This Row],[num_data_points]],"yes","")</f>
        <v>yes</v>
      </c>
      <c r="E50" s="114" t="s">
        <v>170</v>
      </c>
      <c r="F50" s="114" t="s">
        <v>230</v>
      </c>
      <c r="G50" s="114" t="s">
        <v>1713</v>
      </c>
      <c r="H50" s="114" t="s">
        <v>1714</v>
      </c>
      <c r="I50" s="114" t="s">
        <v>1764</v>
      </c>
      <c r="J50" s="114">
        <f>1</f>
        <v>1</v>
      </c>
    </row>
    <row r="51" spans="1:10" x14ac:dyDescent="0.2">
      <c r="A51" s="114" t="s">
        <v>1562</v>
      </c>
      <c r="B51" s="114">
        <v>3</v>
      </c>
      <c r="C51" s="114">
        <f>COUNTIF(fp_distributions[source],studies_summary[[#This Row],[source]])</f>
        <v>3</v>
      </c>
      <c r="D51" s="114" t="str">
        <f>IF(studies_summary[[#This Row],[numb_data_points_incl_all_aqua_pond]]=studies_summary[[#This Row],[num_data_points]],"yes","")</f>
        <v>yes</v>
      </c>
      <c r="E51" s="114" t="s">
        <v>170</v>
      </c>
      <c r="F51" s="114" t="s">
        <v>1715</v>
      </c>
      <c r="G51" s="114" t="s">
        <v>376</v>
      </c>
      <c r="H51" s="114" t="s">
        <v>16</v>
      </c>
      <c r="I51" s="114" t="s">
        <v>1764</v>
      </c>
      <c r="J51" s="114">
        <f>1</f>
        <v>1</v>
      </c>
    </row>
    <row r="52" spans="1:10" x14ac:dyDescent="0.2">
      <c r="A52" s="114" t="s">
        <v>1582</v>
      </c>
      <c r="B52" s="114">
        <v>4</v>
      </c>
      <c r="C52" s="114">
        <f>COUNTIF(fp_distributions[source],studies_summary[[#This Row],[source]])</f>
        <v>4</v>
      </c>
      <c r="D52" s="114" t="str">
        <f>IF(studies_summary[[#This Row],[numb_data_points_incl_all_aqua_pond]]=studies_summary[[#This Row],[num_data_points]],"yes","")</f>
        <v>yes</v>
      </c>
      <c r="E52" s="114" t="s">
        <v>170</v>
      </c>
      <c r="F52" s="114" t="s">
        <v>1716</v>
      </c>
      <c r="G52" s="114" t="s">
        <v>431</v>
      </c>
      <c r="H52" s="114" t="s">
        <v>1705</v>
      </c>
      <c r="I52" s="114" t="s">
        <v>1765</v>
      </c>
      <c r="J52" s="114">
        <f>1</f>
        <v>1</v>
      </c>
    </row>
    <row r="53" spans="1:10" x14ac:dyDescent="0.2">
      <c r="A53" s="114" t="s">
        <v>1543</v>
      </c>
      <c r="B53" s="114">
        <v>3</v>
      </c>
      <c r="C53" s="114">
        <f>COUNTIF(fp_distributions[source],studies_summary[[#This Row],[source]])</f>
        <v>3</v>
      </c>
      <c r="D53" s="114" t="str">
        <f>IF(studies_summary[[#This Row],[numb_data_points_incl_all_aqua_pond]]=studies_summary[[#This Row],[num_data_points]],"yes","")</f>
        <v>yes</v>
      </c>
      <c r="E53" s="114" t="s">
        <v>170</v>
      </c>
      <c r="F53" s="114" t="s">
        <v>111</v>
      </c>
      <c r="G53" s="114" t="s">
        <v>630</v>
      </c>
      <c r="H53" s="114" t="s">
        <v>5</v>
      </c>
      <c r="I53" s="114" t="s">
        <v>1764</v>
      </c>
      <c r="J53" s="114">
        <f>1</f>
        <v>1</v>
      </c>
    </row>
    <row r="54" spans="1:10" x14ac:dyDescent="0.2">
      <c r="A54" s="114" t="s">
        <v>1574</v>
      </c>
      <c r="B54" s="114">
        <v>4</v>
      </c>
      <c r="C54" s="114">
        <f>COUNTIF(fp_distributions[source],studies_summary[[#This Row],[source]])</f>
        <v>4</v>
      </c>
      <c r="D54" s="114" t="str">
        <f>IF(studies_summary[[#This Row],[numb_data_points_incl_all_aqua_pond]]=studies_summary[[#This Row],[num_data_points]],"yes","")</f>
        <v>yes</v>
      </c>
      <c r="E54" s="114" t="s">
        <v>143</v>
      </c>
      <c r="F54" s="114" t="s">
        <v>1654</v>
      </c>
      <c r="G54" s="114" t="s">
        <v>453</v>
      </c>
      <c r="H54" s="114" t="s">
        <v>1680</v>
      </c>
      <c r="I54" s="114" t="s">
        <v>1765</v>
      </c>
      <c r="J54" s="114">
        <f>1</f>
        <v>1</v>
      </c>
    </row>
    <row r="55" spans="1:10" x14ac:dyDescent="0.2">
      <c r="A55" s="114" t="s">
        <v>1601</v>
      </c>
      <c r="B55" s="114">
        <v>3</v>
      </c>
      <c r="C55" s="114">
        <f>COUNTIF(fp_distributions[source],studies_summary[[#This Row],[source]])</f>
        <v>3</v>
      </c>
      <c r="D55" s="114" t="str">
        <f>IF(studies_summary[[#This Row],[numb_data_points_incl_all_aqua_pond]]=studies_summary[[#This Row],[num_data_points]],"yes","")</f>
        <v>yes</v>
      </c>
      <c r="E55" s="114" t="s">
        <v>351</v>
      </c>
      <c r="F55" s="114" t="s">
        <v>1654</v>
      </c>
      <c r="G55" s="114" t="s">
        <v>350</v>
      </c>
      <c r="H55" s="114" t="s">
        <v>1664</v>
      </c>
      <c r="I55" s="114" t="s">
        <v>1764</v>
      </c>
      <c r="J55" s="114">
        <f>1</f>
        <v>1</v>
      </c>
    </row>
    <row r="56" spans="1:10" x14ac:dyDescent="0.2">
      <c r="A56" s="114" t="s">
        <v>1538</v>
      </c>
      <c r="B56" s="114">
        <v>9</v>
      </c>
      <c r="C56" s="114">
        <f>COUNTIF(fp_distributions[source],studies_summary[[#This Row],[source]])</f>
        <v>9</v>
      </c>
      <c r="D56" s="114" t="str">
        <f>IF(studies_summary[[#This Row],[numb_data_points_incl_all_aqua_pond]]=studies_summary[[#This Row],[num_data_points]],"yes","")</f>
        <v>yes</v>
      </c>
      <c r="E56" s="114" t="s">
        <v>186</v>
      </c>
      <c r="F56" s="114" t="s">
        <v>111</v>
      </c>
      <c r="G56" s="114" t="s">
        <v>1717</v>
      </c>
      <c r="H56" s="114" t="s">
        <v>1718</v>
      </c>
      <c r="I56" s="114" t="s">
        <v>1764</v>
      </c>
      <c r="J56" s="114">
        <f>1</f>
        <v>1</v>
      </c>
    </row>
    <row r="57" spans="1:10" x14ac:dyDescent="0.2">
      <c r="A57" s="114" t="s">
        <v>1608</v>
      </c>
      <c r="B57" s="114">
        <v>5</v>
      </c>
      <c r="C57" s="114">
        <f>COUNTIF(fp_distributions[source],studies_summary[[#This Row],[source]])</f>
        <v>5</v>
      </c>
      <c r="D57" s="114" t="str">
        <f>IF(studies_summary[[#This Row],[numb_data_points_incl_all_aqua_pond]]=studies_summary[[#This Row],[num_data_points]],"yes","")</f>
        <v>yes</v>
      </c>
      <c r="E57" s="114" t="s">
        <v>143</v>
      </c>
      <c r="F57" s="114" t="s">
        <v>1367</v>
      </c>
      <c r="G57" s="114" t="s">
        <v>233</v>
      </c>
      <c r="H57" s="114" t="s">
        <v>1663</v>
      </c>
      <c r="I57" s="114" t="s">
        <v>1764</v>
      </c>
      <c r="J57" s="114">
        <f>1</f>
        <v>1</v>
      </c>
    </row>
    <row r="58" spans="1:10" x14ac:dyDescent="0.2">
      <c r="A58" s="114" t="s">
        <v>1617</v>
      </c>
      <c r="B58" s="114">
        <v>1</v>
      </c>
      <c r="C58" s="114">
        <f>COUNTIF(fp_distributions[source],studies_summary[[#This Row],[source]])</f>
        <v>1</v>
      </c>
      <c r="D58" s="114" t="str">
        <f>IF(studies_summary[[#This Row],[numb_data_points_incl_all_aqua_pond]]=studies_summary[[#This Row],[num_data_points]],"yes","")</f>
        <v>yes</v>
      </c>
      <c r="E58" s="114" t="s">
        <v>186</v>
      </c>
      <c r="F58" s="114" t="s">
        <v>916</v>
      </c>
      <c r="G58" s="114" t="s">
        <v>915</v>
      </c>
      <c r="H58" s="114" t="s">
        <v>66</v>
      </c>
      <c r="I58" s="114" t="s">
        <v>1767</v>
      </c>
      <c r="J58" s="114">
        <f>1</f>
        <v>1</v>
      </c>
    </row>
    <row r="59" spans="1:10" x14ac:dyDescent="0.2">
      <c r="A59" s="114" t="s">
        <v>1591</v>
      </c>
      <c r="B59" s="114">
        <v>1</v>
      </c>
      <c r="C59" s="114">
        <f>COUNTIF(fp_distributions[source],studies_summary[[#This Row],[source]])</f>
        <v>1</v>
      </c>
      <c r="D59" s="114" t="str">
        <f>IF(studies_summary[[#This Row],[numb_data_points_incl_all_aqua_pond]]=studies_summary[[#This Row],[num_data_points]],"yes","")</f>
        <v>yes</v>
      </c>
      <c r="E59" s="114" t="s">
        <v>314</v>
      </c>
      <c r="F59" s="114" t="s">
        <v>690</v>
      </c>
      <c r="G59" s="114" t="s">
        <v>503</v>
      </c>
      <c r="H59" s="114" t="s">
        <v>9</v>
      </c>
      <c r="I59" s="114" t="s">
        <v>1764</v>
      </c>
      <c r="J59" s="114">
        <f>1</f>
        <v>1</v>
      </c>
    </row>
    <row r="60" spans="1:10" x14ac:dyDescent="0.2">
      <c r="A60" s="114" t="s">
        <v>1558</v>
      </c>
      <c r="B60" s="114">
        <v>8</v>
      </c>
      <c r="C60" s="114">
        <f>COUNTIF(fp_distributions[source],studies_summary[[#This Row],[source]])</f>
        <v>8</v>
      </c>
      <c r="D60" s="114" t="str">
        <f>IF(studies_summary[[#This Row],[numb_data_points_incl_all_aqua_pond]]=studies_summary[[#This Row],[num_data_points]],"yes","")</f>
        <v>yes</v>
      </c>
      <c r="E60" s="114" t="s">
        <v>225</v>
      </c>
      <c r="F60" s="114" t="s">
        <v>111</v>
      </c>
      <c r="G60" s="114" t="s">
        <v>1721</v>
      </c>
      <c r="H60" s="114" t="s">
        <v>1722</v>
      </c>
      <c r="I60" s="114" t="s">
        <v>1764</v>
      </c>
      <c r="J60" s="114">
        <f>1</f>
        <v>1</v>
      </c>
    </row>
    <row r="61" spans="1:10" x14ac:dyDescent="0.2">
      <c r="A61" s="114" t="s">
        <v>1563</v>
      </c>
      <c r="B61" s="114">
        <v>24</v>
      </c>
      <c r="C61" s="114">
        <f>COUNTIF(fp_distributions[source],studies_summary[[#This Row],[source]])</f>
        <v>24</v>
      </c>
      <c r="D61" s="114" t="str">
        <f>IF(studies_summary[[#This Row],[numb_data_points_incl_all_aqua_pond]]=studies_summary[[#This Row],[num_data_points]],"yes","")</f>
        <v>yes</v>
      </c>
      <c r="E61" s="114" t="s">
        <v>225</v>
      </c>
      <c r="F61" s="114" t="s">
        <v>111</v>
      </c>
      <c r="G61" s="114" t="s">
        <v>1719</v>
      </c>
      <c r="H61" s="114" t="s">
        <v>1720</v>
      </c>
      <c r="I61" s="114" t="s">
        <v>1765</v>
      </c>
      <c r="J61" s="114">
        <f>1</f>
        <v>1</v>
      </c>
    </row>
    <row r="62" spans="1:10" x14ac:dyDescent="0.2">
      <c r="A62" s="114" t="s">
        <v>1598</v>
      </c>
      <c r="B62" s="114">
        <v>2</v>
      </c>
      <c r="C62" s="114">
        <f>COUNTIF(fp_distributions[source],studies_summary[[#This Row],[source]])</f>
        <v>2</v>
      </c>
      <c r="D62" s="114" t="str">
        <f>IF(studies_summary[[#This Row],[numb_data_points_incl_all_aqua_pond]]=studies_summary[[#This Row],[num_data_points]],"yes","")</f>
        <v>yes</v>
      </c>
      <c r="E62" s="114" t="s">
        <v>225</v>
      </c>
      <c r="F62" s="114" t="s">
        <v>1655</v>
      </c>
      <c r="G62" s="114" t="s">
        <v>568</v>
      </c>
      <c r="H62" s="114" t="s">
        <v>1662</v>
      </c>
      <c r="I62" s="114" t="s">
        <v>1764</v>
      </c>
      <c r="J62" s="114">
        <f>1</f>
        <v>1</v>
      </c>
    </row>
    <row r="63" spans="1:10" x14ac:dyDescent="0.2">
      <c r="A63" s="114" t="s">
        <v>1590</v>
      </c>
      <c r="B63" s="114">
        <v>2</v>
      </c>
      <c r="C63" s="114">
        <f>COUNTIF(fp_distributions[source],studies_summary[[#This Row],[source]])</f>
        <v>2</v>
      </c>
      <c r="D63" s="114" t="str">
        <f>IF(studies_summary[[#This Row],[numb_data_points_incl_all_aqua_pond]]=studies_summary[[#This Row],[num_data_points]],"yes","")</f>
        <v>yes</v>
      </c>
      <c r="E63" s="114" t="s">
        <v>77</v>
      </c>
      <c r="F63" s="114" t="s">
        <v>1369</v>
      </c>
      <c r="G63" s="114" t="s">
        <v>503</v>
      </c>
      <c r="H63" s="114" t="s">
        <v>9</v>
      </c>
      <c r="I63" s="114" t="s">
        <v>1764</v>
      </c>
      <c r="J63" s="114">
        <f>1</f>
        <v>1</v>
      </c>
    </row>
    <row r="64" spans="1:10" x14ac:dyDescent="0.2">
      <c r="A64" s="114" t="s">
        <v>1597</v>
      </c>
      <c r="B64" s="114">
        <v>7</v>
      </c>
      <c r="C64" s="114">
        <f>COUNTIF(fp_distributions[source],studies_summary[[#This Row],[source]])</f>
        <v>7</v>
      </c>
      <c r="D64" s="114" t="str">
        <f>IF(studies_summary[[#This Row],[numb_data_points_incl_all_aqua_pond]]=studies_summary[[#This Row],[num_data_points]],"yes","")</f>
        <v>yes</v>
      </c>
      <c r="E64" s="114" t="s">
        <v>77</v>
      </c>
      <c r="F64" s="114" t="s">
        <v>266</v>
      </c>
      <c r="G64" s="114" t="s">
        <v>1723</v>
      </c>
      <c r="H64" s="114" t="s">
        <v>1724</v>
      </c>
      <c r="I64" s="114" t="s">
        <v>1764</v>
      </c>
      <c r="J64" s="114">
        <f>1</f>
        <v>1</v>
      </c>
    </row>
    <row r="65" spans="1:10" x14ac:dyDescent="0.2">
      <c r="A65" s="114" t="s">
        <v>1541</v>
      </c>
      <c r="B65" s="114">
        <v>2</v>
      </c>
      <c r="C65" s="114">
        <f>COUNTIF(fp_distributions[source],studies_summary[[#This Row],[source]])</f>
        <v>2</v>
      </c>
      <c r="D65" s="114" t="str">
        <f>IF(studies_summary[[#This Row],[numb_data_points_incl_all_aqua_pond]]=studies_summary[[#This Row],[num_data_points]],"yes","")</f>
        <v>yes</v>
      </c>
      <c r="E65" s="114" t="s">
        <v>253</v>
      </c>
      <c r="F65" s="114" t="s">
        <v>1368</v>
      </c>
      <c r="G65" s="114" t="s">
        <v>630</v>
      </c>
      <c r="H65" s="114" t="s">
        <v>5</v>
      </c>
      <c r="I65" s="114" t="s">
        <v>1764</v>
      </c>
      <c r="J65" s="114">
        <f>1</f>
        <v>1</v>
      </c>
    </row>
    <row r="66" spans="1:10" x14ac:dyDescent="0.2">
      <c r="A66" s="114" t="s">
        <v>1635</v>
      </c>
      <c r="B66" s="114">
        <v>2</v>
      </c>
      <c r="C66" s="114">
        <f>COUNTIF(fp_distributions[source],studies_summary[[#This Row],[source]])</f>
        <v>2</v>
      </c>
      <c r="D66" s="114" t="str">
        <f>IF(studies_summary[[#This Row],[numb_data_points_incl_all_aqua_pond]]=studies_summary[[#This Row],[num_data_points]],"yes","")</f>
        <v>yes</v>
      </c>
      <c r="E66" s="114" t="s">
        <v>860</v>
      </c>
      <c r="F66" s="114" t="s">
        <v>916</v>
      </c>
      <c r="G66" s="114" t="s">
        <v>1753</v>
      </c>
      <c r="H66" s="114" t="s">
        <v>1665</v>
      </c>
      <c r="I66" s="114" t="s">
        <v>1767</v>
      </c>
      <c r="J66" s="114">
        <f>1</f>
        <v>1</v>
      </c>
    </row>
    <row r="67" spans="1:10" x14ac:dyDescent="0.2">
      <c r="A67" s="114" t="s">
        <v>1571</v>
      </c>
      <c r="B67" s="114">
        <v>2</v>
      </c>
      <c r="C67" s="114">
        <f>COUNTIF(fp_distributions[source],studies_summary[[#This Row],[source]])</f>
        <v>2</v>
      </c>
      <c r="D67" s="114" t="str">
        <f>IF(studies_summary[[#This Row],[numb_data_points_incl_all_aqua_pond]]=studies_summary[[#This Row],[num_data_points]],"yes","")</f>
        <v>yes</v>
      </c>
      <c r="E67" s="114" t="s">
        <v>170</v>
      </c>
      <c r="F67" s="114" t="s">
        <v>111</v>
      </c>
      <c r="G67" s="114" t="s">
        <v>453</v>
      </c>
      <c r="H67" s="114" t="s">
        <v>1680</v>
      </c>
      <c r="I67" s="114" t="s">
        <v>1765</v>
      </c>
      <c r="J67" s="114">
        <f>1</f>
        <v>1</v>
      </c>
    </row>
    <row r="68" spans="1:10" x14ac:dyDescent="0.2">
      <c r="A68" s="114" t="s">
        <v>1542</v>
      </c>
      <c r="B68" s="114">
        <v>12</v>
      </c>
      <c r="C68" s="114">
        <f>COUNTIF(fp_distributions[source],studies_summary[[#This Row],[source]])</f>
        <v>12</v>
      </c>
      <c r="D68" s="114" t="str">
        <f>IF(studies_summary[[#This Row],[numb_data_points_incl_all_aqua_pond]]=studies_summary[[#This Row],[num_data_points]],"yes","")</f>
        <v>yes</v>
      </c>
      <c r="E68" s="114" t="s">
        <v>345</v>
      </c>
      <c r="F68" s="114" t="s">
        <v>1368</v>
      </c>
      <c r="G68" s="114" t="s">
        <v>1725</v>
      </c>
      <c r="H68" s="114" t="s">
        <v>1726</v>
      </c>
      <c r="I68" s="114" t="s">
        <v>1764</v>
      </c>
      <c r="J68" s="114">
        <f>1</f>
        <v>1</v>
      </c>
    </row>
    <row r="69" spans="1:10" x14ac:dyDescent="0.2">
      <c r="A69" s="114" t="s">
        <v>1607</v>
      </c>
      <c r="B69" s="114">
        <v>1</v>
      </c>
      <c r="C69" s="114">
        <f>COUNTIF(fp_distributions[source],studies_summary[[#This Row],[source]])</f>
        <v>1</v>
      </c>
      <c r="D69" s="114" t="str">
        <f>IF(studies_summary[[#This Row],[numb_data_points_incl_all_aqua_pond]]=studies_summary[[#This Row],[num_data_points]],"yes","")</f>
        <v>yes</v>
      </c>
      <c r="E69" s="114" t="s">
        <v>130</v>
      </c>
      <c r="F69" s="114" t="s">
        <v>690</v>
      </c>
      <c r="G69" s="114" t="s">
        <v>119</v>
      </c>
      <c r="H69" s="114" t="s">
        <v>30</v>
      </c>
      <c r="I69" s="114" t="s">
        <v>1764</v>
      </c>
      <c r="J69" s="114">
        <f>1</f>
        <v>1</v>
      </c>
    </row>
    <row r="70" spans="1:10" x14ac:dyDescent="0.2">
      <c r="A70" s="114" t="s">
        <v>1611</v>
      </c>
      <c r="B70" s="114">
        <v>1</v>
      </c>
      <c r="C70" s="114">
        <f>COUNTIF(fp_distributions[source],studies_summary[[#This Row],[source]])</f>
        <v>1</v>
      </c>
      <c r="D70" s="114" t="str">
        <f>IF(studies_summary[[#This Row],[numb_data_points_incl_all_aqua_pond]]=studies_summary[[#This Row],[num_data_points]],"yes","")</f>
        <v>yes</v>
      </c>
      <c r="E70" s="114" t="s">
        <v>261</v>
      </c>
      <c r="F70" s="114" t="s">
        <v>111</v>
      </c>
      <c r="G70" s="114" t="s">
        <v>260</v>
      </c>
      <c r="H70" s="114" t="s">
        <v>38</v>
      </c>
      <c r="I70" s="114" t="s">
        <v>1764</v>
      </c>
      <c r="J70" s="114">
        <f>1</f>
        <v>1</v>
      </c>
    </row>
    <row r="71" spans="1:10" x14ac:dyDescent="0.2">
      <c r="A71" s="114" t="s">
        <v>1609</v>
      </c>
      <c r="B71" s="114">
        <v>4</v>
      </c>
      <c r="C71" s="114">
        <f>COUNTIF(fp_distributions[source],studies_summary[[#This Row],[source]])</f>
        <v>4</v>
      </c>
      <c r="D71" s="114" t="str">
        <f>IF(studies_summary[[#This Row],[numb_data_points_incl_all_aqua_pond]]=studies_summary[[#This Row],[num_data_points]],"yes","")</f>
        <v>yes</v>
      </c>
      <c r="E71" s="114" t="s">
        <v>239</v>
      </c>
      <c r="F71" s="114" t="s">
        <v>1727</v>
      </c>
      <c r="G71" s="114" t="s">
        <v>238</v>
      </c>
      <c r="H71" s="114" t="s">
        <v>1663</v>
      </c>
      <c r="I71" s="114" t="s">
        <v>1764</v>
      </c>
      <c r="J71" s="114">
        <f>1</f>
        <v>1</v>
      </c>
    </row>
    <row r="72" spans="1:10" x14ac:dyDescent="0.2">
      <c r="A72" s="114" t="s">
        <v>1612</v>
      </c>
      <c r="B72" s="114">
        <v>4</v>
      </c>
      <c r="C72" s="114">
        <f>COUNTIF(fp_distributions[source],studies_summary[[#This Row],[source]])</f>
        <v>4</v>
      </c>
      <c r="D72" s="114" t="str">
        <f>IF(studies_summary[[#This Row],[numb_data_points_incl_all_aqua_pond]]=studies_summary[[#This Row],[num_data_points]],"yes","")</f>
        <v>yes</v>
      </c>
      <c r="E72" s="114" t="s">
        <v>983</v>
      </c>
      <c r="F72" s="114" t="s">
        <v>916</v>
      </c>
      <c r="G72" s="114" t="s">
        <v>1754</v>
      </c>
      <c r="H72" s="114" t="s">
        <v>66</v>
      </c>
      <c r="I72" s="114" t="s">
        <v>1767</v>
      </c>
      <c r="J72" s="114">
        <f>1</f>
        <v>1</v>
      </c>
    </row>
    <row r="73" spans="1:10" x14ac:dyDescent="0.2">
      <c r="A73" s="114" t="s">
        <v>1535</v>
      </c>
      <c r="B73" s="114">
        <v>12</v>
      </c>
      <c r="C73" s="114">
        <f>COUNTIF(fp_distributions[source],studies_summary[[#This Row],[source]])</f>
        <v>12</v>
      </c>
      <c r="D73" s="114" t="str">
        <f>IF(studies_summary[[#This Row],[numb_data_points_incl_all_aqua_pond]]=studies_summary[[#This Row],[num_data_points]],"yes","")</f>
        <v>yes</v>
      </c>
      <c r="E73" s="114" t="s">
        <v>253</v>
      </c>
      <c r="F73" s="114" t="s">
        <v>111</v>
      </c>
      <c r="G73" s="114" t="s">
        <v>1728</v>
      </c>
      <c r="H73" s="114" t="s">
        <v>5</v>
      </c>
      <c r="I73" s="114" t="s">
        <v>1764</v>
      </c>
      <c r="J73" s="114">
        <f>1</f>
        <v>1</v>
      </c>
    </row>
    <row r="74" spans="1:10" x14ac:dyDescent="0.2">
      <c r="A74" s="114" t="s">
        <v>1638</v>
      </c>
      <c r="B74" s="114">
        <v>1</v>
      </c>
      <c r="C74" s="114">
        <f>COUNTIF(fp_distributions[source],studies_summary[[#This Row],[source]])</f>
        <v>1</v>
      </c>
      <c r="D74" s="114" t="str">
        <f>IF(studies_summary[[#This Row],[numb_data_points_incl_all_aqua_pond]]=studies_summary[[#This Row],[num_data_points]],"yes","")</f>
        <v>yes</v>
      </c>
      <c r="E74" s="114" t="s">
        <v>554</v>
      </c>
      <c r="F74" s="114" t="s">
        <v>111</v>
      </c>
      <c r="G74" s="114" t="s">
        <v>1394</v>
      </c>
      <c r="H74" s="114" t="s">
        <v>1386</v>
      </c>
      <c r="I74" s="114" t="s">
        <v>1766</v>
      </c>
      <c r="J74" s="114">
        <f>1</f>
        <v>1</v>
      </c>
    </row>
    <row r="75" spans="1:10" x14ac:dyDescent="0.2">
      <c r="A75" s="114" t="s">
        <v>1584</v>
      </c>
      <c r="B75" s="114">
        <v>4</v>
      </c>
      <c r="C75" s="114">
        <f>COUNTIF(fp_distributions[source],studies_summary[[#This Row],[source]])</f>
        <v>4</v>
      </c>
      <c r="D75" s="114" t="str">
        <f>IF(studies_summary[[#This Row],[numb_data_points_incl_all_aqua_pond]]=studies_summary[[#This Row],[num_data_points]],"yes","")</f>
        <v>yes</v>
      </c>
      <c r="E75" s="114" t="s">
        <v>225</v>
      </c>
      <c r="F75" s="114" t="s">
        <v>1370</v>
      </c>
      <c r="G75" s="114" t="s">
        <v>525</v>
      </c>
      <c r="H75" s="114" t="s">
        <v>9</v>
      </c>
      <c r="I75" s="114" t="s">
        <v>1764</v>
      </c>
      <c r="J75" s="114">
        <f>1</f>
        <v>1</v>
      </c>
    </row>
    <row r="76" spans="1:10" x14ac:dyDescent="0.2">
      <c r="A76" s="114" t="s">
        <v>1587</v>
      </c>
      <c r="B76" s="114">
        <v>4</v>
      </c>
      <c r="C76" s="118">
        <f>COUNTIF(fp_distributions[source],studies_summary[[#This Row],[source]])</f>
        <v>4</v>
      </c>
      <c r="D76" s="114" t="str">
        <f>IF(studies_summary[[#This Row],[numb_data_points_incl_all_aqua_pond]]=studies_summary[[#This Row],[num_data_points]],"yes","")</f>
        <v>yes</v>
      </c>
      <c r="E76" s="114" t="s">
        <v>225</v>
      </c>
      <c r="F76" s="114" t="s">
        <v>1685</v>
      </c>
      <c r="G76" s="114" t="s">
        <v>525</v>
      </c>
      <c r="H76" s="114" t="s">
        <v>9</v>
      </c>
      <c r="I76" s="114" t="s">
        <v>1764</v>
      </c>
      <c r="J76" s="118">
        <f>1</f>
        <v>1</v>
      </c>
    </row>
    <row r="77" spans="1:10" x14ac:dyDescent="0.2">
      <c r="A77" s="114" t="s">
        <v>1616</v>
      </c>
      <c r="B77" s="114">
        <v>2</v>
      </c>
      <c r="C77" s="114">
        <f>COUNTIF(fp_distributions[source],studies_summary[[#This Row],[source]])</f>
        <v>2</v>
      </c>
      <c r="D77" s="114" t="str">
        <f>IF(studies_summary[[#This Row],[numb_data_points_incl_all_aqua_pond]]=studies_summary[[#This Row],[num_data_points]],"yes","")</f>
        <v>yes</v>
      </c>
      <c r="E77" s="114" t="s">
        <v>983</v>
      </c>
      <c r="F77" s="114" t="s">
        <v>916</v>
      </c>
      <c r="G77" s="114" t="s">
        <v>1063</v>
      </c>
      <c r="H77" s="114" t="s">
        <v>66</v>
      </c>
      <c r="I77" s="114" t="s">
        <v>1767</v>
      </c>
      <c r="J77" s="114">
        <f>1</f>
        <v>1</v>
      </c>
    </row>
    <row r="78" spans="1:10" x14ac:dyDescent="0.2">
      <c r="A78" s="114" t="s">
        <v>1613</v>
      </c>
      <c r="B78" s="114">
        <v>4</v>
      </c>
      <c r="C78" s="114">
        <f>COUNTIF(fp_distributions[source],studies_summary[[#This Row],[source]])</f>
        <v>4</v>
      </c>
      <c r="D78" s="114" t="str">
        <f>IF(studies_summary[[#This Row],[numb_data_points_incl_all_aqua_pond]]=studies_summary[[#This Row],[num_data_points]],"yes","")</f>
        <v>yes</v>
      </c>
      <c r="E78" s="114" t="s">
        <v>1755</v>
      </c>
      <c r="F78" s="114" t="s">
        <v>916</v>
      </c>
      <c r="G78" s="114" t="s">
        <v>915</v>
      </c>
      <c r="H78" s="114" t="s">
        <v>66</v>
      </c>
      <c r="I78" s="114" t="s">
        <v>1767</v>
      </c>
      <c r="J78" s="114">
        <f>1</f>
        <v>1</v>
      </c>
    </row>
    <row r="79" spans="1:10" x14ac:dyDescent="0.2">
      <c r="A79" s="114" t="s">
        <v>1576</v>
      </c>
      <c r="B79" s="114">
        <v>4</v>
      </c>
      <c r="C79" s="114">
        <f>COUNTIF(fp_distributions[source],studies_summary[[#This Row],[source]])</f>
        <v>4</v>
      </c>
      <c r="D79" s="114" t="str">
        <f>IF(studies_summary[[#This Row],[numb_data_points_incl_all_aqua_pond]]=studies_summary[[#This Row],[num_data_points]],"yes","")</f>
        <v>yes</v>
      </c>
      <c r="E79" s="114" t="s">
        <v>314</v>
      </c>
      <c r="F79" s="114" t="s">
        <v>1729</v>
      </c>
      <c r="G79" s="114" t="s">
        <v>305</v>
      </c>
      <c r="H79" s="114" t="s">
        <v>1681</v>
      </c>
      <c r="I79" s="114" t="s">
        <v>1765</v>
      </c>
      <c r="J79" s="114">
        <f>1</f>
        <v>1</v>
      </c>
    </row>
    <row r="80" spans="1:10" x14ac:dyDescent="0.2">
      <c r="A80" s="114" t="s">
        <v>1602</v>
      </c>
      <c r="B80" s="114">
        <v>4</v>
      </c>
      <c r="C80" s="114">
        <f>COUNTIF(fp_distributions[source],studies_summary[[#This Row],[source]])</f>
        <v>4</v>
      </c>
      <c r="D80" s="114" t="str">
        <f>IF(studies_summary[[#This Row],[numb_data_points_incl_all_aqua_pond]]=studies_summary[[#This Row],[num_data_points]],"yes","")</f>
        <v>yes</v>
      </c>
      <c r="E80" s="114" t="s">
        <v>314</v>
      </c>
      <c r="F80" s="114" t="s">
        <v>1368</v>
      </c>
      <c r="G80" s="114" t="s">
        <v>1730</v>
      </c>
      <c r="H80" s="114" t="s">
        <v>1731</v>
      </c>
      <c r="I80" s="114" t="s">
        <v>1764</v>
      </c>
      <c r="J80" s="114">
        <f>1</f>
        <v>1</v>
      </c>
    </row>
    <row r="81" spans="1:10" x14ac:dyDescent="0.2">
      <c r="A81" s="114" t="s">
        <v>1564</v>
      </c>
      <c r="B81" s="114">
        <v>1</v>
      </c>
      <c r="C81" s="114">
        <f>COUNTIF(fp_distributions[source],studies_summary[[#This Row],[source]])</f>
        <v>1</v>
      </c>
      <c r="D81" s="114" t="str">
        <f>IF(studies_summary[[#This Row],[numb_data_points_incl_all_aqua_pond]]=studies_summary[[#This Row],[num_data_points]],"yes","")</f>
        <v>yes</v>
      </c>
      <c r="E81" s="114" t="s">
        <v>170</v>
      </c>
      <c r="F81" s="114" t="s">
        <v>111</v>
      </c>
      <c r="G81" s="114" t="s">
        <v>376</v>
      </c>
      <c r="H81" s="114" t="s">
        <v>16</v>
      </c>
      <c r="I81" s="114" t="s">
        <v>1764</v>
      </c>
      <c r="J81" s="114">
        <f>1</f>
        <v>1</v>
      </c>
    </row>
    <row r="82" spans="1:10" x14ac:dyDescent="0.2">
      <c r="A82" s="114" t="s">
        <v>1599</v>
      </c>
      <c r="B82" s="114">
        <v>3</v>
      </c>
      <c r="C82" s="114">
        <f>COUNTIF(fp_distributions[source],studies_summary[[#This Row],[source]])</f>
        <v>3</v>
      </c>
      <c r="D82" s="114" t="str">
        <f>IF(studies_summary[[#This Row],[numb_data_points_incl_all_aqua_pond]]=studies_summary[[#This Row],[num_data_points]],"yes","")</f>
        <v>yes</v>
      </c>
      <c r="E82" s="114" t="s">
        <v>170</v>
      </c>
      <c r="F82" s="114" t="s">
        <v>230</v>
      </c>
      <c r="G82" s="114" t="s">
        <v>570</v>
      </c>
      <c r="H82" s="114" t="s">
        <v>1662</v>
      </c>
      <c r="I82" s="114" t="s">
        <v>1764</v>
      </c>
      <c r="J82" s="114">
        <f>1</f>
        <v>1</v>
      </c>
    </row>
    <row r="83" spans="1:10" x14ac:dyDescent="0.2">
      <c r="A83" s="114" t="s">
        <v>1673</v>
      </c>
      <c r="B83" s="114">
        <v>12</v>
      </c>
      <c r="C83" s="114">
        <f>COUNTIF(fp_distributions[source],studies_summary[[#This Row],[source]])</f>
        <v>6</v>
      </c>
      <c r="D83" s="114" t="str">
        <f>IF(studies_summary[[#This Row],[numb_data_points_incl_all_aqua_pond]]=studies_summary[[#This Row],[num_data_points]],"yes","")</f>
        <v/>
      </c>
      <c r="E83" s="114" t="s">
        <v>1732</v>
      </c>
      <c r="F83" s="114" t="s">
        <v>778</v>
      </c>
      <c r="G83" s="114" t="s">
        <v>411</v>
      </c>
      <c r="H83" s="114" t="s">
        <v>1774</v>
      </c>
      <c r="I83" s="114" t="s">
        <v>1765</v>
      </c>
      <c r="J83" s="114">
        <f>1</f>
        <v>1</v>
      </c>
    </row>
    <row r="84" spans="1:10" x14ac:dyDescent="0.2">
      <c r="A84" s="114" t="s">
        <v>1546</v>
      </c>
      <c r="B84" s="114">
        <v>12</v>
      </c>
      <c r="C84" s="114">
        <f>COUNTIF(fp_distributions[source],studies_summary[[#This Row],[source]])</f>
        <v>12</v>
      </c>
      <c r="D84" s="114" t="str">
        <f>IF(studies_summary[[#This Row],[numb_data_points_incl_all_aqua_pond]]=studies_summary[[#This Row],[num_data_points]],"yes","")</f>
        <v>yes</v>
      </c>
      <c r="E84" s="114" t="s">
        <v>200</v>
      </c>
      <c r="F84" s="114" t="s">
        <v>1733</v>
      </c>
      <c r="G84" s="114" t="s">
        <v>1734</v>
      </c>
      <c r="H84" s="114" t="s">
        <v>1735</v>
      </c>
      <c r="I84" s="114" t="s">
        <v>1764</v>
      </c>
      <c r="J84" s="114">
        <f>1</f>
        <v>1</v>
      </c>
    </row>
    <row r="85" spans="1:10" x14ac:dyDescent="0.2">
      <c r="A85" s="114" t="s">
        <v>1566</v>
      </c>
      <c r="B85" s="114">
        <v>2</v>
      </c>
      <c r="C85" s="114">
        <f>COUNTIF(fp_distributions[source],studies_summary[[#This Row],[source]])</f>
        <v>2</v>
      </c>
      <c r="D85" s="114" t="str">
        <f>IF(studies_summary[[#This Row],[numb_data_points_incl_all_aqua_pond]]=studies_summary[[#This Row],[num_data_points]],"yes","")</f>
        <v>yes</v>
      </c>
      <c r="E85" s="114" t="s">
        <v>491</v>
      </c>
      <c r="F85" s="114" t="s">
        <v>111</v>
      </c>
      <c r="G85" s="114" t="s">
        <v>490</v>
      </c>
      <c r="H85" s="114" t="s">
        <v>1678</v>
      </c>
      <c r="I85" s="114" t="s">
        <v>1765</v>
      </c>
      <c r="J85" s="114">
        <f>1</f>
        <v>1</v>
      </c>
    </row>
    <row r="86" spans="1:10" x14ac:dyDescent="0.2">
      <c r="A86" s="114" t="s">
        <v>1572</v>
      </c>
      <c r="B86" s="114">
        <v>12</v>
      </c>
      <c r="C86" s="114">
        <f>COUNTIF(fp_distributions[source],studies_summary[[#This Row],[source]])</f>
        <v>12</v>
      </c>
      <c r="D86" s="114" t="str">
        <f>IF(studies_summary[[#This Row],[numb_data_points_incl_all_aqua_pond]]=studies_summary[[#This Row],[num_data_points]],"yes","")</f>
        <v>yes</v>
      </c>
      <c r="E86" s="114" t="s">
        <v>351</v>
      </c>
      <c r="F86" s="114" t="s">
        <v>111</v>
      </c>
      <c r="G86" s="114" t="s">
        <v>453</v>
      </c>
      <c r="H86" s="114" t="s">
        <v>1680</v>
      </c>
      <c r="I86" s="114" t="s">
        <v>1765</v>
      </c>
      <c r="J86" s="114">
        <f>1</f>
        <v>1</v>
      </c>
    </row>
    <row r="87" spans="1:10" x14ac:dyDescent="0.2">
      <c r="A87" s="114" t="s">
        <v>1551</v>
      </c>
      <c r="B87" s="114">
        <v>3</v>
      </c>
      <c r="C87" s="114">
        <f>COUNTIF(fp_distributions[source],studies_summary[[#This Row],[source]])</f>
        <v>3</v>
      </c>
      <c r="D87" s="114" t="str">
        <f>IF(studies_summary[[#This Row],[numb_data_points_incl_all_aqua_pond]]=studies_summary[[#This Row],[num_data_points]],"yes","")</f>
        <v>yes</v>
      </c>
      <c r="E87" s="114" t="s">
        <v>186</v>
      </c>
      <c r="F87" s="114" t="s">
        <v>111</v>
      </c>
      <c r="G87" s="114" t="s">
        <v>1736</v>
      </c>
      <c r="H87" s="114" t="s">
        <v>1718</v>
      </c>
      <c r="I87" s="114" t="s">
        <v>1764</v>
      </c>
      <c r="J87" s="114">
        <f>1</f>
        <v>1</v>
      </c>
    </row>
    <row r="88" spans="1:10" x14ac:dyDescent="0.2">
      <c r="A88" s="114" t="s">
        <v>1595</v>
      </c>
      <c r="B88" s="114">
        <v>3</v>
      </c>
      <c r="C88" s="114">
        <f>COUNTIF(fp_distributions[source],studies_summary[[#This Row],[source]])</f>
        <v>3</v>
      </c>
      <c r="D88" s="114" t="str">
        <f>IF(studies_summary[[#This Row],[numb_data_points_incl_all_aqua_pond]]=studies_summary[[#This Row],[num_data_points]],"yes","")</f>
        <v>yes</v>
      </c>
      <c r="E88" s="114" t="s">
        <v>77</v>
      </c>
      <c r="F88" s="114" t="s">
        <v>1737</v>
      </c>
      <c r="G88" s="114" t="s">
        <v>589</v>
      </c>
      <c r="H88" s="114" t="s">
        <v>1662</v>
      </c>
      <c r="I88" s="114" t="s">
        <v>1764</v>
      </c>
      <c r="J88" s="114">
        <f>1</f>
        <v>1</v>
      </c>
    </row>
    <row r="89" spans="1:10" x14ac:dyDescent="0.2">
      <c r="A89" s="114" t="s">
        <v>1577</v>
      </c>
      <c r="B89" s="114">
        <v>8</v>
      </c>
      <c r="C89" s="118">
        <f>COUNTIF(fp_distributions[source],studies_summary[[#This Row],[source]])</f>
        <v>8</v>
      </c>
      <c r="D89" s="114" t="str">
        <f>IF(studies_summary[[#This Row],[numb_data_points_incl_all_aqua_pond]]=studies_summary[[#This Row],[num_data_points]],"yes","")</f>
        <v>yes</v>
      </c>
      <c r="E89" s="114" t="s">
        <v>314</v>
      </c>
      <c r="F89" s="114" t="s">
        <v>111</v>
      </c>
      <c r="G89" s="114" t="s">
        <v>1345</v>
      </c>
      <c r="H89" s="114" t="s">
        <v>1681</v>
      </c>
      <c r="I89" s="114" t="s">
        <v>1765</v>
      </c>
      <c r="J89" s="118">
        <f>1</f>
        <v>1</v>
      </c>
    </row>
    <row r="90" spans="1:10" x14ac:dyDescent="0.2">
      <c r="A90" s="114" t="s">
        <v>1631</v>
      </c>
      <c r="B90" s="114">
        <v>4</v>
      </c>
      <c r="C90" s="114">
        <f>COUNTIF(fp_distributions[source],studies_summary[[#This Row],[source]])</f>
        <v>4</v>
      </c>
      <c r="D90" s="114" t="str">
        <f>IF(studies_summary[[#This Row],[numb_data_points_incl_all_aqua_pond]]=studies_summary[[#This Row],[num_data_points]],"yes","")</f>
        <v>yes</v>
      </c>
      <c r="E90" s="114" t="s">
        <v>351</v>
      </c>
      <c r="F90" s="114" t="s">
        <v>916</v>
      </c>
      <c r="G90" s="114" t="s">
        <v>1690</v>
      </c>
      <c r="H90" s="114" t="s">
        <v>69</v>
      </c>
      <c r="I90" s="114" t="s">
        <v>1767</v>
      </c>
      <c r="J90" s="114">
        <f>1</f>
        <v>1</v>
      </c>
    </row>
    <row r="91" spans="1:10" x14ac:dyDescent="0.2">
      <c r="A91" s="114" t="s">
        <v>1674</v>
      </c>
      <c r="B91" s="114">
        <v>40</v>
      </c>
      <c r="C91" s="114">
        <f>COUNTIF(fp_distributions[source],studies_summary[[#This Row],[source]])</f>
        <v>20</v>
      </c>
      <c r="D91" s="114" t="str">
        <f>IF(studies_summary[[#This Row],[numb_data_points_incl_all_aqua_pond]]=studies_summary[[#This Row],[num_data_points]],"yes","")</f>
        <v/>
      </c>
      <c r="E91" s="114" t="s">
        <v>253</v>
      </c>
      <c r="F91" s="114" t="s">
        <v>1682</v>
      </c>
      <c r="G91" s="114" t="s">
        <v>396</v>
      </c>
      <c r="H91" s="114" t="s">
        <v>1774</v>
      </c>
      <c r="I91" s="114" t="s">
        <v>1765</v>
      </c>
      <c r="J91" s="114">
        <f>1</f>
        <v>1</v>
      </c>
    </row>
    <row r="92" spans="1:10" x14ac:dyDescent="0.2">
      <c r="A92" s="114" t="s">
        <v>1575</v>
      </c>
      <c r="B92" s="114">
        <v>6</v>
      </c>
      <c r="C92" s="114">
        <f>COUNTIF(fp_distributions[source],studies_summary[[#This Row],[source]])</f>
        <v>6</v>
      </c>
      <c r="D92" s="114" t="str">
        <f>IF(studies_summary[[#This Row],[numb_data_points_incl_all_aqua_pond]]=studies_summary[[#This Row],[num_data_points]],"yes","")</f>
        <v>yes</v>
      </c>
      <c r="E92" s="114" t="s">
        <v>210</v>
      </c>
      <c r="F92" s="114" t="s">
        <v>778</v>
      </c>
      <c r="G92" s="114" t="s">
        <v>305</v>
      </c>
      <c r="H92" s="114" t="s">
        <v>1681</v>
      </c>
      <c r="I92" s="114" t="s">
        <v>1765</v>
      </c>
      <c r="J92" s="114">
        <f>1</f>
        <v>1</v>
      </c>
    </row>
    <row r="93" spans="1:10" x14ac:dyDescent="0.2">
      <c r="A93" s="114" t="s">
        <v>1585</v>
      </c>
      <c r="B93" s="114">
        <v>4</v>
      </c>
      <c r="C93" s="114">
        <f>COUNTIF(fp_distributions[source],studies_summary[[#This Row],[source]])</f>
        <v>4</v>
      </c>
      <c r="D93" s="114" t="str">
        <f>IF(studies_summary[[#This Row],[numb_data_points_incl_all_aqua_pond]]=studies_summary[[#This Row],[num_data_points]],"yes","")</f>
        <v>yes</v>
      </c>
      <c r="E93" s="114" t="s">
        <v>1684</v>
      </c>
      <c r="F93" s="114" t="s">
        <v>1370</v>
      </c>
      <c r="G93" s="114" t="s">
        <v>525</v>
      </c>
      <c r="H93" s="114" t="s">
        <v>9</v>
      </c>
      <c r="I93" s="114" t="s">
        <v>1764</v>
      </c>
      <c r="J93" s="114">
        <f>1</f>
        <v>1</v>
      </c>
    </row>
    <row r="94" spans="1:10" x14ac:dyDescent="0.2">
      <c r="A94" s="114" t="s">
        <v>1593</v>
      </c>
      <c r="B94" s="114">
        <v>5</v>
      </c>
      <c r="C94" s="114">
        <f>COUNTIF(fp_distributions[source],studies_summary[[#This Row],[source]])</f>
        <v>5</v>
      </c>
      <c r="D94" s="114" t="str">
        <f>IF(studies_summary[[#This Row],[numb_data_points_incl_all_aqua_pond]]=studies_summary[[#This Row],[num_data_points]],"yes","")</f>
        <v>yes</v>
      </c>
      <c r="E94" s="114" t="s">
        <v>1738</v>
      </c>
      <c r="F94" s="114" t="s">
        <v>230</v>
      </c>
      <c r="G94" s="114" t="s">
        <v>503</v>
      </c>
      <c r="H94" s="114" t="s">
        <v>9</v>
      </c>
      <c r="I94" s="114" t="s">
        <v>1764</v>
      </c>
      <c r="J94" s="114">
        <f>1</f>
        <v>1</v>
      </c>
    </row>
    <row r="95" spans="1:10" x14ac:dyDescent="0.2">
      <c r="A95" s="114" t="s">
        <v>1588</v>
      </c>
      <c r="B95" s="114">
        <v>2</v>
      </c>
      <c r="C95" s="114">
        <f>COUNTIF(fp_distributions[source],studies_summary[[#This Row],[source]])</f>
        <v>2</v>
      </c>
      <c r="D95" s="114" t="str">
        <f>IF(studies_summary[[#This Row],[numb_data_points_incl_all_aqua_pond]]=studies_summary[[#This Row],[num_data_points]],"yes","")</f>
        <v>yes</v>
      </c>
      <c r="E95" s="114" t="s">
        <v>1686</v>
      </c>
      <c r="F95" s="114" t="s">
        <v>230</v>
      </c>
      <c r="G95" s="114" t="s">
        <v>503</v>
      </c>
      <c r="H95" s="114" t="s">
        <v>9</v>
      </c>
      <c r="I95" s="114" t="s">
        <v>1764</v>
      </c>
      <c r="J95" s="114">
        <f>1</f>
        <v>1</v>
      </c>
    </row>
    <row r="96" spans="1:10" x14ac:dyDescent="0.2">
      <c r="A96" s="114" t="s">
        <v>1537</v>
      </c>
      <c r="B96" s="114">
        <v>18</v>
      </c>
      <c r="C96" s="114">
        <f>COUNTIF(fp_distributions[source],studies_summary[[#This Row],[source]])</f>
        <v>18</v>
      </c>
      <c r="D96" s="114" t="str">
        <f>IF(studies_summary[[#This Row],[numb_data_points_incl_all_aqua_pond]]=studies_summary[[#This Row],[num_data_points]],"yes","")</f>
        <v>yes</v>
      </c>
      <c r="E96" s="114" t="s">
        <v>253</v>
      </c>
      <c r="F96" s="114" t="s">
        <v>1739</v>
      </c>
      <c r="G96" s="114" t="s">
        <v>1740</v>
      </c>
      <c r="H96" s="114" t="s">
        <v>1741</v>
      </c>
      <c r="I96" s="114" t="s">
        <v>1765</v>
      </c>
      <c r="J96" s="114">
        <f>1</f>
        <v>1</v>
      </c>
    </row>
    <row r="97" spans="1:10" x14ac:dyDescent="0.2">
      <c r="A97" s="114" t="s">
        <v>1579</v>
      </c>
      <c r="B97" s="114">
        <v>2</v>
      </c>
      <c r="C97" s="114">
        <f>COUNTIF(fp_distributions[source],studies_summary[[#This Row],[source]])</f>
        <v>2</v>
      </c>
      <c r="D97" s="114" t="str">
        <f>IF(studies_summary[[#This Row],[numb_data_points_incl_all_aqua_pond]]=studies_summary[[#This Row],[num_data_points]],"yes","")</f>
        <v>yes</v>
      </c>
      <c r="E97" s="114" t="s">
        <v>210</v>
      </c>
      <c r="F97" s="114" t="s">
        <v>111</v>
      </c>
      <c r="G97" s="114" t="s">
        <v>1345</v>
      </c>
      <c r="H97" s="114" t="s">
        <v>1681</v>
      </c>
      <c r="I97" s="114" t="s">
        <v>1765</v>
      </c>
      <c r="J97" s="114">
        <f>1</f>
        <v>1</v>
      </c>
    </row>
    <row r="98" spans="1:10" x14ac:dyDescent="0.2">
      <c r="A98" s="114" t="s">
        <v>1536</v>
      </c>
      <c r="B98" s="114">
        <v>5</v>
      </c>
      <c r="C98" s="114">
        <f>COUNTIF(fp_distributions[source],studies_summary[[#This Row],[source]])</f>
        <v>5</v>
      </c>
      <c r="D98" s="114" t="str">
        <f>IF(studies_summary[[#This Row],[numb_data_points_incl_all_aqua_pond]]=studies_summary[[#This Row],[num_data_points]],"yes","")</f>
        <v>yes</v>
      </c>
      <c r="E98" s="114" t="s">
        <v>477</v>
      </c>
      <c r="F98" s="114" t="s">
        <v>1742</v>
      </c>
      <c r="G98" s="114" t="s">
        <v>1321</v>
      </c>
      <c r="H98" s="114" t="s">
        <v>5</v>
      </c>
      <c r="I98" s="114" t="s">
        <v>1764</v>
      </c>
      <c r="J98" s="114">
        <f>1</f>
        <v>1</v>
      </c>
    </row>
    <row r="99" spans="1:10" x14ac:dyDescent="0.2">
      <c r="A99" s="114" t="s">
        <v>1567</v>
      </c>
      <c r="B99" s="114">
        <v>26</v>
      </c>
      <c r="C99" s="114">
        <f>COUNTIF(fp_distributions[source],studies_summary[[#This Row],[source]])</f>
        <v>26</v>
      </c>
      <c r="D99" s="114" t="str">
        <f>IF(studies_summary[[#This Row],[numb_data_points_incl_all_aqua_pond]]=studies_summary[[#This Row],[num_data_points]],"yes","")</f>
        <v>yes</v>
      </c>
      <c r="E99" s="114" t="s">
        <v>477</v>
      </c>
      <c r="F99" s="114" t="s">
        <v>1367</v>
      </c>
      <c r="G99" s="114" t="s">
        <v>476</v>
      </c>
      <c r="H99" s="114" t="s">
        <v>1679</v>
      </c>
      <c r="I99" s="114" t="s">
        <v>1765</v>
      </c>
      <c r="J99" s="114">
        <f>1</f>
        <v>1</v>
      </c>
    </row>
    <row r="100" spans="1:10" x14ac:dyDescent="0.2">
      <c r="A100" s="114" t="s">
        <v>1565</v>
      </c>
      <c r="B100" s="114">
        <v>6</v>
      </c>
      <c r="C100" s="114">
        <f>COUNTIF(fp_distributions[source],studies_summary[[#This Row],[source]])</f>
        <v>6</v>
      </c>
      <c r="D100" s="114" t="str">
        <f>IF(studies_summary[[#This Row],[numb_data_points_incl_all_aqua_pond]]=studies_summary[[#This Row],[num_data_points]],"yes","")</f>
        <v>yes</v>
      </c>
      <c r="E100" s="114" t="s">
        <v>496</v>
      </c>
      <c r="F100" s="114" t="s">
        <v>138</v>
      </c>
      <c r="G100" s="114" t="s">
        <v>490</v>
      </c>
      <c r="H100" s="114" t="s">
        <v>1678</v>
      </c>
      <c r="I100" s="114" t="s">
        <v>1765</v>
      </c>
      <c r="J100" s="114">
        <f>1</f>
        <v>1</v>
      </c>
    </row>
    <row r="101" spans="1:10" x14ac:dyDescent="0.2">
      <c r="A101" s="114" t="s">
        <v>1544</v>
      </c>
      <c r="B101" s="114">
        <v>11</v>
      </c>
      <c r="C101" s="114">
        <f>COUNTIF(fp_distributions[source],studies_summary[[#This Row],[source]])</f>
        <v>10</v>
      </c>
      <c r="D101" s="114" t="str">
        <f>IF(studies_summary[[#This Row],[numb_data_points_incl_all_aqua_pond]]=studies_summary[[#This Row],[num_data_points]],"yes","")</f>
        <v/>
      </c>
      <c r="E101" s="114" t="s">
        <v>114</v>
      </c>
      <c r="F101" s="114" t="s">
        <v>1349</v>
      </c>
      <c r="G101" s="114" t="s">
        <v>1775</v>
      </c>
      <c r="H101" s="114" t="s">
        <v>1776</v>
      </c>
      <c r="I101" s="114" t="s">
        <v>1765</v>
      </c>
      <c r="J101" s="114">
        <f>1</f>
        <v>1</v>
      </c>
    </row>
    <row r="102" spans="1:10" x14ac:dyDescent="0.2">
      <c r="A102" s="114" t="s">
        <v>1625</v>
      </c>
      <c r="B102" s="114">
        <v>2</v>
      </c>
      <c r="C102" s="114">
        <f>COUNTIF(fp_distributions[source],studies_summary[[#This Row],[source]])</f>
        <v>2</v>
      </c>
      <c r="D102" s="114" t="str">
        <f>IF(studies_summary[[#This Row],[numb_data_points_incl_all_aqua_pond]]=studies_summary[[#This Row],[num_data_points]],"yes","")</f>
        <v>yes</v>
      </c>
      <c r="E102" s="114" t="s">
        <v>77</v>
      </c>
      <c r="F102" s="114" t="s">
        <v>905</v>
      </c>
      <c r="G102" s="114" t="s">
        <v>1035</v>
      </c>
      <c r="H102" s="114" t="s">
        <v>67</v>
      </c>
      <c r="I102" s="114" t="s">
        <v>1767</v>
      </c>
      <c r="J102" s="114">
        <f>1</f>
        <v>1</v>
      </c>
    </row>
    <row r="103" spans="1:10" x14ac:dyDescent="0.2">
      <c r="A103" s="114" t="s">
        <v>1569</v>
      </c>
      <c r="B103" s="114">
        <v>16</v>
      </c>
      <c r="C103" s="114">
        <f>COUNTIF(fp_distributions[source],studies_summary[[#This Row],[source]])</f>
        <v>16</v>
      </c>
      <c r="D103" s="114" t="str">
        <f>IF(studies_summary[[#This Row],[numb_data_points_incl_all_aqua_pond]]=studies_summary[[#This Row],[num_data_points]],"yes","")</f>
        <v>yes</v>
      </c>
      <c r="E103" s="114" t="s">
        <v>253</v>
      </c>
      <c r="F103" s="114" t="s">
        <v>1743</v>
      </c>
      <c r="G103" s="114" t="s">
        <v>1744</v>
      </c>
      <c r="H103" s="114" t="s">
        <v>1745</v>
      </c>
      <c r="I103" s="114" t="s">
        <v>1764</v>
      </c>
      <c r="J103" s="114">
        <f>1</f>
        <v>1</v>
      </c>
    </row>
    <row r="104" spans="1:10" x14ac:dyDescent="0.2">
      <c r="A104" s="114" t="s">
        <v>1540</v>
      </c>
      <c r="B104" s="114">
        <v>3</v>
      </c>
      <c r="C104" s="114">
        <f>COUNTIF(fp_distributions[source],studies_summary[[#This Row],[source]])</f>
        <v>3</v>
      </c>
      <c r="D104" s="114" t="str">
        <f>IF(studies_summary[[#This Row],[numb_data_points_incl_all_aqua_pond]]=studies_summary[[#This Row],[num_data_points]],"yes","")</f>
        <v>yes</v>
      </c>
      <c r="E104" s="114" t="s">
        <v>143</v>
      </c>
      <c r="F104" s="114" t="s">
        <v>111</v>
      </c>
      <c r="G104" s="114" t="s">
        <v>1746</v>
      </c>
      <c r="H104" s="114" t="s">
        <v>1747</v>
      </c>
      <c r="I104" s="114" t="s">
        <v>1765</v>
      </c>
      <c r="J104" s="114">
        <f>1</f>
        <v>1</v>
      </c>
    </row>
    <row r="105" spans="1:10" x14ac:dyDescent="0.2">
      <c r="A105" s="114" t="s">
        <v>1580</v>
      </c>
      <c r="B105" s="114">
        <v>2</v>
      </c>
      <c r="C105" s="114">
        <f>COUNTIF(fp_distributions[source],studies_summary[[#This Row],[source]])</f>
        <v>2</v>
      </c>
      <c r="D105" s="114" t="str">
        <f>IF(studies_summary[[#This Row],[numb_data_points_incl_all_aqua_pond]]=studies_summary[[#This Row],[num_data_points]],"yes","")</f>
        <v>yes</v>
      </c>
      <c r="E105" s="114" t="s">
        <v>143</v>
      </c>
      <c r="F105" s="114" t="s">
        <v>111</v>
      </c>
      <c r="G105" s="114" t="s">
        <v>431</v>
      </c>
      <c r="H105" s="114" t="s">
        <v>1705</v>
      </c>
      <c r="I105" s="114" t="s">
        <v>1765</v>
      </c>
      <c r="J105" s="114">
        <f>1</f>
        <v>1</v>
      </c>
    </row>
    <row r="106" spans="1:10" x14ac:dyDescent="0.2">
      <c r="A106" s="114" t="s">
        <v>1539</v>
      </c>
      <c r="B106" s="114">
        <v>6</v>
      </c>
      <c r="C106" s="114">
        <f>COUNTIF(fp_distributions[source],studies_summary[[#This Row],[source]])</f>
        <v>6</v>
      </c>
      <c r="D106" s="114" t="str">
        <f>IF(studies_summary[[#This Row],[numb_data_points_incl_all_aqua_pond]]=studies_summary[[#This Row],[num_data_points]],"yes","")</f>
        <v>yes</v>
      </c>
      <c r="E106" s="114" t="s">
        <v>143</v>
      </c>
      <c r="F106" s="114" t="s">
        <v>1657</v>
      </c>
      <c r="G106" s="114" t="s">
        <v>1746</v>
      </c>
      <c r="H106" s="114" t="s">
        <v>1747</v>
      </c>
      <c r="I106" s="114" t="s">
        <v>1765</v>
      </c>
      <c r="J106" s="114">
        <f>1</f>
        <v>1</v>
      </c>
    </row>
    <row r="107" spans="1:10" x14ac:dyDescent="0.2">
      <c r="A107" s="114" t="s">
        <v>1624</v>
      </c>
      <c r="B107" s="114">
        <v>4</v>
      </c>
      <c r="C107" s="114">
        <f>COUNTIF(fp_distributions[source],studies_summary[[#This Row],[source]])</f>
        <v>4</v>
      </c>
      <c r="D107" s="114" t="str">
        <f>IF(studies_summary[[#This Row],[numb_data_points_incl_all_aqua_pond]]=studies_summary[[#This Row],[num_data_points]],"yes","")</f>
        <v>yes</v>
      </c>
      <c r="E107" s="114" t="s">
        <v>936</v>
      </c>
      <c r="F107" s="114" t="s">
        <v>905</v>
      </c>
      <c r="G107" s="114" t="s">
        <v>1793</v>
      </c>
      <c r="H107" s="114" t="s">
        <v>67</v>
      </c>
      <c r="I107" s="114" t="s">
        <v>1767</v>
      </c>
      <c r="J107" s="114">
        <f>1</f>
        <v>1</v>
      </c>
    </row>
    <row r="108" spans="1:10" x14ac:dyDescent="0.2">
      <c r="A108" s="114" t="s">
        <v>1554</v>
      </c>
      <c r="B108" s="114">
        <v>14</v>
      </c>
      <c r="C108" s="114">
        <f>COUNTIF(fp_distributions[source],studies_summary[[#This Row],[source]])</f>
        <v>13</v>
      </c>
      <c r="D108" s="114" t="str">
        <f>IF(studies_summary[[#This Row],[numb_data_points_incl_all_aqua_pond]]=studies_summary[[#This Row],[num_data_points]],"yes","")</f>
        <v/>
      </c>
      <c r="E108" s="114" t="s">
        <v>1379</v>
      </c>
      <c r="F108" s="114" t="s">
        <v>1748</v>
      </c>
      <c r="G108" s="114" t="s">
        <v>1777</v>
      </c>
      <c r="H108" s="114" t="s">
        <v>1778</v>
      </c>
      <c r="I108" s="114" t="s">
        <v>1765</v>
      </c>
      <c r="J108" s="114">
        <f>1</f>
        <v>1</v>
      </c>
    </row>
    <row r="109" spans="1:10" x14ac:dyDescent="0.2">
      <c r="A109" s="114" t="s">
        <v>1614</v>
      </c>
      <c r="B109" s="114">
        <v>2</v>
      </c>
      <c r="C109" s="114">
        <f>COUNTIF(fp_distributions[source],studies_summary[[#This Row],[source]])</f>
        <v>2</v>
      </c>
      <c r="D109" s="114" t="str">
        <f>IF(studies_summary[[#This Row],[numb_data_points_incl_all_aqua_pond]]=studies_summary[[#This Row],[num_data_points]],"yes","")</f>
        <v>yes</v>
      </c>
      <c r="E109" s="114" t="s">
        <v>1064</v>
      </c>
      <c r="F109" s="114" t="s">
        <v>916</v>
      </c>
      <c r="G109" s="114" t="s">
        <v>1063</v>
      </c>
      <c r="H109" s="114" t="s">
        <v>66</v>
      </c>
      <c r="I109" s="114" t="s">
        <v>1767</v>
      </c>
      <c r="J109" s="114">
        <f>1</f>
        <v>1</v>
      </c>
    </row>
    <row r="110" spans="1:10" x14ac:dyDescent="0.2">
      <c r="A110" s="114" t="s">
        <v>1556</v>
      </c>
      <c r="B110" s="114">
        <v>8</v>
      </c>
      <c r="C110" s="114">
        <f>COUNTIF(fp_distributions[source],studies_summary[[#This Row],[source]])</f>
        <v>8</v>
      </c>
      <c r="D110" s="114" t="str">
        <f>IF(studies_summary[[#This Row],[numb_data_points_incl_all_aqua_pond]]=studies_summary[[#This Row],[num_data_points]],"yes","")</f>
        <v>yes</v>
      </c>
      <c r="E110" s="114" t="s">
        <v>143</v>
      </c>
      <c r="F110" s="114" t="s">
        <v>111</v>
      </c>
      <c r="G110" s="114" t="s">
        <v>1749</v>
      </c>
      <c r="H110" s="114" t="s">
        <v>1750</v>
      </c>
      <c r="I110" s="114" t="s">
        <v>1765</v>
      </c>
      <c r="J110" s="114">
        <f>1</f>
        <v>1</v>
      </c>
    </row>
    <row r="111" spans="1:10" x14ac:dyDescent="0.2">
      <c r="A111" s="114" t="s">
        <v>1603</v>
      </c>
      <c r="B111" s="114">
        <v>5</v>
      </c>
      <c r="C111" s="114">
        <f>COUNTIF(fp_distributions[source],studies_summary[[#This Row],[source]])</f>
        <v>5</v>
      </c>
      <c r="D111" s="114" t="str">
        <f>IF(studies_summary[[#This Row],[numb_data_points_incl_all_aqua_pond]]=studies_summary[[#This Row],[num_data_points]],"yes","")</f>
        <v>yes</v>
      </c>
      <c r="E111" s="114" t="s">
        <v>143</v>
      </c>
      <c r="F111" s="114" t="s">
        <v>111</v>
      </c>
      <c r="G111" s="114" t="s">
        <v>1751</v>
      </c>
      <c r="H111" s="114" t="s">
        <v>1752</v>
      </c>
      <c r="I111" s="114" t="s">
        <v>1764</v>
      </c>
      <c r="J111" s="114">
        <f>1</f>
        <v>1</v>
      </c>
    </row>
    <row r="112" spans="1:10" x14ac:dyDescent="0.2">
      <c r="A112" s="114" t="s">
        <v>1632</v>
      </c>
      <c r="B112" s="114">
        <v>2</v>
      </c>
      <c r="C112" s="118">
        <f>COUNTIF(fp_distributions[source],studies_summary[[#This Row],[source]])</f>
        <v>2</v>
      </c>
      <c r="D112" s="114" t="str">
        <f>IF(studies_summary[[#This Row],[numb_data_points_incl_all_aqua_pond]]=studies_summary[[#This Row],[num_data_points]],"yes","")</f>
        <v>yes</v>
      </c>
      <c r="E112" s="114" t="s">
        <v>968</v>
      </c>
      <c r="F112" s="114" t="s">
        <v>905</v>
      </c>
      <c r="G112" s="114" t="s">
        <v>967</v>
      </c>
      <c r="H112" s="114" t="s">
        <v>69</v>
      </c>
      <c r="I112" s="114" t="s">
        <v>1767</v>
      </c>
      <c r="J112" s="118">
        <f>1</f>
        <v>1</v>
      </c>
    </row>
    <row r="113" spans="1:10" x14ac:dyDescent="0.2">
      <c r="A113" s="114" t="s">
        <v>1615</v>
      </c>
      <c r="B113" s="114">
        <v>5</v>
      </c>
      <c r="C113" s="114">
        <f>COUNTIF(fp_distributions[source],studies_summary[[#This Row],[source]])</f>
        <v>5</v>
      </c>
      <c r="D113" s="114" t="str">
        <f>IF(studies_summary[[#This Row],[numb_data_points_incl_all_aqua_pond]]=studies_summary[[#This Row],[num_data_points]],"yes","")</f>
        <v>yes</v>
      </c>
      <c r="E113" s="114" t="s">
        <v>186</v>
      </c>
      <c r="F113" s="114" t="s">
        <v>1371</v>
      </c>
      <c r="G113" s="114" t="s">
        <v>1687</v>
      </c>
      <c r="H113" s="114" t="s">
        <v>1688</v>
      </c>
      <c r="I113" s="114" t="s">
        <v>1767</v>
      </c>
      <c r="J113" s="114">
        <f>1</f>
        <v>1</v>
      </c>
    </row>
    <row r="114" spans="1:10" x14ac:dyDescent="0.2">
      <c r="B114" s="114">
        <f>SUBTOTAL(109,studies_summary[num_data_points])</f>
        <v>714</v>
      </c>
      <c r="C114" s="114">
        <f>SUBTOTAL(109,studies_summary[numb_data_points_incl_all_aqua_pond])</f>
        <v>648</v>
      </c>
      <c r="J114" s="114">
        <f>SUBTOTAL(103,studies_summary[study_count])</f>
        <v>109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
  <sheetViews>
    <sheetView workbookViewId="0">
      <selection activeCell="A2" sqref="A2"/>
    </sheetView>
  </sheetViews>
  <sheetFormatPr defaultColWidth="9.140625" defaultRowHeight="13.5" x14ac:dyDescent="0.25"/>
  <cols>
    <col min="1" max="1" width="100.7109375" style="44" customWidth="1"/>
    <col min="2" max="16384" width="9.140625" style="3"/>
  </cols>
  <sheetData>
    <row r="1" spans="1:1" x14ac:dyDescent="0.25">
      <c r="A1" s="119" t="s">
        <v>1240</v>
      </c>
    </row>
    <row r="2" spans="1:1" x14ac:dyDescent="0.25">
      <c r="A2" s="44" t="s">
        <v>1241</v>
      </c>
    </row>
    <row r="3" spans="1:1" x14ac:dyDescent="0.25">
      <c r="A3" s="44" t="s">
        <v>1243</v>
      </c>
    </row>
    <row r="4" spans="1:1" x14ac:dyDescent="0.25">
      <c r="A4" s="45" t="s">
        <v>1240</v>
      </c>
    </row>
    <row r="5" spans="1:1" x14ac:dyDescent="0.25">
      <c r="A5" s="46" t="str">
        <f ca="1">LEFT(CELL("Filename",A2),SEARCH("ghge_lit_review_distributions",CELL("Filename",A2))-2)</f>
        <v>C:\Users\bkim\Dropbox\CLF\Research projects\2024-02 antibiotic footprints model\data\input\ghge\</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4 1 0 4 e 7 - 5 8 4 7 - 4 f c 5 - b 5 a 7 - c 1 b b e 2 6 0 e a 3 1 "   x m l n s = " h t t p : / / s c h e m a s . m i c r o s o f t . c o m / D a t a M a s h u p " > A A A A A K Q I A A B Q S w M E F A A C A A g A 0 X 1 b 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0 X 1 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9 W 1 h W V D C n n g U A A H E d A A A T A B w A R m 9 y b X V s Y X M v U 2 V j d G l v b j E u b S C i G A A o o B Q A A A A A A A A A A A A A A A A A A A A A A A A A A A D V W G 1 v 2 z Y Q / m 4 g / 0 F g g U A C B G 9 J 1 3 3 p M q B 1 m q x d m m S x s a E w D E G 2 m E S r J A o k 1 c Q w / N 9 3 R 7 1 R E m U n b t K u M R D L x 5 d 7 7 u 7 h 3 V G C L m T I E m u c f x + 8 3 h v s D c S t z 2 l g v S A n b 8 d W K G k s i H V k R V T u D S z 4 G 7 O M L y h I 3 t 0 v a D T 8 h / H P c 8 Y + 2 y d h R I c j l k i a S G H n g 6 O M c / h Z z X F W 0 3 M / p k f k i j F 5 H H I y W 0 + L J b M p y q w g 5 I C F 8 e V s 9 f N 6 n w y H P y E C L / U 5 r J O U i + F 9 J O 6 J 4 7 g 5 m v e I z 5 v 4 8 w g h 5 d h W U 5 Q e E T V G 3 D / D J D g i a g r q O / a l P y t W v y B X N G Z f w N o L e U u 5 N W J R F i f K X j V / O K Y R w C n E t q b M X Z H r u f A U u A U L K H G t S l A + 3 3 C W p f g D b J d C c j / 1 R D a v p C y T a S b r W X K Z q m 3 C Z B F l A f X C x I t h 5 4 i s n Q r u 6 N Z P b g D u B O d W K C f c T 8 Q 1 4 3 E O F A e F 3 W e b u + p C f 5 / I X 3 8 Z 4 r r 1 2 t k b h I l R n 8 6 O E W f p 2 e i N 2 M C M 3 u C X a / X o G y 0 8 2 G J i r h A N + k R 9 D n a g C y 1 J 7 + X a t c B K c H v K w 0 S W I 0 k W z y l X Y 3 c 0 v L l t D 2 i O f h M E a G U m J I s 1 G C D O A d h t p B A 4 o e D A E / U X t 9 Y U N s n k L e O 2 c M h s H y f s T x E n P A / x e R L K i O I P 4 u x G x z Z K 4 C Q G F f W 1 2 F h S S 1 A p w + Q G H 1 P O g k y d e k 8 s R c n a 0 m N e u U L 3 Y e 0 0 8 p F S K S z F V I E J Z M F B F Q 9 9 z Q 1 N I p k N 0 x l 1 y d m C C k G D / z O t e h j y Q x C k x Y / H c 6 G K k F V W h m J x L q 3 m F d t 5 1 9 x X m 6 L s i x 9 l t C G p d 8 O d r K 8 h 2 l O n R 2 N y w K y x A X N P H r m i C Z A z 6 E Y q H 6 g j 1 Y C O I D b 5 p / 7 R g q U H p k o A a k 4 3 T O p b x w o V H H w L u 1 y x u w 6 n U G Z 3 7 S m 4 b E 9 L b T P r t 9 / B D 1 H k N M 5 / c 2 / 9 3 I + p D + b s f O q 1 5 T 9 K P f k R s 8 U u 1 e Q S d G Z J K C 3 V 4 l i 2 y E N l n f 5 x 6 n z v a n O d e k E I P V k 4 z x C 1 m X q 5 l 0 Y s n o c J t V d l g X G b t c r V K b z e 0 f k l 9 f p 8 / i 0 r 9 8 N T + K Y A a 5 7 4 S D k y + 3 1 5 l 8 g d c E 4 B f P C B h c m G Z K x n M f 1 G 0 h w h 5 / Q u X 0 N c 3 B B b / u E Z v Z Y X G R h X A 3 l 3 n / p J 0 I W S y 9 V z d R 4 b o M F Y T Y X V 0 / w / s u F P K f f Q f Q + 5 A n w P n T t U s Z a D M Z V 2 N T Y l 8 O g H / z 5 d I e o j + A z 2 I U s q i G M B R J j Y N r i q X G r c P E w S V t 8 9 X 5 A x 4 7 I L E 4 R 2 2 w j T r e u C B 5 Q P 3 4 g F T Q I 4 2 8 2 2 g e G g 2 e V q q P a 5 D u K R L d 6 m G 2 y b O X U K 2 Z J r H p Y 7 6 l y z K S N t L S H b T 4 C R b c 9 z 3 W 7 H T N G / 6 4 1 2 7 9 B x T m 8 v m e d I A y V w o L e X 3 O p F 8 4 E 0 V l R T L R U y C 0 I q w O t x 7 P P l M 5 T S I h f / l Q E v q L m E V A X 0 Y Q V D G 3 h Q w W i 8 C 9 t a N E q g 4 F t N E Y S 6 I F u A b E O 3 L f P M b h D 3 Z M P D n n R o A P r 4 j J i f y V Y e 1 I R k d H H 5 q Z 0 / a 9 C m D G m s 6 w f 9 L W j L 2 N 0 b o j q / 5 P c c H V I a + Q t Q 8 T e e u w P 9 G K k B J e 5 r S a A z V x / i F r N 5 u W w C 1 4 Q G y W q N p 3 i s O n V C S e 0 u H i R E 2 d X C 8 6 p c X g b U K + 8 l u I u i D 6 Q K L / C l 7 6 V A Z V l F v r C K Q d + S J d L 2 n K 9 5 2 9 W w o f Z / H h l N 3 Y S d Q V 9 t D 7 R U m T J B S 8 E J Z 3 E + A f 8 P j + E f 8 K i a X 6 i b F t p m W q C d g f q 4 g y K J 8 D K b o O P f L o 9 p F M b I a x v R w U S z d Y d m 6 1 o v 0 g y c e n 5 D u z R + G p N f b j f 5 U B X C b 2 J l q e V p b N t u 2 k s 9 c T y / e d X x f 7 h 9 r z f Y 9 2 q 7 g V o v 8 5 y G K R W 7 G 1 X V p 3 G d N 1 q V F J E Y L X z V y j e G X S + r s 2 P V x 3 X T / i Y 8 f c f e Z E U 2 D x + j x Y h P P w 1 d F W 2 C b z S i h t N i u 7 6 x x A 6 z r D O i t 5 9 t t B M V x 1 Z N k k G 8 q 2 5 O U a j a x I b 6 p I a R Y 1 B y o F g 6 + p u 0 v k L c W 4 c 7 w F 3 y O q / C P S V Y b A + p 5 v p d G u w W c r e u 0 V u 6 5 v 8 A U E s B A i 0 A F A A C A A g A 0 X 1 b W P R 0 D 3 a k A A A A 9 g A A A B I A A A A A A A A A A A A A A A A A A A A A A E N v b m Z p Z y 9 Q Y W N r Y W d l L n h t b F B L A Q I t A B Q A A g A I A N F 9 W 1 g P y u m r p A A A A O k A A A A T A A A A A A A A A A A A A A A A A P A A A A B b Q 2 9 u d G V u d F 9 U e X B l c 1 0 u e G 1 s U E s B A i 0 A F A A C A A g A 0 X 1 b W F Z U M K e e B Q A A c R 0 A A B M A A A A A A A A A A A A A A A A A 4 Q E A A E Z v c m 1 1 b G F z L 1 N l Y 3 R p b 2 4 x L m 1 Q S w U G A A A A A A M A A w D C A A A A z 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F A A A A A A A A B 6 U 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V D Z 5 e m l p a U 8 3 U U l F Y k J F d D V m O U h h Q m t s d W N I V j B j d 0 F B Q U F B Q U F B Q U F B Q U N 3 O D J y a j d S a X Z R S U 4 v R 1 V Y a X h Q e X l D R l J 2 U V h C d 1 p X N W t B Q U F C Q U F B Q S I g L z 4 8 L 1 N 0 Y W J s Z U V u d H J p Z X M + P C 9 J d G V t P j x J d G V t P j x J d G V t T G 9 j Y X R p b 2 4 + P E l 0 Z W 1 U e X B l P k Z v c m 1 1 b G E 8 L 0 l 0 Z W 1 U e X B l P j x J d G V t U G F 0 a D 5 T Z W N 0 a W 9 u M S 9 D c m 9 w T E N B c z w v S X R l b V B h d G g + P C 9 J d G V t T G 9 j Y X R p b 2 4 + P F N 0 Y W J s Z U V u d H J p Z X M + P E V u d H J 5 I F R 5 c G U 9 I k l z U H J p d m F 0 Z S I g V m F s d W U 9 I m w w I i A v P j x F b n R y e S B U e X B l P S J G a W x s R W 5 h Y m x l Z C I g V m F s d W U 9 I m w w I i A v P j x F b n R y e S B U e X B l P S J G a W x s V G 9 E Y X R h T W 9 k Z W x F b m F i b G V k I i B W Y W x 1 Z T 0 i b D A i I C 8 + P E V u d H J 5 I F R 5 c G U 9 I l J l c 3 V s d F R 5 c G U i I F Z h b H V l P S J z V G F i b G U i I C 8 + P E V u d H J 5 I F R 5 c G U 9 I k Z p b G x l Z E N v b X B s Z X R l U m V z d W x 0 V G 9 X b 3 J r c 2 h l Z X Q i I F Z h b H V l P S J s M C I g L z 4 8 R W 5 0 c n k g V H l w Z T 0 i U X V l c n l H c m 9 1 c E l E I i B W Y W x 1 Z T 0 i c 2 U z N m F m M 2 I w L T E 4 Z W Q t N D B h Z i 0 4 M z d m L T E 5 N D V l M m M 0 Z m N i M i I g L z 4 8 R W 5 0 c n k g V H l w Z T 0 i T m F 2 a W d h d G l v b l N 0 Z X B O Y W 1 l I i B W Y W x 1 Z T 0 i c 0 5 h d m l n Y X R p b 2 4 i I C 8 + P E V u d H J 5 I F R 5 c G U 9 I l F 1 Z X J 5 S U Q i I F Z h b H V l P S J z O W Q 3 N D N i N G M t Z G N l Z S 0 0 M T Y w L W I 1 Y j Y t N G E 3 N z B i M j Y 3 Z D g y I i A v P j x F b n R y e S B U e X B l P S J C d W Z m Z X J O Z X h 0 U m V m c m V z a C I g V m F s d W U 9 I m w x I i A v P j x F b n R y e S B U e X B l P S J G a W x s T 2 J q Z W N 0 V H l w Z S I g V m F s d W U 9 I n N D b 2 5 u Z W N 0 a W 9 u T 2 5 s e S I g L z 4 8 R W 5 0 c n k g V H l w Z T 0 i R m l s b F N 0 Y X R 1 c y I g V m F s d W U 9 I n N D b 2 1 w b G V 0 Z S I g L z 4 8 R W 5 0 c n k g V H l w Z T 0 i R m l s b E x h c 3 R V c G R h d G V k I i B W Y W x 1 Z T 0 i Z D I w M j Q t M D I t M j d U M j A 6 N D Y 6 M z I u N D E x N z U 5 N V o i I C 8 + P E V u d H J 5 I F R 5 c G U 9 I k Z p b G x F c n J v c k N v Z G U i I F Z h b H V l P S J z V W 5 r b m 9 3 b i I g L z 4 8 R W 5 0 c n k g V H l w Z T 0 i Q W R k Z W R U b 0 R h d G F N b 2 R l b C I g V m F s d W U 9 I m w w I i A v P j w v U 3 R h Y m x l R W 5 0 c m l l c z 4 8 L 0 l 0 Z W 0 + P E l 0 Z W 0 + P E l 0 Z W 1 M b 2 N h d G l v b j 4 8 S X R l b V R 5 c G U + R m 9 y b X V s Y T w v S X R l b V R 5 c G U + P E l 0 Z W 1 Q Y X R o P l N l Y 3 R p b 2 4 x L 0 N y b 3 B M Q 0 F z L 1 N v d X J j Z T w v S X R l b V B h d G g + P C 9 J d G V t T G 9 j Y X R p b 2 4 + P F N 0 Y W J s Z U V u d H J p Z X M g L z 4 8 L 0 l 0 Z W 0 + P E l 0 Z W 0 + P E l 0 Z W 1 M b 2 N h d G l v b j 4 8 S X R l b V R 5 c G U + R m 9 y b X V s Y T w v S X R l b V R 5 c G U + P E l 0 Z W 1 Q Y X R o P l N l Y 3 R p b 2 4 x L 1 B y b 2 N l c 3 N l Z E x D Q X M 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C I g L z 4 8 R W 5 0 c n k g V H l w Z T 0 i R m l s b F R v R G F 0 Y U 1 v Z G V s R W 5 h Y m x l Z C I g V m F s d W U 9 I m w w I i A v P j x F b n R y e S B U e X B l P S J G a W x s Z W R D b 2 1 w b G V 0 Z V J l c 3 V s d F R v V 2 9 y a 3 N o Z W V 0 I i B W Y W x 1 Z T 0 i b D A i I C 8 + P E V u d H J 5 I F R 5 c G U 9 I l J l Y 2 9 2 Z X J 5 V G F y Z 2 V 0 U 2 h l Z X Q i I F Z h b H V l P S J z U 2 h l Z X Q y I i A v P j x F b n R y e S B U e X B l P S J S Z W N v d m V y e V R h c m d l d E N v b H V t b i I g V m F s d W U 9 I m w x I i A v P j x F b n R y e S B U e X B l P S J S Z W N v d m V y e V R h c m d l d F J v d y I g V m F s d W U 9 I m w x I i A v P j x F b n R y e S B U e X B l P S J R d W V y e U d y b 3 V w S U Q i I F Z h b H V l P S J z Z T M 2 Y W Y z Y j A t M T h l Z C 0 0 M G F m L T g z N 2 Y t M T k 0 N W U y Y z R m Y 2 I y I i A v P j x F b n R y e S B U e X B l P S J O Y X Z p Z 2 F 0 a W 9 u U 3 R l c E 5 h b W U i I F Z h b H V l P S J z T m F 2 a W d h d G l v b i I g L z 4 8 R W 5 0 c n k g V H l w Z T 0 i R m l s b E 9 i a m V j d F R 5 c G U i I F Z h b H V l P S J z Q 2 9 u b m V j d G l v b k 9 u b H k i I C 8 + P E V u d H J 5 I F R 5 c G U 9 I l F 1 Z X J 5 S U Q i I F Z h b H V l P S J z Y T k 4 Z j U 2 Z W I t Y 2 N i M C 0 0 N W Z l L W I 5 O T g t N z Q w M D h k M j I 3 Y j c 3 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j Z X N z Z W R M Q 0 F z L 0 N o Y W 5 n Z W Q g V H l w Z S 5 7 U 3 V i a X R l b S h z K S w z f S Z x d W 9 0 O y w m c X V v d D t T Z W N 0 a W 9 u M S 9 Q c m 9 j Z X N z Z W R M Q 0 F z L 0 N o Y W 5 n Z W Q g V H l w Z S 5 7 U H J v Y 2 V z c 2 V k I G l 0 Z W 0 s M j Z 9 J n F 1 b 3 Q 7 L C Z x d W 9 0 O 1 N l Y 3 R p b 2 4 x L 1 B y b 2 N l c 3 N l Z E x D Q X M v Q 2 h h b m d l Z C B U e X B l L n t T Z X R 0 a W 5 n L D V 9 J n F 1 b 3 Q 7 L C Z x d W 9 0 O 1 N l Y 3 R p b 2 4 x L 1 B y b 2 N l c 3 N l Z E x D Q X M v Q 2 h h b m d l Z C B U e X B l L n t r Z y B D T z J l I C 8 g a 2 c g c H J v Y 2 V z c 2 V k I G l 0 Z W 0 s M j h 9 J n F 1 b 3 Q 7 L C Z x d W 9 0 O 1 N l Y 3 R p b 2 4 x L 1 B y b 2 N l c 3 N l Z E x D Q X M v Q 2 h h b m d l Z C B U e X B l L n t X Z W l n a H Q s M j V 9 J n F 1 b 3 Q 7 L C Z x d W 9 0 O 1 N l Y 3 R p b 2 4 x L 1 B y b 2 N l c 3 N l Z E x D Q X M v Q 2 h h b m d l Z C B U e X B l L n t N Z W V 0 c y B p b m N s d X N p b 2 4 g Y 3 J p d G V y a W E s M j l 9 J n F 1 b 3 Q 7 X S w m c X V v d D t D b 2 x 1 b W 5 D b 3 V u d C Z x d W 9 0 O z o 2 L C Z x d W 9 0 O 0 t l e U N v b H V t b k 5 h b W V z J n F 1 b 3 Q 7 O l t d L C Z x d W 9 0 O 0 N v b H V t b k l k Z W 5 0 a X R p Z X M m c X V v d D s 6 W y Z x d W 9 0 O 1 N l Y 3 R p b 2 4 x L 1 B y b 2 N l c 3 N l Z E x D Q X M v Q 2 h h b m d l Z C B U e X B l L n t T d W J p d G V t K H M p L D N 9 J n F 1 b 3 Q 7 L C Z x d W 9 0 O 1 N l Y 3 R p b 2 4 x L 1 B y b 2 N l c 3 N l Z E x D Q X M v Q 2 h h b m d l Z C B U e X B l L n t Q c m 9 j Z X N z Z W Q g a X R l b S w y N n 0 m c X V v d D s s J n F 1 b 3 Q 7 U 2 V j d G l v b j E v U H J v Y 2 V z c 2 V k T E N B c y 9 D a G F u Z 2 V k I F R 5 c G U u e 1 N l d H R p b m c s N X 0 m c X V v d D s s J n F 1 b 3 Q 7 U 2 V j d G l v b j E v U H J v Y 2 V z c 2 V k T E N B c y 9 D a G F u Z 2 V k I F R 5 c G U u e 2 t n I E N P M m U g L y B r Z y B w c m 9 j Z X N z Z W Q g a X R l b S w y O H 0 m c X V v d D s s J n F 1 b 3 Q 7 U 2 V j d G l v b j E v U H J v Y 2 V z c 2 V k T E N B c y 9 D a G F u Z 2 V k I F R 5 c G U u e 1 d l a W d o d C w y N X 0 m c X V v d D s s J n F 1 b 3 Q 7 U 2 V j d G l v b j E v U H J v Y 2 V z c 2 V k T E N B c y 9 D a G F u Z 2 V k I F R 5 c G U u e 0 1 l Z X R z I G l u Y 2 x 1 c 2 l v b i B j c m l 0 Z X J p Y S w y O X 0 m c X V v d D t d L C Z x d W 9 0 O 1 J l b G F 0 a W 9 u c 2 h p c E l u Z m 8 m c X V v d D s 6 W 1 1 9 I i A v P j x F b n R y e S B U e X B l P S J G a W x s T G F z d F V w Z G F 0 Z W Q i I F Z h b H V l P S J k M j A y N C 0 w M i 0 y N 1 Q y M D o 0 N j o z M i 4 0 M T E 3 N T k 1 W i I g L z 4 8 R W 5 0 c n k g V H l w Z T 0 i R m l s b E V y c m 9 y Q 2 9 k Z S I g V m F s d W U 9 I n N V b m t u b 3 d u I i A v P j x F b n R y e S B U e X B l P S J B Z G R l Z F R v R G F 0 Y U 1 v Z G V s I i B W Y W x 1 Z T 0 i b D A i I C 8 + P C 9 T d G F i b G V F b n R y a W V z P j w v S X R l b T 4 8 S X R l b T 4 8 S X R l b U x v Y 2 F 0 a W 9 u P j x J d G V t V H l w Z T 5 G b 3 J t d W x h P C 9 J d G V t V H l w Z T 4 8 S X R l b V B h d G g + U 2 V j d G l v b j E v U H J v Y 2 V z c 2 V k T E N B c y 9 T b 3 V y Y 2 U 8 L 0 l 0 Z W 1 Q Y X R o P j w v S X R l b U x v Y 2 F 0 a W 9 u P j x T d G F i b G V F b n R y a W V z I C 8 + P C 9 J d G V t P j x J d G V t P j x J d G V t T G 9 j Y X R p b 2 4 + P E l 0 Z W 1 U e X B l P k Z v c m 1 1 b G E 8 L 0 l 0 Z W 1 U e X B l P j x J d G V t U G F 0 a D 5 T Z W N 0 a W 9 u M S 9 Q c m 9 j Z X N z Z W R M Q 0 F z L 1 J l b W 9 2 Z W Q l M j B P d G h l c i U y M E N v b H V t b n M 8 L 0 l 0 Z W 1 Q Y X R o P j w v S X R l b U x v Y 2 F 0 a W 9 u P j x T d G F i b G V F b n R y a W V z I C 8 + P C 9 J d G V t P j x J d G V t P j x J d G V t T G 9 j Y X R p b 2 4 + P E l 0 Z W 1 U e X B l P k Z v c m 1 1 b G E 8 L 0 l 0 Z W 1 U e X B l P j x J d G V t U G F 0 a D 5 T Z W N 0 a W 9 u M S 9 Q c m 9 j Z X N z Z W R M Q 0 F z L 1 J l b m F t Z W Q l M j B D b 2 x 1 b W 5 z P C 9 J d G V t U G F 0 a D 4 8 L 0 l 0 Z W 1 M b 2 N h d G l v b j 4 8 U 3 R h Y m x l R W 5 0 c m l l c y A v P j w v S X R l b T 4 8 S X R l b T 4 8 S X R l b U x v Y 2 F 0 a W 9 u P j x J d G V t V H l w Z T 5 G b 3 J t d W x h P C 9 J d G V t V H l w Z T 4 8 S X R l b V B h d G g + U 2 V j d G l v b j E v U H J v Y 2 V z c 2 V k T E N B c y 9 G a W x 0 Z X J l Z C U y M F J v d 3 M 8 L 0 l 0 Z W 1 Q Y X R o P j w v S X R l b U x v Y 2 F 0 a W 9 u P j x T d G F i b G V F b n R y a W V z I C 8 + P C 9 J d G V t P j x J d G V t P j x J d G V t T G 9 j Y X R p b 2 4 + P E l 0 Z W 1 U e X B l P k Z v c m 1 1 b G E 8 L 0 l 0 Z W 1 U e X B l P j x J d G V t U G F 0 a D 5 T Z W N 0 a W 9 u M S 9 T Z W F m b 2 9 k T E N B c z w v S X R l b V B h d G g + P C 9 J d G V t T G 9 j Y X R p b 2 4 + P F N 0 Y W J s Z U V u d H J p Z X M + P E V u d H J 5 I F R 5 c G U 9 I k l z U H J p d m F 0 Z S I g V m F s d W U 9 I m w w I i A v P j x F b n R y e S B U e X B l P S J G a W x s R W 5 h Y m x l Z C I g V m F s d W U 9 I m w w I i A v P j x F b n R y e S B U e X B l P S J G a W x s V G 9 E Y X R h T W 9 k Z W x F b m F i b G V k I i B W Y W x 1 Z T 0 i b D A i I C 8 + P E V u d H J 5 I F R 5 c G U 9 I k 5 h d m l n Y X R p b 2 5 T d G V w T m F t Z S I g V m F s d W U 9 I n N O Y X Z p Z 2 F 0 a W 9 u I i A v P j x F b n R y e S B U e X B l P S J G a W x s Z W R D b 2 1 w b G V 0 Z V J l c 3 V s d F R v V 2 9 y a 3 N o Z W V 0 I i B W Y W x 1 Z T 0 i b D A i I C 8 + P E V u d H J 5 I F R 5 c G U 9 I l F 1 Z X J 5 R 3 J v d X B J R C I g V m F s d W U 9 I n N l M z Z h Z j N i M C 0 x O G V k L T Q w Y W Y t O D M 3 Z i 0 x O T Q 1 Z T J j N G Z j Y j I i I C 8 + P E V u d H J 5 I F R 5 c G U 9 I l F 1 Z X J 5 S U Q i I F Z h b H V l P S J z M j Y y M G U w N T E t M G U 4 N y 0 0 Y z Q 1 L T k x M j c t N z l k Y z A y O D I 4 M 2 M x I i A v P j x F b n R y e S B U e X B l P S J S Z X N 1 b H R U e X B l I i B W Y W x 1 Z T 0 i c 1 R h Y m x l I i A v P j x F b n R y e S B U e X B l P S J C d W Z m Z X J O Z X h 0 U m V m c m V z a C I g V m F s d W U 9 I m w x I i A v P j x F b n R y e S B U e X B l P S J G a W x s U 3 R h d H V z I i B W Y W x 1 Z T 0 i c 0 N v b X B s Z X R l I i A v P j x F b n R y e S B U e X B l P S J G a W x s T 2 J q Z W N 0 V H l w Z S I g V m F s d W U 9 I n N D b 2 5 u Z W N 0 a W 9 u T 2 5 s e S I g L z 4 8 R W 5 0 c n k g V H l w Z T 0 i R m l s b E x h c 3 R V c G R h d G V k I i B W Y W x 1 Z T 0 i Z D I w M j Q t M D I t M j d U M j A 6 N D Y 6 M z I u N D E x N z U 5 N V o i I C 8 + P E V u d H J 5 I F R 5 c G U 9 I k Z p b G x F c n J v c k N v Z G U i I F Z h b H V l P S J z V W 5 r b m 9 3 b i I g L z 4 8 R W 5 0 c n k g V H l w Z T 0 i Q W R k Z W R U b 0 R h d G F N b 2 R l b C I g V m F s d W U 9 I m w w I i A v P j w v U 3 R h Y m x l R W 5 0 c m l l c z 4 8 L 0 l 0 Z W 0 + P E l 0 Z W 0 + P E l 0 Z W 1 M b 2 N h d G l v b j 4 8 S X R l b V R 5 c G U + R m 9 y b X V s Y T w v S X R l b V R 5 c G U + P E l 0 Z W 1 Q Y X R o P l N l Y 3 R p b 2 4 x L 1 N l Y W Z v b 2 R M Q 0 F z L 1 N v d X J j Z T w v S X R l b V B h d G g + P C 9 J d G V t T G 9 j Y X R p b 2 4 + P F N 0 Y W J s Z U V u d H J p Z X M g L z 4 8 L 0 l 0 Z W 0 + P E l 0 Z W 0 + P E l 0 Z W 1 M b 2 N h d G l v b j 4 8 S X R l b V R 5 c G U + R m 9 y b X V s Y T w v S X R l b V R 5 c G U + P E l 0 Z W 1 Q Y X R o P l N l Y 3 R p b 2 4 x L 1 N l Y W Z v b 2 R M Q 0 F z L 1 J l b W 9 2 Z W Q l M j B P d G h l c i U y M E N v b H V t b n M 8 L 0 l 0 Z W 1 Q Y X R o P j w v S X R l b U x v Y 2 F 0 a W 9 u P j x T d G F i b G V F b n R y a W V z I C 8 + P C 9 J d G V t P j x J d G V t P j x J d G V t T G 9 j Y X R p b 2 4 + P E l 0 Z W 1 U e X B l P k Z v c m 1 1 b G E 8 L 0 l 0 Z W 1 U e X B l P j x J d G V t U G F 0 a D 5 T Z W N 0 a W 9 u M S 9 Q c m 9 j Z X N z Z W R M Q 0 F z L 0 N o Y W 5 n Z W Q l M j B U e X B l P C 9 J d G V t U G F 0 a D 4 8 L 0 l 0 Z W 1 M b 2 N h d G l v b j 4 8 U 3 R h Y m x l R W 5 0 c m l l c y A v P j w v S X R l b T 4 8 S X R l b T 4 8 S X R l b U x v Y 2 F 0 a W 9 u P j x J d G V t V H l w Z T 5 G b 3 J t d W x h P C 9 J d G V t V H l w Z T 4 8 S X R l b V B h d G g + U 2 V j d G l v b j E v U H J v Y 2 V z c 2 V k T E N B c y 9 B Z G R l Z C U y M E N 1 c 3 R v b T w v S X R l b V B h d G g + P C 9 J d G V t T G 9 j Y X R p b 2 4 + P F N 0 Y W J s Z U V u d H J p Z X M g L z 4 8 L 0 l 0 Z W 0 + P E l 0 Z W 0 + P E l 0 Z W 1 M b 2 N h d G l v b j 4 8 S X R l b V R 5 c G U + R m 9 y b X V s Y T w v S X R l b V R 5 c G U + P E l 0 Z W 1 Q Y X R o P l N l Y 3 R p b 2 4 x L 1 N l Y W Z v b 2 R M Q 0 F z L 0 F k Z G V k J T I w Q 3 V z d G 9 t P C 9 J d G V t U G F 0 a D 4 8 L 0 l 0 Z W 1 M b 2 N h d G l v b j 4 8 U 3 R h Y m x l R W 5 0 c m l l c y A v P j w v S X R l b T 4 8 S X R l b T 4 8 S X R l b U x v Y 2 F 0 a W 9 u P j x J d G V t V H l w Z T 5 G b 3 J t d W x h P C 9 J d G V t V H l w Z T 4 8 S X R l b V B h d G g + U 2 V j d G l v b j E v Q 3 J v c E x D Q X M v U m V t b 3 Z l Z C U y M E 9 0 a G V y J T I w Q 2 9 s d W 1 u c z w v S X R l b V B h d G g + P C 9 J d G V t T G 9 j Y X R p b 2 4 + P F N 0 Y W J s Z U V u d H J p Z X M g L z 4 8 L 0 l 0 Z W 0 + P E l 0 Z W 0 + P E l 0 Z W 1 M b 2 N h d G l v b j 4 8 S X R l b V R 5 c G U + R m 9 y b X V s Y T w v S X R l b V R 5 c G U + P E l 0 Z W 1 Q Y X R o P l N l Y 3 R p b 2 4 x L 0 N y b 3 B M Q 0 F z L 0 N o Y W 5 n Z W Q l M j B U e X B l M T w v S X R l b V B h d G g + P C 9 J d G V t T G 9 j Y X R p b 2 4 + P F N 0 Y W J s Z U V u d H J p Z X M g L z 4 8 L 0 l 0 Z W 0 + P E l 0 Z W 0 + P E l 0 Z W 1 M b 2 N h d G l v b j 4 8 S X R l b V R 5 c G U + R m 9 y b X V s Y T w v S X R l b V R 5 c G U + P E l 0 Z W 1 Q Y X R o P l N l Y 3 R p b 2 4 x L 0 N y b 3 B M Q 0 F z L 0 F k Z G V k J T I w Q 3 V z d G 9 t M T w v S X R l b V B h d G g + P C 9 J d G V t T G 9 j Y X R p b 2 4 + P F N 0 Y W J s Z U V u d H J p Z X M g L z 4 8 L 0 l 0 Z W 0 + P E l 0 Z W 0 + P E l 0 Z W 1 M b 2 N h d G l v b j 4 8 S X R l b V R 5 c G U + R m 9 y b X V s Y T w v S X R l b V R 5 c G U + P E l 0 Z W 1 Q Y X R o P l N l Y 3 R p b 2 4 x L 1 B y b 2 N l c 3 N l Z E x D Q X M v Q 2 h h b m d l Z C U y M F R 5 c G U x P C 9 J d G V t U G F 0 a D 4 8 L 0 l 0 Z W 1 M b 2 N h d G l v b j 4 8 U 3 R h Y m x l R W 5 0 c m l l c y A v P j w v S X R l b T 4 8 S X R l b T 4 8 S X R l b U x v Y 2 F 0 a W 9 u P j x J d G V t V H l w Z T 5 G b 3 J t d W x h P C 9 J d G V t V H l w Z T 4 8 S X R l b V B h d G g + U 2 V j d G l v b j E v U 2 V h Z m 9 v Z E x D Q X M v Q 2 h h b m d l Z C U y M F R 5 c G U x P C 9 J d G V t U G F 0 a D 4 8 L 0 l 0 Z W 1 M b 2 N h d G l v b j 4 8 U 3 R h Y m x l R W 5 0 c m l l c y A v P j w v S X R l b T 4 8 S X R l b T 4 8 S X R l b U x v Y 2 F 0 a W 9 u P j x J d G V t V H l w Z T 5 G b 3 J t d W x h P C 9 J d G V t V H l w Z T 4 8 S X R l b V B h d G g + U 2 V j d G l v b j E v R k J T J T I w a X R l b X M 8 L 0 l 0 Z W 1 Q Y X R o P j w v S X R l b U x v Y 2 F 0 a W 9 u P j x T d G F i b G V F b n R y a W V z P j x F b n R y e S B U e X B l P S J J c 1 B y a X Z h d G U i I F Z h b H V l P S J s M C I g L z 4 8 R W 5 0 c n k g V H l w Z T 0 i T m F t Z V V w Z G F 0 Z W R B Z n R l c k Z p b G w i I F Z h b H V l P S J s M S I g L z 4 8 R W 5 0 c n k g V H l w Z T 0 i R m l s b E V u Y W J s Z W Q i I F Z h b H V l P S J s M C I g L z 4 8 R W 5 0 c n k g V H l w Z T 0 i R m l s b F R v R G F 0 Y U 1 v Z G V s R W 5 h Y m x l Z C I g V m F s d W U 9 I m w w I i A v P j x F b n R y e S B U e X B l P S J C d W Z m Z X J O Z X h 0 U m V m c m V z a C I g V m F s d W U 9 I m w x I i A v P j x F b n R y e S B U e X B l P S J S Z X N 1 b H R U e X B l I i B W Y W x 1 Z T 0 i c 1 R h Y m x l I i A v P j x F b n R y e S B U e X B l P S J G a W x s Z W R D b 2 1 w b G V 0 Z V J l c 3 V s d F R v V 2 9 y a 3 N o Z W V 0 I i B W Y W x 1 Z T 0 i b D A i I C 8 + P E V u d H J 5 I F R 5 c G U 9 I l J l Y 2 9 2 Z X J 5 V G F y Z 2 V 0 U m 9 3 I i B W Y W x 1 Z T 0 i b D E i I C 8 + P E V u d H J 5 I F R 5 c G U 9 I l J l Y 2 9 2 Z X J 5 V G F y Z 2 V 0 Q 2 9 s d W 1 u I i B W Y W x 1 Z T 0 i b D E i I C 8 + P E V u d H J 5 I F R 5 c G U 9 I l J l Y 2 9 2 Z X J 5 V G F y Z 2 V 0 U 2 h l Z X Q i I F Z h b H V l P S J z U 2 h l Z X Q y I i A v P j x F b n R y e S B U e X B l P S J R d W V y e U l E I i B W Y W x 1 Z T 0 i c z l k Z W Q 2 N D J m L T M w Y W M t N G J i Y S 0 4 M T k y L W M 2 O T k z M j M 3 N W F i Z C I g L z 4 8 R W 5 0 c n k g V H l w Z T 0 i U X V l c n l H c m 9 1 c E l E I i B W Y W x 1 Z T 0 i c 2 U y M m N l Y m Q z L T I z O G E t N D B i Y i 0 4 M T F i L T A 0 N G I 3 O T d m Z D F k Y S I g L z 4 8 R W 5 0 c n k g V H l w Z T 0 i T m F 2 a W d h d G l v b l N 0 Z X B O Y W 1 l I i B W Y W x 1 Z T 0 i c 0 5 h d m l n Y X R p b 2 4 i I C 8 + P E V u d H J 5 I F R 5 c G U 9 I k Z p b G x P Y m p l Y 3 R U e X B l I i B W Y W x 1 Z T 0 i c 0 N v b m 5 l Y 3 R p b 2 5 P b m x 5 I i A v P j x F b n R y e S B U e X B l P S J B Z G R l Z F R v R G F 0 Y U 1 v Z G V s I i B W Y W x 1 Z T 0 i b D A i I C 8 + P E V u d H J 5 I F R 5 c G U 9 I k Z p b G x F c n J v c k N v Z G U i I F Z h b H V l P S J z V W 5 r b m 9 3 b i I g L z 4 8 R W 5 0 c n k g V H l w Z T 0 i R m l s b E x h c 3 R V c G R h d G V k I i B W Y W x 1 Z T 0 i Z D I w M j Q t M D I t M j d U M j A 6 N D Y 6 M z I u M z k 2 M T M 0 M F 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l 0 Z W 1 z L 0 N o Y W 5 n Z W Q g V H l w Z S 5 7 S X R l b S B j b 2 R l L D B 9 J n F 1 b 3 Q 7 L C Z x d W 9 0 O 1 N l Y 3 R p b 2 4 x L 0 l 0 Z W 1 z L 0 N o Y W 5 n Z W Q g V H l w Z S 5 7 S X R l b S w x f S Z x d W 9 0 O y w m c X V v d D t T Z W N 0 a W 9 u M S 9 J d G V t c y 9 D a G F u Z 2 V k I F R 5 c G U u e 0 d y b 3 V w L D J 9 J n F 1 b 3 Q 7 L C Z x d W 9 0 O 1 N l Y 3 R p b 2 4 x L 0 l 0 Z W 1 z L 0 N o Y W 5 n Z W Q g V H l w Z S 5 7 T 3 V 0 c H V 0 I G d y b 3 V w L D R 9 J n F 1 b 3 Q 7 L C Z x d W 9 0 O 1 N l Y 3 R p b 2 4 x L 0 l 0 Z W 1 z L 0 N o Y W 5 n Z W Q g V H l w Z S 5 7 V H l w Z S w 1 f S Z x d W 9 0 O 1 0 s J n F 1 b 3 Q 7 Q 2 9 s d W 1 u Q 2 9 1 b n Q m c X V v d D s 6 N S w m c X V v d D t L Z X l D b 2 x 1 b W 5 O Y W 1 l c y Z x d W 9 0 O z p b X S w m c X V v d D t D b 2 x 1 b W 5 J Z G V u d G l 0 a W V z J n F 1 b 3 Q 7 O l s m c X V v d D t T Z W N 0 a W 9 u M S 9 J d G V t c y 9 D a G F u Z 2 V k I F R 5 c G U u e 0 l 0 Z W 0 g Y 2 9 k Z S w w f S Z x d W 9 0 O y w m c X V v d D t T Z W N 0 a W 9 u M S 9 J d G V t c y 9 D a G F u Z 2 V k I F R 5 c G U u e 0 l 0 Z W 0 s M X 0 m c X V v d D s s J n F 1 b 3 Q 7 U 2 V j d G l v b j E v S X R l b X M v Q 2 h h b m d l Z C B U e X B l L n t H c m 9 1 c C w y f S Z x d W 9 0 O y w m c X V v d D t T Z W N 0 a W 9 u M S 9 J d G V t c y 9 D a G F u Z 2 V k I F R 5 c G U u e 0 9 1 d H B 1 d C B n c m 9 1 c C w 0 f S Z x d W 9 0 O y w m c X V v d D t T Z W N 0 a W 9 u M S 9 J d G V t c y 9 D a G F u Z 2 V k I F R 5 c G U u e 1 R 5 c G U s N X 0 m c X V v d D t d L C Z x d W 9 0 O 1 J l b G F 0 a W 9 u c 2 h p c E l u Z m 8 m c X V v d D s 6 W 1 1 9 I i A v P j w v U 3 R h Y m x l R W 5 0 c m l l c z 4 8 L 0 l 0 Z W 0 + P E l 0 Z W 0 + P E l 0 Z W 1 M b 2 N h d G l v b j 4 8 S X R l b V R 5 c G U + R m 9 y b X V s Y T w v S X R l b V R 5 c G U + P E l 0 Z W 1 Q Y X R o P l N l Y 3 R p b 2 4 x L 0 Z C U y U y M G l 0 Z W 1 z L 1 N v d X J j Z T w v S X R l b V B h d G g + P C 9 J d G V t T G 9 j Y X R p b 2 4 + P F N 0 Y W J s Z U V u d H J p Z X M g L z 4 8 L 0 l 0 Z W 0 + P E l 0 Z W 0 + P E l 0 Z W 1 M b 2 N h d G l v b j 4 8 S X R l b V R 5 c G U + R m 9 y b X V s Y T w v S X R l b V R 5 c G U + P E l 0 Z W 1 Q Y X R o P l N l Y 3 R p b 2 4 x L 0 Z C U y U y M G l 0 Z W 1 z L 0 l 0 Z W 1 z X 1 R h Y m x l P C 9 J d G V t U G F 0 a D 4 8 L 0 l 0 Z W 1 M b 2 N h d G l v b j 4 8 U 3 R h Y m x l R W 5 0 c m l l c y A v P j w v S X R l b T 4 8 S X R l b T 4 8 S X R l b U x v Y 2 F 0 a W 9 u P j x J d G V t V H l w Z T 5 G b 3 J t d W x h P C 9 J d G V t V H l w Z T 4 8 S X R l b V B h d G g + U 2 V j d G l v b j E v R k J T J T I w a X R l b X M v U m V t b 3 Z l Z C U y M E 9 0 a G V y J T I w Q 2 9 s d W 1 u c z w v S X R l b V B h d G g + P C 9 J d G V t T G 9 j Y X R p b 2 4 + P F N 0 Y W J s Z U V u d H J p Z X M g L z 4 8 L 0 l 0 Z W 0 + P E l 0 Z W 0 + P E l 0 Z W 1 M b 2 N h d G l v b j 4 8 S X R l b V R 5 c G U + R m 9 y b X V s Y T w v S X R l b V R 5 c G U + P E l 0 Z W 1 Q Y X R o P l N l Y 3 R p b 2 4 x L 0 Z C U y U y M G l 0 Z W 1 z L 0 N o Y W 5 n Z W Q l M j B U e X B l P C 9 J d G V t U G F 0 a D 4 8 L 0 l 0 Z W 1 M b 2 N h d G l v b j 4 8 U 3 R h Y m x l R W 5 0 c m l l c y A v P j w v S X R l b T 4 8 S X R l b T 4 8 S X R l b U x v Y 2 F 0 a W 9 u P j x J d G V t V H l w Z T 5 G b 3 J t d W x h P C 9 J d G V t V H l w Z T 4 8 S X R l b V B h d G g + U 2 V j d G l v b j E v Z n B f Z G l z d H J p Y n V 0 a W 9 u 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R m l s b E V u Y W J s Z W Q i I F Z h b H V l P S J s M S I g L z 4 8 R W 5 0 c n k g V H l w Z T 0 i R m l s b F R v R G F 0 Y U 1 v Z G V s R W 5 h Y m x l Z C I g V m F s d W U 9 I m w w 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R d W V y e U l E I i B W Y W x 1 Z T 0 i c z A y Z T l h Z G Y y L T R j O T I t N D Q z M y 1 i M T U 4 L T k 5 O D g y N j Y 1 O D R m Z i I g L z 4 8 R W 5 0 c n k g V H l w Z T 0 i R m l s b F R h c m d l d C I g V m F s d W U 9 I n N m c F 9 k a X N 0 c m l i d X R p b 2 5 z I i A v P j x F b n R y e S B U e X B l P S J G a W x s T 2 J q Z W N 0 V H l w Z S I g V m F s d W U 9 I n N U Y W J s Z S I g L z 4 8 R W 5 0 c n k g V H l w Z T 0 i Q n V m Z m V y T m V 4 d F J l Z n J l c 2 g i I F Z h b H V l P S J s M S I g L z 4 8 R W 5 0 c n k g V H l w Z T 0 i R m l s b E x h c 3 R V c G R h d G V k I i B W Y W x 1 Z T 0 i Z D I w M j Q t M D I t M j d U M j A 6 N D Y 6 M z U u N D I z M T U w M V o i I C 8 + P E V u d H J 5 I F R 5 c G U 9 I k Z p b G x F c n J v c k N v d W 5 0 I i B W Y W x 1 Z T 0 i b D A i I C 8 + P E V u d H J 5 I F R 5 c G U 9 I k Z p b G x D b 2 x 1 b W 5 U e X B l c y I g V m F s d W U 9 I n N B Q U F B Q X d B R 0 J R Q U Z C U V V B Q U F Z R 0 J n W T 0 i I C 8 + P E V u d H J 5 I F R 5 c G U 9 I k Z p b G x D b 2 x 1 b W 5 O Y W 1 l c y I g V m F s d W U 9 I n N b J n F 1 b 3 Q 7 a X R l b S h z K S Z x d W 9 0 O y w m c X V v d D t z Z X R 0 a W 5 n J n F 1 b 3 Q 7 L C Z x d W 9 0 O 3 B y b 2 R 1 Y 3 R p b 2 5 f c 3 l z d G V t J n F 1 b 3 Q 7 L C Z x d W 9 0 O 2 Z i c 1 9 p d G V t X 2 N v Z G U m c X V v d D s s J n F 1 b 3 Q 7 Z m J z X 2 l 0 Z W 0 m c X V v d D s s J n F 1 b 3 Q 7 b 3 V 0 c H V 0 X 2 d y b 3 V w J n F 1 b 3 Q 7 L C Z x d W 9 0 O 3 d l a W d o d C Z x d W 9 0 O y w m c X V v d D t m b 2 9 0 c H J p b n R f d H l w Z S Z x d W 9 0 O y w m c X V v d D t m b 2 9 0 c H J p b n Q m c X V v d D s s J n F 1 b 3 Q 7 c H J v Z H V j d F 9 m c m F j d G l v b i Z x d W 9 0 O y w m c X V v d D t 2 Y W x 1 Z V 9 m c m F j d G l v b i Z x d W 9 0 O y w m c X V v d D t z b 3 V y Y 2 U m c X V v d D s s J n F 1 b 3 Q 7 T W V l d H M g a W 5 j b H V z a W 9 u I G N y a X R l c m l h J n F 1 b 3 Q 7 L C Z x d W 9 0 O 2 Z i c 1 9 n c m 9 1 c C Z x d W 9 0 O y w m c X V v d D t i b 2 9 0 c 3 R y Y X B f c 3 V i Z 3 J v d X A m c X V v d D s s J n F 1 b 3 Q 7 d H l w Z S Z x d W 9 0 O y w m c X V v d D t p b m N s d W R l X 2 l u X 2 1 v Z G V s J n F 1 b 3 Q 7 X S I g L z 4 8 R W 5 0 c n k g V H l w Z T 0 i R m l s b F N 0 Y X R 1 c y I g V m F s d W U 9 I n N D b 2 1 w b G V 0 Z S I g L z 4 8 R W 5 0 c n k g V H l w Z T 0 i R m l s b E V y c m 9 y Q 2 9 k Z S I g V m F s d W U 9 I n N V b m t u b 3 d u I i A v P j x F b n R y e S B U e X B l P S J G a W x s Q 2 9 1 b n Q i I F Z h b H V l P S J s N j U 0 I i A v P j x F b n R y e S B U e X B l P S J S Z W x h d G l v b n N o a X B J b m Z v Q 2 9 u d G F p b m V y I i B W Y W x 1 Z T 0 i c 3 s m c X V v d D t j b 2 x 1 b W 5 D b 3 V u d C Z x d W 9 0 O z o x N y w m c X V v d D t r Z X l D b 2 x 1 b W 5 O Y W 1 l c y Z x d W 9 0 O z p b X S w m c X V v d D t x d W V y e V J l b G F 0 a W 9 u c 2 h p c H M m c X V v d D s 6 W 1 0 s J n F 1 b 3 Q 7 Y 2 9 s d W 1 u S W R l b n R p d G l l c y Z x d W 9 0 O z p b J n F 1 b 3 Q 7 U 2 V j d G l v b j E v Z n B f Z G l z d H J p Y n V 0 a W 9 u c y 9 B d X R v U m V t b 3 Z l Z E N v b H V t b n M x L n t p d G V t K H M p L D B 9 J n F 1 b 3 Q 7 L C Z x d W 9 0 O 1 N l Y 3 R p b 2 4 x L 2 Z w X 2 R p c 3 R y a W J 1 d G l v b n M v Q X V 0 b 1 J l b W 9 2 Z W R D b 2 x 1 b W 5 z M S 5 7 c 2 V 0 d G l u Z y w x f S Z x d W 9 0 O y w m c X V v d D t T Z W N 0 a W 9 u M S 9 m c F 9 k a X N 0 c m l i d X R p b 2 5 z L 0 F 1 d G 9 S Z W 1 v d m V k Q 2 9 s d W 1 u c z E u e 3 B y b 2 R 1 Y 3 R p b 2 5 f c 3 l z d G V t L D J 9 J n F 1 b 3 Q 7 L C Z x d W 9 0 O 1 N l Y 3 R p b 2 4 x L 2 Z w X 2 R p c 3 R y a W J 1 d G l v b n M v Q X V 0 b 1 J l b W 9 2 Z W R D b 2 x 1 b W 5 z M S 5 7 Z m J z X 2 l 0 Z W 1 f Y 2 9 k Z S w z f S Z x d W 9 0 O y w m c X V v d D t T Z W N 0 a W 9 u M S 9 m c F 9 k a X N 0 c m l i d X R p b 2 5 z L 0 F 1 d G 9 S Z W 1 v d m V k Q 2 9 s d W 1 u c z E u e 2 Z i c 1 9 p d G V t L D R 9 J n F 1 b 3 Q 7 L C Z x d W 9 0 O 1 N l Y 3 R p b 2 4 x L 2 Z w X 2 R p c 3 R y a W J 1 d G l v b n M v Q X V 0 b 1 J l b W 9 2 Z W R D b 2 x 1 b W 5 z M S 5 7 b 3 V 0 c H V 0 X 2 d y b 3 V w L D V 9 J n F 1 b 3 Q 7 L C Z x d W 9 0 O 1 N l Y 3 R p b 2 4 x L 2 Z w X 2 R p c 3 R y a W J 1 d G l v b n M v Q X V 0 b 1 J l b W 9 2 Z W R D b 2 x 1 b W 5 z M S 5 7 d 2 V p Z 2 h 0 L D Z 9 J n F 1 b 3 Q 7 L C Z x d W 9 0 O 1 N l Y 3 R p b 2 4 x L 2 Z w X 2 R p c 3 R y a W J 1 d G l v b n M v Q X V 0 b 1 J l b W 9 2 Z W R D b 2 x 1 b W 5 z M S 5 7 Z m 9 v d H B y a W 5 0 X 3 R 5 c G U s N 3 0 m c X V v d D s s J n F 1 b 3 Q 7 U 2 V j d G l v b j E v Z n B f Z G l z d H J p Y n V 0 a W 9 u c y 9 B d X R v U m V t b 3 Z l Z E N v b H V t b n M x L n t m b 2 9 0 c H J p b n Q s O H 0 m c X V v d D s s J n F 1 b 3 Q 7 U 2 V j d G l v b j E v Z n B f Z G l z d H J p Y n V 0 a W 9 u c y 9 B d X R v U m V t b 3 Z l Z E N v b H V t b n M x L n t w c m 9 k d W N 0 X 2 Z y Y W N 0 a W 9 u L D l 9 J n F 1 b 3 Q 7 L C Z x d W 9 0 O 1 N l Y 3 R p b 2 4 x L 2 Z w X 2 R p c 3 R y a W J 1 d G l v b n M v Q X V 0 b 1 J l b W 9 2 Z W R D b 2 x 1 b W 5 z M S 5 7 d m F s d W V f Z n J h Y 3 R p b 2 4 s M T B 9 J n F 1 b 3 Q 7 L C Z x d W 9 0 O 1 N l Y 3 R p b 2 4 x L 2 Z w X 2 R p c 3 R y a W J 1 d G l v b n M v Q X V 0 b 1 J l b W 9 2 Z W R D b 2 x 1 b W 5 z M S 5 7 c 2 9 1 c m N l L D E x f S Z x d W 9 0 O y w m c X V v d D t T Z W N 0 a W 9 u M S 9 m c F 9 k a X N 0 c m l i d X R p b 2 5 z L 0 F 1 d G 9 S Z W 1 v d m V k Q 2 9 s d W 1 u c z E u e 0 1 l Z X R z I G l u Y 2 x 1 c 2 l v b i B j c m l 0 Z X J p Y S w x M n 0 m c X V v d D s s J n F 1 b 3 Q 7 U 2 V j d G l v b j E v Z n B f Z G l z d H J p Y n V 0 a W 9 u c y 9 B d X R v U m V t b 3 Z l Z E N v b H V t b n M x L n t m Y n N f Z 3 J v d X A s M T N 9 J n F 1 b 3 Q 7 L C Z x d W 9 0 O 1 N l Y 3 R p b 2 4 x L 2 Z w X 2 R p c 3 R y a W J 1 d G l v b n M v Q X V 0 b 1 J l b W 9 2 Z W R D b 2 x 1 b W 5 z M S 5 7 Y m 9 v d H N 0 c m F w X 3 N 1 Y m d y b 3 V w L D E 0 f S Z x d W 9 0 O y w m c X V v d D t T Z W N 0 a W 9 u M S 9 m c F 9 k a X N 0 c m l i d X R p b 2 5 z L 0 F 1 d G 9 S Z W 1 v d m V k Q 2 9 s d W 1 u c z E u e 3 R 5 c G U s M T V 9 J n F 1 b 3 Q 7 L C Z x d W 9 0 O 1 N l Y 3 R p b 2 4 x L 2 Z w X 2 R p c 3 R y a W J 1 d G l v b n M v Q X V 0 b 1 J l b W 9 2 Z W R D b 2 x 1 b W 5 z M S 5 7 a W 5 j b H V k Z V 9 p b l 9 t b 2 R l b C w x N n 0 m c X V v d D t d L C Z x d W 9 0 O 0 N v b H V t b k N v d W 5 0 J n F 1 b 3 Q 7 O j E 3 L C Z x d W 9 0 O 0 t l e U N v b H V t b k 5 h b W V z J n F 1 b 3 Q 7 O l t d L C Z x d W 9 0 O 0 N v b H V t b k l k Z W 5 0 a X R p Z X M m c X V v d D s 6 W y Z x d W 9 0 O 1 N l Y 3 R p b 2 4 x L 2 Z w X 2 R p c 3 R y a W J 1 d G l v b n M v Q X V 0 b 1 J l b W 9 2 Z W R D b 2 x 1 b W 5 z M S 5 7 a X R l b S h z K S w w f S Z x d W 9 0 O y w m c X V v d D t T Z W N 0 a W 9 u M S 9 m c F 9 k a X N 0 c m l i d X R p b 2 5 z L 0 F 1 d G 9 S Z W 1 v d m V k Q 2 9 s d W 1 u c z E u e 3 N l d H R p b m c s M X 0 m c X V v d D s s J n F 1 b 3 Q 7 U 2 V j d G l v b j E v Z n B f Z G l z d H J p Y n V 0 a W 9 u c y 9 B d X R v U m V t b 3 Z l Z E N v b H V t b n M x L n t w c m 9 k d W N 0 a W 9 u X 3 N 5 c 3 R l b S w y f S Z x d W 9 0 O y w m c X V v d D t T Z W N 0 a W 9 u M S 9 m c F 9 k a X N 0 c m l i d X R p b 2 5 z L 0 F 1 d G 9 S Z W 1 v d m V k Q 2 9 s d W 1 u c z E u e 2 Z i c 1 9 p d G V t X 2 N v Z G U s M 3 0 m c X V v d D s s J n F 1 b 3 Q 7 U 2 V j d G l v b j E v Z n B f Z G l z d H J p Y n V 0 a W 9 u c y 9 B d X R v U m V t b 3 Z l Z E N v b H V t b n M x L n t m Y n N f a X R l b S w 0 f S Z x d W 9 0 O y w m c X V v d D t T Z W N 0 a W 9 u M S 9 m c F 9 k a X N 0 c m l i d X R p b 2 5 z L 0 F 1 d G 9 S Z W 1 v d m V k Q 2 9 s d W 1 u c z E u e 2 9 1 d H B 1 d F 9 n c m 9 1 c C w 1 f S Z x d W 9 0 O y w m c X V v d D t T Z W N 0 a W 9 u M S 9 m c F 9 k a X N 0 c m l i d X R p b 2 5 z L 0 F 1 d G 9 S Z W 1 v d m V k Q 2 9 s d W 1 u c z E u e 3 d l a W d o d C w 2 f S Z x d W 9 0 O y w m c X V v d D t T Z W N 0 a W 9 u M S 9 m c F 9 k a X N 0 c m l i d X R p b 2 5 z L 0 F 1 d G 9 S Z W 1 v d m V k Q 2 9 s d W 1 u c z E u e 2 Z v b 3 R w c m l u d F 9 0 e X B l L D d 9 J n F 1 b 3 Q 7 L C Z x d W 9 0 O 1 N l Y 3 R p b 2 4 x L 2 Z w X 2 R p c 3 R y a W J 1 d G l v b n M v Q X V 0 b 1 J l b W 9 2 Z W R D b 2 x 1 b W 5 z M S 5 7 Z m 9 v d H B y a W 5 0 L D h 9 J n F 1 b 3 Q 7 L C Z x d W 9 0 O 1 N l Y 3 R p b 2 4 x L 2 Z w X 2 R p c 3 R y a W J 1 d G l v b n M v Q X V 0 b 1 J l b W 9 2 Z W R D b 2 x 1 b W 5 z M S 5 7 c H J v Z H V j d F 9 m c m F j d G l v b i w 5 f S Z x d W 9 0 O y w m c X V v d D t T Z W N 0 a W 9 u M S 9 m c F 9 k a X N 0 c m l i d X R p b 2 5 z L 0 F 1 d G 9 S Z W 1 v d m V k Q 2 9 s d W 1 u c z E u e 3 Z h b H V l X 2 Z y Y W N 0 a W 9 u L D E w f S Z x d W 9 0 O y w m c X V v d D t T Z W N 0 a W 9 u M S 9 m c F 9 k a X N 0 c m l i d X R p b 2 5 z L 0 F 1 d G 9 S Z W 1 v d m V k Q 2 9 s d W 1 u c z E u e 3 N v d X J j Z S w x M X 0 m c X V v d D s s J n F 1 b 3 Q 7 U 2 V j d G l v b j E v Z n B f Z G l z d H J p Y n V 0 a W 9 u c y 9 B d X R v U m V t b 3 Z l Z E N v b H V t b n M x L n t N Z W V 0 c y B p b m N s d X N p b 2 4 g Y 3 J p d G V y a W E s M T J 9 J n F 1 b 3 Q 7 L C Z x d W 9 0 O 1 N l Y 3 R p b 2 4 x L 2 Z w X 2 R p c 3 R y a W J 1 d G l v b n M v Q X V 0 b 1 J l b W 9 2 Z W R D b 2 x 1 b W 5 z M S 5 7 Z m J z X 2 d y b 3 V w L D E z f S Z x d W 9 0 O y w m c X V v d D t T Z W N 0 a W 9 u M S 9 m c F 9 k a X N 0 c m l i d X R p b 2 5 z L 0 F 1 d G 9 S Z W 1 v d m V k Q 2 9 s d W 1 u c z E u e 2 J v b 3 R z d H J h c F 9 z d W J n c m 9 1 c C w x N H 0 m c X V v d D s s J n F 1 b 3 Q 7 U 2 V j d G l v b j E v Z n B f Z G l z d H J p Y n V 0 a W 9 u c y 9 B d X R v U m V t b 3 Z l Z E N v b H V t b n M x L n t 0 e X B l L D E 1 f S Z x d W 9 0 O y w m c X V v d D t T Z W N 0 a W 9 u M S 9 m c F 9 k a X N 0 c m l i d X R p b 2 5 z L 0 F 1 d G 9 S Z W 1 v d m V k Q 2 9 s d W 1 u c z E u e 2 l u Y 2 x 1 Z G V f a W 5 f b W 9 k Z W w s M T Z 9 J n F 1 b 3 Q 7 X S w m c X V v d D t S Z W x h d G l v b n N o a X B J b m Z v J n F 1 b 3 Q 7 O l t d f S I g L z 4 8 R W 5 0 c n k g V H l w Z T 0 i Q W R k Z W R U b 0 R h d G F N b 2 R l b C I g V m F s d W U 9 I m w w I i A v P j w v U 3 R h Y m x l R W 5 0 c m l l c z 4 8 L 0 l 0 Z W 0 + P E l 0 Z W 0 + P E l 0 Z W 1 M b 2 N h d G l v b j 4 8 S X R l b V R 5 c G U + R m 9 y b X V s Y T w v S X R l b V R 5 c G U + P E l 0 Z W 1 Q Y X R o P l N l Y 3 R p b 2 4 x L 2 Z w X 2 R p c 3 R y a W J 1 d G l v b n M v U 2 9 1 c m N l P C 9 J d G V t U G F 0 a D 4 8 L 0 l 0 Z W 1 M b 2 N h d G l v b j 4 8 U 3 R h Y m x l R W 5 0 c m l l c y A v P j w v S X R l b T 4 8 S X R l b T 4 8 S X R l b U x v Y 2 F 0 a W 9 u P j x J d G V t V H l w Z T 5 G b 3 J t d W x h P C 9 J d G V t V H l w Z T 4 8 S X R l b V B h d G g + U 2 V j d G l v b j E v Z n B f Z G l z d H J p Y n V 0 a W 9 u c y 9 S Z W 1 v d m V k J T I w T 3 R o Z X I l M j B D b 2 x 1 b W 5 z P C 9 J d G V t U G F 0 a D 4 8 L 0 l 0 Z W 1 M b 2 N h d G l v b j 4 8 U 3 R h Y m x l R W 5 0 c m l l c y A v P j w v S X R l b T 4 8 S X R l b T 4 8 S X R l b U x v Y 2 F 0 a W 9 u P j x J d G V t V H l w Z T 5 G b 3 J t d W x h P C 9 J d G V t V H l w Z T 4 8 S X R l b V B h d G g + U 2 V j d G l v b j E v Z n B f Z G l z d H J p Y n V 0 a W 9 u c y 9 N Z X J n Z W Q l M j B J d G V t c z w v S X R l b V B h d G g + P C 9 J d G V t T G 9 j Y X R p b 2 4 + P F N 0 Y W J s Z U V u d H J p Z X M g L z 4 8 L 0 l 0 Z W 0 + P E l 0 Z W 0 + P E l 0 Z W 1 M b 2 N h d G l v b j 4 8 S X R l b V R 5 c G U + R m 9 y b X V s Y T w v S X R l b V R 5 c G U + P E l 0 Z W 1 Q Y X R o P l N l Y 3 R p b 2 4 x L 2 Z w X 2 R p c 3 R y a W J 1 d G l v b n M v R X h w Y W 5 k Z W Q l M j B J d G V t c z w v S X R l b V B h d G g + P C 9 J d G V t T G 9 j Y X R p b 2 4 + P F N 0 Y W J s Z U V u d H J p Z X M g L z 4 8 L 0 l 0 Z W 0 + P E l 0 Z W 0 + P E l 0 Z W 1 M b 2 N h d G l v b j 4 8 S X R l b V R 5 c G U + R m 9 y b X V s Y T w v S X R l b V R 5 c G U + P E l 0 Z W 1 Q Y X R o P l N l Y 3 R p b 2 4 x L 2 Z w X 2 R p c 3 R y a W J 1 d G l v b n M v U m V u Y W 1 l Z C U y M E N v b H V t b n M 8 L 0 l 0 Z W 1 Q Y X R o P j w v S X R l b U x v Y 2 F 0 a W 9 u P j x T d G F i b G V F b n R y a W V z I C 8 + P C 9 J d G V t P j x J d G V t P j x J d G V t T G 9 j Y X R p b 2 4 + P E l 0 Z W 1 U e X B l P k Z v c m 1 1 b G E 8 L 0 l 0 Z W 1 U e X B l P j x J d G V t U G F 0 a D 5 T Z W N 0 a W 9 u M S 9 m c F 9 k a X N 0 c m l i d X R p b 2 5 z L 0 Z p b H R l c m V k J T I w U m 9 3 c z w v S X R l b V B h d G g + P C 9 J d G V t T G 9 j Y X R p b 2 4 + P F N 0 Y W J s Z U V u d H J p Z X M g L z 4 8 L 0 l 0 Z W 0 + P E l 0 Z W 0 + P E l 0 Z W 1 M b 2 N h d G l v b j 4 8 S X R l b V R 5 c G U + R m 9 y b X V s Y T w v S X R l b V R 5 c G U + P E l 0 Z W 1 Q Y X R o P l N l Y 3 R p b 2 4 x L 2 Z w X 2 R p c 3 R y a W J 1 d G l v b n M v U 2 9 y d G V k J T I w U m 9 3 c z w v S X R l b V B h d G g + P C 9 J d G V t T G 9 j Y X R p b 2 4 + P F N 0 Y W J s Z U V u d H J p Z X M g L z 4 8 L 0 l 0 Z W 0 + P E l 0 Z W 0 + P E l 0 Z W 1 M b 2 N h d G l v b j 4 8 S X R l b V R 5 c G U + R m 9 y b X V s Y T w v S X R l b V R 5 c G U + P E l 0 Z W 1 Q Y X R o P l N l Y 3 R p b 2 4 x L 3 N 0 d W R p Z X N f c 3 V t b W F y e T w v S X R l b V B h d G g + P C 9 J d G V t T G 9 j Y X R p b 2 4 + P F N 0 Y W J s Z U V u d H J p Z X M + P E V u d H J 5 I F R 5 c G U 9 I k l z U H J p d m F 0 Z S I g V m F s d W U 9 I m w w I i A v P j x F b n R y e S B U e X B l P S J C d W Z m Z X J O Z X h 0 U m V m c m V z a C I g V m F s d W U 9 I m w x I i A v P j x F b n R y e S B U e X B l P S J O Y W 1 l V X B k Y X R l Z E F m d G V y R m l s b C I g V m F s d W U 9 I m w w I i A v P j x F b n R y e S B U e X B l P S J S Z X N 1 b H R U e X B l I i B W Y W x 1 Z T 0 i c 1 R h Y m x l I i A v P j x F b n R y e S B U e X B l P S J G a W x s R W 5 h Y m x l Z C I g V m F s d W U 9 I m w x I i A v P j x F b n R y e S B U e X B l P S J G a W x s V G 9 E Y X R h T W 9 k Z W x F b m F i b G V k I i B W Y W x 1 Z T 0 i b D A 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l F 1 Z X J 5 S U Q i I F Z h b H V l P S J z M W I w M m Q z N D A t Y W Q x Y S 0 0 O T Q x L W I w O D E t M D Z i N z Y w Z m E 0 M D h i I i A v P j x F b n R y e S B U e X B l P S J G a W x s T 2 J q Z W N 0 V H l w Z S I g V m F s d W U 9 I n N U Y W J s Z S I g L z 4 8 R W 5 0 c n k g V H l w Z T 0 i R m l s b F R h c m d l d C I g V m F s d W U 9 I n N z d H V k a W V z X 3 N 1 b W 1 h c n k i I C 8 + P E V u d H J 5 I F R 5 c G U 9 I k 5 h d m l n Y X R p b 2 5 T d G V w T m F t Z S I g V m F s d W U 9 I n N O Y X Z p Z 2 F 0 a W 9 u I i A v P j x F b n R y e S B U e X B l P S J G a W x s T G F z d F V w Z G F 0 Z W Q i I F Z h b H V l P S J k M j A y N C 0 w M i 0 y N 1 Q y M D o 0 N j o z N S 4 0 M D M w N D E y W i I g L z 4 8 R W 5 0 c n k g V H l w Z T 0 i R m l s b E N v b H V t b l R 5 c G V z I i B W Y W x 1 Z T 0 i c 0 F B V U d C Z 1 l B Q m c 9 P S I g L z 4 8 R W 5 0 c n k g V H l w Z T 0 i R m l s b E V y c m 9 y Q 2 9 1 b n Q i I F Z h b H V l P S J s M C I g L z 4 8 R W 5 0 c n k g V H l w Z T 0 i R m l s b E V y c m 9 y Q 2 9 k Z S I g V m F s d W U 9 I n N V b m t u b 3 d u I i A v P j x F b n R y e S B U e X B l P S J G a W x s Q 2 9 1 b n Q i I F Z h b H V l P S J s M T A 5 I i A v P j x F b n R y e S B U e X B l P S J G a W x s Q 2 9 s d W 1 u T m F t Z X M i I F Z h b H V l P S J z W y Z x d W 9 0 O 3 N v d X J j Z S Z x d W 9 0 O y w m c X V v d D t u d W 1 f Z G F 0 Y V 9 w b 2 l u d H M m c X V v d D s s J n F 1 b 3 Q 7 c 2 V 0 d G l u Z y h z K S Z x d W 9 0 O y w m c X V v d D t w c m 9 k d W N 0 a W 9 u X 3 N 5 c 3 R l b S h z K S Z x d W 9 0 O y w m c X V v d D t p d G V t K H M p J n F 1 b 3 Q 7 L C Z x d W 9 0 O 2 Z i c 1 9 p d G V t K H M p J n F 1 b 3 Q 7 L C Z x d W 9 0 O 3 R 5 c 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d H V k a W V z X 3 N 1 b W 1 h c n k v Q X V 0 b 1 J l b W 9 2 Z W R D b 2 x 1 b W 5 z M S 5 7 c 2 9 1 c m N l L D B 9 J n F 1 b 3 Q 7 L C Z x d W 9 0 O 1 N l Y 3 R p b 2 4 x L 3 N 0 d W R p Z X N f c 3 V t b W F y e S 9 B d X R v U m V t b 3 Z l Z E N v b H V t b n M x L n t u d W 1 f Z G F 0 Y V 9 w b 2 l u d H M s M X 0 m c X V v d D s s J n F 1 b 3 Q 7 U 2 V j d G l v b j E v c 3 R 1 Z G l l c 1 9 z d W 1 t Y X J 5 L 0 F 1 d G 9 S Z W 1 v d m V k Q 2 9 s d W 1 u c z E u e 3 N l d H R p b m c o c y k s M n 0 m c X V v d D s s J n F 1 b 3 Q 7 U 2 V j d G l v b j E v c 3 R 1 Z G l l c 1 9 z d W 1 t Y X J 5 L 0 F 1 d G 9 S Z W 1 v d m V k Q 2 9 s d W 1 u c z E u e 3 B y b 2 R 1 Y 3 R p b 2 5 f c 3 l z d G V t K H M p L D N 9 J n F 1 b 3 Q 7 L C Z x d W 9 0 O 1 N l Y 3 R p b 2 4 x L 3 N 0 d W R p Z X N f c 3 V t b W F y e S 9 B d X R v U m V t b 3 Z l Z E N v b H V t b n M x L n t p d G V t K H M p L D R 9 J n F 1 b 3 Q 7 L C Z x d W 9 0 O 1 N l Y 3 R p b 2 4 x L 3 N 0 d W R p Z X N f c 3 V t b W F y e S 9 B d X R v U m V t b 3 Z l Z E N v b H V t b n M x L n t m Y n N f a X R l b S h z K S w 1 f S Z x d W 9 0 O y w m c X V v d D t T Z W N 0 a W 9 u M S 9 z d H V k a W V z X 3 N 1 b W 1 h c n k v Q X V 0 b 1 J l b W 9 2 Z W R D b 2 x 1 b W 5 z M S 5 7 d H l w Z S w 2 f S Z x d W 9 0 O 1 0 s J n F 1 b 3 Q 7 Q 2 9 s d W 1 u Q 2 9 1 b n Q m c X V v d D s 6 N y w m c X V v d D t L Z X l D b 2 x 1 b W 5 O Y W 1 l c y Z x d W 9 0 O z p b X S w m c X V v d D t D b 2 x 1 b W 5 J Z G V u d G l 0 a W V z J n F 1 b 3 Q 7 O l s m c X V v d D t T Z W N 0 a W 9 u M S 9 z d H V k a W V z X 3 N 1 b W 1 h c n k v Q X V 0 b 1 J l b W 9 2 Z W R D b 2 x 1 b W 5 z M S 5 7 c 2 9 1 c m N l L D B 9 J n F 1 b 3 Q 7 L C Z x d W 9 0 O 1 N l Y 3 R p b 2 4 x L 3 N 0 d W R p Z X N f c 3 V t b W F y e S 9 B d X R v U m V t b 3 Z l Z E N v b H V t b n M x L n t u d W 1 f Z G F 0 Y V 9 w b 2 l u d H M s M X 0 m c X V v d D s s J n F 1 b 3 Q 7 U 2 V j d G l v b j E v c 3 R 1 Z G l l c 1 9 z d W 1 t Y X J 5 L 0 F 1 d G 9 S Z W 1 v d m V k Q 2 9 s d W 1 u c z E u e 3 N l d H R p b m c o c y k s M n 0 m c X V v d D s s J n F 1 b 3 Q 7 U 2 V j d G l v b j E v c 3 R 1 Z G l l c 1 9 z d W 1 t Y X J 5 L 0 F 1 d G 9 S Z W 1 v d m V k Q 2 9 s d W 1 u c z E u e 3 B y b 2 R 1 Y 3 R p b 2 5 f c 3 l z d G V t K H M p L D N 9 J n F 1 b 3 Q 7 L C Z x d W 9 0 O 1 N l Y 3 R p b 2 4 x L 3 N 0 d W R p Z X N f c 3 V t b W F y e S 9 B d X R v U m V t b 3 Z l Z E N v b H V t b n M x L n t p d G V t K H M p L D R 9 J n F 1 b 3 Q 7 L C Z x d W 9 0 O 1 N l Y 3 R p b 2 4 x L 3 N 0 d W R p Z X N f c 3 V t b W F y e S 9 B d X R v U m V t b 3 Z l Z E N v b H V t b n M x L n t m Y n N f a X R l b S h z K S w 1 f S Z x d W 9 0 O y w m c X V v d D t T Z W N 0 a W 9 u M S 9 z d H V k a W V z X 3 N 1 b W 1 h c n k v Q X V 0 b 1 J l b W 9 2 Z W R D b 2 x 1 b W 5 z M S 5 7 d H l w Z S w 2 f S Z x d W 9 0 O 1 0 s J n F 1 b 3 Q 7 U m V s Y X R p b 2 5 z a G l w S W 5 m b y Z x d W 9 0 O z p b X X 0 i I C 8 + P E V u d H J 5 I F R 5 c G U 9 I k F k Z G V k V G 9 E Y X R h T W 9 k Z W w i I F Z h b H V l P S J s M C I g L z 4 8 L 1 N 0 Y W J s Z U V u d H J p Z X M + P C 9 J d G V t P j x J d G V t P j x J d G V t T G 9 j Y X R p b 2 4 + P E l 0 Z W 1 U e X B l P k Z v c m 1 1 b G E 8 L 0 l 0 Z W 1 U e X B l P j x J d G V t U G F 0 a D 5 T Z W N 0 a W 9 u M S 9 z d H V k a W V z X 3 N 1 b W 1 h c n k v U 2 9 1 c m N l P C 9 J d G V t U G F 0 a D 4 8 L 0 l 0 Z W 1 M b 2 N h d G l v b j 4 8 U 3 R h Y m x l R W 5 0 c m l l c y A v P j w v S X R l b T 4 8 S X R l b T 4 8 S X R l b U x v Y 2 F 0 a W 9 u P j x J d G V t V H l w Z T 5 G b 3 J t d W x h P C 9 J d G V t V H l w Z T 4 8 S X R l b V B h d G g + U 2 V j d G l v b j E v c 3 R 1 Z G l l c 1 9 z d W 1 t Y X J 5 L 1 J l c G x h Y 2 V k J T I w V m F s d W U x P C 9 J d G V t U G F 0 a D 4 8 L 0 l 0 Z W 1 M b 2 N h d G l v b j 4 8 U 3 R h Y m x l R W 5 0 c m l l c y A v P j w v S X R l b T 4 8 S X R l b T 4 8 S X R l b U x v Y 2 F 0 a W 9 u P j x J d G V t V H l w Z T 5 G b 3 J t d W x h P C 9 J d G V t V H l w Z T 4 8 S X R l b V B h d G g + U 2 V j d G l v b j E v c 3 R 1 Z G l l c 1 9 z d W 1 t Y X J 5 L 0 d y b 3 V w Z W Q l M j B S b 3 d z P C 9 J d G V t U G F 0 a D 4 8 L 0 l 0 Z W 1 M b 2 N h d G l v b j 4 8 U 3 R h Y m x l R W 5 0 c m l l c y A v P j w v S X R l b T 4 8 S X R l b T 4 8 S X R l b U x v Y 2 F 0 a W 9 u P j x J d G V t V H l w Z T 5 G b 3 J t d W x h P C 9 J d G V t V H l w Z T 4 8 S X R l b V B h d G g + U 2 V j d G l v b j E v c 3 R 1 Z G l l c 1 9 z d W 1 t Y X J 5 L 0 F k Z G V k J T I w Q 3 V z d G 9 t M T w v S X R l b V B h d G g + P C 9 J d G V t T G 9 j Y X R p b 2 4 + P F N 0 Y W J s Z U V u d H J p Z X M g L z 4 8 L 0 l 0 Z W 0 + P E l 0 Z W 0 + P E l 0 Z W 1 M b 2 N h d G l v b j 4 8 S X R l b V R 5 c G U + R m 9 y b X V s Y T w v S X R l b V R 5 c G U + P E l 0 Z W 1 Q Y X R o P l N l Y 3 R p b 2 4 x L 3 N 0 d W R p Z X N f c 3 V t b W F y e S 9 B Z G R l Z C U y M E N 1 c 3 R v b T I 8 L 0 l 0 Z W 1 Q Y X R o P j w v S X R l b U x v Y 2 F 0 a W 9 u P j x T d G F i b G V F b n R y a W V z I C 8 + P C 9 J d G V t P j x J d G V t P j x J d G V t T G 9 j Y X R p b 2 4 + P E l 0 Z W 1 U e X B l P k Z v c m 1 1 b G E 8 L 0 l 0 Z W 1 U e X B l P j x J d G V t U G F 0 a D 5 T Z W N 0 a W 9 u M S 9 z d H V k a W V z X 3 N 1 b W 1 h c n k v Q W R k Z W Q l M j B D d X N 0 b 2 0 z P C 9 J d G V t U G F 0 a D 4 8 L 0 l 0 Z W 1 M b 2 N h d G l v b j 4 8 U 3 R h Y m x l R W 5 0 c m l l c y A v P j w v S X R l b T 4 8 S X R l b T 4 8 S X R l b U x v Y 2 F 0 a W 9 u P j x J d G V t V H l w Z T 5 G b 3 J t d W x h P C 9 J d G V t V H l w Z T 4 8 S X R l b V B h d G g + U 2 V j d G l v b j E v c 3 R 1 Z G l l c 1 9 z d W 1 t Y X J 5 L 0 F k Z G V k J T I w Q 3 V z d G 9 t P C 9 J d G V t U G F 0 a D 4 8 L 0 l 0 Z W 1 M b 2 N h d G l v b j 4 8 U 3 R h Y m x l R W 5 0 c m l l c y A v P j w v S X R l b T 4 8 S X R l b T 4 8 S X R l b U x v Y 2 F 0 a W 9 u P j x J d G V t V H l w Z T 5 G b 3 J t d W x h P C 9 J d G V t V H l w Z T 4 8 S X R l b V B h d G g + U 2 V j d G l v b j E v c 3 R 1 Z G l l c 1 9 z d W 1 t Y X J 5 L 0 V 4 c G F u Z G V k J T I w U 2 V 0 d G l u Z y h z K T w v S X R l b V B h d G g + P C 9 J d G V t T G 9 j Y X R p b 2 4 + P F N 0 Y W J s Z U V u d H J p Z X M g L z 4 8 L 0 l 0 Z W 0 + P E l 0 Z W 0 + P E l 0 Z W 1 M b 2 N h d G l v b j 4 8 S X R l b V R 5 c G U + R m 9 y b X V s Y T w v S X R l b V R 5 c G U + P E l 0 Z W 1 Q Y X R o P l N l Y 3 R p b 2 4 x L 3 N 0 d W R p Z X N f c 3 V t b W F y e S 9 F e H B h b m R l Z C U y M F B y b 2 R 1 Y 3 R p b 2 4 l M j B z e X N 0 Z W 0 o c y k 8 L 0 l 0 Z W 1 Q Y X R o P j w v S X R l b U x v Y 2 F 0 a W 9 u P j x T d G F i b G V F b n R y a W V z I C 8 + P C 9 J d G V t P j x J d G V t P j x J d G V t T G 9 j Y X R p b 2 4 + P E l 0 Z W 1 U e X B l P k Z v c m 1 1 b G E 8 L 0 l 0 Z W 1 U e X B l P j x J d G V t U G F 0 a D 5 T Z W N 0 a W 9 u M S 9 z d H V k a W V z X 3 N 1 b W 1 h c n k v R X h w Y W 5 k Z W Q l M j B T d W J p d G V t K H M p P C 9 J d G V t U G F 0 a D 4 8 L 0 l 0 Z W 1 M b 2 N h d G l v b j 4 8 U 3 R h Y m x l R W 5 0 c m l l c y A v P j w v S X R l b T 4 8 S X R l b T 4 8 S X R l b U x v Y 2 F 0 a W 9 u P j x J d G V t V H l w Z T 5 G b 3 J t d W x h P C 9 J d G V t V H l w Z T 4 8 S X R l b V B h d G g + U 2 V j d G l v b j E v c 3 R 1 Z G l l c 1 9 z d W 1 t Y X J 5 L 0 V 4 c G F u Z G V k J T I w Q 3 V z d G 9 t P C 9 J d G V t U G F 0 a D 4 8 L 0 l 0 Z W 1 M b 2 N h d G l v b j 4 8 U 3 R h Y m x l R W 5 0 c m l l c y A v P j w v S X R l b T 4 8 S X R l b T 4 8 S X R l b U x v Y 2 F 0 a W 9 u P j x J d G V t V H l w Z T 5 G b 3 J t d W x h P C 9 J d G V t V H l w Z T 4 8 S X R l b V B h d G g + U 2 V j d G l v b j E v c 3 R 1 Z G l l c 1 9 z d W 1 t Y X J 5 L 1 J l c G x h Y 2 V k J T I w V m F s d W U 8 L 0 l 0 Z W 1 Q Y X R o P j w v S X R l b U x v Y 2 F 0 a W 9 u P j x T d G F i b G V F b n R y a W V z I C 8 + P C 9 J d G V t P j x J d G V t P j x J d G V t T G 9 j Y X R p b 2 4 + P E l 0 Z W 1 U e X B l P k Z v c m 1 1 b G E 8 L 0 l 0 Z W 1 U e X B l P j x J d G V t U G F 0 a D 5 T Z W N 0 a W 9 u M S 9 z d H V k a W V z X 3 N 1 b W 1 h c n k v U m V t b 3 Z l Z C U y M E N v b H V t b n M 8 L 0 l 0 Z W 1 Q Y X R o P j w v S X R l b U x v Y 2 F 0 a W 9 u P j x T d G F i b G V F b n R y a W V z I C 8 + P C 9 J d G V t P j x J d G V t P j x J d G V t T G 9 j Y X R p b 2 4 + P E l 0 Z W 1 U e X B l P k Z v c m 1 1 b G E 8 L 0 l 0 Z W 1 U e X B l P j x J d G V t U G F 0 a D 5 T Z W N 0 a W 9 u M S 9 z d H V k a W V z X 3 N 1 b W 1 h c n k v Q W R k Z W Q l M j B D d X N 0 b 2 0 1 P C 9 J d G V t U G F 0 a D 4 8 L 0 l 0 Z W 1 M b 2 N h d G l v b j 4 8 U 3 R h Y m x l R W 5 0 c m l l c y A v P j w v S X R l b T 4 8 S X R l b T 4 8 S X R l b U x v Y 2 F 0 a W 9 u P j x J d G V t V H l w Z T 5 G b 3 J t d W x h P C 9 J d G V t V H l w Z T 4 8 S X R l b V B h d G g + U 2 V j d G l v b j E v c 3 R 1 Z G l l c 1 9 z d W 1 t Y X J 5 L 0 V 4 d H J h Y 3 R l Z C U y M F Z h b H V l c z w v S X R l b V B h d G g + P C 9 J d G V t T G 9 j Y X R p b 2 4 + P F N 0 Y W J s Z U V u d H J p Z X M g L z 4 8 L 0 l 0 Z W 0 + P E l 0 Z W 0 + P E l 0 Z W 1 M b 2 N h d G l v b j 4 8 S X R l b V R 5 c G U + R m 9 y b X V s Y T w v S X R l b V R 5 c G U + P E l 0 Z W 1 Q Y X R o P l N l Y 3 R p b 2 4 x L 3 N 0 d W R p Z X N f c 3 V t b W F y e S 9 S Z W 1 v d m V k J T I w T 3 R o Z X I l M j B D b 2 x 1 b W 5 z M T w v S X R l b V B h d G g + P C 9 J d G V t T G 9 j Y X R p b 2 4 + P F N 0 Y W J s Z U V u d H J p Z X M g L z 4 8 L 0 l 0 Z W 0 + P E l 0 Z W 0 + P E l 0 Z W 1 M b 2 N h d G l v b j 4 8 S X R l b V R 5 c G U + R m 9 y b X V s Y T w v S X R l b V R 5 c G U + P E l 0 Z W 1 Q Y X R o P l N l Y 3 R p b 2 4 x L 3 N 0 d W R p Z X N f c 3 V t b W F y e S 9 G a W x 0 Z X J l Z C U y M F J v d 3 M y P C 9 J d G V t U G F 0 a D 4 8 L 0 l 0 Z W 1 M b 2 N h d G l v b j 4 8 U 3 R h Y m x l R W 5 0 c m l l c y A v P j w v S X R l b T 4 8 S X R l b T 4 8 S X R l b U x v Y 2 F 0 a W 9 u P j x J d G V t V H l w Z T 5 G b 3 J t d W x h P C 9 J d G V t V H l w Z T 4 8 S X R l b V B h d G g + U 2 V j d G l v b j E v c 3 R 1 Z G l l c 1 9 z d W 1 t Y X J 5 L 0 1 l c m d l Z C U y M F F 1 Z X J p Z X M 8 L 0 l 0 Z W 1 Q Y X R o P j w v S X R l b U x v Y 2 F 0 a W 9 u P j x T d G F i b G V F b n R y a W V z I C 8 + P C 9 J d G V t P j x J d G V t P j x J d G V t T G 9 j Y X R p b 2 4 + P E l 0 Z W 1 U e X B l P k Z v c m 1 1 b G E 8 L 0 l 0 Z W 1 U e X B l P j x J d G V t U G F 0 a D 5 T Z W N 0 a W 9 u M S 9 z d H V k a W V z X 3 N 1 b W 1 h c n k v R X h w Y W 5 k Z W Q l M j B G Q l M l M j B p d G V t c z w v S X R l b V B h d G g + P C 9 J d G V t T G 9 j Y X R p b 2 4 + P F N 0 Y W J s Z U V u d H J p Z X M g L z 4 8 L 0 l 0 Z W 0 + P E l 0 Z W 0 + P E l 0 Z W 1 M b 2 N h d G l v b j 4 8 S X R l b V R 5 c G U + R m 9 y b X V s Y T w v S X R l b V R 5 c G U + P E l 0 Z W 1 Q Y X R o P l N l Y 3 R p b 2 4 x L 2 Z w X 2 R p c 3 R y a W J 1 d G l v b n M v U m V v c m R l c m V k J T I w Q 2 9 s d W 1 u c z w v S X R l b V B h d G g + P C 9 J d G V t T G 9 j Y X R p b 2 4 + P F N 0 Y W J s Z U V u d H J p Z X M g L z 4 8 L 0 l 0 Z W 0 + P E l 0 Z W 0 + P E l 0 Z W 1 M b 2 N h d G l v b j 4 8 S X R l b V R 5 c G U + R m 9 y b X V s Y T w v S X R l b V R 5 c G U + P E l 0 Z W 1 Q Y X R o P l N l Y 3 R p b 2 4 x L 2 Z w X 2 R p c 3 R y a W J 1 d G l v b n M v Q 2 h h b m d l Z C U y M F R 5 c G U 8 L 0 l 0 Z W 1 Q Y X R o P j w v S X R l b U x v Y 2 F 0 a W 9 u P j x T d G F i b G V F b n R y a W V z I C 8 + P C 9 J d G V t P j x J d G V t P j x J d G V t T G 9 j Y X R p b 2 4 + P E l 0 Z W 1 U e X B l P k Z v c m 1 1 b G E 8 L 0 l 0 Z W 1 U e X B l P j x J d G V t U G F 0 a D 5 T Z W N 0 a W 9 u M S 9 m c F 9 k a X N 0 c m l i d X R p b 2 5 z L 1 J l b W 9 2 Z W Q l M j B D b 2 x 1 b W 5 z P C 9 J d G V t U G F 0 a D 4 8 L 0 l 0 Z W 1 M b 2 N h d G l v b j 4 8 U 3 R h Y m x l R W 5 0 c m l l c y A v P j w v S X R l b T 4 8 L 0 l 0 Z W 1 z P j w v T G 9 j Y W x Q Y W N r Y W d l T W V 0 Y W R h d G F G a W x l P h Y A A A B Q S w U G A A A A A A A A A A A A A A A A A A A A A A A A 2 g A A A A E A A A D Q j J 3 f A R X R E Y x 6 A M B P w p f r A Q A A A J g O W l L O A O J M i o 8 E x E z h w h E A A A A A A g A A A A A A A 2 Y A A M A A A A A Q A A A A L w 7 s A 1 j M V M e d u y Q x 4 p V v 3 A A A A A A E g A A A o A A A A B A A A A A M 6 R h U R 5 s U L M s m + 8 Q 3 8 Y 5 h U A A A A F w H W t A Y N l Y K e 4 U / 1 / T y t S i o J z W N l R h y V T g S C Z i r b 2 p 1 f O V Z s 7 L M 0 M Y o 1 R 5 b 9 c Z N T 0 m g r Y 2 t X 2 5 1 4 Q H m m 2 7 5 3 Z 1 a v y J v T j e 7 p Q j t S D 1 7 q h X 8 F A A A A P b P l t Q J s 5 j y I F r b 1 q r i B T 9 l R s V c < / D a t a M a s h u p > 
</file>

<file path=customXml/itemProps1.xml><?xml version="1.0" encoding="utf-8"?>
<ds:datastoreItem xmlns:ds="http://schemas.openxmlformats.org/officeDocument/2006/customXml" ds:itemID="{4F0084F4-AADC-4A16-B786-1B75882F45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ghge_crops_insects</vt:lpstr>
      <vt:lpstr>ghge_aqua</vt:lpstr>
      <vt:lpstr>ghge_combined</vt:lpstr>
      <vt:lpstr>ghge_studies_summary</vt:lpstr>
      <vt:lpstr>root_dir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Brent F.</dc:creator>
  <cp:lastModifiedBy>Brent Kim</cp:lastModifiedBy>
  <dcterms:created xsi:type="dcterms:W3CDTF">2015-11-22T17:48:05Z</dcterms:created>
  <dcterms:modified xsi:type="dcterms:W3CDTF">2024-02-27T20:46:38Z</dcterms:modified>
</cp:coreProperties>
</file>