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Heuristic Evaluation" sheetId="1" r:id="rId4"/>
    <sheet state="visible" name="Summary of Evaluations" sheetId="2" r:id="rId5"/>
    <sheet state="visible" name="Evaluation Statistics" sheetId="3" r:id="rId6"/>
    <sheet state="visible" name="Summary Recommendations" sheetId="4" r:id="rId7"/>
  </sheets>
  <definedNames>
    <definedName hidden="1" localSheetId="0" name="_xlnm._FilterDatabase">'Group Heuristic Evaluation'!$A$10:$H$89</definedName>
    <definedName hidden="1" localSheetId="0" name="Z_0BFC578A_3EEF_4457_A406_DD14898E8566_.wvu.FilterData">'Group Heuristic Evaluation'!$A$10:$H$89</definedName>
    <definedName hidden="1" localSheetId="0" name="Z_D84D37BB_3987_4F2C_A5C3_1A3E38E20150_.wvu.FilterData">'Group Heuristic Evaluation'!$A$10:$H$89</definedName>
  </definedNames>
  <calcPr/>
  <customWorkbookViews>
    <customWorkbookView activeSheetId="0" maximized="1" windowHeight="0" windowWidth="0" guid="{0BFC578A-3EEF-4457-A406-DD14898E8566}" name="Group by Task "/>
    <customWorkbookView activeSheetId="0" maximized="1" windowHeight="0" windowWidth="0" guid="{D84D37BB-3987-4F2C-A5C3-1A3E38E20150}" name="Group by Task"/>
  </customWorkbookViews>
</workbook>
</file>

<file path=xl/sharedStrings.xml><?xml version="1.0" encoding="utf-8"?>
<sst xmlns="http://schemas.openxmlformats.org/spreadsheetml/2006/main" count="513" uniqueCount="286">
  <si>
    <t xml:space="preserve">Prototype Description: </t>
  </si>
  <si>
    <t>Task</t>
  </si>
  <si>
    <t>Simple Task</t>
  </si>
  <si>
    <t>The simple task covers users browsing and interacting with content posted on the app</t>
  </si>
  <si>
    <t>Moderate Task</t>
  </si>
  <si>
    <t>The moderate task has users creating their own content by recording their story to post on the app</t>
  </si>
  <si>
    <t>Complex Task</t>
  </si>
  <si>
    <t>The complex task has users assembling more structured content - a story guide, aka a themed collection of stories</t>
  </si>
  <si>
    <t>*attach images here if helpful</t>
  </si>
  <si>
    <t>Problem #</t>
  </si>
  <si>
    <t xml:space="preserve">Heuristic </t>
  </si>
  <si>
    <t>Column 1</t>
  </si>
  <si>
    <t>Severity</t>
  </si>
  <si>
    <t>Description</t>
  </si>
  <si>
    <t>Rationale</t>
  </si>
  <si>
    <t>Fix</t>
  </si>
  <si>
    <t>Found by</t>
  </si>
  <si>
    <t>H1: Visibility of System Status</t>
  </si>
  <si>
    <t>3. Complex Task</t>
  </si>
  <si>
    <t>Once the user clicks "Publish" at the end of their Share Your Story process, they are redirected to a story about the Stanford Prison Experiment, aka a placeholder for someone else's story.</t>
  </si>
  <si>
    <t xml:space="preserve">The user does not know if their story was successfully published, and being redirected to someone else's story directly after creating their own story is very confusing. </t>
  </si>
  <si>
    <t>Provide a confirmation screen that their story has been successfully published, and then provide a way to return to the main screen. They should not be redirected to someone else's story.</t>
  </si>
  <si>
    <t>A</t>
  </si>
  <si>
    <t>2. Moderate Task</t>
  </si>
  <si>
    <t>When posting a story, a user is not shown how many steps or screens there are</t>
  </si>
  <si>
    <t>System status is not evident while I'm trying to proceed with posting, and the app does not communicate some critical details (which page I'm on, how many 'next' buttons I have to push)</t>
  </si>
  <si>
    <t>A progress bar or a display that shows the user's current step of posting would more clearly communicate where they are in the task</t>
  </si>
  <si>
    <t>D</t>
  </si>
  <si>
    <t>No progress bar or display of steps in the flow of posting/curating a story guide</t>
  </si>
  <si>
    <t>System status is not evident while I'm trying to proceed with making a story guide, and the app does not communicate some critical details (which page I'm on, how many 'next' buttons I have to push)</t>
  </si>
  <si>
    <t>A progress bar or a display that shows the user's current step of creating a story guide would more clearly communicate where they are in the task</t>
  </si>
  <si>
    <t>There is no confirmation screen/pop-up/indicator after posting a story</t>
  </si>
  <si>
    <t>Users may not be informed of the system status and be unsure whether their post was successfully published</t>
  </si>
  <si>
    <t xml:space="preserve">An indicator such as pop-up on the top of the screen or a confirmation page after someone clicks publish </t>
  </si>
  <si>
    <t>D, C, A</t>
  </si>
  <si>
    <t>There is no confirmation screen/pop-up/indicator after publishing a story guide</t>
  </si>
  <si>
    <t>Users may not be informed of the system status and be unsure whether their story guide was successfully shared</t>
  </si>
  <si>
    <t>On profile unable to click to story guides - would love to be able to see that screen and what collections of story guides will look like. Additionally, when creating the story guide, I'm not sure how to label/name it so that I can find it easily when browsing on my profile amongst my other story guides</t>
  </si>
  <si>
    <t>I'm trying to differentiate between favorites and story guides - should I be saving things under favorites only when I haven't found a folder/story guide to file it under?</t>
  </si>
  <si>
    <t>Make "story guide" clickable under profile and also maybe create a "naming" option when creating story guide</t>
  </si>
  <si>
    <t>C</t>
  </si>
  <si>
    <t>H10: Help &amp; Documentation</t>
  </si>
  <si>
    <t>The information pop-up is not readable, so people looking for help and documentation would not be able to learn about story guides</t>
  </si>
  <si>
    <t>Possible solutions are either 1) change the spacing of the pop up or the screen so that the full content could be displayed 2) edit the layering so that the pop up appears over the rest of the page content.</t>
  </si>
  <si>
    <t>D, A</t>
  </si>
  <si>
    <t>When creating a story, there is an upload button - I'm not sure what is acceptable to upload</t>
  </si>
  <si>
    <t>Might require a tutorial walkthrough for the first round, but it would be helpful to understand if I am supposed to upload text or media when creating my own story</t>
  </si>
  <si>
    <t>Have a little text box below the upload button to say acceptable file types that the application can process/hold</t>
  </si>
  <si>
    <t>5. Extra Violations</t>
  </si>
  <si>
    <t>The map has a lack of documentation around zooming and scrolling features, along with how to interact with the map in general</t>
  </si>
  <si>
    <t xml:space="preserve">A lack of instruction surrounding the app's map function affects users who are not as familiar with modern map-based interfaces, and they cannot find documentation on Atlas to learn </t>
  </si>
  <si>
    <t>Buttons such as a zoom in or zoom out could help communicate this information, along with a tutorial or a help tab</t>
  </si>
  <si>
    <t>D, C</t>
  </si>
  <si>
    <t>When creating a story guide, hovering over the "i" button for more information on what a story guide is, shows a pop-up box with an explanation. However, it is mostly obscured by the rest of the screen like "Add new story" and other elements further down.</t>
  </si>
  <si>
    <t>The user cannot see/read the additional provided information.</t>
  </si>
  <si>
    <t>Make the "i" a button instead of a hover, and make it appear on top of the screen as a pop-up.</t>
  </si>
  <si>
    <t>H11: Accessible Design</t>
  </si>
  <si>
    <t>The only way to input a story is voice recording or uploading a voice file</t>
  </si>
  <si>
    <t>Not all people are willing or able to record their stories due to possible disabilities or preferences. Also the auto-transcript feature may work less well for those with stronger accents</t>
  </si>
  <si>
    <t>Consider adding additional options for accessible storytelling. It could also be possible to keep the current options/setup of the app but add text-to-speech or similar options</t>
  </si>
  <si>
    <t>1. Simple Task</t>
  </si>
  <si>
    <t>There is an unaccompanied image at the bottom of the Stanford Psych Building entry. There are no titles, subtitles, or alt text descriptions for the visually impaired to access this information.</t>
  </si>
  <si>
    <t>Adding a subtitle to the photo or alt text would help visually impaired people and those who use screen reader tools to access some of the visual information</t>
  </si>
  <si>
    <t>Though there is an auto-generated transcript in the story posting flow, there is no way to access transcripts for Previously Answered Questions on the Prison Experiment sample story</t>
  </si>
  <si>
    <t>Accessibility could be frustrating here as the questions (text only) and answers (audio only) are mixed format and introduce complications for people who need adaptations to access either visual or auditory information</t>
  </si>
  <si>
    <t>Include a read transcript option for the answer audios</t>
  </si>
  <si>
    <t>mini-map interface creates a very small touch surface that may require complex zooming-and-panning interaction.</t>
  </si>
  <si>
    <t>May result in difficulty for dexterously impaired individuals.</t>
  </si>
  <si>
    <t>Have pop-up move out of the way for location selection, while leaving a title instructing the user to pick a location to avoid confusion.</t>
  </si>
  <si>
    <t>B</t>
  </si>
  <si>
    <t>When creating a story guide, once stories that will be included in the guide are chosen, they appear in a scrollable container. On the left is four horizontal lines for each story, indicating that the user can drag each story up and down to rearrange the order of the physical path of the guide. Clicking on those lines / attempting to drag them doesn't actually do anything.</t>
  </si>
  <si>
    <t>Firstly, add the implementation for the option to rearrange the stories. (If using the horizontal bars to rearrange the stories was not the intended use, then this issue would be H8 heuristic and it should be removed.) Secondly, it doesn't seem that screen readers will be able to communicate this ability to a visually impaired person.</t>
  </si>
  <si>
    <t>Add functionality and perhaps some arrows symbolizing the ability to move the stories around.</t>
  </si>
  <si>
    <t xml:space="preserve">When creating a story guide, once stories that will be included in the guide are chosen, they appear in a scrollable container. If the user swipes on a story to the left, a red trash can icon appears, presumably to remove the story from the guide. </t>
  </si>
  <si>
    <t>Because the user must swipe to reveal the delete ability, it isn't accessible to a screen reader. Or for seniors with little to no intuition, they may not realize they can swipe to delete a story.</t>
  </si>
  <si>
    <t>Make the delete button visible without swiping.</t>
  </si>
  <si>
    <t>Minor detail - when I press the search bar on the second screen for story creation, the search bar text ends up running into the text below. Would be good to have a scroll function that allows user to view text while confining the page components</t>
  </si>
  <si>
    <t>Having an easier to read screen while keeping key components static for easy memory</t>
  </si>
  <si>
    <t>Have a smaller box for text and have a scroll bar or resize the elements on the screen?</t>
  </si>
  <si>
    <t>C, A</t>
  </si>
  <si>
    <t>4. All Tasks</t>
  </si>
  <si>
    <t>"Share A Story!" button is clickable but that was not obvious to me as a new user</t>
  </si>
  <si>
    <t>I understand the need for a sleek design, but for the older population it might be helpful to make certain buttons, such as the "share a story" one more "clicky" looking - having a shadow or some sort of outline shape to it</t>
  </si>
  <si>
    <t>change design of this button and perhaps others to look more physically clickable</t>
  </si>
  <si>
    <t>H12: Value Alignment &amp; Inclusion</t>
  </si>
  <si>
    <t>No privacy settings</t>
  </si>
  <si>
    <t>While security is one of your values, the publishing interface provides no option or indication of how publicly visible a story will be</t>
  </si>
  <si>
    <t>Add an option to choose story visibility to the publishing screen, or a confirmation dialog telling the user that their story will be visible to the public</t>
  </si>
  <si>
    <t>Several buttons are quite small, including but not limited to those on the Previously Answered Questions section</t>
  </si>
  <si>
    <t>Values important to designing for older adults (esp. on a small interface like a phone) suggest that accessibility and flexibility are important as many older adults struggle with clicking on small buttons and inputs</t>
  </si>
  <si>
    <t>Make sure that buttons are not too small on a standard phone and that there is enough of an area for people with less mobility/accuracy to select the options they want to click on</t>
  </si>
  <si>
    <t xml:space="preserve">The time when the effect occurred is not featured prominently on the Stanford Prison Experiment story example </t>
  </si>
  <si>
    <t xml:space="preserve">In an app that focuses on documenting the past and connecting generations, there is value in displaying the year when something occurred relatively prominently in the visual hierarchy </t>
  </si>
  <si>
    <t>Make the year/decade/general time of occurrence a tag or a more prominent text field to better suggest intergenerational storytelling values</t>
  </si>
  <si>
    <t>Though personalization was stated to be a prioritized value, there are few personalizable options on across the app, whether in story posting flows or users' personal profiles</t>
  </si>
  <si>
    <t>It appears that the lack of personalization/customization/in-app cosmetics points of a lack of personalization being prioritized</t>
  </si>
  <si>
    <t>Small additions in the story posting flow or users' profiles (such as an about me section, or being able to change their featured stories etc.) could show more value alignment with personalization</t>
  </si>
  <si>
    <t>H2: Match b/w System &amp; World</t>
  </si>
  <si>
    <t xml:space="preserve">When creating a story guide, it seems that selecting a filter option in Add New Story automatically populates the guide with stories. </t>
  </si>
  <si>
    <t xml:space="preserve">It seems that the user is intended to be able to select stories to add to their guide, but for some reason it is autoselected. This doesn't seem to help the user in this process in a natural or logical order. </t>
  </si>
  <si>
    <t>Allow the user to select stories to add to their guide manually instead of atuofililng it for them. Perhaps a pop-up page/menu with stories they can browse.</t>
  </si>
  <si>
    <t>On the user's own profile page, there is an option for them to like their own posts.</t>
  </si>
  <si>
    <t>Liking one's own post likely isn't part of a general mental model of someone who is trying to view their own content.</t>
  </si>
  <si>
    <t>It could help to convey more relevant information using that space, such as showing the number of likes rather than solely allowing the user to favourite their own content. (Or maybe a combination, like on Reddit)</t>
  </si>
  <si>
    <t>When I click Psychology Building page -&gt; sample story -&gt; back button, I land on the Psychology Building page. When I click Profile -&gt; sample story -&gt; back button, I also land on the Psychology Building page</t>
  </si>
  <si>
    <t>Though this could be a Figma limitation, this is a incoherency between a user's expectation of a back button's function and the button's actual function</t>
  </si>
  <si>
    <t>Ensure that all back buttons link to the user's last visited page</t>
  </si>
  <si>
    <t>When scrolling through the stories on my user profile, I am scrolling horizontally as opposed to vertically</t>
  </si>
  <si>
    <t>I feel like it would be much more intuitive for the stories to be listed vertically and have vertical scroll given that the UI is fit to a phone screen</t>
  </si>
  <si>
    <t>Perhaps list stories in two columns going vertically down the user profile page</t>
  </si>
  <si>
    <t>It is not extremely clear how users can minimize the Add New Story pop-up on the Create Story Guide page, as the + button does not convey minimizing when the pop-up is open</t>
  </si>
  <si>
    <t>In the world, the + sign typically suggests adding or expanding, so there is a mismatch between the existing state of the button and its actual functions</t>
  </si>
  <si>
    <t>When the pop-up is triggered, change the + sign to an - sign to better reflect users' typical expectations</t>
  </si>
  <si>
    <t>The function of the circle button is not immediately intuitive, and there is limited visual context given as circles convey many different things (e.g. camera, confirm, multiple choice) in visual design</t>
  </si>
  <si>
    <t>Ensure to clarify what the circle does in a tutorial/help page, especially in a way older adults understand and/or modify the circle into something that more clearly conveys its function (an example would an information icon or book etc.)</t>
  </si>
  <si>
    <t>D, C, B</t>
  </si>
  <si>
    <t>I'm not sure I understand the relevance of the walking man figure + time under all conditions. If I am just browsing the application and exploring virtually but not physically, then what numbers would the walking time show.</t>
  </si>
  <si>
    <t>Largely trying to understand the scope of the app - is it primed for in person use only? Can we shift that to be more broad and encourage exploration online before going in person? (so that we don't have people standing randomly in places while trying to find their next destination through the app</t>
  </si>
  <si>
    <t>Perhaps have a different travel aspect like clicking on the story and getting directions/travel time by car/bike/bus, etc. Or having a feature where it exports the location to a navigation app</t>
  </si>
  <si>
    <t>H3: User Control &amp; Freedom</t>
  </si>
  <si>
    <t>When creating a story, once a location is selected, it shows a page about the location along with a new "Share a Story" button.  Clicking the back "&lt;" button for some reason redirects to the story about the Stanford Prison Experiment, aka a placeholder for a story.</t>
  </si>
  <si>
    <t>At this step, users presumably already recorded their story. Clicking back "&lt;" should not redirect them to someone else's story, which is confusing and seems to get rid of their own progress in making a story, as there is no way to return to the page where they've already recorded their story and are trying to select the location.</t>
  </si>
  <si>
    <t>Make the back "&lt;" button go to the previously-visited page.</t>
  </si>
  <si>
    <t>There is no settings or edit page on the user profile</t>
  </si>
  <si>
    <t>It appears there's currently no way for users to exert control over their profile photo, username, and other information</t>
  </si>
  <si>
    <t>There should be a settings option or button that allows the user to change some of their profile information. Though this may be an oversight due to the fact this is med fidelity, ensure that the design incorporates this eventually.</t>
  </si>
  <si>
    <t>When in the user profile page, there is both a back "&lt;" button and a close "X" button. Initially the back "&lt;" doesn't do anything, but after clicking on a story under the "Recently Added" stories in the user profile, the back "&lt;" button now redirects to a page about the physical location of the story.</t>
  </si>
  <si>
    <t>This can be very confusing for users who were trying to go back to the previously visited page. Consistency should preserve the purpose of the button, an "undo". This mismatch causes a feeling of "getting lost" in the app because I pressed a button and suddenly don't know how I got to this new page that isn't relevant to what I was seeing before.</t>
  </si>
  <si>
    <t>Clicking on a pin on the map opens a physical location, which contains at least one story. Clicking the back "&lt;" button redirects to a page on nearby stories. There is no way to return to the page on the physical location without exiting and starting over.</t>
  </si>
  <si>
    <t xml:space="preserve">Users may feel lost as they don't have a direct way to return to the page they were previously on. </t>
  </si>
  <si>
    <t>Add a redo "&gt;" button on the right side.</t>
  </si>
  <si>
    <t xml:space="preserve">Clicking on a physical location pin, then a story, then the back "&lt;" button leads back to the physical location page. Clicking on a physical location pin, then the back "&lt;" button which shows the Nearby Stories page, then a story, then the back "&lt;" button, also leads back to the physical location page. </t>
  </si>
  <si>
    <t>This back "&lt;" button does not maintain consistency on what it does. Users may be confused on where they are in the app and how to return to their previously visited page, and may be confused with what the back "&lt;" button actually does.</t>
  </si>
  <si>
    <t>Clicking the search bar at the top of the map allows the user to search for locations that have stories under them. Selecting a location in the pop-up menu of the search bar opens a screen on that location. Clicking the back button redirects to the Stanford Prison Experiment story (presumably a placeholder for some story).</t>
  </si>
  <si>
    <t xml:space="preserve">This is confusing and it doesn't seem relevant to redirect to a story if the user hadn't clicked on it intentionally. At this stage the user is trying to find new stories, and perhaps clicked on the wrong location. </t>
  </si>
  <si>
    <t>Clicking the back "&lt;" button should redirect to the previously visited page. In this case, it should redirect back to the main map screen with the pop-up menu (for suggested locations) visible, while clicking the close "X" page should close both the location screen *and* the pop-up menu.</t>
  </si>
  <si>
    <t>The vocabulary around story searching is largely framed in terms of "Top Stories", but there is no way to sort or view stories through other means</t>
  </si>
  <si>
    <t>Preventing users from refining searches how they wish to limits the control and freedom they have over finding stories in the ways they wish to find them</t>
  </si>
  <si>
    <t>Adding sorting functions such as popular, recent, most questions asked, nearest etc. would give users an additional level of autonomy in exploring content</t>
  </si>
  <si>
    <t xml:space="preserve">On the user profile, I expect to be able to press "pins visited" or "stories shared" to view my own browsing history but am not able to </t>
  </si>
  <si>
    <t>Minor thing but as a user I would want to have the ability to see what I previously browsed or viewed, in case the app crashed or reloaded and I can't find a story anymore</t>
  </si>
  <si>
    <t>Have these portions of the profile clickable and have new screens associated</t>
  </si>
  <si>
    <t>Would love for the "favorites" tab in my profile to have a sorting function for locations, pins, story guides, stories, etc.</t>
  </si>
  <si>
    <t>Would allow me to operate the favorites tab like an archive</t>
  </si>
  <si>
    <t>Just fleshing out the screen for the favorites tab in the profile</t>
  </si>
  <si>
    <t>Would love to be able to move around the main screen with a zoom in/zoom out feature and then a little arrow that brings me back to where I'm currently located on the map</t>
  </si>
  <si>
    <t>Would help me navigate my place on the map and also browse to find stories/pins that are located in specific areas that are not central to my locale</t>
  </si>
  <si>
    <t>Add in Maps/Google Maps type buttons for manipulating the map interface</t>
  </si>
  <si>
    <t>H4: Consistency &amp; Standards</t>
  </si>
  <si>
    <t>There is no standardization of length or content guidelines on how someone should be writing their description. Given that the description is featured prominently on the sample story, this negatively impacts the consistency across Atlas story pins</t>
  </si>
  <si>
    <t>Add clues about how a poster should be writing their story, whether through sample descriptions, rules/guidelines, or a pre-made AI sample description. It could also be helpful to implement length requirements here.</t>
  </si>
  <si>
    <t>It is not clear who authors the information below searched tags like Silicon Valley. Without a clear mechanism to author these, there can be a lack of standards across descriptions</t>
  </si>
  <si>
    <t>Set up a clearer mechanism, such as community-written and reviewed tag descriptors, sourcing from Wikipedia, using an AI with consistent prompting.</t>
  </si>
  <si>
    <t>Heart button on map pin ambiguous</t>
  </si>
  <si>
    <t>I'm not sure what it means to have hearted locations/the heart button doesn't make sense to me being placed next to the "share a story" rectangle. Is the heart button meant to allow me to save or pin this location in my personal profile?</t>
  </si>
  <si>
    <t>maybe have a different pinning button or bookmark button for locations as opposed to stories within locations?</t>
  </si>
  <si>
    <t>Close overlay button is blue, the same color as the next button</t>
  </si>
  <si>
    <t>Cancel and close buttons tend to be red or deemphasized colors, whereas blue is a positive color usually used for confirmations. In this case, it's used for the positive action of advancing or confirming actions, leading to a mismatch of meaning for the color in your app.</t>
  </si>
  <si>
    <t>Make the x the same color as the cancel button, or otherwise a deemphasized color, or at least a different color from next/publish</t>
  </si>
  <si>
    <t>There "&lt;" back button on the profile page doesn't do anything when clicked</t>
  </si>
  <si>
    <t>Having a button that cannot be interacted with is confusing to users and affects the consistency of the app experience</t>
  </si>
  <si>
    <t>Remove the back button, or ensure that it links to the previously visited page if applicable</t>
  </si>
  <si>
    <t>Record button color is inconsistent with the rest of the app</t>
  </si>
  <si>
    <t>That red color is used nowhere else and it doesn't fit the color scheme very well</t>
  </si>
  <si>
    <t>Consider making it the same red as the favorite button</t>
  </si>
  <si>
    <t>The "+" button slightly moves on the Create Story Guide page when toggling the add new story button</t>
  </si>
  <si>
    <t>Very minor situation, but this could affect the overall consistency of the page layout a little bit.</t>
  </si>
  <si>
    <t>Ensure that the button stays in place between its pressed and unpressed states.</t>
  </si>
  <si>
    <t>Story creation uses different text to prompt user to enter title and description than story guide creation</t>
  </si>
  <si>
    <t>Prompts which communicate the same information should be the same for clarity and consistency</t>
  </si>
  <si>
    <t>Change "your title here" and "your description here" on the review story page to "add title" and "add description," or do the reverse on the review and publish story guide page.</t>
  </si>
  <si>
    <t>Story creation and story guide creation have inconsistent wording for their review and publish screen</t>
  </si>
  <si>
    <t>Pages which have the same functionality should be titled consistently to avoid confusing users</t>
  </si>
  <si>
    <t>Call both pages "review and publish" or "review" instead of having one as one and the other as the other.</t>
  </si>
  <si>
    <t>H5: Error Prevention</t>
  </si>
  <si>
    <t xml:space="preserve">When creating a story, once a location is selected, it shows a page about the location along with a new "Share a Story" button.  </t>
  </si>
  <si>
    <t>At this step, users presumably already recorded their story and should just be selecting a location, and moving forward. This page creates an infinite loop where the user is unable to create a story, because they click create -&gt; record -&gt; choose a location -&gt; this page erases their recording and clicking "Share a story" redirects back to the beginning "record" page.</t>
  </si>
  <si>
    <t>Ensure that the user's recording has been saved, and change the "Share a story" button into a "Next" button to proceed in selecting this location and continue in the process to share a story.</t>
  </si>
  <si>
    <t>When creating a story, on the "Review and Publish" page, users have the options to go Back, Publish, or click the close "X" button. Clicking the close "X" button entirely closes the screen and brings the user back to the map.</t>
  </si>
  <si>
    <t xml:space="preserve">This is at the very end of the Share your story process. If a user accidentally clicks the close "X" button, all their progress is erased and there is no way to recover it. </t>
  </si>
  <si>
    <t>Add a confirmation button before following through with the action--perhaps a pop up screen titled "Are you sure?" with the options "Yes--take me back to the map", "No--I'm not done making my story", and perhaps even another option "Yes--save this story to my drafts".</t>
  </si>
  <si>
    <t>There are no length limits or moderation warnings for the "Ask the Storyteller a Question" text input box on the sample story</t>
  </si>
  <si>
    <t>Without both length and content limitations, there is a chance where users would use the feature in an erroneous or malicious manner</t>
  </si>
  <si>
    <t>Add a character length to questions and a set of warnings or community guidelines they need to agree to before posting a question</t>
  </si>
  <si>
    <t>There is no clear way for users to delete or edit their stories after they have been published</t>
  </si>
  <si>
    <t>Users cannot prevent errors or fix their errors once they have posted the content on the Atlas app</t>
  </si>
  <si>
    <t>Ensure there is a clear way to delete and/or modify posts. One possible solution is to replace the like button on the user's own profile with options to edit/delete</t>
  </si>
  <si>
    <t>Users can accidentally click on pins covered by the map while the search bar is toggled and opened.</t>
  </si>
  <si>
    <t>This could cause errors or misclicks when a user wants to click something on the search bar but ends up triggering the pin instead.</t>
  </si>
  <si>
    <t>Making pins covered by the search unclickable until the search tab is minimized.</t>
  </si>
  <si>
    <t>A user can play multiple audios at once in the Previously Answered Questions section of the sample story</t>
  </si>
  <si>
    <t>Users who accidentally trigger multiple audios at once would need to go through all questions and manually look for the overlapping audio</t>
  </si>
  <si>
    <t>Ensure that users can only play one audio at once by either 1) stop all concurrent audios when a user clicks on a new audio 2) displaying an error message/'are you sure?' message when a user tries to do so</t>
  </si>
  <si>
    <t>"Add to a story guide" button not clickable</t>
  </si>
  <si>
    <t>Just need to have a series of screens added to the associated button so that we can follow the sequence to add to any given story guide. A furhter question - when someone creates a story guide, can they "lock" it such that they are the only one who can post to it? or are other users always able to add to any browsable story guide?</t>
  </si>
  <si>
    <t>&lt;-</t>
  </si>
  <si>
    <t>Unable to click out of most boxes</t>
  </si>
  <si>
    <t>When I accidentally press a button, I would like to be able to click elsewhere on the screen in "neutral" areas so that I can return to my previous screen/close out the pop-up box</t>
  </si>
  <si>
    <t>Create an automatic backstep in the sequence where if users click elsewhere on the screen, the current active pop-up box disappears</t>
  </si>
  <si>
    <t>To add a story to a story guide, users click the "ADD TO STORY GUIDE" button.</t>
  </si>
  <si>
    <t>This button may be misclicked on accident as it is large, centered, and draws the attention on the screen.</t>
  </si>
  <si>
    <t>Add a confirmation button before following through with the action.</t>
  </si>
  <si>
    <t>H6: Recognition not Recall</t>
  </si>
  <si>
    <t>There is no button to trigger voice search on the search bar pop-up that reads 'Try saying "I want to hear a story about firefighters"'</t>
  </si>
  <si>
    <t>Without having a pressable indicator, users have to recall that there exists a spoken search function or read the suggestion message to remind themselves it exists</t>
  </si>
  <si>
    <t>Adding a microphone icon button or something similar in the search bar would suggest that text input and speech both function</t>
  </si>
  <si>
    <t>To get to the Nearby Stories page, the user has to click on a pin and then click the back "&lt;" button. If the back "&lt;" button is clicked from a story page, it returns to the physical location page, and then clicking "&lt;" again then leads to the Nearby Stories page.</t>
  </si>
  <si>
    <t xml:space="preserve">This is confusing and requires the user to remember how to navigate to the Nearby Stories page. The process to get to that page also changes depending on what page the user is viewing. </t>
  </si>
  <si>
    <t>Add a static button that leads to the Nearby Stories page.</t>
  </si>
  <si>
    <t>The "&lt;" button and the "x" button both suggest leaving the current screen, but it's not immediately recognizable how these buttons differ</t>
  </si>
  <si>
    <t>Instead of "x", using a map icon for that button could convey returning to map view.  Another possible solution is adding labels to these buttons</t>
  </si>
  <si>
    <t>There is no indication of who authored the sample story</t>
  </si>
  <si>
    <t>It would be harder for users to recall where they found the story and for them to explore additional stories by the same user</t>
  </si>
  <si>
    <t>Though there is an argument for an anonymous option, it could be good for story discovery and community building to allow users to find storytellers' profiles on stories in cases where the storytellers wish to share that information</t>
  </si>
  <si>
    <t>Reached screen with "ask the storyteller a question" box - how do I return to this question? Is there a notifications button that will ring/show when I get a reply from the storyteller?  Do the questions always have to show up publicly to the story page? A little confused about this interaction apparatus</t>
  </si>
  <si>
    <t>Feels like leaving a question in the Zoom Q&amp;A box - not sure if always questions are posted and answered publicly or how to monitor responses to my questions</t>
  </si>
  <si>
    <t>Flesh out logistics around question-asking (privacy of question, etc.) and potentially add more screens or buttons to match the logistics</t>
  </si>
  <si>
    <t>Story viewing screen does not include location</t>
  </si>
  <si>
    <t>User may lose track of where the story takes place</t>
  </si>
  <si>
    <t>Include location on story viewing screen</t>
  </si>
  <si>
    <t>Categories are not shown on review and publish screen for creating a guide</t>
  </si>
  <si>
    <t>If the user wants to review or change categories for their story they will need to go all the way back to the previous screen, potentially leading to worries about losing the title and description they've already written</t>
  </si>
  <si>
    <t>List categories on the review and publish screen, or at least add an edit categories button to make it clearer that progress won't be lost</t>
  </si>
  <si>
    <t>creation choices menu is hidden unless opened</t>
  </si>
  <si>
    <t>users may find it inconvenient to open the menu, and may forget what options they have available</t>
  </si>
  <si>
    <t>Two separate buttons could be used for creating stories and creating story guides. I would recommend leaving this as-is, despite the violation.</t>
  </si>
  <si>
    <t>H7: Flexibility &amp; Efficiency of Use</t>
  </si>
  <si>
    <t>There does not appear to be an efficient way through which someone can search/discover story guides in the same way they can look for stories</t>
  </si>
  <si>
    <t>When searching tags (i.e. search -&gt; silicon valley), we are shown top stories. There does not seem to be an efficient way to find story guides, which can confuse or frustrate users</t>
  </si>
  <si>
    <t>Suggest top story guides in the search function, or have there be an option to toggle views to see story guides on the map (ideas might be colour-coding or showing paths/threads between pins)</t>
  </si>
  <si>
    <t>Users cannot search for tags and all tags are positioned in a long checklist</t>
  </si>
  <si>
    <t xml:space="preserve">Users have limited control over being able to add or search for their own tags. Also, it limits the efficiency and flexibility of the user to make them scroll through the entire checklist of tags each time they wish to upload a story. </t>
  </si>
  <si>
    <t>A search bar for tags and/or a set of recommended tags would make the tagging process more efficient. For the purposes of user control and freedom, having a feature that allows users to create their own tags could also be a consideration.</t>
  </si>
  <si>
    <t>"Opened" version of search bar should automatically become the minimal version when I exit out of previous screens to the home page</t>
  </si>
  <si>
    <t>more fluid experience - search bar should automatically rather than manually minimize</t>
  </si>
  <si>
    <t>When creating a story guide, after clicking "Add New Story" a pop-up filter menu appears. After clicking on an option, the menu stays there.</t>
  </si>
  <si>
    <t>Clicking on an option should then minimize the filter menu so the user doesn't have to spend another step to close the filter menu. It seems to be an unneccessary additional step.</t>
  </si>
  <si>
    <t>When the user selects an option to filter by, close the pop-up menu.</t>
  </si>
  <si>
    <t>H8: Aesthetic &amp; Minimalist Design</t>
  </si>
  <si>
    <t>When creating a story, once a location is selected, it shows a page about the location. If you scroll down you are able to click pins that exist in the vicinity of this location, which brings you to that story page.  Furthermore, clicking the back "&lt;" button brings the user to the physical location of that story, instead of back to their Share Your Story process.</t>
  </si>
  <si>
    <t>At this step, users presumably have recorded their story. They should not be able to accidentally leave their process, thereby erasing their recording. It does not seem relevant to be able to explore others' pins in an area when the user is trying to create their own story.</t>
  </si>
  <si>
    <t>Remove the map of other people's pins in the nearby area entirely. At this point in the process users should only be shown items that further their progress in sharing their story. Also, make the back "&lt;" button go to the previously-visited page.</t>
  </si>
  <si>
    <t>When creating a story guide, clicking "Add New Story" shows a pop-up menu on filter options the user can use to find stories they want to add to their guide. One of these options is "Add New Story".</t>
  </si>
  <si>
    <t>Clicking on it doesn't seem to do anything different from the other filter options, but it seems to me that this is intended for the user to be able to create a new story. This would be confusing as the user's intent here is to create a story guide, and being redirected to the "Share your story" page is odd. Also, I am unsure if the user's progress in creating a story guide is saved--let's say they fill out some of the aspects of creating a story guide and then go to add their own, new story to it. Was their progress saved? Overall, this seems overcomplicated and a combination of two separate tasks that should remain separate.</t>
  </si>
  <si>
    <t>Remove the option for the user to create their own story when creating a story guide. These should remain two separate tasks.</t>
  </si>
  <si>
    <t>On the Stanford Psychology Building location page, there is an unexplained and unexpected white gradient on one side of the horizontal scrolling bar that affects the overall aesthetics of the area and breaks the flow of visuals</t>
  </si>
  <si>
    <t>The gradient should be removed or placed in a more intentional location such as at the edge of the scroll</t>
  </si>
  <si>
    <t>The slight misalignment between the background map and the snapshot of the pin on the Psych Building page could affect aesthetics and lead to a cluttered view when the app displays real maps on both these placeholder screens</t>
  </si>
  <si>
    <t>There might be an advantage in trying to align these maps if possible, though this is a very minor and nitpicked issue</t>
  </si>
  <si>
    <t>The UI-in-map-in-popup-in-map nesting of ui elements on the location pop-up screen is overly complicated. It leads to unecessarily cluttered UI and wasted space</t>
  </si>
  <si>
    <t>Consider only covering part of the screen with the popup so that the location is still visible, and putting relavant information about the location in the popup instead of in another mini-popup over the pin</t>
  </si>
  <si>
    <t>The icons for stories and story guides are the same. This design causes a lack of clarity visually.</t>
  </si>
  <si>
    <t>Change the icon of either Stories or Story Guides</t>
  </si>
  <si>
    <t xml:space="preserve">In the final "Review and Publish" page, there is an image of a pin and some horizontal lines inbetween the recording playback and the Categories section. </t>
  </si>
  <si>
    <t>This image does not seem to provide any additional information / it seems irrelevant.</t>
  </si>
  <si>
    <t>Remove the image.</t>
  </si>
  <si>
    <t>H9: Help Users with Errors</t>
  </si>
  <si>
    <t>Pressing "cancel" on the Create Story screen takes me back to the profile page rather than the previous page I visited (i.e. Stanford Psych Building location page)</t>
  </si>
  <si>
    <t>In the case that a user wants to return from the story posting flow, they would need extra steps to recover from their error as they now have to navigate from the profile page to their last page in some cases.</t>
  </si>
  <si>
    <t>Either the cancel button should be rerouted to the user's last visited screen or the language should be more clear where this would lead (e.g. "return to profile"). In addition, it would make sense to ensure users can differentiate between "cancel" and the "x" button in cases of error recovery.</t>
  </si>
  <si>
    <t>There is no error message or explanation as to why the "next" button is grayed out on the first Create Story Guide page when users try to proceed without having added any stories</t>
  </si>
  <si>
    <t>When faced with this situation, users have to diagnose and identify their own error without clear indication from the app about why they cannot proceed</t>
  </si>
  <si>
    <t>Add a short message to the effect of "Please add at least 2 stories to your Story Guide before proceeding" in cases where users have not done so</t>
  </si>
  <si>
    <t>The cancel button and the "x" button have the exact same function on the first Create Story Guide page</t>
  </si>
  <si>
    <t>This design is redundant and can confuse users who are trying to recover for misclicks or errors</t>
  </si>
  <si>
    <t>The cancel button may not be needed on the first Create Story Guide page</t>
  </si>
  <si>
    <t>Heuristic</t>
  </si>
  <si>
    <t># Viol. (sev 0)</t>
  </si>
  <si>
    <t># Viol. (sev 1)</t>
  </si>
  <si>
    <t># Viol. (sev 2)</t>
  </si>
  <si>
    <t># Viol. (sev 3)</t>
  </si>
  <si>
    <t># Viol. (sev 4)</t>
  </si>
  <si>
    <t># Viol. (total)</t>
  </si>
  <si>
    <t>H12. ​​Value Alignment &amp; Inclusion</t>
  </si>
  <si>
    <t>Total Violations</t>
  </si>
  <si>
    <t>* for this to calculate properly, delete any unused rows from your 'Group Heuristic Evaluation' chart!</t>
  </si>
  <si>
    <r>
      <rPr>
        <rFont val="Arial"/>
        <b/>
        <color theme="1"/>
      </rPr>
      <t xml:space="preserve">Evaluator A 
</t>
    </r>
    <r>
      <rPr>
        <rFont val="Arial"/>
        <b/>
        <i/>
        <color theme="1"/>
      </rPr>
      <t>[your name here]</t>
    </r>
  </si>
  <si>
    <r>
      <rPr>
        <rFont val="Arial"/>
        <b/>
        <color theme="1"/>
      </rPr>
      <t xml:space="preserve">Evaluator B
</t>
    </r>
    <r>
      <rPr>
        <rFont val="Arial"/>
        <b/>
        <i/>
        <color theme="1"/>
      </rPr>
      <t>[your name here]</t>
    </r>
  </si>
  <si>
    <r>
      <rPr>
        <rFont val="Arial"/>
        <b/>
        <color theme="1"/>
      </rPr>
      <t xml:space="preserve">Evaluator C 
</t>
    </r>
    <r>
      <rPr>
        <rFont val="Arial"/>
        <b/>
        <i/>
        <color theme="1"/>
      </rPr>
      <t>[your name here]</t>
    </r>
  </si>
  <si>
    <r>
      <rPr>
        <rFont val="Arial"/>
        <b/>
        <color theme="1"/>
      </rPr>
      <t xml:space="preserve">Evaluator D 
</t>
    </r>
    <r>
      <rPr>
        <rFont val="Arial"/>
        <b/>
        <i/>
        <color theme="1"/>
      </rPr>
      <t>[your name here]</t>
    </r>
  </si>
  <si>
    <t>Total (sevs. 3 &amp; 4)</t>
  </si>
  <si>
    <t>Total (all sevs)</t>
  </si>
  <si>
    <r>
      <rPr>
        <rFont val="Arial"/>
        <b/>
        <color theme="1"/>
      </rPr>
      <t xml:space="preserve">Summary Recommendations </t>
    </r>
    <r>
      <rPr>
        <rFont val="Arial"/>
        <b val="0"/>
        <i/>
        <color theme="1"/>
      </rPr>
      <t>[merge the general recommendations you made here]</t>
    </r>
  </si>
  <si>
    <t>Our main observations for your app centered around information availability and accessibility. We also had some feedback about the consistency of the interface and some navigation issues, as well as a few edge cases you might want to consider.
With regards to information availability, we found that there were a number of places throughout the app where it was easy to get lost or lose context for what was being done. Common trends were the back button not going where I thought it would, the lack of a redo button, and buttons redirecting me elsewhere and erasing my progress in a specific task. However, the screens seemed otherwise straightforward and easy to understand regarding what I could do on that screen.  We would recommend adding interface elements which help with keeping track of where you are in various flows.
The accessibility issues mainly revolved around absence of accessibility features mentioned in your values slides, as well as other necessary accessibility considerations. We recommend implementing the voice controls and wheelchair accessibility features that were mentioned, as well as improving button visibility and prioritizing interfaces that don’t require a high amount of dexterity to navigate. We would recommend to ensure that important buttons aren't hidden/nested (ex. you have to swipe to see a button), as seniors may have very limited technological intuition and may not realize they can do that, and for those with screen readers.
Most of our consistency recommendations are more minor nitpicks, but please recall that it’s important to ensure matching phrasing across different prompts and titles which indicate similar behavior, to avoid user confusion.
In terms of navigation issues, we mainly ran into confusion with inconsistent back and cancel button behaviors, likely as a result of limitations of the Figma prototypes. When going through the app, I generally had an idea of what I was supposed to do given the visuals and buttons, but then was blindsided because clicking those buttons didn't match my intuition of what was supposed to happen. I imagine that seniors with very little intuition of how technology is supposed to work in the first place would struggle quite a bit here.  Some relinking of screens or creation of more explicit backwards sequences should resolve these issues well. If any such drawbacks make it into the final design, it will be a relatively large inconvenience to users.
Outside of heuristic violations, we were also considering some edge cases as Atlas continues to be iterated upon. Two examples of edge cases we’ve identified include locations that lack population density and multilingual or non-English speaking regions. As per needfinding, it could be helpful to consider various users who may face non-standard experiences while using Atlas. 
Overall, great job on your medium fidelity prototype! We look forward to seeing Atlas and its future developments!</t>
  </si>
  <si>
    <t>Summary 2:</t>
  </si>
  <si>
    <t xml:space="preserve">Reading over my group's evaluations, it seems that their key trend centered around ease of navigation. I also agree with this, but I think the key trend that I identified that my group did not, was the idea of relevancy and intentional limitations of features. Going through the process of creating a story / a story guide, I clicked on every single option available, just to see what would happen. There were many times where I thought, "Why am I allowed to do this?". Perhaps with expert users, such issues would be trivial, but I believe it's quite impactful considering that half of your primary userbase is seniors who presumably have very little to no technological intuition. 
AKA, I think they would struggle because they would click on random things and get lost, or lose their progress in some task, and quickly become frustrated. Especially considering seniors, who generally have little patience and great difficulty with learning technology already. The biggest issues that I flagged were because, in your story creation process, the user first records their story, which is a considerably laborious task already. But then, further in the process, there are many ways that the user can accidentally exit their progress, completely losing their recording and thus having to start all over again. While in the heuristics I recommended just removing these buttons (that erase progress) entirely, if you do want to keep them, I recommend adding a popup notification, telling the user that this will cause them to lose their progress and asking for confirmation. And even better, the ability to save a story to drafts so they can pick it up later.
Overall, I think my biggest suggestion is to ensure that in each task flow, users are only shown/given relevant abilities and features. Ensure that the first task flow is finished before allowing the user to transition to a new task, and prevent abrupt interruptions. I think this would help seniors to use your app as you would reduce the mental labor and thinking necessary to complete major tasks in your app.
Moving forward, as you implement changes based on our evaluation, I highly recommend doing more testing--either with new participants or even just as the designers. You should go through tasks in your app and at each step/each screen, explore the entire decision tree (all the buttons available), and ask yourself if the outcome is relevant to whatever process the user is in. For example, if you're on a screen to create a story, try all the different buttons offered in the screen and ask yourself if the outcome of each button is relevant to the process of creating a story. This should greatly help you identify navigation and intuition issues.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</si>
</sst>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scheme val="minor"/>
    </font>
    <font>
      <color theme="1"/>
      <name val="Arial"/>
      <scheme val="minor"/>
    </font>
    <font>
      <i/>
      <color theme="1"/>
      <name val="Arial"/>
      <scheme val="minor"/>
    </font>
    <font>
      <color rgb="FF434343"/>
      <name val="Roboto"/>
    </font>
    <font>
      <color rgb="FF473821"/>
      <name val="Roboto"/>
    </font>
    <font>
      <color rgb="FF753800"/>
      <name val="Roboto"/>
    </font>
    <font>
      <color rgb="FFB10202"/>
      <name val="Roboto"/>
    </font>
    <font>
      <color theme="1"/>
      <name val="Arial"/>
    </font>
    <font>
      <color rgb="FF0A53A8"/>
      <name val="Roboto"/>
    </font>
    <font>
      <b/>
      <sz val="9.0"/>
      <color rgb="FF000000"/>
      <name val="&quot;Source Sans Pro&quot;"/>
    </font>
    <font>
      <color theme="1"/>
      <name val="Google Sans Mono"/>
    </font>
    <font>
      <sz val="9.0"/>
      <color rgb="FF000000"/>
      <name val="Google Sans Mono"/>
    </font>
    <font>
      <sz val="9.0"/>
      <color rgb="FF000000"/>
      <name val="&quot;Google Sans Mono&quot;"/>
    </font>
    <font>
      <b/>
      <color theme="1"/>
      <name val="Arial"/>
    </font>
    <font/>
  </fonts>
  <fills count="6">
    <fill>
      <patternFill patternType="none"/>
    </fill>
    <fill>
      <patternFill patternType="lightGray"/>
    </fill>
    <fill>
      <patternFill patternType="solid">
        <fgColor rgb="FFF3F3F3"/>
        <bgColor rgb="FFF3F3F3"/>
      </patternFill>
    </fill>
    <fill>
      <patternFill patternType="solid">
        <fgColor rgb="FFF6F8F9"/>
        <bgColor rgb="FFF6F8F9"/>
      </patternFill>
    </fill>
    <fill>
      <patternFill patternType="solid">
        <fgColor rgb="FFFFFFFF"/>
        <bgColor rgb="FFFFFFFF"/>
      </patternFill>
    </fill>
    <fill>
      <patternFill patternType="solid">
        <fgColor rgb="FFEFEFEF"/>
        <bgColor rgb="FFEFEFEF"/>
      </patternFill>
    </fill>
  </fills>
  <borders count="25">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000000"/>
      </left>
      <right style="thin">
        <color rgb="FF442F65"/>
      </right>
      <top style="thin">
        <color rgb="FFF6F8F9"/>
      </top>
      <bottom style="thin">
        <color rgb="FFF6F8F9"/>
      </bottom>
    </border>
    <border>
      <left style="thin">
        <color rgb="FFF6F8F9"/>
      </left>
      <right style="thin">
        <color rgb="FFFFFFFF"/>
      </right>
      <top style="thin">
        <color rgb="FFF6F8F9"/>
      </top>
      <bottom style="thin">
        <color rgb="FFF6F8F9"/>
      </bottom>
    </border>
    <border>
      <left style="thin">
        <color rgb="FF000000"/>
      </left>
      <right style="thin">
        <color rgb="FF442F65"/>
      </right>
      <top style="thin">
        <color rgb="FFFFFFFF"/>
      </top>
      <bottom style="thin">
        <color rgb="FFFFFFFF"/>
      </bottom>
    </border>
    <border>
      <left style="thin">
        <color rgb="FFFFFFFF"/>
      </left>
      <right style="thin">
        <color rgb="FFF6F8F9"/>
      </right>
      <top style="thin">
        <color rgb="FFFFFFFF"/>
      </top>
      <bottom style="thin">
        <color rgb="FFFFFFFF"/>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3" numFmtId="0" xfId="0" applyAlignment="1" applyFont="1">
      <alignment horizontal="left" readingOrder="0" shrinkToFit="0" wrapText="1"/>
    </xf>
    <xf borderId="0" fillId="2" fontId="1" numFmtId="0" xfId="0" applyAlignment="1" applyFill="1" applyFont="1">
      <alignment horizontal="left" readingOrder="0" shrinkToFit="0" wrapText="1"/>
    </xf>
    <xf borderId="0" fillId="0" fontId="2" numFmtId="0" xfId="0" applyAlignment="1" applyFont="1">
      <alignment horizontal="left" readingOrder="0" shrinkToFit="0" wrapText="1"/>
    </xf>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1"/>
    </xf>
    <xf borderId="4" fillId="3" fontId="4" numFmtId="0" xfId="0" applyAlignment="1" applyBorder="1" applyFill="1" applyFont="1">
      <alignment horizontal="right" shrinkToFit="0" vertical="center" wrapText="1"/>
    </xf>
    <xf borderId="5" fillId="3" fontId="4" numFmtId="0" xfId="0" applyAlignment="1" applyBorder="1" applyFont="1">
      <alignment readingOrder="0" shrinkToFit="0" vertical="center" wrapText="1"/>
    </xf>
    <xf borderId="5" fillId="3" fontId="5" numFmtId="0" xfId="0" applyAlignment="1" applyBorder="1" applyFont="1">
      <alignment horizontal="right" readingOrder="0" shrinkToFit="0" vertical="center" wrapText="1"/>
    </xf>
    <xf borderId="5" fillId="3" fontId="4" numFmtId="49" xfId="0" applyAlignment="1" applyBorder="1" applyFont="1" applyNumberFormat="1">
      <alignment readingOrder="0" shrinkToFit="0" vertical="center" wrapText="1"/>
    </xf>
    <xf borderId="5" fillId="3" fontId="4" numFmtId="0" xfId="0" applyAlignment="1" applyBorder="1" applyFont="1">
      <alignment readingOrder="0" shrinkToFit="0" vertical="center" wrapText="1"/>
    </xf>
    <xf borderId="6" fillId="3" fontId="4"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7" fillId="4" fontId="4" numFmtId="0" xfId="0" applyAlignment="1" applyBorder="1" applyFill="1" applyFont="1">
      <alignment horizontal="right" shrinkToFit="0" vertical="center" wrapText="1"/>
    </xf>
    <xf borderId="8" fillId="4" fontId="4" numFmtId="0" xfId="0" applyAlignment="1" applyBorder="1" applyFont="1">
      <alignment shrinkToFit="0" vertical="center" wrapText="1"/>
    </xf>
    <xf borderId="8" fillId="4" fontId="6" numFmtId="0" xfId="0" applyAlignment="1" applyBorder="1" applyFont="1">
      <alignment horizontal="right" shrinkToFit="0" vertical="center" wrapText="1"/>
    </xf>
    <xf borderId="8" fillId="4" fontId="4" numFmtId="49" xfId="0" applyAlignment="1" applyBorder="1" applyFont="1" applyNumberFormat="1">
      <alignment shrinkToFit="0" vertical="center" wrapText="1"/>
    </xf>
    <xf borderId="8" fillId="4" fontId="4" numFmtId="0" xfId="0" applyAlignment="1" applyBorder="1" applyFont="1">
      <alignment shrinkToFit="0" vertical="center" wrapText="1"/>
    </xf>
    <xf borderId="9" fillId="4" fontId="4" numFmtId="0" xfId="0" applyAlignment="1" applyBorder="1" applyFont="1">
      <alignment shrinkToFit="0" vertical="center" wrapText="1"/>
    </xf>
    <xf borderId="9" fillId="0" fontId="2" numFmtId="0" xfId="0" applyAlignment="1" applyBorder="1" applyFont="1">
      <alignment readingOrder="0" shrinkToFit="0" vertical="center" wrapText="0"/>
    </xf>
    <xf borderId="4" fillId="4" fontId="4" numFmtId="0" xfId="0" applyAlignment="1" applyBorder="1" applyFont="1">
      <alignment horizontal="right" shrinkToFit="0" vertical="center" wrapText="1"/>
    </xf>
    <xf borderId="5" fillId="4" fontId="4" numFmtId="0" xfId="0" applyAlignment="1" applyBorder="1" applyFont="1">
      <alignment shrinkToFit="0" vertical="center" wrapText="1"/>
    </xf>
    <xf borderId="5" fillId="4" fontId="6" numFmtId="0" xfId="0" applyAlignment="1" applyBorder="1" applyFont="1">
      <alignment horizontal="right" shrinkToFit="0" vertical="center" wrapText="1"/>
    </xf>
    <xf borderId="5" fillId="4" fontId="4" numFmtId="49" xfId="0" applyAlignment="1" applyBorder="1" applyFont="1" applyNumberFormat="1">
      <alignment shrinkToFit="0" vertical="center" wrapText="1"/>
    </xf>
    <xf borderId="5" fillId="4" fontId="4" numFmtId="0" xfId="0" applyAlignment="1" applyBorder="1" applyFont="1">
      <alignment shrinkToFit="0" vertical="center" wrapText="1"/>
    </xf>
    <xf borderId="6" fillId="4" fontId="4" numFmtId="0" xfId="0" applyAlignment="1" applyBorder="1" applyFont="1">
      <alignment shrinkToFit="0" vertical="center" wrapText="1"/>
    </xf>
    <xf borderId="7" fillId="3" fontId="4" numFmtId="0" xfId="0" applyAlignment="1" applyBorder="1" applyFont="1">
      <alignment horizontal="right" shrinkToFit="0" vertical="center" wrapText="1"/>
    </xf>
    <xf borderId="8" fillId="3" fontId="4" numFmtId="0" xfId="0" applyAlignment="1" applyBorder="1" applyFont="1">
      <alignment shrinkToFit="0" vertical="center" wrapText="1"/>
    </xf>
    <xf borderId="8" fillId="3" fontId="5" numFmtId="0" xfId="0" applyAlignment="1" applyBorder="1" applyFont="1">
      <alignment horizontal="right" shrinkToFit="0" vertical="center" wrapText="1"/>
    </xf>
    <xf borderId="8" fillId="3" fontId="4" numFmtId="49" xfId="0" applyAlignment="1" applyBorder="1" applyFont="1" applyNumberFormat="1">
      <alignment shrinkToFit="0" vertical="center" wrapText="1"/>
    </xf>
    <xf borderId="8" fillId="3" fontId="4" numFmtId="0" xfId="0" applyAlignment="1" applyBorder="1" applyFont="1">
      <alignment shrinkToFit="0" vertical="center" wrapText="1"/>
    </xf>
    <xf borderId="9" fillId="3" fontId="4" numFmtId="0" xfId="0" applyAlignment="1" applyBorder="1" applyFont="1">
      <alignment shrinkToFit="0" vertical="center" wrapText="1"/>
    </xf>
    <xf borderId="5" fillId="3" fontId="4" numFmtId="0" xfId="0" applyAlignment="1" applyBorder="1" applyFont="1">
      <alignment shrinkToFit="0" vertical="center" wrapText="1"/>
    </xf>
    <xf borderId="5" fillId="3" fontId="5" numFmtId="0" xfId="0" applyAlignment="1" applyBorder="1" applyFont="1">
      <alignment horizontal="right" shrinkToFit="0" vertical="center" wrapText="1"/>
    </xf>
    <xf borderId="5" fillId="3" fontId="4" numFmtId="49" xfId="0" applyAlignment="1" applyBorder="1" applyFont="1" applyNumberFormat="1">
      <alignment shrinkToFit="0" vertical="center" wrapText="1"/>
    </xf>
    <xf borderId="5" fillId="3" fontId="4" numFmtId="0" xfId="0" applyAlignment="1" applyBorder="1" applyFont="1">
      <alignment shrinkToFit="0" vertical="center" wrapText="1"/>
    </xf>
    <xf borderId="6" fillId="3" fontId="4" numFmtId="0" xfId="0" applyAlignment="1" applyBorder="1" applyFont="1">
      <alignment shrinkToFit="0" vertical="center" wrapText="1"/>
    </xf>
    <xf borderId="8" fillId="4" fontId="4" numFmtId="0" xfId="0" applyAlignment="1" applyBorder="1" applyFont="1">
      <alignment shrinkToFit="0" vertical="center" wrapText="0"/>
    </xf>
    <xf borderId="8" fillId="4" fontId="5" numFmtId="0" xfId="0" applyAlignment="1" applyBorder="1" applyFont="1">
      <alignment horizontal="right" shrinkToFit="0" vertical="center" wrapText="0"/>
    </xf>
    <xf borderId="5" fillId="3" fontId="7" numFmtId="0" xfId="0" applyAlignment="1" applyBorder="1" applyFont="1">
      <alignment horizontal="right" shrinkToFit="0" vertical="center" wrapText="1"/>
    </xf>
    <xf borderId="5" fillId="3" fontId="8" numFmtId="49" xfId="0" applyAlignment="1" applyBorder="1" applyFont="1" applyNumberFormat="1">
      <alignment shrinkToFit="0" vertical="center" wrapText="0"/>
    </xf>
    <xf borderId="8" fillId="3" fontId="4" numFmtId="0" xfId="0" applyAlignment="1" applyBorder="1" applyFont="1">
      <alignment shrinkToFit="0" vertical="center" wrapText="0"/>
    </xf>
    <xf borderId="8" fillId="3" fontId="6" numFmtId="0" xfId="0" applyAlignment="1" applyBorder="1" applyFont="1">
      <alignment horizontal="right" shrinkToFit="0" vertical="center" wrapText="0"/>
    </xf>
    <xf borderId="5" fillId="3" fontId="6" numFmtId="0" xfId="0" applyAlignment="1" applyBorder="1" applyFont="1">
      <alignment horizontal="right" shrinkToFit="0" vertical="center" wrapText="1"/>
    </xf>
    <xf borderId="8" fillId="3" fontId="4" numFmtId="0" xfId="0" applyAlignment="1" applyBorder="1" applyFont="1">
      <alignment readingOrder="0" shrinkToFit="0" vertical="center" wrapText="1"/>
    </xf>
    <xf borderId="8" fillId="3" fontId="5" numFmtId="0" xfId="0" applyAlignment="1" applyBorder="1" applyFont="1">
      <alignment horizontal="right" readingOrder="0" shrinkToFit="0" vertical="center" wrapText="1"/>
    </xf>
    <xf borderId="8" fillId="3" fontId="4" numFmtId="49" xfId="0" applyAlignment="1" applyBorder="1" applyFont="1" applyNumberFormat="1">
      <alignment readingOrder="0" shrinkToFit="0" vertical="center" wrapText="1"/>
    </xf>
    <xf borderId="8" fillId="3" fontId="4" numFmtId="0" xfId="0" applyAlignment="1" applyBorder="1" applyFont="1">
      <alignment readingOrder="0" shrinkToFit="0" vertical="center" wrapText="1"/>
    </xf>
    <xf borderId="9" fillId="3" fontId="4" numFmtId="0" xfId="0" applyAlignment="1" applyBorder="1" applyFont="1">
      <alignment readingOrder="0" shrinkToFit="0" vertical="center" wrapText="1"/>
    </xf>
    <xf borderId="8" fillId="3" fontId="6" numFmtId="0" xfId="0" applyAlignment="1" applyBorder="1" applyFont="1">
      <alignment horizontal="right" shrinkToFit="0" vertical="center" wrapText="1"/>
    </xf>
    <xf borderId="8" fillId="3" fontId="8" numFmtId="49" xfId="0" applyAlignment="1" applyBorder="1" applyFont="1" applyNumberFormat="1">
      <alignment shrinkToFit="0" vertical="center" wrapText="0"/>
    </xf>
    <xf borderId="8" fillId="3" fontId="6" numFmtId="0" xfId="0" applyAlignment="1" applyBorder="1" applyFont="1">
      <alignment horizontal="right" shrinkToFit="0" vertical="center" wrapText="1"/>
    </xf>
    <xf borderId="5" fillId="3" fontId="4" numFmtId="0" xfId="0" applyAlignment="1" applyBorder="1" applyFont="1">
      <alignment shrinkToFit="0" vertical="center" wrapText="0"/>
    </xf>
    <xf borderId="5" fillId="3" fontId="5" numFmtId="0" xfId="0" applyAlignment="1" applyBorder="1" applyFont="1">
      <alignment horizontal="right" shrinkToFit="0" vertical="center" wrapText="0"/>
    </xf>
    <xf borderId="5" fillId="3" fontId="5" numFmtId="0" xfId="0" applyAlignment="1" applyBorder="1" applyFont="1">
      <alignment horizontal="right" shrinkToFit="0" vertical="center" wrapText="1"/>
    </xf>
    <xf borderId="8" fillId="4" fontId="5" numFmtId="0" xfId="0" applyAlignment="1" applyBorder="1" applyFont="1">
      <alignment horizontal="right" shrinkToFit="0" vertical="center" wrapText="1"/>
    </xf>
    <xf borderId="8" fillId="4" fontId="8" numFmtId="49" xfId="0" applyAlignment="1" applyBorder="1" applyFont="1" applyNumberFormat="1">
      <alignment shrinkToFit="0" vertical="center" wrapText="0"/>
    </xf>
    <xf borderId="5" fillId="3" fontId="9" numFmtId="0" xfId="0" applyAlignment="1" applyBorder="1" applyFont="1">
      <alignment horizontal="right" shrinkToFit="0" vertical="center" wrapText="0"/>
    </xf>
    <xf borderId="8" fillId="3" fontId="5" numFmtId="0" xfId="0" applyAlignment="1" applyBorder="1" applyFont="1">
      <alignment horizontal="right" shrinkToFit="0" vertical="center" wrapText="0"/>
    </xf>
    <xf borderId="10" fillId="0" fontId="2" numFmtId="0" xfId="0" applyAlignment="1" applyBorder="1" applyFont="1">
      <alignment readingOrder="0" shrinkToFit="0" vertical="center" wrapText="0"/>
    </xf>
    <xf borderId="11" fillId="4" fontId="4" numFmtId="0" xfId="0" applyAlignment="1" applyBorder="1" applyFont="1">
      <alignment shrinkToFit="0" vertical="center" wrapText="1"/>
    </xf>
    <xf borderId="12" fillId="0" fontId="2" numFmtId="0" xfId="0" applyAlignment="1" applyBorder="1" applyFont="1">
      <alignment readingOrder="0" shrinkToFit="0" vertical="center" wrapText="0"/>
    </xf>
    <xf borderId="5" fillId="4" fontId="7" numFmtId="0" xfId="0" applyAlignment="1" applyBorder="1" applyFont="1">
      <alignment horizontal="right" shrinkToFit="0" vertical="center" wrapText="1"/>
    </xf>
    <xf borderId="5" fillId="4" fontId="8" numFmtId="49" xfId="0" applyAlignment="1" applyBorder="1" applyFont="1" applyNumberFormat="1">
      <alignment shrinkToFit="0" vertical="center" wrapText="0"/>
    </xf>
    <xf borderId="13" fillId="4" fontId="4" numFmtId="0" xfId="0" applyAlignment="1" applyBorder="1" applyFont="1">
      <alignment shrinkToFit="0" vertical="center" wrapText="1"/>
    </xf>
    <xf borderId="5" fillId="3" fontId="6" numFmtId="0" xfId="0" applyAlignment="1" applyBorder="1" applyFont="1">
      <alignment horizontal="right" shrinkToFit="0" vertical="center" wrapText="0"/>
    </xf>
    <xf borderId="13" fillId="3" fontId="4" numFmtId="0" xfId="0" applyAlignment="1" applyBorder="1" applyFont="1">
      <alignment shrinkToFit="0" vertical="center" wrapText="1"/>
    </xf>
    <xf borderId="11" fillId="3" fontId="4" numFmtId="0" xfId="0" applyAlignment="1" applyBorder="1" applyFont="1">
      <alignment shrinkToFit="0" vertical="center" wrapText="1"/>
    </xf>
    <xf borderId="5" fillId="4" fontId="5" numFmtId="0" xfId="0" applyAlignment="1" applyBorder="1" applyFont="1">
      <alignment horizontal="right" shrinkToFit="0" vertical="center" wrapText="1"/>
    </xf>
    <xf borderId="8" fillId="4" fontId="4" numFmtId="0" xfId="0" applyAlignment="1" applyBorder="1" applyFont="1">
      <alignment readingOrder="0" shrinkToFit="0" vertical="center" wrapText="1"/>
    </xf>
    <xf borderId="11" fillId="3" fontId="4" numFmtId="0" xfId="0" applyAlignment="1" applyBorder="1" applyFont="1">
      <alignment readingOrder="0" shrinkToFit="0" vertical="center" wrapText="1"/>
    </xf>
    <xf borderId="13" fillId="3" fontId="4" numFmtId="0" xfId="0" applyAlignment="1" applyBorder="1" applyFont="1">
      <alignment readingOrder="0" shrinkToFit="0" vertical="center" wrapText="1"/>
    </xf>
    <xf borderId="8" fillId="4" fontId="7" numFmtId="0" xfId="0" applyAlignment="1" applyBorder="1" applyFont="1">
      <alignment horizontal="right" shrinkToFit="0" vertical="center" wrapText="1"/>
    </xf>
    <xf borderId="8" fillId="4" fontId="6" numFmtId="0" xfId="0" applyAlignment="1" applyBorder="1" applyFont="1">
      <alignment horizontal="right" shrinkToFit="0" vertical="center" wrapText="0"/>
    </xf>
    <xf borderId="8" fillId="4" fontId="7" numFmtId="0" xfId="0" applyAlignment="1" applyBorder="1" applyFont="1">
      <alignment horizontal="right" shrinkToFit="0" vertical="center" wrapText="1"/>
    </xf>
    <xf borderId="8" fillId="4" fontId="4" numFmtId="0" xfId="0" applyAlignment="1" applyBorder="1" applyFont="1">
      <alignment shrinkToFit="0" vertical="center" wrapText="1"/>
    </xf>
    <xf borderId="8" fillId="4" fontId="6" numFmtId="0" xfId="0" applyAlignment="1" applyBorder="1" applyFont="1">
      <alignment horizontal="right" shrinkToFit="0" vertical="center" wrapText="1"/>
    </xf>
    <xf borderId="8" fillId="0" fontId="2" numFmtId="49" xfId="0" applyAlignment="1" applyBorder="1" applyFont="1" applyNumberFormat="1">
      <alignment readingOrder="0" shrinkToFit="0" vertical="center" wrapText="1"/>
    </xf>
    <xf borderId="5" fillId="4" fontId="9" numFmtId="0" xfId="0" applyAlignment="1" applyBorder="1" applyFont="1">
      <alignment horizontal="right" shrinkToFit="0" vertical="center" wrapText="1"/>
    </xf>
    <xf borderId="8" fillId="4" fontId="8" numFmtId="49" xfId="0" applyAlignment="1" applyBorder="1" applyFont="1" applyNumberFormat="1">
      <alignment readingOrder="0" shrinkToFit="0" vertical="center" wrapText="0"/>
    </xf>
    <xf borderId="14" fillId="3" fontId="4" numFmtId="0" xfId="0" applyAlignment="1" applyBorder="1" applyFont="1">
      <alignment horizontal="right" shrinkToFit="0" vertical="center" wrapText="1"/>
    </xf>
    <xf borderId="15" fillId="3" fontId="4" numFmtId="0" xfId="0" applyAlignment="1" applyBorder="1" applyFont="1">
      <alignment shrinkToFit="0" vertical="center" wrapText="1"/>
    </xf>
    <xf borderId="15" fillId="3" fontId="6" numFmtId="0" xfId="0" applyAlignment="1" applyBorder="1" applyFont="1">
      <alignment horizontal="right" shrinkToFit="0" vertical="center" wrapText="1"/>
    </xf>
    <xf borderId="15" fillId="3" fontId="4" numFmtId="49" xfId="0" applyAlignment="1" applyBorder="1" applyFont="1" applyNumberFormat="1">
      <alignment shrinkToFit="0" vertical="center" wrapText="1"/>
    </xf>
    <xf borderId="15" fillId="3" fontId="4" numFmtId="0" xfId="0" applyAlignment="1" applyBorder="1" applyFont="1">
      <alignment shrinkToFit="0" vertical="center" wrapText="1"/>
    </xf>
    <xf borderId="16" fillId="0" fontId="2" numFmtId="0" xfId="0" applyAlignment="1" applyBorder="1" applyFont="1">
      <alignment readingOrder="0" shrinkToFit="0" vertical="center" wrapText="0"/>
    </xf>
    <xf borderId="17" fillId="2" fontId="1" numFmtId="0" xfId="0" applyAlignment="1" applyBorder="1" applyFont="1">
      <alignment readingOrder="0"/>
    </xf>
    <xf borderId="18" fillId="2" fontId="10" numFmtId="0" xfId="0" applyAlignment="1" applyBorder="1" applyFont="1">
      <alignment horizontal="left" readingOrder="0" shrinkToFit="0" wrapText="1"/>
    </xf>
    <xf borderId="19" fillId="2" fontId="10" numFmtId="0" xfId="0" applyAlignment="1" applyBorder="1" applyFont="1">
      <alignment horizontal="left" readingOrder="0" shrinkToFit="0" wrapText="1"/>
    </xf>
    <xf borderId="0" fillId="0" fontId="1" numFmtId="0" xfId="0" applyAlignment="1" applyFont="1">
      <alignment readingOrder="0"/>
    </xf>
    <xf borderId="20" fillId="0" fontId="0" numFmtId="0" xfId="0" applyAlignment="1" applyBorder="1" applyFont="1">
      <alignment readingOrder="0"/>
    </xf>
    <xf borderId="0" fillId="0" fontId="11" numFmtId="0" xfId="0" applyFont="1"/>
    <xf borderId="0" fillId="4" fontId="12" numFmtId="0" xfId="0" applyFont="1"/>
    <xf borderId="21" fillId="0" fontId="11" numFmtId="0" xfId="0" applyBorder="1" applyFont="1"/>
    <xf borderId="20" fillId="0" fontId="0" numFmtId="0" xfId="0" applyAlignment="1" applyBorder="1" applyFont="1">
      <alignment horizontal="left" readingOrder="0" shrinkToFit="0" wrapText="1"/>
    </xf>
    <xf borderId="21" fillId="4" fontId="12" numFmtId="0" xfId="0" applyBorder="1" applyFont="1"/>
    <xf borderId="0" fillId="4" fontId="13" numFmtId="0" xfId="0" applyFont="1"/>
    <xf borderId="22" fillId="0" fontId="1" numFmtId="0" xfId="0" applyAlignment="1" applyBorder="1" applyFont="1">
      <alignment readingOrder="0"/>
    </xf>
    <xf borderId="23" fillId="0" fontId="11" numFmtId="0" xfId="0" applyBorder="1" applyFont="1"/>
    <xf borderId="24" fillId="0" fontId="11" numFmtId="0" xfId="0" applyBorder="1" applyFont="1"/>
    <xf borderId="0" fillId="0" fontId="14" numFmtId="0" xfId="0" applyAlignment="1" applyFont="1">
      <alignment vertical="bottom"/>
    </xf>
    <xf borderId="0" fillId="0" fontId="14" numFmtId="0" xfId="0" applyAlignment="1" applyFont="1">
      <alignment readingOrder="0" vertical="bottom"/>
    </xf>
    <xf borderId="0" fillId="0" fontId="3" numFmtId="0" xfId="0" applyAlignment="1" applyFont="1">
      <alignment horizontal="center" readingOrder="0"/>
    </xf>
    <xf borderId="0" fillId="2" fontId="1" numFmtId="0" xfId="0" applyAlignment="1" applyFont="1">
      <alignment horizontal="center" readingOrder="0"/>
    </xf>
    <xf borderId="0" fillId="0" fontId="2" numFmtId="0" xfId="0" applyAlignment="1" applyFont="1">
      <alignment readingOrder="0"/>
    </xf>
    <xf borderId="0" fillId="4" fontId="13" numFmtId="0" xfId="0" applyAlignment="1" applyFont="1">
      <alignment horizontal="left"/>
    </xf>
    <xf borderId="0" fillId="0" fontId="2" numFmtId="0" xfId="0" applyFont="1"/>
    <xf borderId="17" fillId="5" fontId="14" numFmtId="0" xfId="0" applyAlignment="1" applyBorder="1" applyFill="1" applyFont="1">
      <alignment readingOrder="0" vertical="bottom"/>
    </xf>
    <xf borderId="18" fillId="0" fontId="15" numFmtId="0" xfId="0" applyBorder="1" applyFont="1"/>
    <xf borderId="19" fillId="0" fontId="15" numFmtId="0" xfId="0" applyBorder="1" applyFont="1"/>
    <xf borderId="0" fillId="0" fontId="1" numFmtId="0" xfId="0" applyAlignment="1" applyFont="1">
      <alignment readingOrder="0"/>
    </xf>
    <xf borderId="0" fillId="0" fontId="8" numFmtId="0" xfId="0" applyAlignment="1" applyFont="1">
      <alignment readingOrder="0" shrinkToFit="0" vertical="top"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Group Heuristic Evalu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10.png"/><Relationship Id="rId4" Type="http://schemas.openxmlformats.org/officeDocument/2006/relationships/image" Target="../media/image7.png"/><Relationship Id="rId10" Type="http://schemas.openxmlformats.org/officeDocument/2006/relationships/image" Target="../media/image4.png"/><Relationship Id="rId9" Type="http://schemas.openxmlformats.org/officeDocument/2006/relationships/image" Target="../media/image5.png"/><Relationship Id="rId5" Type="http://schemas.openxmlformats.org/officeDocument/2006/relationships/image" Target="../media/image3.png"/><Relationship Id="rId6" Type="http://schemas.openxmlformats.org/officeDocument/2006/relationships/image" Target="../media/image9.png"/><Relationship Id="rId7" Type="http://schemas.openxmlformats.org/officeDocument/2006/relationships/image" Target="../media/image8.png"/><Relationship Id="rId8"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16</xdr:row>
      <xdr:rowOff>0</xdr:rowOff>
    </xdr:from>
    <xdr:ext cx="37147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21</xdr:row>
      <xdr:rowOff>0</xdr:rowOff>
    </xdr:from>
    <xdr:ext cx="3524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37</xdr:row>
      <xdr:rowOff>0</xdr:rowOff>
    </xdr:from>
    <xdr:ext cx="276225" cy="200025"/>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49</xdr:row>
      <xdr:rowOff>0</xdr:rowOff>
    </xdr:from>
    <xdr:ext cx="542925" cy="200025"/>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50</xdr:row>
      <xdr:rowOff>0</xdr:rowOff>
    </xdr:from>
    <xdr:ext cx="342900" cy="2000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69</xdr:row>
      <xdr:rowOff>0</xdr:rowOff>
    </xdr:from>
    <xdr:ext cx="1057275" cy="200025"/>
    <xdr:pic>
      <xdr:nvPicPr>
        <xdr:cNvPr id="0" name="image9.pn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81</xdr:row>
      <xdr:rowOff>0</xdr:rowOff>
    </xdr:from>
    <xdr:ext cx="342900" cy="200025"/>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0</xdr:colOff>
      <xdr:row>82</xdr:row>
      <xdr:rowOff>0</xdr:rowOff>
    </xdr:from>
    <xdr:ext cx="619125" cy="200025"/>
    <xdr:pic>
      <xdr:nvPicPr>
        <xdr:cNvPr id="0" name="image6.pn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83</xdr:row>
      <xdr:rowOff>0</xdr:rowOff>
    </xdr:from>
    <xdr:ext cx="228600" cy="200025"/>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4</xdr:col>
      <xdr:colOff>0</xdr:colOff>
      <xdr:row>84</xdr:row>
      <xdr:rowOff>0</xdr:rowOff>
    </xdr:from>
    <xdr:ext cx="819150" cy="200025"/>
    <xdr:pic>
      <xdr:nvPicPr>
        <xdr:cNvPr id="0" name="image4.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0:H89" displayName="Group_Heuristic_Evaluations" name="Group_Heuristic_Evaluations" id="1">
  <autoFilter ref="$A$10:$H$89"/>
  <tableColumns count="8">
    <tableColumn name="Problem #" id="1"/>
    <tableColumn name="Heuristic " id="2"/>
    <tableColumn name="Column 1" id="3"/>
    <tableColumn name="Severity" id="4"/>
    <tableColumn name="Description" id="5"/>
    <tableColumn name="Rationale" id="6"/>
    <tableColumn name="Fix" id="7"/>
    <tableColumn name="Found by" id="8"/>
  </tableColumns>
  <tableStyleInfo name="Group Heuristic Evalu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25"/>
    <col customWidth="1" min="2" max="2" width="30.13"/>
    <col customWidth="1" min="3" max="10" width="22.63"/>
    <col customWidth="1" min="11" max="11" width="15.13"/>
  </cols>
  <sheetData>
    <row r="1">
      <c r="A1" s="1" t="s">
        <v>0</v>
      </c>
      <c r="B1" s="2" t="s">
        <v>1</v>
      </c>
      <c r="F1" s="2"/>
      <c r="G1" s="2"/>
    </row>
    <row r="2">
      <c r="A2" s="2"/>
      <c r="B2" s="2"/>
      <c r="C2" s="2"/>
      <c r="D2" s="2"/>
      <c r="E2" s="2"/>
      <c r="F2" s="2"/>
      <c r="G2" s="2"/>
    </row>
    <row r="3">
      <c r="A3" s="2"/>
      <c r="B3" s="2"/>
      <c r="C3" s="2"/>
      <c r="D3" s="3"/>
      <c r="F3" s="2"/>
      <c r="G3" s="2"/>
    </row>
    <row r="4">
      <c r="A4" s="4" t="s">
        <v>2</v>
      </c>
      <c r="B4" s="5" t="s">
        <v>3</v>
      </c>
      <c r="C4" s="3"/>
      <c r="D4" s="4"/>
      <c r="E4" s="3"/>
      <c r="F4" s="2"/>
      <c r="G4" s="2"/>
    </row>
    <row r="5">
      <c r="A5" s="4" t="s">
        <v>4</v>
      </c>
      <c r="B5" s="5" t="s">
        <v>5</v>
      </c>
      <c r="C5" s="3"/>
      <c r="D5" s="4"/>
      <c r="E5" s="3"/>
      <c r="F5" s="2"/>
      <c r="G5" s="2"/>
    </row>
    <row r="6">
      <c r="A6" s="4" t="s">
        <v>6</v>
      </c>
      <c r="B6" s="5" t="s">
        <v>7</v>
      </c>
      <c r="C6" s="3"/>
      <c r="D6" s="4"/>
      <c r="E6" s="3"/>
      <c r="F6" s="2"/>
      <c r="G6" s="2"/>
    </row>
    <row r="7">
      <c r="A7" s="2"/>
      <c r="B7" s="2"/>
      <c r="C7" s="2"/>
      <c r="D7" s="4"/>
      <c r="E7" s="3"/>
      <c r="F7" s="2"/>
      <c r="G7" s="2"/>
    </row>
    <row r="8">
      <c r="A8" s="2"/>
      <c r="B8" s="2"/>
      <c r="C8" s="2"/>
      <c r="D8" s="2"/>
      <c r="E8" s="2"/>
      <c r="F8" s="2"/>
      <c r="G8" s="2"/>
    </row>
    <row r="9">
      <c r="A9" s="2"/>
      <c r="B9" s="2"/>
      <c r="C9" s="2"/>
      <c r="D9" s="2"/>
      <c r="E9" s="3" t="s">
        <v>8</v>
      </c>
      <c r="F9" s="2"/>
      <c r="G9" s="2"/>
    </row>
    <row r="10">
      <c r="A10" s="6" t="s">
        <v>9</v>
      </c>
      <c r="B10" s="7" t="s">
        <v>10</v>
      </c>
      <c r="C10" s="8" t="s">
        <v>11</v>
      </c>
      <c r="D10" s="7" t="s">
        <v>12</v>
      </c>
      <c r="E10" s="7" t="s">
        <v>13</v>
      </c>
      <c r="F10" s="7" t="s">
        <v>14</v>
      </c>
      <c r="G10" s="7" t="s">
        <v>15</v>
      </c>
      <c r="H10" s="9" t="s">
        <v>16</v>
      </c>
    </row>
    <row r="11">
      <c r="A11" s="10">
        <f t="shared" ref="A11:A89" si="1">ROW() - 10</f>
        <v>1</v>
      </c>
      <c r="B11" s="11" t="s">
        <v>17</v>
      </c>
      <c r="C11" s="11" t="s">
        <v>18</v>
      </c>
      <c r="D11" s="12">
        <v>3.0</v>
      </c>
      <c r="E11" s="13" t="s">
        <v>19</v>
      </c>
      <c r="F11" s="14" t="s">
        <v>20</v>
      </c>
      <c r="G11" s="15" t="s">
        <v>21</v>
      </c>
      <c r="H11" s="16" t="s">
        <v>22</v>
      </c>
    </row>
    <row r="12">
      <c r="A12" s="17">
        <f t="shared" si="1"/>
        <v>2</v>
      </c>
      <c r="B12" s="18" t="s">
        <v>17</v>
      </c>
      <c r="C12" s="18" t="s">
        <v>23</v>
      </c>
      <c r="D12" s="19">
        <v>2.0</v>
      </c>
      <c r="E12" s="20" t="s">
        <v>24</v>
      </c>
      <c r="F12" s="21" t="s">
        <v>25</v>
      </c>
      <c r="G12" s="22" t="s">
        <v>26</v>
      </c>
      <c r="H12" s="23" t="s">
        <v>27</v>
      </c>
    </row>
    <row r="13">
      <c r="A13" s="24">
        <f t="shared" si="1"/>
        <v>3</v>
      </c>
      <c r="B13" s="25" t="s">
        <v>17</v>
      </c>
      <c r="C13" s="25" t="s">
        <v>18</v>
      </c>
      <c r="D13" s="26">
        <v>2.0</v>
      </c>
      <c r="E13" s="27" t="s">
        <v>28</v>
      </c>
      <c r="F13" s="28" t="s">
        <v>29</v>
      </c>
      <c r="G13" s="29" t="s">
        <v>30</v>
      </c>
      <c r="H13" s="16" t="s">
        <v>27</v>
      </c>
    </row>
    <row r="14">
      <c r="A14" s="30">
        <f t="shared" si="1"/>
        <v>4</v>
      </c>
      <c r="B14" s="31" t="s">
        <v>17</v>
      </c>
      <c r="C14" s="31" t="s">
        <v>23</v>
      </c>
      <c r="D14" s="32">
        <v>1.0</v>
      </c>
      <c r="E14" s="33" t="s">
        <v>31</v>
      </c>
      <c r="F14" s="34" t="s">
        <v>32</v>
      </c>
      <c r="G14" s="35" t="s">
        <v>33</v>
      </c>
      <c r="H14" s="23" t="s">
        <v>34</v>
      </c>
    </row>
    <row r="15">
      <c r="A15" s="10">
        <f t="shared" si="1"/>
        <v>5</v>
      </c>
      <c r="B15" s="36" t="s">
        <v>17</v>
      </c>
      <c r="C15" s="36" t="s">
        <v>18</v>
      </c>
      <c r="D15" s="37">
        <v>1.0</v>
      </c>
      <c r="E15" s="38" t="s">
        <v>35</v>
      </c>
      <c r="F15" s="39" t="s">
        <v>36</v>
      </c>
      <c r="G15" s="40" t="s">
        <v>33</v>
      </c>
      <c r="H15" s="16" t="s">
        <v>34</v>
      </c>
    </row>
    <row r="16">
      <c r="A16" s="17">
        <f t="shared" si="1"/>
        <v>6</v>
      </c>
      <c r="B16" s="41" t="s">
        <v>17</v>
      </c>
      <c r="C16" s="41" t="s">
        <v>18</v>
      </c>
      <c r="D16" s="42">
        <v>1.0</v>
      </c>
      <c r="E16" s="20" t="s">
        <v>37</v>
      </c>
      <c r="F16" s="21" t="s">
        <v>38</v>
      </c>
      <c r="G16" s="22" t="s">
        <v>39</v>
      </c>
      <c r="H16" s="23" t="s">
        <v>40</v>
      </c>
    </row>
    <row r="17">
      <c r="A17" s="10">
        <f t="shared" si="1"/>
        <v>7</v>
      </c>
      <c r="B17" s="36" t="s">
        <v>41</v>
      </c>
      <c r="C17" s="36" t="s">
        <v>18</v>
      </c>
      <c r="D17" s="43">
        <v>3.0</v>
      </c>
      <c r="E17" s="44"/>
      <c r="F17" s="39" t="s">
        <v>42</v>
      </c>
      <c r="G17" s="40" t="s">
        <v>43</v>
      </c>
      <c r="H17" s="16" t="s">
        <v>44</v>
      </c>
    </row>
    <row r="18">
      <c r="A18" s="17">
        <f t="shared" si="1"/>
        <v>8</v>
      </c>
      <c r="B18" s="45" t="s">
        <v>41</v>
      </c>
      <c r="C18" s="45" t="s">
        <v>23</v>
      </c>
      <c r="D18" s="46">
        <v>2.0</v>
      </c>
      <c r="E18" s="33" t="s">
        <v>45</v>
      </c>
      <c r="F18" s="34" t="s">
        <v>46</v>
      </c>
      <c r="G18" s="35" t="s">
        <v>47</v>
      </c>
      <c r="H18" s="23" t="s">
        <v>40</v>
      </c>
    </row>
    <row r="19">
      <c r="A19" s="10">
        <f t="shared" si="1"/>
        <v>9</v>
      </c>
      <c r="B19" s="36" t="s">
        <v>41</v>
      </c>
      <c r="C19" s="36" t="s">
        <v>48</v>
      </c>
      <c r="D19" s="47">
        <v>2.0</v>
      </c>
      <c r="E19" s="38" t="s">
        <v>49</v>
      </c>
      <c r="F19" s="39" t="s">
        <v>50</v>
      </c>
      <c r="G19" s="40" t="s">
        <v>51</v>
      </c>
      <c r="H19" s="16" t="s">
        <v>52</v>
      </c>
    </row>
    <row r="20">
      <c r="A20" s="30">
        <f t="shared" si="1"/>
        <v>10</v>
      </c>
      <c r="B20" s="48" t="s">
        <v>41</v>
      </c>
      <c r="C20" s="48" t="s">
        <v>18</v>
      </c>
      <c r="D20" s="49">
        <v>2.0</v>
      </c>
      <c r="E20" s="50" t="s">
        <v>53</v>
      </c>
      <c r="F20" s="51" t="s">
        <v>54</v>
      </c>
      <c r="G20" s="52" t="s">
        <v>55</v>
      </c>
      <c r="H20" s="23" t="s">
        <v>22</v>
      </c>
    </row>
    <row r="21">
      <c r="A21" s="10">
        <f t="shared" si="1"/>
        <v>11</v>
      </c>
      <c r="B21" s="36" t="s">
        <v>56</v>
      </c>
      <c r="C21" s="36" t="s">
        <v>23</v>
      </c>
      <c r="D21" s="43">
        <v>3.0</v>
      </c>
      <c r="E21" s="38" t="s">
        <v>57</v>
      </c>
      <c r="F21" s="39" t="s">
        <v>58</v>
      </c>
      <c r="G21" s="40" t="s">
        <v>59</v>
      </c>
      <c r="H21" s="16" t="s">
        <v>27</v>
      </c>
    </row>
    <row r="22">
      <c r="A22" s="30">
        <f t="shared" si="1"/>
        <v>12</v>
      </c>
      <c r="B22" s="31" t="s">
        <v>56</v>
      </c>
      <c r="C22" s="31" t="s">
        <v>60</v>
      </c>
      <c r="D22" s="53">
        <v>2.0</v>
      </c>
      <c r="E22" s="54"/>
      <c r="F22" s="34" t="s">
        <v>61</v>
      </c>
      <c r="G22" s="35" t="s">
        <v>62</v>
      </c>
      <c r="H22" s="23" t="s">
        <v>27</v>
      </c>
    </row>
    <row r="23">
      <c r="A23" s="24">
        <f t="shared" si="1"/>
        <v>13</v>
      </c>
      <c r="B23" s="25" t="s">
        <v>56</v>
      </c>
      <c r="C23" s="25" t="s">
        <v>60</v>
      </c>
      <c r="D23" s="26">
        <v>2.0</v>
      </c>
      <c r="E23" s="27" t="s">
        <v>63</v>
      </c>
      <c r="F23" s="28" t="s">
        <v>64</v>
      </c>
      <c r="G23" s="29" t="s">
        <v>65</v>
      </c>
      <c r="H23" s="16" t="s">
        <v>27</v>
      </c>
    </row>
    <row r="24">
      <c r="A24" s="30">
        <f t="shared" si="1"/>
        <v>14</v>
      </c>
      <c r="B24" s="31" t="s">
        <v>56</v>
      </c>
      <c r="C24" s="31" t="s">
        <v>23</v>
      </c>
      <c r="D24" s="55">
        <v>2.0</v>
      </c>
      <c r="E24" s="33" t="s">
        <v>66</v>
      </c>
      <c r="F24" s="34" t="s">
        <v>67</v>
      </c>
      <c r="G24" s="35" t="s">
        <v>68</v>
      </c>
      <c r="H24" s="23" t="s">
        <v>69</v>
      </c>
    </row>
    <row r="25">
      <c r="A25" s="10">
        <f t="shared" si="1"/>
        <v>15</v>
      </c>
      <c r="B25" s="11" t="s">
        <v>56</v>
      </c>
      <c r="C25" s="11" t="s">
        <v>18</v>
      </c>
      <c r="D25" s="12">
        <v>2.0</v>
      </c>
      <c r="E25" s="13" t="s">
        <v>70</v>
      </c>
      <c r="F25" s="14" t="s">
        <v>71</v>
      </c>
      <c r="G25" s="15" t="s">
        <v>72</v>
      </c>
      <c r="H25" s="16" t="s">
        <v>22</v>
      </c>
    </row>
    <row r="26">
      <c r="A26" s="30">
        <f t="shared" si="1"/>
        <v>16</v>
      </c>
      <c r="B26" s="48" t="s">
        <v>56</v>
      </c>
      <c r="C26" s="48" t="s">
        <v>18</v>
      </c>
      <c r="D26" s="49">
        <v>2.0</v>
      </c>
      <c r="E26" s="50" t="s">
        <v>73</v>
      </c>
      <c r="F26" s="51" t="s">
        <v>74</v>
      </c>
      <c r="G26" s="52" t="s">
        <v>75</v>
      </c>
      <c r="H26" s="23" t="s">
        <v>22</v>
      </c>
    </row>
    <row r="27">
      <c r="A27" s="24">
        <f t="shared" si="1"/>
        <v>17</v>
      </c>
      <c r="B27" s="56" t="s">
        <v>56</v>
      </c>
      <c r="C27" s="56" t="s">
        <v>23</v>
      </c>
      <c r="D27" s="57">
        <v>1.0</v>
      </c>
      <c r="E27" s="38" t="s">
        <v>76</v>
      </c>
      <c r="F27" s="39" t="s">
        <v>77</v>
      </c>
      <c r="G27" s="40" t="s">
        <v>78</v>
      </c>
      <c r="H27" s="16" t="s">
        <v>79</v>
      </c>
    </row>
    <row r="28">
      <c r="A28" s="17">
        <f t="shared" si="1"/>
        <v>18</v>
      </c>
      <c r="B28" s="41" t="s">
        <v>56</v>
      </c>
      <c r="C28" s="41" t="s">
        <v>80</v>
      </c>
      <c r="D28" s="42">
        <v>1.0</v>
      </c>
      <c r="E28" s="20" t="s">
        <v>81</v>
      </c>
      <c r="F28" s="21" t="s">
        <v>82</v>
      </c>
      <c r="G28" s="22" t="s">
        <v>83</v>
      </c>
      <c r="H28" s="23" t="s">
        <v>40</v>
      </c>
    </row>
    <row r="29">
      <c r="A29" s="24">
        <f t="shared" si="1"/>
        <v>19</v>
      </c>
      <c r="B29" s="25" t="s">
        <v>84</v>
      </c>
      <c r="C29" s="25" t="s">
        <v>23</v>
      </c>
      <c r="D29" s="26">
        <v>2.0</v>
      </c>
      <c r="E29" s="27" t="s">
        <v>85</v>
      </c>
      <c r="F29" s="28" t="s">
        <v>86</v>
      </c>
      <c r="G29" s="29" t="s">
        <v>87</v>
      </c>
      <c r="H29" s="16" t="s">
        <v>69</v>
      </c>
    </row>
    <row r="30">
      <c r="A30" s="30">
        <f t="shared" si="1"/>
        <v>20</v>
      </c>
      <c r="B30" s="31" t="s">
        <v>84</v>
      </c>
      <c r="C30" s="31" t="s">
        <v>80</v>
      </c>
      <c r="D30" s="55">
        <v>2.0</v>
      </c>
      <c r="E30" s="33" t="s">
        <v>88</v>
      </c>
      <c r="F30" s="34" t="s">
        <v>89</v>
      </c>
      <c r="G30" s="35" t="s">
        <v>90</v>
      </c>
      <c r="H30" s="23" t="s">
        <v>27</v>
      </c>
    </row>
    <row r="31">
      <c r="A31" s="10">
        <f t="shared" si="1"/>
        <v>21</v>
      </c>
      <c r="B31" s="36" t="s">
        <v>84</v>
      </c>
      <c r="C31" s="36" t="s">
        <v>60</v>
      </c>
      <c r="D31" s="58">
        <v>1.0</v>
      </c>
      <c r="E31" s="38" t="s">
        <v>91</v>
      </c>
      <c r="F31" s="39" t="s">
        <v>92</v>
      </c>
      <c r="G31" s="40" t="s">
        <v>93</v>
      </c>
      <c r="H31" s="16" t="s">
        <v>27</v>
      </c>
    </row>
    <row r="32">
      <c r="A32" s="17">
        <f t="shared" si="1"/>
        <v>22</v>
      </c>
      <c r="B32" s="18" t="s">
        <v>84</v>
      </c>
      <c r="C32" s="18" t="s">
        <v>48</v>
      </c>
      <c r="D32" s="59">
        <v>1.0</v>
      </c>
      <c r="E32" s="20" t="s">
        <v>94</v>
      </c>
      <c r="F32" s="21" t="s">
        <v>95</v>
      </c>
      <c r="G32" s="22" t="s">
        <v>96</v>
      </c>
      <c r="H32" s="23" t="s">
        <v>27</v>
      </c>
    </row>
    <row r="33">
      <c r="A33" s="10">
        <f t="shared" si="1"/>
        <v>23</v>
      </c>
      <c r="B33" s="11" t="s">
        <v>97</v>
      </c>
      <c r="C33" s="11" t="s">
        <v>18</v>
      </c>
      <c r="D33" s="12">
        <v>3.0</v>
      </c>
      <c r="E33" s="13" t="s">
        <v>98</v>
      </c>
      <c r="F33" s="14" t="s">
        <v>99</v>
      </c>
      <c r="G33" s="15" t="s">
        <v>100</v>
      </c>
      <c r="H33" s="16" t="s">
        <v>22</v>
      </c>
    </row>
    <row r="34">
      <c r="A34" s="17">
        <f t="shared" si="1"/>
        <v>24</v>
      </c>
      <c r="B34" s="18" t="s">
        <v>97</v>
      </c>
      <c r="C34" s="18" t="s">
        <v>48</v>
      </c>
      <c r="D34" s="19">
        <v>2.0</v>
      </c>
      <c r="E34" s="20" t="s">
        <v>101</v>
      </c>
      <c r="F34" s="21" t="s">
        <v>102</v>
      </c>
      <c r="G34" s="22" t="s">
        <v>103</v>
      </c>
      <c r="H34" s="23" t="s">
        <v>27</v>
      </c>
    </row>
    <row r="35">
      <c r="A35" s="24">
        <f t="shared" si="1"/>
        <v>25</v>
      </c>
      <c r="B35" s="25" t="s">
        <v>97</v>
      </c>
      <c r="C35" s="25" t="s">
        <v>48</v>
      </c>
      <c r="D35" s="26">
        <v>2.0</v>
      </c>
      <c r="E35" s="27" t="s">
        <v>104</v>
      </c>
      <c r="F35" s="28" t="s">
        <v>105</v>
      </c>
      <c r="G35" s="29" t="s">
        <v>106</v>
      </c>
      <c r="H35" s="16" t="s">
        <v>34</v>
      </c>
    </row>
    <row r="36">
      <c r="A36" s="17">
        <f t="shared" si="1"/>
        <v>26</v>
      </c>
      <c r="B36" s="41" t="s">
        <v>97</v>
      </c>
      <c r="C36" s="41" t="s">
        <v>60</v>
      </c>
      <c r="D36" s="42">
        <v>1.0</v>
      </c>
      <c r="E36" s="20" t="s">
        <v>107</v>
      </c>
      <c r="F36" s="21" t="s">
        <v>108</v>
      </c>
      <c r="G36" s="22" t="s">
        <v>109</v>
      </c>
      <c r="H36" s="23" t="s">
        <v>40</v>
      </c>
    </row>
    <row r="37">
      <c r="A37" s="10">
        <f t="shared" si="1"/>
        <v>27</v>
      </c>
      <c r="B37" s="36" t="s">
        <v>97</v>
      </c>
      <c r="C37" s="36" t="s">
        <v>18</v>
      </c>
      <c r="D37" s="37">
        <v>1.0</v>
      </c>
      <c r="E37" s="38" t="s">
        <v>110</v>
      </c>
      <c r="F37" s="39" t="s">
        <v>111</v>
      </c>
      <c r="G37" s="40" t="s">
        <v>112</v>
      </c>
      <c r="H37" s="16" t="s">
        <v>52</v>
      </c>
    </row>
    <row r="38">
      <c r="A38" s="17">
        <f t="shared" si="1"/>
        <v>28</v>
      </c>
      <c r="B38" s="18" t="s">
        <v>97</v>
      </c>
      <c r="C38" s="18" t="s">
        <v>80</v>
      </c>
      <c r="D38" s="59">
        <v>1.0</v>
      </c>
      <c r="E38" s="60"/>
      <c r="F38" s="21" t="s">
        <v>113</v>
      </c>
      <c r="G38" s="22" t="s">
        <v>114</v>
      </c>
      <c r="H38" s="23" t="s">
        <v>115</v>
      </c>
    </row>
    <row r="39">
      <c r="A39" s="24">
        <f t="shared" si="1"/>
        <v>29</v>
      </c>
      <c r="B39" s="56" t="s">
        <v>97</v>
      </c>
      <c r="C39" s="56" t="s">
        <v>80</v>
      </c>
      <c r="D39" s="61">
        <v>0.0</v>
      </c>
      <c r="E39" s="38" t="s">
        <v>116</v>
      </c>
      <c r="F39" s="39" t="s">
        <v>117</v>
      </c>
      <c r="G39" s="40" t="s">
        <v>118</v>
      </c>
      <c r="H39" s="16" t="s">
        <v>40</v>
      </c>
    </row>
    <row r="40">
      <c r="A40" s="30">
        <f t="shared" si="1"/>
        <v>30</v>
      </c>
      <c r="B40" s="48" t="s">
        <v>119</v>
      </c>
      <c r="C40" s="48" t="s">
        <v>18</v>
      </c>
      <c r="D40" s="49">
        <v>4.0</v>
      </c>
      <c r="E40" s="50" t="s">
        <v>120</v>
      </c>
      <c r="F40" s="51" t="s">
        <v>121</v>
      </c>
      <c r="G40" s="52" t="s">
        <v>122</v>
      </c>
      <c r="H40" s="23" t="s">
        <v>22</v>
      </c>
    </row>
    <row r="41">
      <c r="A41" s="10">
        <f t="shared" si="1"/>
        <v>31</v>
      </c>
      <c r="B41" s="36" t="s">
        <v>119</v>
      </c>
      <c r="C41" s="36" t="s">
        <v>48</v>
      </c>
      <c r="D41" s="43">
        <v>3.0</v>
      </c>
      <c r="E41" s="38" t="s">
        <v>123</v>
      </c>
      <c r="F41" s="39" t="s">
        <v>124</v>
      </c>
      <c r="G41" s="40" t="s">
        <v>125</v>
      </c>
      <c r="H41" s="16" t="s">
        <v>27</v>
      </c>
    </row>
    <row r="42">
      <c r="A42" s="30">
        <f t="shared" si="1"/>
        <v>32</v>
      </c>
      <c r="B42" s="48" t="s">
        <v>119</v>
      </c>
      <c r="C42" s="48" t="s">
        <v>48</v>
      </c>
      <c r="D42" s="49">
        <v>3.0</v>
      </c>
      <c r="E42" s="50" t="s">
        <v>126</v>
      </c>
      <c r="F42" s="51" t="s">
        <v>127</v>
      </c>
      <c r="G42" s="52" t="s">
        <v>122</v>
      </c>
      <c r="H42" s="23" t="s">
        <v>22</v>
      </c>
    </row>
    <row r="43">
      <c r="A43" s="10">
        <f t="shared" si="1"/>
        <v>33</v>
      </c>
      <c r="B43" s="11" t="s">
        <v>119</v>
      </c>
      <c r="C43" s="11" t="s">
        <v>60</v>
      </c>
      <c r="D43" s="12">
        <v>3.0</v>
      </c>
      <c r="E43" s="13" t="s">
        <v>128</v>
      </c>
      <c r="F43" s="14" t="s">
        <v>129</v>
      </c>
      <c r="G43" s="15" t="s">
        <v>130</v>
      </c>
      <c r="H43" s="16" t="s">
        <v>22</v>
      </c>
    </row>
    <row r="44">
      <c r="A44" s="30">
        <f t="shared" si="1"/>
        <v>34</v>
      </c>
      <c r="B44" s="48" t="s">
        <v>119</v>
      </c>
      <c r="C44" s="48" t="s">
        <v>23</v>
      </c>
      <c r="D44" s="49">
        <v>3.0</v>
      </c>
      <c r="E44" s="50" t="s">
        <v>131</v>
      </c>
      <c r="F44" s="51" t="s">
        <v>132</v>
      </c>
      <c r="G44" s="52" t="s">
        <v>122</v>
      </c>
      <c r="H44" s="23" t="s">
        <v>22</v>
      </c>
    </row>
    <row r="45">
      <c r="A45" s="10">
        <f t="shared" si="1"/>
        <v>35</v>
      </c>
      <c r="B45" s="11" t="s">
        <v>119</v>
      </c>
      <c r="C45" s="11" t="s">
        <v>23</v>
      </c>
      <c r="D45" s="12">
        <v>3.0</v>
      </c>
      <c r="E45" s="13" t="s">
        <v>133</v>
      </c>
      <c r="F45" s="14" t="s">
        <v>134</v>
      </c>
      <c r="G45" s="15" t="s">
        <v>135</v>
      </c>
      <c r="H45" s="16" t="s">
        <v>22</v>
      </c>
    </row>
    <row r="46">
      <c r="A46" s="30">
        <f t="shared" si="1"/>
        <v>36</v>
      </c>
      <c r="B46" s="31" t="s">
        <v>119</v>
      </c>
      <c r="C46" s="31" t="s">
        <v>60</v>
      </c>
      <c r="D46" s="55">
        <v>2.0</v>
      </c>
      <c r="E46" s="33" t="s">
        <v>136</v>
      </c>
      <c r="F46" s="34" t="s">
        <v>137</v>
      </c>
      <c r="G46" s="35" t="s">
        <v>138</v>
      </c>
      <c r="H46" s="23" t="s">
        <v>52</v>
      </c>
    </row>
    <row r="47">
      <c r="A47" s="24">
        <f t="shared" si="1"/>
        <v>37</v>
      </c>
      <c r="B47" s="56" t="s">
        <v>119</v>
      </c>
      <c r="C47" s="56" t="s">
        <v>60</v>
      </c>
      <c r="D47" s="57">
        <v>1.0</v>
      </c>
      <c r="E47" s="38" t="s">
        <v>139</v>
      </c>
      <c r="F47" s="39" t="s">
        <v>140</v>
      </c>
      <c r="G47" s="40" t="s">
        <v>141</v>
      </c>
      <c r="H47" s="16" t="s">
        <v>40</v>
      </c>
    </row>
    <row r="48">
      <c r="A48" s="17">
        <f t="shared" si="1"/>
        <v>38</v>
      </c>
      <c r="B48" s="45" t="s">
        <v>119</v>
      </c>
      <c r="C48" s="45" t="s">
        <v>60</v>
      </c>
      <c r="D48" s="62">
        <v>1.0</v>
      </c>
      <c r="E48" s="33" t="s">
        <v>142</v>
      </c>
      <c r="F48" s="34" t="s">
        <v>143</v>
      </c>
      <c r="G48" s="34" t="s">
        <v>144</v>
      </c>
      <c r="H48" s="63" t="s">
        <v>40</v>
      </c>
    </row>
    <row r="49">
      <c r="A49" s="24">
        <f t="shared" si="1"/>
        <v>39</v>
      </c>
      <c r="B49" s="41" t="s">
        <v>119</v>
      </c>
      <c r="C49" s="41" t="s">
        <v>80</v>
      </c>
      <c r="D49" s="42">
        <v>1.0</v>
      </c>
      <c r="E49" s="20" t="s">
        <v>145</v>
      </c>
      <c r="F49" s="21" t="s">
        <v>146</v>
      </c>
      <c r="G49" s="64" t="s">
        <v>147</v>
      </c>
      <c r="H49" s="65" t="s">
        <v>40</v>
      </c>
    </row>
    <row r="50">
      <c r="A50" s="17">
        <f t="shared" si="1"/>
        <v>40</v>
      </c>
      <c r="B50" s="25" t="s">
        <v>148</v>
      </c>
      <c r="C50" s="25" t="s">
        <v>23</v>
      </c>
      <c r="D50" s="66">
        <v>3.0</v>
      </c>
      <c r="E50" s="67"/>
      <c r="F50" s="28" t="s">
        <v>149</v>
      </c>
      <c r="G50" s="68" t="s">
        <v>150</v>
      </c>
      <c r="H50" s="63" t="s">
        <v>52</v>
      </c>
    </row>
    <row r="51">
      <c r="A51" s="24">
        <f t="shared" si="1"/>
        <v>41</v>
      </c>
      <c r="B51" s="18" t="s">
        <v>148</v>
      </c>
      <c r="C51" s="18" t="s">
        <v>60</v>
      </c>
      <c r="D51" s="19">
        <v>2.0</v>
      </c>
      <c r="E51" s="60"/>
      <c r="F51" s="21" t="s">
        <v>151</v>
      </c>
      <c r="G51" s="64" t="s">
        <v>152</v>
      </c>
      <c r="H51" s="65" t="s">
        <v>27</v>
      </c>
    </row>
    <row r="52">
      <c r="A52" s="17">
        <f t="shared" si="1"/>
        <v>42</v>
      </c>
      <c r="B52" s="56" t="s">
        <v>148</v>
      </c>
      <c r="C52" s="56" t="s">
        <v>60</v>
      </c>
      <c r="D52" s="69">
        <v>2.0</v>
      </c>
      <c r="E52" s="38" t="s">
        <v>153</v>
      </c>
      <c r="F52" s="39" t="s">
        <v>154</v>
      </c>
      <c r="G52" s="70" t="s">
        <v>155</v>
      </c>
      <c r="H52" s="63" t="s">
        <v>40</v>
      </c>
    </row>
    <row r="53">
      <c r="A53" s="10">
        <f t="shared" si="1"/>
        <v>43</v>
      </c>
      <c r="B53" s="31" t="s">
        <v>148</v>
      </c>
      <c r="C53" s="31" t="s">
        <v>80</v>
      </c>
      <c r="D53" s="55">
        <v>2.0</v>
      </c>
      <c r="E53" s="33" t="s">
        <v>156</v>
      </c>
      <c r="F53" s="34" t="s">
        <v>157</v>
      </c>
      <c r="G53" s="71" t="s">
        <v>158</v>
      </c>
      <c r="H53" s="65" t="s">
        <v>69</v>
      </c>
    </row>
    <row r="54">
      <c r="A54" s="17">
        <f t="shared" si="1"/>
        <v>44</v>
      </c>
      <c r="B54" s="18" t="s">
        <v>148</v>
      </c>
      <c r="C54" s="18" t="s">
        <v>48</v>
      </c>
      <c r="D54" s="19">
        <v>2.0</v>
      </c>
      <c r="E54" s="20" t="s">
        <v>159</v>
      </c>
      <c r="F54" s="21" t="s">
        <v>160</v>
      </c>
      <c r="G54" s="21" t="s">
        <v>161</v>
      </c>
      <c r="H54" s="63" t="s">
        <v>27</v>
      </c>
    </row>
    <row r="55">
      <c r="A55" s="10">
        <f t="shared" si="1"/>
        <v>45</v>
      </c>
      <c r="B55" s="36" t="s">
        <v>148</v>
      </c>
      <c r="C55" s="36" t="s">
        <v>23</v>
      </c>
      <c r="D55" s="37">
        <v>1.0</v>
      </c>
      <c r="E55" s="38" t="s">
        <v>162</v>
      </c>
      <c r="F55" s="39" t="s">
        <v>163</v>
      </c>
      <c r="G55" s="39" t="s">
        <v>164</v>
      </c>
      <c r="H55" s="65" t="s">
        <v>69</v>
      </c>
    </row>
    <row r="56">
      <c r="A56" s="17">
        <f t="shared" si="1"/>
        <v>46</v>
      </c>
      <c r="B56" s="25" t="s">
        <v>148</v>
      </c>
      <c r="C56" s="25" t="s">
        <v>18</v>
      </c>
      <c r="D56" s="72">
        <v>1.0</v>
      </c>
      <c r="E56" s="27" t="s">
        <v>165</v>
      </c>
      <c r="F56" s="28" t="s">
        <v>166</v>
      </c>
      <c r="G56" s="68" t="s">
        <v>167</v>
      </c>
      <c r="H56" s="63" t="s">
        <v>27</v>
      </c>
    </row>
    <row r="57">
      <c r="A57" s="24">
        <f t="shared" si="1"/>
        <v>47</v>
      </c>
      <c r="B57" s="18" t="s">
        <v>148</v>
      </c>
      <c r="C57" s="73" t="s">
        <v>48</v>
      </c>
      <c r="D57" s="59">
        <v>1.0</v>
      </c>
      <c r="E57" s="20" t="s">
        <v>168</v>
      </c>
      <c r="F57" s="21" t="s">
        <v>169</v>
      </c>
      <c r="G57" s="64" t="s">
        <v>170</v>
      </c>
      <c r="H57" s="65" t="s">
        <v>69</v>
      </c>
    </row>
    <row r="58">
      <c r="A58" s="30">
        <f t="shared" si="1"/>
        <v>48</v>
      </c>
      <c r="B58" s="36" t="s">
        <v>148</v>
      </c>
      <c r="C58" s="11" t="s">
        <v>48</v>
      </c>
      <c r="D58" s="37">
        <v>1.0</v>
      </c>
      <c r="E58" s="38" t="s">
        <v>171</v>
      </c>
      <c r="F58" s="39" t="s">
        <v>172</v>
      </c>
      <c r="G58" s="70" t="s">
        <v>173</v>
      </c>
      <c r="H58" s="63" t="s">
        <v>69</v>
      </c>
    </row>
    <row r="59">
      <c r="A59" s="10">
        <f t="shared" si="1"/>
        <v>49</v>
      </c>
      <c r="B59" s="48" t="s">
        <v>174</v>
      </c>
      <c r="C59" s="48" t="s">
        <v>18</v>
      </c>
      <c r="D59" s="49">
        <v>4.0</v>
      </c>
      <c r="E59" s="50" t="s">
        <v>175</v>
      </c>
      <c r="F59" s="51" t="s">
        <v>176</v>
      </c>
      <c r="G59" s="74" t="s">
        <v>177</v>
      </c>
      <c r="H59" s="65" t="s">
        <v>22</v>
      </c>
    </row>
    <row r="60">
      <c r="A60" s="30">
        <f t="shared" si="1"/>
        <v>50</v>
      </c>
      <c r="B60" s="11" t="s">
        <v>174</v>
      </c>
      <c r="C60" s="11" t="s">
        <v>18</v>
      </c>
      <c r="D60" s="12">
        <v>4.0</v>
      </c>
      <c r="E60" s="13" t="s">
        <v>178</v>
      </c>
      <c r="F60" s="14" t="s">
        <v>179</v>
      </c>
      <c r="G60" s="75" t="s">
        <v>180</v>
      </c>
      <c r="H60" s="63" t="s">
        <v>22</v>
      </c>
    </row>
    <row r="61">
      <c r="A61" s="24">
        <f t="shared" si="1"/>
        <v>51</v>
      </c>
      <c r="B61" s="18" t="s">
        <v>174</v>
      </c>
      <c r="C61" s="18" t="s">
        <v>60</v>
      </c>
      <c r="D61" s="76">
        <v>3.0</v>
      </c>
      <c r="E61" s="20" t="s">
        <v>181</v>
      </c>
      <c r="F61" s="21" t="s">
        <v>182</v>
      </c>
      <c r="G61" s="64" t="s">
        <v>183</v>
      </c>
      <c r="H61" s="65" t="s">
        <v>52</v>
      </c>
    </row>
    <row r="62">
      <c r="A62" s="24">
        <f t="shared" si="1"/>
        <v>52</v>
      </c>
      <c r="B62" s="25" t="s">
        <v>174</v>
      </c>
      <c r="C62" s="25" t="s">
        <v>23</v>
      </c>
      <c r="D62" s="66">
        <v>3.0</v>
      </c>
      <c r="E62" s="27" t="s">
        <v>184</v>
      </c>
      <c r="F62" s="28" t="s">
        <v>185</v>
      </c>
      <c r="G62" s="29" t="s">
        <v>186</v>
      </c>
      <c r="H62" s="63" t="s">
        <v>27</v>
      </c>
    </row>
    <row r="63">
      <c r="A63" s="30">
        <f t="shared" si="1"/>
        <v>53</v>
      </c>
      <c r="B63" s="31" t="s">
        <v>174</v>
      </c>
      <c r="C63" s="31" t="s">
        <v>60</v>
      </c>
      <c r="D63" s="53">
        <v>2.0</v>
      </c>
      <c r="E63" s="33" t="s">
        <v>187</v>
      </c>
      <c r="F63" s="34" t="s">
        <v>188</v>
      </c>
      <c r="G63" s="35" t="s">
        <v>189</v>
      </c>
      <c r="H63" s="65" t="s">
        <v>27</v>
      </c>
    </row>
    <row r="64">
      <c r="A64" s="10">
        <f t="shared" si="1"/>
        <v>54</v>
      </c>
      <c r="B64" s="36" t="s">
        <v>174</v>
      </c>
      <c r="C64" s="36" t="s">
        <v>60</v>
      </c>
      <c r="D64" s="47">
        <v>2.0</v>
      </c>
      <c r="E64" s="38" t="s">
        <v>190</v>
      </c>
      <c r="F64" s="39" t="s">
        <v>191</v>
      </c>
      <c r="G64" s="40" t="s">
        <v>192</v>
      </c>
      <c r="H64" s="63" t="s">
        <v>27</v>
      </c>
    </row>
    <row r="65">
      <c r="A65" s="17">
        <f t="shared" si="1"/>
        <v>55</v>
      </c>
      <c r="B65" s="41" t="s">
        <v>174</v>
      </c>
      <c r="C65" s="41" t="s">
        <v>18</v>
      </c>
      <c r="D65" s="77">
        <v>2.0</v>
      </c>
      <c r="E65" s="20" t="s">
        <v>193</v>
      </c>
      <c r="F65" s="21" t="s">
        <v>194</v>
      </c>
      <c r="G65" s="22" t="s">
        <v>195</v>
      </c>
      <c r="H65" s="65" t="s">
        <v>40</v>
      </c>
    </row>
    <row r="66">
      <c r="A66" s="24">
        <f t="shared" si="1"/>
        <v>56</v>
      </c>
      <c r="B66" s="56" t="s">
        <v>174</v>
      </c>
      <c r="C66" s="56" t="s">
        <v>80</v>
      </c>
      <c r="D66" s="69">
        <v>2.0</v>
      </c>
      <c r="E66" s="38" t="s">
        <v>196</v>
      </c>
      <c r="F66" s="39" t="s">
        <v>197</v>
      </c>
      <c r="G66" s="40" t="s">
        <v>198</v>
      </c>
      <c r="H66" s="63" t="s">
        <v>40</v>
      </c>
    </row>
    <row r="67">
      <c r="A67" s="10">
        <f t="shared" si="1"/>
        <v>57</v>
      </c>
      <c r="B67" s="11" t="s">
        <v>174</v>
      </c>
      <c r="C67" s="11" t="s">
        <v>18</v>
      </c>
      <c r="D67" s="12">
        <v>2.0</v>
      </c>
      <c r="E67" s="13" t="s">
        <v>199</v>
      </c>
      <c r="F67" s="14" t="s">
        <v>200</v>
      </c>
      <c r="G67" s="15" t="s">
        <v>201</v>
      </c>
      <c r="H67" s="65" t="s">
        <v>22</v>
      </c>
    </row>
    <row r="68">
      <c r="A68" s="17">
        <f t="shared" si="1"/>
        <v>58</v>
      </c>
      <c r="B68" s="18" t="s">
        <v>202</v>
      </c>
      <c r="C68" s="18" t="s">
        <v>60</v>
      </c>
      <c r="D68" s="78">
        <v>3.0</v>
      </c>
      <c r="E68" s="20" t="s">
        <v>203</v>
      </c>
      <c r="F68" s="21" t="s">
        <v>204</v>
      </c>
      <c r="G68" s="22" t="s">
        <v>205</v>
      </c>
      <c r="H68" s="63" t="s">
        <v>27</v>
      </c>
    </row>
    <row r="69">
      <c r="A69" s="10">
        <f t="shared" si="1"/>
        <v>59</v>
      </c>
      <c r="B69" s="11" t="s">
        <v>202</v>
      </c>
      <c r="C69" s="11" t="s">
        <v>23</v>
      </c>
      <c r="D69" s="12">
        <v>3.0</v>
      </c>
      <c r="E69" s="13" t="s">
        <v>206</v>
      </c>
      <c r="F69" s="14" t="s">
        <v>207</v>
      </c>
      <c r="G69" s="15" t="s">
        <v>208</v>
      </c>
      <c r="H69" s="65" t="s">
        <v>22</v>
      </c>
    </row>
    <row r="70">
      <c r="A70" s="17">
        <f t="shared" si="1"/>
        <v>60</v>
      </c>
      <c r="B70" s="79" t="s">
        <v>202</v>
      </c>
      <c r="C70" s="18" t="s">
        <v>60</v>
      </c>
      <c r="D70" s="80">
        <v>2.0</v>
      </c>
      <c r="E70" s="81"/>
      <c r="F70" s="21" t="s">
        <v>209</v>
      </c>
      <c r="G70" s="22" t="s">
        <v>210</v>
      </c>
      <c r="H70" s="63" t="s">
        <v>52</v>
      </c>
    </row>
    <row r="71">
      <c r="A71" s="10">
        <f t="shared" si="1"/>
        <v>61</v>
      </c>
      <c r="B71" s="36" t="s">
        <v>202</v>
      </c>
      <c r="C71" s="36" t="s">
        <v>60</v>
      </c>
      <c r="D71" s="47">
        <v>2.0</v>
      </c>
      <c r="E71" s="38" t="s">
        <v>211</v>
      </c>
      <c r="F71" s="39" t="s">
        <v>212</v>
      </c>
      <c r="G71" s="40" t="s">
        <v>213</v>
      </c>
      <c r="H71" s="65" t="s">
        <v>27</v>
      </c>
    </row>
    <row r="72">
      <c r="A72" s="17">
        <f t="shared" si="1"/>
        <v>62</v>
      </c>
      <c r="B72" s="41" t="s">
        <v>202</v>
      </c>
      <c r="C72" s="41" t="s">
        <v>23</v>
      </c>
      <c r="D72" s="77">
        <v>2.0</v>
      </c>
      <c r="E72" s="20" t="s">
        <v>214</v>
      </c>
      <c r="F72" s="21" t="s">
        <v>215</v>
      </c>
      <c r="G72" s="21" t="s">
        <v>216</v>
      </c>
      <c r="H72" s="23" t="s">
        <v>40</v>
      </c>
    </row>
    <row r="73">
      <c r="A73" s="24">
        <f t="shared" si="1"/>
        <v>63</v>
      </c>
      <c r="B73" s="25" t="s">
        <v>202</v>
      </c>
      <c r="C73" s="25" t="s">
        <v>60</v>
      </c>
      <c r="D73" s="72">
        <v>1.0</v>
      </c>
      <c r="E73" s="27" t="s">
        <v>217</v>
      </c>
      <c r="F73" s="28" t="s">
        <v>218</v>
      </c>
      <c r="G73" s="28" t="s">
        <v>219</v>
      </c>
      <c r="H73" s="16" t="s">
        <v>69</v>
      </c>
    </row>
    <row r="74">
      <c r="A74" s="17">
        <f t="shared" si="1"/>
        <v>64</v>
      </c>
      <c r="B74" s="18" t="s">
        <v>202</v>
      </c>
      <c r="C74" s="18" t="s">
        <v>18</v>
      </c>
      <c r="D74" s="59">
        <v>1.0</v>
      </c>
      <c r="E74" s="20" t="s">
        <v>220</v>
      </c>
      <c r="F74" s="21" t="s">
        <v>221</v>
      </c>
      <c r="G74" s="21" t="s">
        <v>222</v>
      </c>
      <c r="H74" s="23" t="s">
        <v>69</v>
      </c>
    </row>
    <row r="75">
      <c r="A75" s="24">
        <f t="shared" si="1"/>
        <v>65</v>
      </c>
      <c r="B75" s="25" t="s">
        <v>202</v>
      </c>
      <c r="C75" s="25" t="s">
        <v>80</v>
      </c>
      <c r="D75" s="82">
        <v>0.0</v>
      </c>
      <c r="E75" s="27" t="s">
        <v>223</v>
      </c>
      <c r="F75" s="28" t="s">
        <v>224</v>
      </c>
      <c r="G75" s="28" t="s">
        <v>225</v>
      </c>
      <c r="H75" s="16" t="s">
        <v>69</v>
      </c>
    </row>
    <row r="76">
      <c r="A76" s="17">
        <f t="shared" si="1"/>
        <v>66</v>
      </c>
      <c r="B76" s="18" t="s">
        <v>226</v>
      </c>
      <c r="C76" s="18" t="s">
        <v>60</v>
      </c>
      <c r="D76" s="78">
        <v>3.0</v>
      </c>
      <c r="E76" s="20" t="s">
        <v>227</v>
      </c>
      <c r="F76" s="21" t="s">
        <v>228</v>
      </c>
      <c r="G76" s="21" t="s">
        <v>229</v>
      </c>
      <c r="H76" s="23" t="s">
        <v>27</v>
      </c>
    </row>
    <row r="77">
      <c r="A77" s="24">
        <f t="shared" si="1"/>
        <v>67</v>
      </c>
      <c r="B77" s="25" t="s">
        <v>226</v>
      </c>
      <c r="C77" s="25" t="s">
        <v>23</v>
      </c>
      <c r="D77" s="66">
        <v>3.0</v>
      </c>
      <c r="E77" s="27" t="s">
        <v>230</v>
      </c>
      <c r="F77" s="28" t="s">
        <v>231</v>
      </c>
      <c r="G77" s="28" t="s">
        <v>232</v>
      </c>
      <c r="H77" s="16" t="s">
        <v>27</v>
      </c>
    </row>
    <row r="78">
      <c r="A78" s="17">
        <f t="shared" si="1"/>
        <v>68</v>
      </c>
      <c r="B78" s="45" t="s">
        <v>226</v>
      </c>
      <c r="C78" s="45" t="s">
        <v>80</v>
      </c>
      <c r="D78" s="62">
        <v>1.0</v>
      </c>
      <c r="E78" s="33" t="s">
        <v>233</v>
      </c>
      <c r="F78" s="34" t="s">
        <v>234</v>
      </c>
      <c r="G78" s="34" t="s">
        <v>195</v>
      </c>
      <c r="H78" s="23" t="s">
        <v>79</v>
      </c>
    </row>
    <row r="79">
      <c r="A79" s="10">
        <f t="shared" si="1"/>
        <v>69</v>
      </c>
      <c r="B79" s="11" t="s">
        <v>226</v>
      </c>
      <c r="C79" s="11" t="s">
        <v>18</v>
      </c>
      <c r="D79" s="12">
        <v>1.0</v>
      </c>
      <c r="E79" s="13" t="s">
        <v>235</v>
      </c>
      <c r="F79" s="14" t="s">
        <v>236</v>
      </c>
      <c r="G79" s="14" t="s">
        <v>237</v>
      </c>
      <c r="H79" s="16" t="s">
        <v>22</v>
      </c>
    </row>
    <row r="80">
      <c r="A80" s="30">
        <f t="shared" si="1"/>
        <v>70</v>
      </c>
      <c r="B80" s="48" t="s">
        <v>238</v>
      </c>
      <c r="C80" s="48" t="s">
        <v>18</v>
      </c>
      <c r="D80" s="49">
        <v>4.0</v>
      </c>
      <c r="E80" s="50" t="s">
        <v>239</v>
      </c>
      <c r="F80" s="51" t="s">
        <v>240</v>
      </c>
      <c r="G80" s="51" t="s">
        <v>241</v>
      </c>
      <c r="H80" s="23" t="s">
        <v>22</v>
      </c>
    </row>
    <row r="81">
      <c r="A81" s="10">
        <f t="shared" si="1"/>
        <v>71</v>
      </c>
      <c r="B81" s="11" t="s">
        <v>238</v>
      </c>
      <c r="C81" s="11" t="s">
        <v>18</v>
      </c>
      <c r="D81" s="12">
        <v>3.0</v>
      </c>
      <c r="E81" s="13" t="s">
        <v>242</v>
      </c>
      <c r="F81" s="14" t="s">
        <v>243</v>
      </c>
      <c r="G81" s="14" t="s">
        <v>244</v>
      </c>
      <c r="H81" s="16" t="s">
        <v>22</v>
      </c>
    </row>
    <row r="82">
      <c r="A82" s="30">
        <f t="shared" si="1"/>
        <v>72</v>
      </c>
      <c r="B82" s="31" t="s">
        <v>238</v>
      </c>
      <c r="C82" s="31" t="s">
        <v>60</v>
      </c>
      <c r="D82" s="32">
        <v>1.0</v>
      </c>
      <c r="E82" s="54"/>
      <c r="F82" s="34" t="s">
        <v>245</v>
      </c>
      <c r="G82" s="34" t="s">
        <v>246</v>
      </c>
      <c r="H82" s="23" t="s">
        <v>27</v>
      </c>
    </row>
    <row r="83">
      <c r="A83" s="24">
        <f t="shared" si="1"/>
        <v>73</v>
      </c>
      <c r="B83" s="25" t="s">
        <v>238</v>
      </c>
      <c r="C83" s="25" t="s">
        <v>60</v>
      </c>
      <c r="D83" s="72">
        <v>1.0</v>
      </c>
      <c r="E83" s="67"/>
      <c r="F83" s="28" t="s">
        <v>247</v>
      </c>
      <c r="G83" s="28" t="s">
        <v>248</v>
      </c>
      <c r="H83" s="16" t="s">
        <v>27</v>
      </c>
    </row>
    <row r="84">
      <c r="A84" s="17">
        <f t="shared" si="1"/>
        <v>74</v>
      </c>
      <c r="B84" s="18" t="s">
        <v>238</v>
      </c>
      <c r="C84" s="18" t="s">
        <v>60</v>
      </c>
      <c r="D84" s="59">
        <v>1.0</v>
      </c>
      <c r="E84" s="83"/>
      <c r="F84" s="21" t="s">
        <v>249</v>
      </c>
      <c r="G84" s="21" t="s">
        <v>250</v>
      </c>
      <c r="H84" s="23" t="s">
        <v>69</v>
      </c>
    </row>
    <row r="85">
      <c r="A85" s="10">
        <f t="shared" si="1"/>
        <v>75</v>
      </c>
      <c r="B85" s="36" t="s">
        <v>238</v>
      </c>
      <c r="C85" s="36" t="s">
        <v>48</v>
      </c>
      <c r="D85" s="37">
        <v>1.0</v>
      </c>
      <c r="E85" s="44"/>
      <c r="F85" s="39" t="s">
        <v>251</v>
      </c>
      <c r="G85" s="39" t="s">
        <v>252</v>
      </c>
      <c r="H85" s="16" t="s">
        <v>27</v>
      </c>
    </row>
    <row r="86">
      <c r="A86" s="30">
        <f t="shared" si="1"/>
        <v>76</v>
      </c>
      <c r="B86" s="48" t="s">
        <v>238</v>
      </c>
      <c r="C86" s="48" t="s">
        <v>18</v>
      </c>
      <c r="D86" s="49">
        <v>1.0</v>
      </c>
      <c r="E86" s="50" t="s">
        <v>253</v>
      </c>
      <c r="F86" s="51" t="s">
        <v>254</v>
      </c>
      <c r="G86" s="51" t="s">
        <v>255</v>
      </c>
      <c r="H86" s="23" t="s">
        <v>22</v>
      </c>
    </row>
    <row r="87">
      <c r="A87" s="10">
        <f t="shared" si="1"/>
        <v>77</v>
      </c>
      <c r="B87" s="36" t="s">
        <v>256</v>
      </c>
      <c r="C87" s="36" t="s">
        <v>23</v>
      </c>
      <c r="D87" s="43">
        <v>3.0</v>
      </c>
      <c r="E87" s="38" t="s">
        <v>257</v>
      </c>
      <c r="F87" s="39" t="s">
        <v>258</v>
      </c>
      <c r="G87" s="39" t="s">
        <v>259</v>
      </c>
      <c r="H87" s="16" t="s">
        <v>34</v>
      </c>
    </row>
    <row r="88">
      <c r="A88" s="17">
        <f t="shared" si="1"/>
        <v>78</v>
      </c>
      <c r="B88" s="18" t="s">
        <v>256</v>
      </c>
      <c r="C88" s="18" t="s">
        <v>18</v>
      </c>
      <c r="D88" s="19">
        <v>2.0</v>
      </c>
      <c r="E88" s="20" t="s">
        <v>260</v>
      </c>
      <c r="F88" s="21" t="s">
        <v>261</v>
      </c>
      <c r="G88" s="21" t="s">
        <v>262</v>
      </c>
      <c r="H88" s="23" t="s">
        <v>27</v>
      </c>
    </row>
    <row r="89">
      <c r="A89" s="84">
        <f t="shared" si="1"/>
        <v>79</v>
      </c>
      <c r="B89" s="85" t="s">
        <v>256</v>
      </c>
      <c r="C89" s="85" t="s">
        <v>18</v>
      </c>
      <c r="D89" s="86">
        <v>2.0</v>
      </c>
      <c r="E89" s="87" t="s">
        <v>263</v>
      </c>
      <c r="F89" s="88" t="s">
        <v>264</v>
      </c>
      <c r="G89" s="88" t="s">
        <v>265</v>
      </c>
      <c r="H89" s="89" t="s">
        <v>34</v>
      </c>
    </row>
  </sheetData>
  <customSheetViews>
    <customSheetView guid="{0BFC578A-3EEF-4457-A406-DD14898E8566}" filter="1" showAutoFilter="1">
      <autoFilter ref="$A$10:$H$89"/>
    </customSheetView>
    <customSheetView guid="{D84D37BB-3987-4F2C-A5C3-1A3E38E20150}" filter="1" showAutoFilter="1">
      <autoFilter ref="$A$10:$H$89"/>
    </customSheetView>
  </customSheetViews>
  <mergeCells count="2">
    <mergeCell ref="B1:E1"/>
    <mergeCell ref="D3:E3"/>
  </mergeCells>
  <dataValidations>
    <dataValidation type="list" allowBlank="1" sqref="B11:B89">
      <formula1>"H1: Visibility of System Status,H2: Match b/w System &amp; World,H3: User Control &amp; Freedom,H4: Consistency &amp; Standards,H5: Error Prevention,H6: Recognition not Recall,H7: Flexibility &amp; Efficiency of Use,H8: Aesthetic &amp; Minimalist Design,H9: Help Users with E"&amp;"rrors,H10: Help &amp; Documentation,H11: Accessible Design,H12: Value Alignment &amp; Inclusion"</formula1>
    </dataValidation>
    <dataValidation type="list" allowBlank="1" sqref="D11:D89">
      <formula1>"0,1,2,3,4"</formula1>
    </dataValidation>
    <dataValidation type="list" allowBlank="1" sqref="H11:H89">
      <formula1>"A,B,C,D"</formula1>
    </dataValidation>
    <dataValidation type="list" allowBlank="1" sqref="C11:C89">
      <formula1>"1. Simple Task,2. Moderate Task,3. Complex Task,4. All Tasks,5. Extra Violations"</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s>
  <sheetData>
    <row r="1">
      <c r="A1" s="90" t="s">
        <v>266</v>
      </c>
      <c r="B1" s="91" t="s">
        <v>267</v>
      </c>
      <c r="C1" s="91" t="s">
        <v>268</v>
      </c>
      <c r="D1" s="91" t="s">
        <v>269</v>
      </c>
      <c r="E1" s="91" t="s">
        <v>270</v>
      </c>
      <c r="F1" s="91" t="s">
        <v>271</v>
      </c>
      <c r="G1" s="92" t="s">
        <v>272</v>
      </c>
      <c r="I1" s="93"/>
      <c r="J1" s="93"/>
      <c r="K1" s="93"/>
      <c r="L1" s="93"/>
    </row>
    <row r="2">
      <c r="A2" s="94" t="s">
        <v>17</v>
      </c>
      <c r="B2" s="95">
        <f>COUNTIFS('Group Heuristic Evaluation'!B:B, "H1: Visibility of System Status", 'Group Heuristic Evaluation'!D:D, 0)</f>
        <v>0</v>
      </c>
      <c r="C2" s="95">
        <f>COUNTIFS('Group Heuristic Evaluation'!B:B, "H1: Visibility of System Status", 'Group Heuristic Evaluation'!D:D, 1)</f>
        <v>3</v>
      </c>
      <c r="D2" s="96">
        <f>COUNTIFS('Group Heuristic Evaluation'!B:B, "H1: Visibility of System Status", 'Group Heuristic Evaluation'!D:D, 2)</f>
        <v>2</v>
      </c>
      <c r="E2" s="96">
        <f>COUNTIFS('Group Heuristic Evaluation'!B:B, "H1: Visibility of System Status", 'Group Heuristic Evaluation'!D:D, 3)</f>
        <v>1</v>
      </c>
      <c r="F2" s="96">
        <f>COUNTIFS('Group Heuristic Evaluation'!B:B, "H1: Visibility of System Status", 'Group Heuristic Evaluation'!D:D, 4)</f>
        <v>0</v>
      </c>
      <c r="G2" s="97">
        <f t="shared" ref="G2:G5" si="1">SUM(B2:F2)</f>
        <v>6</v>
      </c>
      <c r="I2" s="93"/>
      <c r="J2" s="93"/>
      <c r="K2" s="93"/>
      <c r="L2" s="93"/>
    </row>
    <row r="3">
      <c r="A3" s="98" t="s">
        <v>97</v>
      </c>
      <c r="B3" s="95">
        <f>COUNTIFS('Group Heuristic Evaluation'!B:B, "H2: Match b/w System &amp; World", 'Group Heuristic Evaluation'!D:D, 0)</f>
        <v>1</v>
      </c>
      <c r="C3" s="96">
        <f>COUNTIFS('Group Heuristic Evaluation'!B:B, "H2: Match b/w System &amp; World", 'Group Heuristic Evaluation'!D:D, 1)</f>
        <v>3</v>
      </c>
      <c r="D3" s="96">
        <f>COUNTIFS('Group Heuristic Evaluation'!B:B, "H2: Match b/w System &amp; World", 'Group Heuristic Evaluation'!D:D, 2)</f>
        <v>2</v>
      </c>
      <c r="E3" s="96">
        <f>COUNTIFS('Group Heuristic Evaluation'!B:B, "H2: Match b/w System &amp; World", 'Group Heuristic Evaluation'!D:D, 3)</f>
        <v>1</v>
      </c>
      <c r="F3" s="96">
        <f>COUNTIFS('Group Heuristic Evaluation'!B:B, "H2: Match b/w System &amp; World", 'Group Heuristic Evaluation'!D:D, 4)</f>
        <v>0</v>
      </c>
      <c r="G3" s="99">
        <f t="shared" si="1"/>
        <v>7</v>
      </c>
      <c r="I3" s="93"/>
      <c r="J3" s="93"/>
      <c r="K3" s="93"/>
      <c r="L3" s="93"/>
    </row>
    <row r="4">
      <c r="A4" s="98" t="s">
        <v>119</v>
      </c>
      <c r="B4" s="95">
        <f>COUNTIFS('Group Heuristic Evaluation'!B:B, "H3: User Control &amp; Freedom", 'Group Heuristic Evaluation'!D:D, 0)</f>
        <v>0</v>
      </c>
      <c r="C4" s="96">
        <f>COUNTIFS('Group Heuristic Evaluation'!B:B, "H3: User Control &amp; Freedom", 'Group Heuristic Evaluation'!D:D, 1)</f>
        <v>3</v>
      </c>
      <c r="D4" s="96">
        <f>COUNTIFS('Group Heuristic Evaluation'!B:B, "H3: User Control &amp; Freedom", 'Group Heuristic Evaluation'!D:D, 2)</f>
        <v>1</v>
      </c>
      <c r="E4" s="96">
        <f>COUNTIFS('Group Heuristic Evaluation'!B:B, "H3: User Control &amp; Freedom", 'Group Heuristic Evaluation'!D:D, 3)</f>
        <v>5</v>
      </c>
      <c r="F4" s="96">
        <f>COUNTIFS('Group Heuristic Evaluation'!B:B, "H3: User Control &amp; Freedom", 'Group Heuristic Evaluation'!D:D, 4)</f>
        <v>1</v>
      </c>
      <c r="G4" s="99">
        <f t="shared" si="1"/>
        <v>10</v>
      </c>
      <c r="I4" s="93"/>
      <c r="J4" s="93"/>
      <c r="K4" s="93"/>
      <c r="L4" s="93"/>
    </row>
    <row r="5">
      <c r="A5" s="98" t="s">
        <v>148</v>
      </c>
      <c r="B5" s="95">
        <f>COUNTIFS('Group Heuristic Evaluation'!B:B, "H4: Consistency &amp; Standards", 'Group Heuristic Evaluation'!D:D, 0)</f>
        <v>0</v>
      </c>
      <c r="C5" s="96">
        <f>COUNTIFS('Group Heuristic Evaluation'!B:B, "H4: Consistency &amp; Standards", 'Group Heuristic Evaluation'!D:D, 1)</f>
        <v>4</v>
      </c>
      <c r="D5" s="96">
        <f>COUNTIFS('Group Heuristic Evaluation'!B:B, "H4: Consistency &amp; Standards", 'Group Heuristic Evaluation'!D:D, 2)</f>
        <v>4</v>
      </c>
      <c r="E5" s="96">
        <f>COUNTIFS('Group Heuristic Evaluation'!B:B, "H4: Consistency &amp; Standards", 'Group Heuristic Evaluation'!D:D, 3)</f>
        <v>1</v>
      </c>
      <c r="F5" s="96">
        <f>COUNTIFS('Group Heuristic Evaluation'!B:B, "H4: Consistency &amp; Standards", 'Group Heuristic Evaluation'!D:D, 4)</f>
        <v>0</v>
      </c>
      <c r="G5" s="99">
        <f t="shared" si="1"/>
        <v>9</v>
      </c>
      <c r="I5" s="93"/>
      <c r="J5" s="93"/>
      <c r="K5" s="93"/>
      <c r="L5" s="93"/>
    </row>
    <row r="6">
      <c r="A6" s="98" t="s">
        <v>174</v>
      </c>
      <c r="B6" s="95">
        <f>COUNTIFS('Group Heuristic Evaluation'!B:B, "H5: Error Prevention", 'Group Heuristic Evaluation'!D:D, 0)</f>
        <v>0</v>
      </c>
      <c r="C6" s="96">
        <f>COUNTIFS('Group Heuristic Evaluation'!B:B, "H5: Error Prevention", 'Group Heuristic Evaluation'!D:D, 1)</f>
        <v>0</v>
      </c>
      <c r="D6" s="96">
        <f>COUNTIFS('Group Heuristic Evaluation'!B:B, "H5: Error Prevention", 'Group Heuristic Evaluation'!D:D, 2)</f>
        <v>5</v>
      </c>
      <c r="E6" s="96">
        <f>COUNTIFS('Group Heuristic Evaluation'!B:B, "H5: Error Prevention", 'Group Heuristic Evaluation'!D:D, 3)</f>
        <v>2</v>
      </c>
      <c r="F6" s="96">
        <f>COUNTIFS('Group Heuristic Evaluation'!B:B, "H5: Error Prevention", 'Group Heuristic Evaluation'!D:D, 4)</f>
        <v>2</v>
      </c>
      <c r="G6" s="99">
        <f>SUM(C6:F6)</f>
        <v>9</v>
      </c>
      <c r="I6" s="93"/>
      <c r="J6" s="93"/>
      <c r="K6" s="93"/>
      <c r="L6" s="93"/>
    </row>
    <row r="7">
      <c r="A7" s="98" t="s">
        <v>202</v>
      </c>
      <c r="B7" s="95">
        <f>COUNTIFS('Group Heuristic Evaluation'!B:B, "H6: Recognition not Recall", 'Group Heuristic Evaluation'!D:D, 0)</f>
        <v>1</v>
      </c>
      <c r="C7" s="96">
        <f>COUNTIFS('Group Heuristic Evaluation'!B:B, "H6: Recognition not Recall", 'Group Heuristic Evaluation'!D:D, 1)</f>
        <v>2</v>
      </c>
      <c r="D7" s="96">
        <f>COUNTIFS('Group Heuristic Evaluation'!B:B, "H6: Recognition not Recall", 'Group Heuristic Evaluation'!D:D, 2)</f>
        <v>3</v>
      </c>
      <c r="E7" s="96">
        <f>COUNTIFS('Group Heuristic Evaluation'!B:B, "H6: Recognition not Recall", 'Group Heuristic Evaluation'!D:D, 3)</f>
        <v>2</v>
      </c>
      <c r="F7" s="96">
        <f>COUNTIFS('Group Heuristic Evaluation'!B:B, "H6: Recognition not Recall", 'Group Heuristic Evaluation'!D:D, 4)</f>
        <v>0</v>
      </c>
      <c r="G7" s="99">
        <f t="shared" ref="G7:G13" si="2">SUM(B7:F7)</f>
        <v>8</v>
      </c>
      <c r="I7" s="93"/>
      <c r="J7" s="93"/>
      <c r="K7" s="93"/>
      <c r="L7" s="93"/>
    </row>
    <row r="8">
      <c r="A8" s="98" t="s">
        <v>226</v>
      </c>
      <c r="B8" s="95">
        <f>COUNTIFS('Group Heuristic Evaluation'!B:B, "H7: Flexibility &amp; Efficiency of Use", 'Group Heuristic Evaluation'!D:D, 0)</f>
        <v>0</v>
      </c>
      <c r="C8" s="96">
        <f>COUNTIFS('Group Heuristic Evaluation'!B:B, "H7: Flexibility &amp; Efficiency of Use", 'Group Heuristic Evaluation'!D:D, 1)</f>
        <v>2</v>
      </c>
      <c r="D8" s="96">
        <f>COUNTIFS('Group Heuristic Evaluation'!B:B, "H7: Flexibility &amp; Efficiency of Use", 'Group Heuristic Evaluation'!D:D, 2)</f>
        <v>0</v>
      </c>
      <c r="E8" s="96">
        <f>COUNTIFS('Group Heuristic Evaluation'!B:B, "H7: Flexibility &amp; Efficiency of Use", 'Group Heuristic Evaluation'!D:D, 3)</f>
        <v>2</v>
      </c>
      <c r="F8" s="96">
        <f>COUNTIFS('Group Heuristic Evaluation'!B:B, "H7: Flexibility &amp; Efficiency of Use", 'Group Heuristic Evaluation'!D:D, 4)</f>
        <v>0</v>
      </c>
      <c r="G8" s="99">
        <f t="shared" si="2"/>
        <v>4</v>
      </c>
      <c r="I8" s="93"/>
      <c r="J8" s="93"/>
      <c r="K8" s="93"/>
      <c r="L8" s="93"/>
    </row>
    <row r="9">
      <c r="A9" s="98" t="s">
        <v>238</v>
      </c>
      <c r="B9" s="95">
        <f>COUNTIFS('Group Heuristic Evaluation'!B:B, "H8: Aesthetic &amp; Minimalist Design", 'Group Heuristic Evaluation'!D:D, 0)</f>
        <v>0</v>
      </c>
      <c r="C9" s="100">
        <f>COUNTIFS('Group Heuristic Evaluation'!B:B, "H8: Aesthetic &amp; Minimalist Design", 'Group Heuristic Evaluation'!D:D, 1)</f>
        <v>5</v>
      </c>
      <c r="D9" s="100">
        <f>COUNTIFS('Group Heuristic Evaluation'!B:B, "H8: Aesthetic &amp; Minimalist Design", 'Group Heuristic Evaluation'!D:D, 2)</f>
        <v>0</v>
      </c>
      <c r="E9" s="100">
        <f>COUNTIFS('Group Heuristic Evaluation'!B:B, "H8: Aesthetic &amp; Minimalist Design", 'Group Heuristic Evaluation'!D:D, 3)</f>
        <v>1</v>
      </c>
      <c r="F9" s="100">
        <f>COUNTIFS('Group Heuristic Evaluation'!B:B, "H8: Aesthetic &amp; Minimalist Design", 'Group Heuristic Evaluation'!D:D, 4)</f>
        <v>1</v>
      </c>
      <c r="G9" s="99">
        <f t="shared" si="2"/>
        <v>7</v>
      </c>
      <c r="I9" s="93"/>
      <c r="J9" s="93"/>
      <c r="K9" s="93"/>
      <c r="L9" s="93"/>
    </row>
    <row r="10">
      <c r="A10" s="98" t="s">
        <v>256</v>
      </c>
      <c r="B10" s="95">
        <f>COUNTIFS('Group Heuristic Evaluation'!B:B, "H9: Help Users with Errors", 'Group Heuristic Evaluation'!D:D, 0)</f>
        <v>0</v>
      </c>
      <c r="C10" s="100">
        <f>COUNTIFS('Group Heuristic Evaluation'!B:B, "H9: Help Users with Errors", 'Group Heuristic Evaluation'!D:D, 1)</f>
        <v>0</v>
      </c>
      <c r="D10" s="100">
        <f>COUNTIFS('Group Heuristic Evaluation'!B:B, "H9: Help Users with Errors", 'Group Heuristic Evaluation'!D:D, 2)</f>
        <v>2</v>
      </c>
      <c r="E10" s="100">
        <f>COUNTIFS('Group Heuristic Evaluation'!B:B, "H9: Help Users with Errors", 'Group Heuristic Evaluation'!D:D, 3)</f>
        <v>1</v>
      </c>
      <c r="F10" s="100">
        <f>COUNTIFS('Group Heuristic Evaluation'!B:B, "H9: Help Users with Errors", 'Group Heuristic Evaluation'!D:D, 4)</f>
        <v>0</v>
      </c>
      <c r="G10" s="99">
        <f t="shared" si="2"/>
        <v>3</v>
      </c>
      <c r="I10" s="93"/>
      <c r="J10" s="93"/>
      <c r="K10" s="93"/>
      <c r="L10" s="93"/>
    </row>
    <row r="11">
      <c r="A11" s="98" t="s">
        <v>41</v>
      </c>
      <c r="B11" s="95">
        <f>COUNTIFS('Group Heuristic Evaluation'!B:B, "H10: Help &amp; Documentation", 'Group Heuristic Evaluation'!D:D, 0)</f>
        <v>0</v>
      </c>
      <c r="C11" s="100">
        <f>COUNTIFS('Group Heuristic Evaluation'!B:B, "H10: Help &amp; Documentation", 'Group Heuristic Evaluation'!D:D, 1)</f>
        <v>0</v>
      </c>
      <c r="D11" s="100">
        <f>COUNTIFS('Group Heuristic Evaluation'!B:B, "H10: Help &amp; Documentation", 'Group Heuristic Evaluation'!D:D, 2)</f>
        <v>3</v>
      </c>
      <c r="E11" s="100">
        <f>COUNTIFS('Group Heuristic Evaluation'!B:B, "H10: Help &amp; Documentation", 'Group Heuristic Evaluation'!D:D, 3)</f>
        <v>1</v>
      </c>
      <c r="F11" s="100">
        <f>COUNTIFS('Group Heuristic Evaluation'!B:B, "H10: Help &amp; Documentation", 'Group Heuristic Evaluation'!D:D, 4)</f>
        <v>0</v>
      </c>
      <c r="G11" s="99">
        <f t="shared" si="2"/>
        <v>4</v>
      </c>
      <c r="I11" s="93"/>
      <c r="J11" s="93"/>
      <c r="K11" s="93"/>
      <c r="L11" s="93"/>
    </row>
    <row r="12">
      <c r="A12" s="98" t="s">
        <v>56</v>
      </c>
      <c r="B12" s="95">
        <f>COUNTIFS('Group Heuristic Evaluation'!B:B, "H11: Accessible Design", 'Group Heuristic Evaluation'!D:D, 0)</f>
        <v>0</v>
      </c>
      <c r="C12" s="100">
        <f>COUNTIFS('Group Heuristic Evaluation'!B:B, "H11: Accessible Design", 'Group Heuristic Evaluation'!D:D, 1)</f>
        <v>2</v>
      </c>
      <c r="D12" s="100">
        <f>COUNTIFS('Group Heuristic Evaluation'!B:B, "H11: Accessible Design", 'Group Heuristic Evaluation'!D:D, 2)</f>
        <v>5</v>
      </c>
      <c r="E12" s="100">
        <f>COUNTIFS('Group Heuristic Evaluation'!B:B, "H11: Accessible Design", 'Group Heuristic Evaluation'!D:D, 3)</f>
        <v>1</v>
      </c>
      <c r="F12" s="100">
        <f>COUNTIFS('Group Heuristic Evaluation'!B:B, "H11: Accessible Design", 'Group Heuristic Evaluation'!D:D, 4)</f>
        <v>0</v>
      </c>
      <c r="G12" s="99">
        <f t="shared" si="2"/>
        <v>8</v>
      </c>
      <c r="I12" s="93"/>
      <c r="J12" s="93"/>
      <c r="K12" s="93"/>
      <c r="L12" s="93"/>
    </row>
    <row r="13">
      <c r="A13" s="98" t="s">
        <v>273</v>
      </c>
      <c r="B13" s="95">
        <f>COUNTIFS('Group Heuristic Evaluation'!B:B, "H12: Value Alignment &amp; Inclusion", 'Group Heuristic Evaluation'!D:D, 0)</f>
        <v>0</v>
      </c>
      <c r="C13" s="100">
        <f>COUNTIFS('Group Heuristic Evaluation'!B:B, "H12: Value Alignment &amp; Inclusion", 'Group Heuristic Evaluation'!D:D, 1)</f>
        <v>2</v>
      </c>
      <c r="D13" s="100">
        <f>COUNTIFS('Group Heuristic Evaluation'!B:B, "H12: Value Alignment &amp; Inclusion", 'Group Heuristic Evaluation'!D:D, 2)</f>
        <v>2</v>
      </c>
      <c r="E13" s="100">
        <f>COUNTIFS('Group Heuristic Evaluation'!B:B, "H12: Value Alignment &amp; Inclusion", 'Group Heuristic Evaluation'!D:D, 3)</f>
        <v>0</v>
      </c>
      <c r="F13" s="100">
        <f>COUNTIFS('Group Heuristic Evaluation'!B:B, "H12: Value Alignment &amp; Inclusion", 'Group Heuristic Evaluation'!D:D, 4)</f>
        <v>0</v>
      </c>
      <c r="G13" s="99">
        <f t="shared" si="2"/>
        <v>4</v>
      </c>
      <c r="I13" s="93"/>
      <c r="J13" s="93"/>
      <c r="K13" s="93"/>
      <c r="L13" s="93"/>
    </row>
    <row r="14">
      <c r="A14" s="101" t="s">
        <v>274</v>
      </c>
      <c r="B14" s="102">
        <f>SUM(B2:B13)</f>
        <v>2</v>
      </c>
      <c r="C14" s="102">
        <f t="shared" ref="C14:D14" si="3">SUM(C1:C13)</f>
        <v>26</v>
      </c>
      <c r="D14" s="102">
        <f t="shared" si="3"/>
        <v>29</v>
      </c>
      <c r="E14" s="102">
        <f t="shared" ref="E14:G14" si="4">SUM(E2:E13)</f>
        <v>18</v>
      </c>
      <c r="F14" s="102">
        <f t="shared" si="4"/>
        <v>4</v>
      </c>
      <c r="G14" s="103">
        <f t="shared" si="4"/>
        <v>79</v>
      </c>
      <c r="I14" s="93"/>
      <c r="J14" s="93"/>
      <c r="K14" s="93"/>
      <c r="L14" s="93"/>
    </row>
    <row r="16">
      <c r="A16" s="104"/>
      <c r="B16" s="104"/>
      <c r="C16" s="104"/>
      <c r="D16" s="104"/>
      <c r="E16" s="104"/>
      <c r="F16" s="104"/>
      <c r="G16" s="104"/>
    </row>
    <row r="17">
      <c r="A17" s="104"/>
      <c r="B17" s="104"/>
      <c r="C17" s="104"/>
      <c r="D17" s="104"/>
      <c r="E17" s="104"/>
      <c r="F17" s="104"/>
      <c r="G17" s="104"/>
    </row>
    <row r="18">
      <c r="A18" s="104"/>
      <c r="B18" s="104"/>
      <c r="C18" s="104"/>
      <c r="D18" s="104"/>
      <c r="E18" s="104"/>
      <c r="F18" s="104"/>
      <c r="G18" s="104"/>
    </row>
    <row r="19">
      <c r="A19" s="104"/>
      <c r="B19" s="104"/>
      <c r="C19" s="104"/>
      <c r="D19" s="104"/>
      <c r="E19" s="104"/>
      <c r="F19" s="104"/>
      <c r="G19" s="104"/>
    </row>
    <row r="20">
      <c r="A20" s="104"/>
      <c r="B20" s="104"/>
      <c r="C20" s="104"/>
      <c r="D20" s="104"/>
      <c r="E20" s="104"/>
      <c r="F20" s="104"/>
      <c r="G20" s="104"/>
    </row>
    <row r="21">
      <c r="A21" s="104"/>
      <c r="B21" s="104"/>
      <c r="C21" s="104"/>
      <c r="D21" s="104"/>
      <c r="E21" s="104"/>
      <c r="F21" s="104"/>
      <c r="G21" s="104"/>
    </row>
    <row r="22">
      <c r="A22" s="104"/>
      <c r="B22" s="104"/>
      <c r="C22" s="104"/>
      <c r="D22" s="104"/>
      <c r="E22" s="104"/>
      <c r="F22" s="104"/>
      <c r="G22" s="104"/>
    </row>
    <row r="23">
      <c r="A23" s="104"/>
      <c r="B23" s="104"/>
      <c r="C23" s="104"/>
      <c r="D23" s="104"/>
      <c r="E23" s="104"/>
      <c r="F23" s="104"/>
      <c r="G23" s="104"/>
    </row>
    <row r="24">
      <c r="A24" s="104"/>
      <c r="B24" s="104"/>
      <c r="C24" s="104"/>
      <c r="D24" s="104"/>
      <c r="E24" s="104"/>
      <c r="F24" s="104"/>
      <c r="G24" s="104"/>
    </row>
    <row r="25">
      <c r="A25" s="104"/>
      <c r="B25" s="104"/>
      <c r="C25" s="104"/>
      <c r="D25" s="104"/>
      <c r="E25" s="104"/>
      <c r="F25" s="104"/>
      <c r="G25" s="104"/>
    </row>
    <row r="26">
      <c r="A26" s="104"/>
      <c r="B26" s="104"/>
      <c r="C26" s="104"/>
      <c r="D26" s="104"/>
      <c r="E26" s="104"/>
      <c r="F26" s="104"/>
      <c r="G26" s="104"/>
    </row>
    <row r="27">
      <c r="A27" s="104"/>
      <c r="B27" s="104"/>
      <c r="C27" s="104"/>
      <c r="D27" s="104"/>
      <c r="E27" s="104"/>
      <c r="F27" s="104"/>
      <c r="G27" s="104"/>
    </row>
    <row r="28">
      <c r="A28" s="104"/>
      <c r="B28" s="104"/>
      <c r="C28" s="104"/>
      <c r="D28" s="104"/>
      <c r="E28" s="104"/>
      <c r="F28" s="104"/>
      <c r="G28" s="104"/>
    </row>
    <row r="29">
      <c r="A29" s="104"/>
      <c r="B29" s="104"/>
      <c r="C29" s="104"/>
      <c r="D29" s="104"/>
      <c r="E29" s="104"/>
      <c r="F29" s="104"/>
      <c r="G29" s="104"/>
    </row>
    <row r="32">
      <c r="A32" s="105"/>
      <c r="B32" s="105"/>
      <c r="C32" s="105"/>
      <c r="D32" s="105"/>
      <c r="E32" s="105"/>
      <c r="F32" s="105"/>
      <c r="G32" s="105"/>
    </row>
    <row r="33">
      <c r="A33" s="105"/>
      <c r="B33" s="105"/>
      <c r="C33" s="105"/>
      <c r="D33" s="105"/>
      <c r="E33" s="105"/>
      <c r="F33" s="105"/>
      <c r="G33" s="105"/>
    </row>
    <row r="34">
      <c r="A34" s="105"/>
      <c r="B34" s="105"/>
      <c r="C34" s="105"/>
      <c r="D34" s="105"/>
      <c r="E34" s="105"/>
      <c r="F34" s="105"/>
      <c r="G34" s="105"/>
    </row>
    <row r="35">
      <c r="A35" s="105"/>
      <c r="B35" s="105"/>
      <c r="C35" s="105"/>
      <c r="D35" s="105"/>
      <c r="E35" s="105"/>
      <c r="F35" s="105"/>
      <c r="G35" s="105"/>
    </row>
    <row r="36">
      <c r="A36" s="105"/>
      <c r="B36" s="105"/>
      <c r="C36" s="105"/>
      <c r="D36" s="105"/>
      <c r="E36" s="105"/>
      <c r="F36" s="105"/>
      <c r="G36" s="105"/>
    </row>
    <row r="37">
      <c r="A37" s="105"/>
      <c r="B37" s="105"/>
      <c r="C37" s="105"/>
      <c r="D37" s="105"/>
      <c r="E37" s="105"/>
      <c r="F37" s="105"/>
      <c r="G37" s="105"/>
    </row>
    <row r="38">
      <c r="A38" s="105"/>
      <c r="B38" s="105"/>
      <c r="C38" s="105"/>
      <c r="D38" s="105"/>
      <c r="E38" s="105"/>
      <c r="F38" s="105"/>
      <c r="G38" s="105"/>
    </row>
    <row r="39">
      <c r="A39" s="105"/>
      <c r="B39" s="105"/>
      <c r="C39" s="105"/>
      <c r="D39" s="105"/>
      <c r="E39" s="105"/>
      <c r="F39" s="105"/>
      <c r="G39" s="105"/>
    </row>
    <row r="40">
      <c r="A40" s="105"/>
      <c r="B40" s="105"/>
      <c r="C40" s="105"/>
      <c r="D40" s="105"/>
      <c r="E40" s="105"/>
      <c r="F40" s="105"/>
      <c r="G40" s="105"/>
    </row>
    <row r="41">
      <c r="A41" s="105"/>
      <c r="B41" s="105"/>
      <c r="C41" s="105"/>
      <c r="D41" s="105"/>
      <c r="E41" s="105"/>
      <c r="F41" s="105"/>
      <c r="G41" s="105"/>
    </row>
    <row r="42">
      <c r="A42" s="105"/>
      <c r="B42" s="105"/>
      <c r="C42" s="105"/>
      <c r="D42" s="105"/>
      <c r="E42" s="105"/>
      <c r="F42" s="105"/>
      <c r="G42" s="105"/>
    </row>
    <row r="43">
      <c r="A43" s="105"/>
      <c r="B43" s="105"/>
      <c r="C43" s="105"/>
      <c r="D43" s="105"/>
      <c r="E43" s="105"/>
      <c r="F43" s="105"/>
      <c r="G43" s="105"/>
    </row>
    <row r="44">
      <c r="A44" s="105"/>
      <c r="B44" s="105"/>
      <c r="C44" s="105"/>
      <c r="D44" s="105"/>
      <c r="E44" s="105"/>
      <c r="F44" s="105"/>
      <c r="G44" s="105"/>
    </row>
    <row r="45">
      <c r="A45" s="105"/>
      <c r="B45" s="105"/>
      <c r="C45" s="105"/>
      <c r="D45" s="105"/>
      <c r="E45" s="105"/>
      <c r="F45" s="105"/>
      <c r="G45" s="105"/>
    </row>
  </sheetData>
  <conditionalFormatting sqref="B14:F14">
    <cfRule type="colorScale" priority="1">
      <colorScale>
        <cfvo type="min"/>
        <cfvo type="max"/>
        <color rgb="FFFFFFFF"/>
        <color rgb="FFE67C73"/>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5" width="14.5"/>
  </cols>
  <sheetData>
    <row r="1">
      <c r="A1" s="106" t="s">
        <v>275</v>
      </c>
    </row>
    <row r="2">
      <c r="A2" s="107" t="s">
        <v>12</v>
      </c>
      <c r="B2" s="107" t="s">
        <v>276</v>
      </c>
      <c r="C2" s="107" t="s">
        <v>277</v>
      </c>
      <c r="D2" s="107" t="s">
        <v>278</v>
      </c>
      <c r="E2" s="107" t="s">
        <v>279</v>
      </c>
    </row>
    <row r="3">
      <c r="A3" s="108">
        <v>0.0</v>
      </c>
      <c r="B3" s="100">
        <f>COUNTIFS('Group Heuristic Evaluation'!H:H, "*A*",'Group Heuristic Evaluation'!D:D, 0)/COUNTA('Group Heuristic Evaluation'!B11:B1001)
</f>
        <v>0</v>
      </c>
      <c r="C3" s="109">
        <f>COUNTIFS('Group Heuristic Evaluation'!H:H, "*B*",'Group Heuristic Evaluation'!D:D, 0)/COUNTA('Group Heuristic Evaluation'!B11:B1001)</f>
        <v>0.01265822785</v>
      </c>
      <c r="D3" s="100">
        <f>COUNTIFS('Group Heuristic Evaluation'!H:H, "*C*",'Group Heuristic Evaluation'!D:D, 0)/COUNTA('Group Heuristic Evaluation'!B11:B1001)</f>
        <v>0.01265822785</v>
      </c>
      <c r="E3" s="100">
        <f>COUNTIFS('Group Heuristic Evaluation'!H:H, "*D*",'Group Heuristic Evaluation'!D:D, 0)/COUNTA('Group Heuristic Evaluation'!B11:B1001)</f>
        <v>0</v>
      </c>
    </row>
    <row r="4">
      <c r="A4" s="108">
        <v>1.0</v>
      </c>
      <c r="B4" s="100">
        <f>COUNTIFS('Group Heuristic Evaluation'!H:H, "*A*",'Group Heuristic Evaluation'!D:D, 1)/COUNTA('Group Heuristic Evaluation'!B11:B1001)
</f>
        <v>0.07594936709</v>
      </c>
      <c r="C4" s="109">
        <f>COUNTIFS('Group Heuristic Evaluation'!H:H, "*B*",'Group Heuristic Evaluation'!D:D, 1)/COUNTA('Group Heuristic Evaluation'!B11:B1001)</f>
        <v>0.08860759494</v>
      </c>
      <c r="D4" s="100">
        <f>COUNTIFS('Group Heuristic Evaluation'!H:H, "*C*",'Group Heuristic Evaluation'!D:D, 1)/COUNTA('Group Heuristic Evaluation'!B11:B1001)</f>
        <v>0.1518987342</v>
      </c>
      <c r="E4" s="100">
        <f>COUNTIFS('Group Heuristic Evaluation'!H:H, "*D*",'Group Heuristic Evaluation'!D:D, 1)/COUNTA('Group Heuristic Evaluation'!B11:B1001)</f>
        <v>0.1265822785</v>
      </c>
    </row>
    <row r="5">
      <c r="A5" s="108">
        <v>2.0</v>
      </c>
      <c r="B5" s="100">
        <f>COUNTIFS('Group Heuristic Evaluation'!H:H, "*A*",'Group Heuristic Evaluation'!D:D, 2)/COUNTA('Group Heuristic Evaluation'!B11:B1001)
</f>
        <v>0.07594936709</v>
      </c>
      <c r="C5" s="109">
        <f>COUNTIFS('Group Heuristic Evaluation'!H:H, "*B*",'Group Heuristic Evaluation'!D:D, 2)/COUNTA('Group Heuristic Evaluation'!B11:B1001)</f>
        <v>0.03797468354</v>
      </c>
      <c r="D5" s="100">
        <f>COUNTIFS('Group Heuristic Evaluation'!H:H, "*C*",'Group Heuristic Evaluation'!D:D, 2)/COUNTA('Group Heuristic Evaluation'!B11:B1001)</f>
        <v>0.1265822785</v>
      </c>
      <c r="E5" s="100">
        <f>COUNTIFS('Group Heuristic Evaluation'!H:H, "*D*",'Group Heuristic Evaluation'!D:D, 2)/COUNTA('Group Heuristic Evaluation'!B11:B1001)</f>
        <v>0.2151898734</v>
      </c>
    </row>
    <row r="6">
      <c r="A6" s="108">
        <v>3.0</v>
      </c>
      <c r="B6" s="100">
        <f>COUNTIFS('Group Heuristic Evaluation'!H:H, "*A*",'Group Heuristic Evaluation'!D:D, 3)/COUNTA('Group Heuristic Evaluation'!B11:B1001)
</f>
        <v>0.1265822785</v>
      </c>
      <c r="C6" s="109">
        <f>COUNTIFS('Group Heuristic Evaluation'!H:H, "*B*",'Group Heuristic Evaluation'!D:D, 3)/COUNTA('Group Heuristic Evaluation'!B11:B1001)</f>
        <v>0</v>
      </c>
      <c r="D6" s="100">
        <f>COUNTIFS('Group Heuristic Evaluation'!H:H, "*C*",'Group Heuristic Evaluation'!D:D, 3)/COUNTA('Group Heuristic Evaluation'!B11:B1001)</f>
        <v>0.03797468354</v>
      </c>
      <c r="E6" s="100">
        <f>COUNTIFS('Group Heuristic Evaluation'!H:H, "*D*",'Group Heuristic Evaluation'!D:D, 3)/COUNTA('Group Heuristic Evaluation'!B11:B1001)</f>
        <v>0.1265822785</v>
      </c>
    </row>
    <row r="7">
      <c r="A7" s="108">
        <v>4.0</v>
      </c>
      <c r="B7" s="100">
        <f>COUNTIFS('Group Heuristic Evaluation'!H:H, "*A*",'Group Heuristic Evaluation'!D:D, 4)/COUNTA('Group Heuristic Evaluation'!B11:B1001)
</f>
        <v>0.05063291139</v>
      </c>
      <c r="C7" s="109">
        <f>COUNTIFS('Group Heuristic Evaluation'!H:H, "*B*",'Group Heuristic Evaluation'!D:D, 4)/COUNTA('Group Heuristic Evaluation'!B11:B1001)</f>
        <v>0</v>
      </c>
      <c r="D7" s="100">
        <f>COUNTIFS('Group Heuristic Evaluation'!H:H, "*C*",'Group Heuristic Evaluation'!D:D, 4)/COUNTA('Group Heuristic Evaluation'!B:B)</f>
        <v>0</v>
      </c>
      <c r="E7" s="100">
        <f>COUNTIFS('Group Heuristic Evaluation'!H:H, "*D*",'Group Heuristic Evaluation'!D:D, 4)/COUNTA('Group Heuristic Evaluation'!B:B)</f>
        <v>0</v>
      </c>
    </row>
    <row r="8">
      <c r="A8" s="93" t="s">
        <v>280</v>
      </c>
      <c r="B8" s="110">
        <f t="shared" ref="B8:E8" si="1">SUM(B6:B7)</f>
        <v>0.1772151899</v>
      </c>
      <c r="C8" s="110">
        <f t="shared" si="1"/>
        <v>0</v>
      </c>
      <c r="D8" s="110">
        <f t="shared" si="1"/>
        <v>0.03797468354</v>
      </c>
      <c r="E8" s="110">
        <f t="shared" si="1"/>
        <v>0.1265822785</v>
      </c>
    </row>
    <row r="9">
      <c r="A9" s="93" t="s">
        <v>281</v>
      </c>
      <c r="B9" s="110">
        <f t="shared" ref="B9:E9" si="2">SUM(B3:B7)</f>
        <v>0.3291139241</v>
      </c>
      <c r="C9" s="110">
        <f t="shared" si="2"/>
        <v>0.1392405063</v>
      </c>
      <c r="D9" s="110">
        <f t="shared" si="2"/>
        <v>0.3291139241</v>
      </c>
      <c r="E9" s="110">
        <f t="shared" si="2"/>
        <v>0.4683544304</v>
      </c>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1" t="s">
        <v>282</v>
      </c>
      <c r="B1" s="112"/>
      <c r="C1" s="112"/>
      <c r="D1" s="112"/>
      <c r="E1" s="112"/>
      <c r="F1" s="112"/>
      <c r="G1" s="113"/>
      <c r="H1" s="114"/>
    </row>
    <row r="2">
      <c r="A2" s="115" t="s">
        <v>283</v>
      </c>
    </row>
    <row r="30">
      <c r="A30" s="108" t="s">
        <v>284</v>
      </c>
    </row>
    <row r="31">
      <c r="A31" s="108" t="s">
        <v>285</v>
      </c>
    </row>
  </sheetData>
  <mergeCells count="2">
    <mergeCell ref="A1:G1"/>
    <mergeCell ref="A2:G27"/>
  </mergeCells>
  <drawing r:id="rId1"/>
</worksheet>
</file>