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https://d.docs.live.net/2768b97013c2e42b/Beato ^0 Oso/"/>
    </mc:Choice>
  </mc:AlternateContent>
  <xr:revisionPtr revIDLastSave="324" documentId="10_ncr:100000_{687AB6C9-084C-4E41-9C26-91A778F168A9}" xr6:coauthVersionLast="38" xr6:coauthVersionMax="38" xr10:uidLastSave="{9096A400-BAA3-7C45-B1D1-9C122A10775A}"/>
  <bookViews>
    <workbookView xWindow="11020" yWindow="5760" windowWidth="29800" windowHeight="18240" tabRatio="500" firstSheet="1" activeTab="1" xr2:uid="{00000000-000D-0000-FFFF-FFFF00000000}"/>
  </bookViews>
  <sheets>
    <sheet name="2017" sheetId="1" r:id="rId1"/>
    <sheet name="2018" sheetId="2" r:id="rId2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2" i="2" l="1"/>
  <c r="K25" i="2"/>
  <c r="K39" i="2"/>
  <c r="J25" i="2"/>
  <c r="J39" i="2"/>
  <c r="M54" i="2"/>
  <c r="L54" i="2"/>
  <c r="K54" i="2"/>
  <c r="M47" i="2"/>
  <c r="L47" i="2"/>
  <c r="K47" i="2"/>
  <c r="M45" i="2"/>
  <c r="L45" i="2"/>
  <c r="K45" i="2"/>
  <c r="M40" i="2"/>
  <c r="L40" i="2"/>
  <c r="K40" i="2"/>
  <c r="M26" i="2"/>
  <c r="L26" i="2"/>
  <c r="K26" i="2"/>
  <c r="M12" i="2"/>
  <c r="L12" i="2"/>
  <c r="K12" i="2"/>
  <c r="J23" i="2"/>
  <c r="J54" i="2"/>
  <c r="I54" i="2"/>
  <c r="B42" i="2"/>
  <c r="D42" i="2"/>
  <c r="E42" i="2"/>
  <c r="I42" i="2"/>
  <c r="J40" i="2"/>
  <c r="J41" i="2" s="1"/>
  <c r="I40" i="2"/>
  <c r="H40" i="2"/>
  <c r="G40" i="2"/>
  <c r="G41" i="2" s="1"/>
  <c r="G42" i="2" s="1"/>
  <c r="F40" i="2"/>
  <c r="E40" i="2"/>
  <c r="D40" i="2"/>
  <c r="C40" i="2"/>
  <c r="C41" i="2" s="1"/>
  <c r="C42" i="2" s="1"/>
  <c r="B40" i="2"/>
  <c r="I41" i="2"/>
  <c r="H41" i="2"/>
  <c r="H42" i="2" s="1"/>
  <c r="F41" i="2"/>
  <c r="F42" i="2" s="1"/>
  <c r="E41" i="2"/>
  <c r="D41" i="2"/>
  <c r="B41" i="2"/>
  <c r="J47" i="2"/>
  <c r="I47" i="2"/>
  <c r="H47" i="2"/>
  <c r="G47" i="2"/>
  <c r="F47" i="2"/>
  <c r="E47" i="2"/>
  <c r="D47" i="2"/>
  <c r="C47" i="2"/>
  <c r="B47" i="2"/>
  <c r="J45" i="2"/>
  <c r="I45" i="2"/>
  <c r="H45" i="2"/>
  <c r="G45" i="2"/>
  <c r="F45" i="2"/>
  <c r="E45" i="2"/>
  <c r="D45" i="2"/>
  <c r="C45" i="2"/>
  <c r="B45" i="2"/>
  <c r="F31" i="2"/>
  <c r="H32" i="2"/>
  <c r="F33" i="2"/>
  <c r="J42" i="2" l="1"/>
  <c r="K41" i="2"/>
  <c r="D33" i="2"/>
  <c r="I25" i="2"/>
  <c r="K42" i="2" l="1"/>
  <c r="L41" i="2"/>
  <c r="J26" i="2"/>
  <c r="J12" i="2"/>
  <c r="L42" i="2" l="1"/>
  <c r="M41" i="2"/>
  <c r="M42" i="2" s="1"/>
  <c r="I26" i="2"/>
  <c r="H25" i="2"/>
  <c r="H23" i="2"/>
  <c r="H22" i="2"/>
  <c r="I12" i="2"/>
  <c r="H26" i="2" l="1"/>
  <c r="H12" i="2"/>
  <c r="G25" i="2"/>
  <c r="G23" i="2"/>
  <c r="G26" i="2" l="1"/>
  <c r="G12" i="2"/>
  <c r="F26" i="2"/>
  <c r="F12" i="2"/>
  <c r="E23" i="2"/>
  <c r="D5" i="2"/>
  <c r="D19" i="2"/>
  <c r="E25" i="2"/>
  <c r="E26" i="2" s="1"/>
  <c r="E12" i="2"/>
  <c r="D25" i="2"/>
  <c r="D26" i="2" s="1"/>
  <c r="D11" i="2"/>
  <c r="D12" i="2" s="1"/>
  <c r="D23" i="2"/>
  <c r="C25" i="2"/>
  <c r="C26" i="2" s="1"/>
  <c r="B26" i="2"/>
  <c r="B27" i="2" s="1"/>
  <c r="B28" i="2" s="1"/>
  <c r="C12" i="2"/>
  <c r="B12" i="2"/>
  <c r="E12" i="1"/>
  <c r="D12" i="1"/>
  <c r="C12" i="1"/>
  <c r="B12" i="1"/>
  <c r="B13" i="1" s="1"/>
  <c r="B5" i="2"/>
  <c r="B5" i="1"/>
  <c r="B17" i="1" s="1"/>
  <c r="C27" i="2" l="1"/>
  <c r="C28" i="2" s="1"/>
  <c r="B14" i="1"/>
  <c r="C13" i="1"/>
  <c r="C14" i="1" l="1"/>
  <c r="D13" i="1"/>
  <c r="D27" i="2"/>
  <c r="D14" i="1" l="1"/>
  <c r="E13" i="1"/>
  <c r="D28" i="2"/>
  <c r="E27" i="2"/>
  <c r="E28" i="2" l="1"/>
  <c r="F27" i="2"/>
  <c r="E14" i="1"/>
  <c r="B18" i="1"/>
  <c r="B19" i="1" s="1"/>
  <c r="B13" i="2"/>
  <c r="B46" i="2" s="1"/>
  <c r="B48" i="2" s="1"/>
  <c r="G27" i="2" l="1"/>
  <c r="F28" i="2"/>
  <c r="B14" i="2"/>
  <c r="C13" i="2"/>
  <c r="C46" i="2" s="1"/>
  <c r="C48" i="2" s="1"/>
  <c r="C14" i="2" l="1"/>
  <c r="D13" i="2"/>
  <c r="D46" i="2" s="1"/>
  <c r="D48" i="2" s="1"/>
  <c r="G28" i="2"/>
  <c r="H27" i="2"/>
  <c r="H28" i="2" l="1"/>
  <c r="I27" i="2"/>
  <c r="J27" i="2" s="1"/>
  <c r="K27" i="2" s="1"/>
  <c r="D14" i="2"/>
  <c r="E13" i="2"/>
  <c r="E46" i="2" s="1"/>
  <c r="E48" i="2" s="1"/>
  <c r="K28" i="2" l="1"/>
  <c r="L27" i="2"/>
  <c r="J28" i="2"/>
  <c r="I28" i="2"/>
  <c r="E14" i="2"/>
  <c r="F13" i="2"/>
  <c r="F46" i="2" s="1"/>
  <c r="F48" i="2" s="1"/>
  <c r="L28" i="2" l="1"/>
  <c r="M27" i="2"/>
  <c r="F14" i="2"/>
  <c r="G13" i="2"/>
  <c r="G46" i="2" s="1"/>
  <c r="G48" i="2" s="1"/>
  <c r="M28" i="2" l="1"/>
  <c r="H13" i="2"/>
  <c r="G14" i="2"/>
  <c r="I13" i="2" l="1"/>
  <c r="H46" i="2"/>
  <c r="H48" i="2" s="1"/>
  <c r="H14" i="2"/>
  <c r="I53" i="2" l="1"/>
  <c r="I46" i="2"/>
  <c r="I14" i="2"/>
  <c r="J13" i="2"/>
  <c r="J53" i="2" l="1"/>
  <c r="K13" i="2"/>
  <c r="I48" i="2"/>
  <c r="J46" i="2"/>
  <c r="J14" i="2"/>
  <c r="L13" i="2" l="1"/>
  <c r="K14" i="2"/>
  <c r="K46" i="2"/>
  <c r="K53" i="2" s="1"/>
  <c r="J48" i="2"/>
  <c r="K48" i="2" l="1"/>
  <c r="M13" i="2"/>
  <c r="L14" i="2"/>
  <c r="L46" i="2"/>
  <c r="M14" i="2" l="1"/>
  <c r="M46" i="2"/>
  <c r="L53" i="2"/>
  <c r="L48" i="2"/>
  <c r="M53" i="2" l="1"/>
  <c r="M48" i="2"/>
</calcChain>
</file>

<file path=xl/sharedStrings.xml><?xml version="1.0" encoding="utf-8"?>
<sst xmlns="http://schemas.openxmlformats.org/spreadsheetml/2006/main" count="83" uniqueCount="38">
  <si>
    <t>Investments</t>
  </si>
  <si>
    <t>Address</t>
  </si>
  <si>
    <t>10028 Oso Avenue</t>
  </si>
  <si>
    <t>Purchase Price</t>
  </si>
  <si>
    <t>Loan Amount</t>
  </si>
  <si>
    <t>Cash investment</t>
  </si>
  <si>
    <t>Month</t>
  </si>
  <si>
    <t>Additional deposit</t>
  </si>
  <si>
    <t>Rental Income</t>
  </si>
  <si>
    <t>Monthly Payment</t>
  </si>
  <si>
    <t>Other Expenses</t>
  </si>
  <si>
    <t>Total Expenses</t>
  </si>
  <si>
    <t>Cash Balance</t>
  </si>
  <si>
    <t xml:space="preserve">Return on Cash </t>
  </si>
  <si>
    <t>TOTAL CASH INVESTMENT</t>
  </si>
  <si>
    <t>TOTAL CASH BALANCE</t>
  </si>
  <si>
    <t>RETURN ON CASH</t>
  </si>
  <si>
    <t>Updated Value</t>
  </si>
  <si>
    <t>Updated LA</t>
  </si>
  <si>
    <t>42871 Beato Drive</t>
  </si>
  <si>
    <t>MONTH</t>
  </si>
  <si>
    <t>Udeshika Payout</t>
  </si>
  <si>
    <t>TOTAL RETURN ON INVEST.</t>
  </si>
  <si>
    <t>Equity adjustment +/-</t>
  </si>
  <si>
    <t>Return on Investment</t>
  </si>
  <si>
    <t>80016 Merion</t>
  </si>
  <si>
    <t>Investment Detail</t>
  </si>
  <si>
    <t>Home Supplies</t>
  </si>
  <si>
    <t>Furniture</t>
  </si>
  <si>
    <t>Home Upgrades</t>
  </si>
  <si>
    <t>Downpayment</t>
  </si>
  <si>
    <t>Meals/Gas/Travel</t>
  </si>
  <si>
    <t>Inspection</t>
  </si>
  <si>
    <t>TOTAL CASH RETURN</t>
  </si>
  <si>
    <t>Loan Payback</t>
  </si>
  <si>
    <t>Equity In Homes</t>
  </si>
  <si>
    <t>EQUITY INCREASE</t>
  </si>
  <si>
    <t>Tax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</si>
</sst>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17" fontId="0" fillId="0" borderId="0" xfId="0" applyNumberFormat="1" applyAlignment="1">
      <alignment horizontal="center" wrapText="1"/>
    </xf>
    <xf numFmtId="16" fontId="0" fillId="0" borderId="0" xfId="0" applyNumberFormat="1" applyAlignment="1">
      <alignment horizontal="center" wrapText="1"/>
    </xf>
    <xf numFmtId="10" fontId="0" fillId="0" borderId="0" xfId="0" applyNumberFormat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4" fontId="0" fillId="0" borderId="0" xfId="0" applyNumberFormat="1" applyBorder="1" applyAlignment="1">
      <alignment horizontal="center" wrapText="1"/>
    </xf>
    <xf numFmtId="164" fontId="0" fillId="0" borderId="5" xfId="0" applyNumberFormat="1" applyBorder="1" applyAlignment="1">
      <alignment horizontal="center" wrapText="1"/>
    </xf>
    <xf numFmtId="164" fontId="0" fillId="0" borderId="8" xfId="0" applyNumberFormat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6" xfId="0" applyFill="1" applyBorder="1" applyAlignment="1">
      <alignment horizontal="center" wrapText="1"/>
    </xf>
    <xf numFmtId="0" fontId="0" fillId="5" borderId="10" xfId="0" applyFill="1" applyBorder="1" applyAlignment="1">
      <alignment horizontal="center" wrapText="1"/>
    </xf>
    <xf numFmtId="164" fontId="0" fillId="0" borderId="0" xfId="0" applyNumberFormat="1" applyFill="1" applyBorder="1" applyAlignment="1">
      <alignment horizontal="center" wrapText="1"/>
    </xf>
    <xf numFmtId="10" fontId="0" fillId="6" borderId="7" xfId="0" applyNumberFormat="1" applyFill="1" applyBorder="1" applyAlignment="1">
      <alignment horizontal="center" wrapText="1"/>
    </xf>
    <xf numFmtId="4" fontId="0" fillId="0" borderId="3" xfId="0" applyNumberForma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4" fontId="0" fillId="0" borderId="5" xfId="0" applyNumberFormat="1" applyBorder="1" applyAlignment="1">
      <alignment horizontal="center" wrapText="1"/>
    </xf>
    <xf numFmtId="0" fontId="0" fillId="6" borderId="6" xfId="0" applyFill="1" applyBorder="1" applyAlignment="1">
      <alignment horizontal="center" wrapText="1"/>
    </xf>
    <xf numFmtId="164" fontId="0" fillId="6" borderId="8" xfId="0" applyNumberFormat="1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6" fontId="0" fillId="3" borderId="2" xfId="0" applyNumberFormat="1" applyFill="1" applyBorder="1" applyAlignment="1">
      <alignment horizontal="center" wrapText="1"/>
    </xf>
    <xf numFmtId="17" fontId="0" fillId="3" borderId="2" xfId="0" applyNumberFormat="1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3" borderId="11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4" fontId="0" fillId="0" borderId="12" xfId="0" applyNumberFormat="1" applyBorder="1" applyAlignment="1">
      <alignment horizontal="center" wrapText="1"/>
    </xf>
    <xf numFmtId="4" fontId="0" fillId="0" borderId="13" xfId="0" applyNumberFormat="1" applyBorder="1" applyAlignment="1">
      <alignment horizontal="center" wrapText="1"/>
    </xf>
    <xf numFmtId="4" fontId="0" fillId="0" borderId="14" xfId="0" applyNumberFormat="1" applyBorder="1" applyAlignment="1">
      <alignment horizontal="center" wrapText="1"/>
    </xf>
    <xf numFmtId="4" fontId="0" fillId="0" borderId="16" xfId="0" applyNumberFormat="1" applyBorder="1" applyAlignment="1">
      <alignment horizontal="center" wrapText="1"/>
    </xf>
    <xf numFmtId="4" fontId="0" fillId="0" borderId="0" xfId="0" applyNumberFormat="1" applyBorder="1" applyAlignment="1">
      <alignment horizontal="center" wrapText="1"/>
    </xf>
    <xf numFmtId="4" fontId="0" fillId="0" borderId="17" xfId="0" applyNumberFormat="1" applyBorder="1" applyAlignment="1">
      <alignment horizontal="center" wrapText="1"/>
    </xf>
    <xf numFmtId="164" fontId="0" fillId="5" borderId="9" xfId="0" applyNumberFormat="1" applyFill="1" applyBorder="1" applyAlignment="1">
      <alignment horizontal="center" wrapText="1"/>
    </xf>
    <xf numFmtId="0" fontId="0" fillId="8" borderId="9" xfId="0" applyFill="1" applyBorder="1" applyAlignment="1">
      <alignment horizontal="center" vertical="center" wrapText="1"/>
    </xf>
    <xf numFmtId="0" fontId="0" fillId="8" borderId="9" xfId="0" applyFill="1" applyBorder="1"/>
    <xf numFmtId="164" fontId="0" fillId="8" borderId="9" xfId="0" applyNumberFormat="1" applyFill="1" applyBorder="1" applyAlignment="1">
      <alignment horizontal="center"/>
    </xf>
    <xf numFmtId="0" fontId="0" fillId="7" borderId="9" xfId="0" applyFill="1" applyBorder="1" applyAlignment="1">
      <alignment horizontal="center" vertical="center"/>
    </xf>
    <xf numFmtId="0" fontId="0" fillId="7" borderId="9" xfId="0" applyFill="1" applyBorder="1"/>
    <xf numFmtId="4" fontId="0" fillId="7" borderId="9" xfId="0" applyNumberFormat="1" applyFill="1" applyBorder="1" applyAlignment="1">
      <alignment horizontal="center"/>
    </xf>
    <xf numFmtId="164" fontId="0" fillId="5" borderId="9" xfId="0" applyNumberFormat="1" applyFill="1" applyBorder="1" applyAlignment="1">
      <alignment horizontal="center" vertical="center" wrapText="1"/>
    </xf>
    <xf numFmtId="164" fontId="0" fillId="7" borderId="9" xfId="0" applyNumberFormat="1" applyFill="1" applyBorder="1" applyAlignment="1">
      <alignment horizontal="center" vertical="center"/>
    </xf>
    <xf numFmtId="4" fontId="0" fillId="7" borderId="9" xfId="0" applyNumberFormat="1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workbookViewId="0">
      <selection activeCell="E14" sqref="E14"/>
    </sheetView>
  </sheetViews>
  <sheetFormatPr baseColWidth="10" defaultColWidth="10.83203125" defaultRowHeight="16" x14ac:dyDescent="0.2"/>
  <cols>
    <col min="1" max="1" width="22.33203125" style="1" bestFit="1" customWidth="1"/>
    <col min="2" max="10" width="18" style="1" customWidth="1"/>
    <col min="11" max="16384" width="10.83203125" style="1"/>
  </cols>
  <sheetData>
    <row r="1" spans="1:10" x14ac:dyDescent="0.2">
      <c r="A1" s="40" t="s">
        <v>0</v>
      </c>
      <c r="B1" s="40"/>
      <c r="C1" s="40"/>
      <c r="D1" s="40"/>
      <c r="E1" s="40"/>
      <c r="F1" s="40"/>
      <c r="G1" s="40"/>
      <c r="H1" s="40"/>
      <c r="I1" s="32"/>
      <c r="J1" s="32"/>
    </row>
    <row r="2" spans="1:10" ht="17" x14ac:dyDescent="0.2">
      <c r="A2" s="32" t="s">
        <v>1</v>
      </c>
      <c r="B2" s="32" t="s">
        <v>2</v>
      </c>
      <c r="C2" s="32"/>
      <c r="D2" s="32"/>
      <c r="E2" s="32"/>
      <c r="F2" s="32"/>
      <c r="G2" s="32"/>
      <c r="H2" s="32"/>
      <c r="I2" s="32"/>
      <c r="J2" s="32"/>
    </row>
    <row r="3" spans="1:10" ht="17" x14ac:dyDescent="0.2">
      <c r="A3" s="32" t="s">
        <v>3</v>
      </c>
      <c r="B3" s="2">
        <v>540000</v>
      </c>
      <c r="C3" s="32"/>
      <c r="D3" s="32"/>
      <c r="E3" s="32"/>
      <c r="F3" s="32"/>
      <c r="G3" s="32"/>
      <c r="H3" s="32"/>
      <c r="I3" s="32"/>
      <c r="J3" s="32"/>
    </row>
    <row r="4" spans="1:10" ht="17" x14ac:dyDescent="0.2">
      <c r="A4" s="32" t="s">
        <v>4</v>
      </c>
      <c r="B4" s="2">
        <v>424000</v>
      </c>
      <c r="C4" s="32"/>
      <c r="D4" s="32"/>
      <c r="E4" s="32"/>
      <c r="F4" s="32"/>
      <c r="G4" s="32"/>
      <c r="H4" s="32"/>
      <c r="I4" s="32"/>
      <c r="J4" s="32"/>
    </row>
    <row r="5" spans="1:10" ht="17" x14ac:dyDescent="0.2">
      <c r="A5" s="32" t="s">
        <v>5</v>
      </c>
      <c r="B5" s="2">
        <f>16200+100096.08</f>
        <v>116296.08</v>
      </c>
      <c r="C5" s="32"/>
      <c r="D5" s="32"/>
      <c r="E5" s="32"/>
      <c r="F5" s="32"/>
      <c r="G5" s="32"/>
      <c r="H5" s="32"/>
      <c r="I5" s="32"/>
      <c r="J5" s="32"/>
    </row>
    <row r="7" spans="1:10" ht="17" x14ac:dyDescent="0.2">
      <c r="A7" s="32" t="s">
        <v>6</v>
      </c>
      <c r="B7" s="3">
        <v>42979</v>
      </c>
      <c r="C7" s="3">
        <v>43009</v>
      </c>
      <c r="D7" s="4">
        <v>43421</v>
      </c>
      <c r="E7" s="4">
        <v>43451</v>
      </c>
      <c r="F7" s="4"/>
      <c r="G7" s="3"/>
      <c r="H7" s="32"/>
      <c r="I7" s="32"/>
      <c r="J7" s="32"/>
    </row>
    <row r="8" spans="1:10" ht="17" x14ac:dyDescent="0.2">
      <c r="A8" s="32" t="s">
        <v>7</v>
      </c>
      <c r="B8" s="2">
        <v>1329</v>
      </c>
      <c r="C8" s="2">
        <v>18000</v>
      </c>
      <c r="D8" s="2">
        <v>0</v>
      </c>
      <c r="E8" s="2">
        <v>0</v>
      </c>
      <c r="F8" s="2"/>
      <c r="G8" s="2"/>
      <c r="H8" s="2"/>
      <c r="I8" s="2"/>
      <c r="J8" s="2"/>
    </row>
    <row r="9" spans="1:10" ht="17" x14ac:dyDescent="0.2">
      <c r="A9" s="32" t="s">
        <v>8</v>
      </c>
      <c r="B9" s="2">
        <v>0</v>
      </c>
      <c r="C9" s="2">
        <v>2400</v>
      </c>
      <c r="D9" s="2">
        <v>2400</v>
      </c>
      <c r="E9" s="2">
        <v>2400</v>
      </c>
      <c r="F9" s="2"/>
      <c r="G9" s="2"/>
      <c r="H9" s="2"/>
      <c r="I9" s="2"/>
      <c r="J9" s="2"/>
    </row>
    <row r="10" spans="1:10" ht="17" x14ac:dyDescent="0.2">
      <c r="A10" s="32" t="s">
        <v>9</v>
      </c>
      <c r="B10" s="2">
        <v>0</v>
      </c>
      <c r="C10" s="2">
        <v>2474.35</v>
      </c>
      <c r="D10" s="2">
        <v>2474.35</v>
      </c>
      <c r="E10" s="2">
        <v>2474.35</v>
      </c>
      <c r="F10" s="2"/>
      <c r="G10" s="2"/>
      <c r="H10" s="2"/>
      <c r="I10" s="2"/>
      <c r="J10" s="2"/>
    </row>
    <row r="11" spans="1:10" ht="17" x14ac:dyDescent="0.2">
      <c r="A11" s="32" t="s">
        <v>10</v>
      </c>
      <c r="B11" s="2">
        <v>501.45</v>
      </c>
      <c r="C11" s="2">
        <v>0</v>
      </c>
      <c r="D11" s="2">
        <v>0</v>
      </c>
      <c r="E11" s="2">
        <v>121.76</v>
      </c>
      <c r="F11" s="2"/>
      <c r="G11" s="2"/>
      <c r="H11" s="2"/>
      <c r="I11" s="2"/>
      <c r="J11" s="2"/>
    </row>
    <row r="12" spans="1:10" ht="17" x14ac:dyDescent="0.2">
      <c r="A12" s="32" t="s">
        <v>11</v>
      </c>
      <c r="B12" s="2">
        <f>SUM(B10:B11)</f>
        <v>501.45</v>
      </c>
      <c r="C12" s="2">
        <f>SUM(C10:C11)</f>
        <v>2474.35</v>
      </c>
      <c r="D12" s="2">
        <f>SUM(D10:D11)</f>
        <v>2474.35</v>
      </c>
      <c r="E12" s="2">
        <f>SUM(E10:E11)</f>
        <v>2596.11</v>
      </c>
      <c r="F12" s="2"/>
      <c r="G12" s="2"/>
      <c r="H12" s="2"/>
      <c r="I12" s="2"/>
      <c r="J12" s="2"/>
    </row>
    <row r="13" spans="1:10" ht="17" x14ac:dyDescent="0.2">
      <c r="A13" s="32" t="s">
        <v>12</v>
      </c>
      <c r="B13" s="2">
        <f>SUM(B8:B9)-(B12)</f>
        <v>827.55</v>
      </c>
      <c r="C13" s="2">
        <f>SUM(C8:C9)-(C12)+B13</f>
        <v>18753.2</v>
      </c>
      <c r="D13" s="2">
        <f>SUM(D8:D9)-(D12)+C13</f>
        <v>18678.850000000002</v>
      </c>
      <c r="E13" s="2">
        <f>SUM(E8:E9)-(E12)+D13</f>
        <v>18482.740000000002</v>
      </c>
      <c r="F13" s="2"/>
      <c r="G13" s="2"/>
      <c r="H13" s="2"/>
      <c r="I13" s="2"/>
      <c r="J13" s="2"/>
    </row>
    <row r="14" spans="1:10" ht="17" x14ac:dyDescent="0.2">
      <c r="A14" s="32" t="s">
        <v>13</v>
      </c>
      <c r="B14" s="5">
        <f>B13/B5</f>
        <v>7.1158890308254579E-3</v>
      </c>
      <c r="C14" s="5">
        <f>C13/B5</f>
        <v>0.16125393048501721</v>
      </c>
      <c r="D14" s="5">
        <f>D13/B5</f>
        <v>0.16061461400934582</v>
      </c>
      <c r="E14" s="5">
        <f>E13/B5</f>
        <v>0.15892831469469995</v>
      </c>
      <c r="F14" s="5"/>
      <c r="G14" s="32"/>
      <c r="H14" s="32"/>
      <c r="I14" s="32"/>
      <c r="J14" s="32"/>
    </row>
    <row r="16" spans="1:10" x14ac:dyDescent="0.2">
      <c r="A16" s="32"/>
      <c r="B16" s="3">
        <v>43086</v>
      </c>
      <c r="C16" s="32"/>
      <c r="D16" s="32"/>
      <c r="E16" s="32"/>
      <c r="F16" s="32"/>
      <c r="G16" s="32"/>
      <c r="H16" s="32"/>
      <c r="I16" s="32"/>
      <c r="J16" s="32"/>
    </row>
    <row r="17" spans="1:9" ht="34" x14ac:dyDescent="0.2">
      <c r="A17" s="32" t="s">
        <v>14</v>
      </c>
      <c r="B17" s="2">
        <f>SUM(B5)</f>
        <v>116296.08</v>
      </c>
      <c r="C17" s="32"/>
      <c r="D17" s="32"/>
      <c r="E17" s="32"/>
      <c r="F17" s="32"/>
      <c r="G17" s="32"/>
      <c r="H17" s="32"/>
      <c r="I17" s="32"/>
    </row>
    <row r="18" spans="1:9" ht="17" x14ac:dyDescent="0.2">
      <c r="A18" s="32" t="s">
        <v>15</v>
      </c>
      <c r="B18" s="2">
        <f>E13</f>
        <v>18482.740000000002</v>
      </c>
      <c r="C18" s="32"/>
      <c r="D18" s="32"/>
      <c r="E18" s="32"/>
      <c r="F18" s="32"/>
      <c r="G18" s="32"/>
      <c r="H18" s="32"/>
      <c r="I18" s="32"/>
    </row>
    <row r="19" spans="1:9" ht="17" x14ac:dyDescent="0.2">
      <c r="A19" s="32" t="s">
        <v>16</v>
      </c>
      <c r="B19" s="5">
        <f>B18/B17</f>
        <v>0.15892831469469995</v>
      </c>
      <c r="C19" s="32"/>
      <c r="D19" s="32"/>
      <c r="E19" s="32"/>
      <c r="F19" s="32"/>
      <c r="G19" s="32"/>
      <c r="H19" s="32"/>
      <c r="I19" s="32"/>
    </row>
    <row r="21" spans="1:9" x14ac:dyDescent="0.2">
      <c r="A21" s="32"/>
      <c r="B21" s="4"/>
      <c r="C21" s="3"/>
      <c r="D21" s="4"/>
      <c r="E21" s="4"/>
      <c r="F21" s="4"/>
      <c r="G21" s="32"/>
      <c r="H21" s="32"/>
      <c r="I21" s="32"/>
    </row>
    <row r="22" spans="1:9" x14ac:dyDescent="0.2">
      <c r="A22" s="32"/>
      <c r="B22" s="2"/>
      <c r="C22" s="2"/>
      <c r="D22" s="2"/>
      <c r="E22" s="2"/>
      <c r="F22" s="2"/>
      <c r="G22" s="2"/>
      <c r="H22" s="2"/>
      <c r="I22" s="2"/>
    </row>
    <row r="23" spans="1:9" x14ac:dyDescent="0.2">
      <c r="A23" s="32"/>
      <c r="B23" s="2"/>
      <c r="C23" s="2"/>
      <c r="D23" s="2"/>
      <c r="E23" s="2"/>
      <c r="F23" s="2"/>
      <c r="G23" s="2"/>
      <c r="H23" s="2"/>
      <c r="I23" s="2"/>
    </row>
    <row r="24" spans="1:9" x14ac:dyDescent="0.2">
      <c r="A24" s="32"/>
      <c r="B24" s="2"/>
      <c r="C24" s="2"/>
      <c r="D24" s="2"/>
      <c r="E24" s="2"/>
      <c r="F24" s="2"/>
      <c r="G24" s="2"/>
      <c r="H24" s="2"/>
      <c r="I24" s="2"/>
    </row>
    <row r="25" spans="1:9" x14ac:dyDescent="0.2">
      <c r="A25" s="32"/>
      <c r="B25" s="2"/>
      <c r="C25" s="2"/>
      <c r="D25" s="2"/>
      <c r="E25" s="2"/>
      <c r="F25" s="2"/>
      <c r="G25" s="2"/>
      <c r="H25" s="2"/>
      <c r="I25" s="2"/>
    </row>
    <row r="26" spans="1:9" x14ac:dyDescent="0.2">
      <c r="A26" s="32"/>
      <c r="B26" s="2"/>
      <c r="C26" s="2"/>
      <c r="D26" s="2"/>
      <c r="E26" s="2"/>
      <c r="F26" s="2"/>
      <c r="G26" s="2"/>
      <c r="H26" s="2"/>
      <c r="I26" s="2"/>
    </row>
    <row r="27" spans="1:9" x14ac:dyDescent="0.2">
      <c r="A27" s="32"/>
      <c r="B27" s="2"/>
      <c r="C27" s="2"/>
      <c r="D27" s="2"/>
      <c r="E27" s="2"/>
      <c r="F27" s="2"/>
      <c r="G27" s="2"/>
      <c r="H27" s="2"/>
      <c r="I27" s="2"/>
    </row>
    <row r="28" spans="1:9" x14ac:dyDescent="0.2">
      <c r="A28" s="32"/>
      <c r="B28" s="5"/>
      <c r="C28" s="5"/>
      <c r="D28" s="5"/>
      <c r="E28" s="5"/>
      <c r="F28" s="5"/>
      <c r="G28" s="32"/>
      <c r="H28" s="32"/>
      <c r="I28" s="32"/>
    </row>
    <row r="30" spans="1:9" x14ac:dyDescent="0.2">
      <c r="A30" s="32"/>
      <c r="B30" s="3"/>
      <c r="C30" s="3"/>
      <c r="D30" s="32"/>
      <c r="E30" s="32"/>
      <c r="F30" s="32"/>
      <c r="G30" s="32"/>
      <c r="H30" s="32"/>
      <c r="I30" s="32"/>
    </row>
    <row r="31" spans="1:9" x14ac:dyDescent="0.2">
      <c r="A31" s="32"/>
      <c r="B31" s="2"/>
      <c r="C31" s="2"/>
      <c r="D31" s="2"/>
      <c r="E31" s="2"/>
      <c r="F31" s="2"/>
      <c r="G31" s="2"/>
      <c r="H31" s="2"/>
      <c r="I31" s="32"/>
    </row>
    <row r="32" spans="1:9" x14ac:dyDescent="0.2">
      <c r="A32" s="32"/>
      <c r="B32" s="2"/>
      <c r="C32" s="2"/>
      <c r="D32" s="2"/>
      <c r="E32" s="2"/>
      <c r="F32" s="2"/>
      <c r="G32" s="2"/>
      <c r="H32" s="2"/>
      <c r="I32" s="32"/>
    </row>
    <row r="33" spans="2:2" x14ac:dyDescent="0.2">
      <c r="B33" s="5"/>
    </row>
  </sheetData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4"/>
  <sheetViews>
    <sheetView tabSelected="1" workbookViewId="0">
      <selection activeCell="K39" sqref="K39"/>
    </sheetView>
  </sheetViews>
  <sheetFormatPr baseColWidth="10" defaultColWidth="10.83203125" defaultRowHeight="16" x14ac:dyDescent="0.2"/>
  <cols>
    <col min="1" max="1" width="27.5" style="1" customWidth="1"/>
    <col min="2" max="2" width="19.6640625" style="1" customWidth="1"/>
    <col min="3" max="3" width="19.5" style="1" customWidth="1"/>
    <col min="4" max="7" width="18" style="1" customWidth="1"/>
    <col min="8" max="8" width="18" style="33" customWidth="1"/>
    <col min="9" max="10" width="18" style="1" customWidth="1"/>
    <col min="11" max="16384" width="10.83203125" style="1"/>
  </cols>
  <sheetData>
    <row r="1" spans="1:13" ht="17" thickBot="1" x14ac:dyDescent="0.25">
      <c r="A1" s="40" t="s">
        <v>0</v>
      </c>
      <c r="B1" s="40"/>
      <c r="C1" s="40"/>
      <c r="D1" s="40"/>
      <c r="E1" s="40"/>
      <c r="F1" s="40"/>
      <c r="G1" s="40"/>
      <c r="H1" s="40"/>
      <c r="I1" s="32"/>
      <c r="J1" s="32"/>
    </row>
    <row r="2" spans="1:13" ht="18" thickBot="1" x14ac:dyDescent="0.25">
      <c r="A2" s="11" t="s">
        <v>1</v>
      </c>
      <c r="B2" s="31" t="s">
        <v>2</v>
      </c>
      <c r="C2" s="32"/>
      <c r="D2" s="32"/>
      <c r="E2" s="32"/>
      <c r="F2" s="32"/>
      <c r="G2" s="32"/>
      <c r="I2" s="32"/>
      <c r="J2" s="32"/>
    </row>
    <row r="3" spans="1:13" ht="17" x14ac:dyDescent="0.2">
      <c r="A3" s="12" t="s">
        <v>3</v>
      </c>
      <c r="B3" s="9">
        <v>540000</v>
      </c>
      <c r="C3" s="6" t="s">
        <v>17</v>
      </c>
      <c r="D3" s="23">
        <v>575000</v>
      </c>
      <c r="E3" s="32"/>
      <c r="F3" s="32"/>
      <c r="G3" s="32"/>
      <c r="I3" s="32"/>
      <c r="J3" s="32"/>
    </row>
    <row r="4" spans="1:13" ht="17" x14ac:dyDescent="0.2">
      <c r="A4" s="12" t="s">
        <v>4</v>
      </c>
      <c r="B4" s="9">
        <v>424000</v>
      </c>
      <c r="C4" s="24" t="s">
        <v>18</v>
      </c>
      <c r="D4" s="25">
        <v>431250</v>
      </c>
      <c r="E4" s="32"/>
      <c r="F4" s="32"/>
      <c r="G4" s="32"/>
      <c r="I4" s="32"/>
      <c r="J4" s="32"/>
    </row>
    <row r="5" spans="1:13" ht="18" thickBot="1" x14ac:dyDescent="0.25">
      <c r="A5" s="12" t="s">
        <v>5</v>
      </c>
      <c r="B5" s="9">
        <f>16200+100096.08</f>
        <v>116296.08</v>
      </c>
      <c r="C5" s="26" t="s">
        <v>23</v>
      </c>
      <c r="D5" s="27">
        <f>SUM(D3-B3)-(D4-B4)</f>
        <v>27750</v>
      </c>
      <c r="E5" s="32"/>
      <c r="F5" s="32"/>
      <c r="G5" s="32"/>
      <c r="I5" s="32"/>
      <c r="J5" s="32"/>
    </row>
    <row r="6" spans="1:13" ht="1" customHeight="1" thickBot="1" x14ac:dyDescent="0.25">
      <c r="A6" s="6"/>
      <c r="B6" s="7"/>
      <c r="C6" s="28"/>
      <c r="D6" s="32"/>
      <c r="E6" s="32"/>
      <c r="F6" s="32"/>
      <c r="G6" s="32"/>
      <c r="I6" s="32"/>
      <c r="J6" s="32"/>
    </row>
    <row r="7" spans="1:13" ht="17" x14ac:dyDescent="0.2">
      <c r="A7" s="14" t="s">
        <v>6</v>
      </c>
      <c r="B7" s="29">
        <v>43118</v>
      </c>
      <c r="C7" s="30">
        <v>43132</v>
      </c>
      <c r="D7" s="30">
        <v>43160</v>
      </c>
      <c r="E7" s="30">
        <v>43191</v>
      </c>
      <c r="F7" s="30">
        <v>43221</v>
      </c>
      <c r="G7" s="30">
        <v>43252</v>
      </c>
      <c r="H7" s="30">
        <v>43282</v>
      </c>
      <c r="I7" s="30">
        <v>43313</v>
      </c>
      <c r="J7" s="30">
        <v>43344</v>
      </c>
      <c r="K7" s="30">
        <v>43374</v>
      </c>
      <c r="L7" s="30">
        <v>43405</v>
      </c>
      <c r="M7" s="30">
        <v>43435</v>
      </c>
    </row>
    <row r="8" spans="1:13" ht="17" x14ac:dyDescent="0.2">
      <c r="A8" s="15" t="s">
        <v>7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6000</v>
      </c>
      <c r="J8" s="8">
        <v>18286.509999999998</v>
      </c>
      <c r="K8" s="8">
        <v>3000</v>
      </c>
      <c r="L8" s="8"/>
      <c r="M8" s="8"/>
    </row>
    <row r="9" spans="1:13" ht="17" x14ac:dyDescent="0.2">
      <c r="A9" s="15" t="s">
        <v>8</v>
      </c>
      <c r="B9" s="8">
        <v>1702.37</v>
      </c>
      <c r="C9" s="8">
        <v>2400</v>
      </c>
      <c r="D9" s="8">
        <v>2400</v>
      </c>
      <c r="E9" s="8">
        <v>2400</v>
      </c>
      <c r="F9" s="8">
        <v>2400</v>
      </c>
      <c r="G9" s="8">
        <v>2400</v>
      </c>
      <c r="H9" s="8">
        <v>2400</v>
      </c>
      <c r="I9" s="8">
        <v>2400</v>
      </c>
      <c r="J9" s="8">
        <v>2400</v>
      </c>
      <c r="K9" s="8">
        <v>2700</v>
      </c>
      <c r="L9" s="8"/>
      <c r="M9" s="8"/>
    </row>
    <row r="10" spans="1:13" ht="17" x14ac:dyDescent="0.2">
      <c r="A10" s="15" t="s">
        <v>9</v>
      </c>
      <c r="B10" s="8">
        <v>2474.35</v>
      </c>
      <c r="C10" s="8">
        <v>2474.35</v>
      </c>
      <c r="D10" s="8">
        <v>0</v>
      </c>
      <c r="E10" s="8">
        <v>0</v>
      </c>
      <c r="F10" s="8">
        <v>2626.31</v>
      </c>
      <c r="G10" s="8">
        <v>2629.81</v>
      </c>
      <c r="H10" s="8">
        <v>2629.81</v>
      </c>
      <c r="I10" s="8">
        <v>2626.31</v>
      </c>
      <c r="J10" s="8">
        <v>0</v>
      </c>
      <c r="K10" s="8">
        <v>0</v>
      </c>
      <c r="L10" s="8">
        <v>0</v>
      </c>
      <c r="M10" s="8">
        <v>0</v>
      </c>
    </row>
    <row r="11" spans="1:13" ht="17" x14ac:dyDescent="0.2">
      <c r="A11" s="15" t="s">
        <v>10</v>
      </c>
      <c r="B11" s="8">
        <v>0</v>
      </c>
      <c r="C11" s="8">
        <v>0</v>
      </c>
      <c r="D11" s="8">
        <f>675+13000</f>
        <v>13675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675</v>
      </c>
      <c r="L11" s="8">
        <v>0</v>
      </c>
      <c r="M11" s="8">
        <v>0</v>
      </c>
    </row>
    <row r="12" spans="1:13" ht="17" x14ac:dyDescent="0.2">
      <c r="A12" s="15" t="s">
        <v>11</v>
      </c>
      <c r="B12" s="8">
        <f t="shared" ref="B12:H12" si="0">SUM(B10:B11)</f>
        <v>2474.35</v>
      </c>
      <c r="C12" s="8">
        <f t="shared" si="0"/>
        <v>2474.35</v>
      </c>
      <c r="D12" s="8">
        <f t="shared" si="0"/>
        <v>13675</v>
      </c>
      <c r="E12" s="8">
        <f t="shared" si="0"/>
        <v>0</v>
      </c>
      <c r="F12" s="8">
        <f t="shared" si="0"/>
        <v>2626.31</v>
      </c>
      <c r="G12" s="8">
        <f t="shared" si="0"/>
        <v>2629.81</v>
      </c>
      <c r="H12" s="8">
        <f t="shared" si="0"/>
        <v>2629.81</v>
      </c>
      <c r="I12" s="8">
        <f t="shared" ref="I12:J12" si="1">SUM(I10:I11)</f>
        <v>2626.31</v>
      </c>
      <c r="J12" s="8">
        <f t="shared" si="1"/>
        <v>0</v>
      </c>
      <c r="K12" s="8">
        <f t="shared" ref="K12:M12" si="2">SUM(K10:K11)</f>
        <v>675</v>
      </c>
      <c r="L12" s="8">
        <f t="shared" si="2"/>
        <v>0</v>
      </c>
      <c r="M12" s="8">
        <f t="shared" si="2"/>
        <v>0</v>
      </c>
    </row>
    <row r="13" spans="1:13" ht="17" x14ac:dyDescent="0.2">
      <c r="A13" s="15" t="s">
        <v>12</v>
      </c>
      <c r="B13" s="8">
        <f>SUM(B8:B9)-(B12)+'2017'!E13</f>
        <v>17710.760000000002</v>
      </c>
      <c r="C13" s="8">
        <f t="shared" ref="C13:J13" si="3">SUM(C8:C9)-(C12)+B13</f>
        <v>17636.410000000003</v>
      </c>
      <c r="D13" s="8">
        <f t="shared" si="3"/>
        <v>6361.4100000000035</v>
      </c>
      <c r="E13" s="8">
        <f t="shared" si="3"/>
        <v>8761.4100000000035</v>
      </c>
      <c r="F13" s="8">
        <f t="shared" si="3"/>
        <v>8535.100000000004</v>
      </c>
      <c r="G13" s="8">
        <f t="shared" si="3"/>
        <v>8305.2900000000045</v>
      </c>
      <c r="H13" s="8">
        <f t="shared" si="3"/>
        <v>8075.480000000005</v>
      </c>
      <c r="I13" s="8">
        <f t="shared" si="3"/>
        <v>13849.170000000006</v>
      </c>
      <c r="J13" s="8">
        <f t="shared" si="3"/>
        <v>34535.680000000008</v>
      </c>
      <c r="K13" s="8">
        <f t="shared" ref="K13" si="4">SUM(K8:K9)-(K12)+J13</f>
        <v>39560.680000000008</v>
      </c>
      <c r="L13" s="8">
        <f t="shared" ref="L13" si="5">SUM(L8:L9)-(L12)+K13</f>
        <v>39560.680000000008</v>
      </c>
      <c r="M13" s="8">
        <f t="shared" ref="M13" si="6">SUM(M8:M9)-(M12)+L13</f>
        <v>39560.680000000008</v>
      </c>
    </row>
    <row r="14" spans="1:13" ht="18" thickBot="1" x14ac:dyDescent="0.25">
      <c r="A14" s="16" t="s">
        <v>24</v>
      </c>
      <c r="B14" s="22">
        <f>B13/B5</f>
        <v>0.15229025776277241</v>
      </c>
      <c r="C14" s="22">
        <f>SUM(C13/B5)</f>
        <v>0.15165094128710102</v>
      </c>
      <c r="D14" s="22">
        <f t="shared" ref="D14:I14" si="7">(SUM($D$3-$D$4)-($B$3-$B4)+D13)/$B$5</f>
        <v>0.2933152175034619</v>
      </c>
      <c r="E14" s="22">
        <f t="shared" si="7"/>
        <v>0.31395219856077694</v>
      </c>
      <c r="F14" s="22">
        <f t="shared" si="7"/>
        <v>0.31200621723449323</v>
      </c>
      <c r="G14" s="22">
        <f t="shared" si="7"/>
        <v>0.31003014031083426</v>
      </c>
      <c r="H14" s="22">
        <f t="shared" si="7"/>
        <v>0.30805406338717523</v>
      </c>
      <c r="I14" s="22">
        <f t="shared" si="7"/>
        <v>0.35770053470417923</v>
      </c>
      <c r="J14" s="22">
        <f t="shared" ref="J14:M14" si="8">(SUM($D$3-$D$4)-($B$3-$B4)+J13)/$B$5</f>
        <v>0.53557849929249557</v>
      </c>
      <c r="K14" s="22">
        <f t="shared" si="8"/>
        <v>0.57878717838124905</v>
      </c>
      <c r="L14" s="22">
        <f t="shared" si="8"/>
        <v>0.57878717838124905</v>
      </c>
      <c r="M14" s="22">
        <f t="shared" si="8"/>
        <v>0.57878717838124905</v>
      </c>
    </row>
    <row r="15" spans="1:13" ht="17" thickBot="1" x14ac:dyDescent="0.25">
      <c r="A15" s="32"/>
      <c r="B15" s="32"/>
      <c r="C15" s="32"/>
      <c r="D15" s="32"/>
      <c r="E15" s="32"/>
      <c r="F15" s="32"/>
      <c r="G15" s="32"/>
      <c r="I15" s="34"/>
      <c r="J15" s="35"/>
      <c r="K15" s="37"/>
      <c r="L15" s="37"/>
      <c r="M15" s="37"/>
    </row>
    <row r="16" spans="1:13" ht="18" thickBot="1" x14ac:dyDescent="0.25">
      <c r="A16" s="11" t="s">
        <v>1</v>
      </c>
      <c r="B16" s="31" t="s">
        <v>19</v>
      </c>
      <c r="C16" s="32"/>
      <c r="D16" s="32"/>
      <c r="E16" s="32"/>
      <c r="F16" s="32"/>
      <c r="G16" s="32"/>
      <c r="I16" s="34"/>
      <c r="J16" s="35"/>
      <c r="K16" s="37"/>
      <c r="L16" s="37"/>
      <c r="M16" s="37"/>
    </row>
    <row r="17" spans="1:13" ht="17" x14ac:dyDescent="0.2">
      <c r="A17" s="12" t="s">
        <v>3</v>
      </c>
      <c r="B17" s="9">
        <v>570000</v>
      </c>
      <c r="C17" s="6" t="s">
        <v>17</v>
      </c>
      <c r="D17" s="23">
        <v>570000</v>
      </c>
      <c r="E17" s="32"/>
      <c r="F17" s="32"/>
      <c r="G17" s="32"/>
      <c r="I17" s="34"/>
      <c r="J17" s="35"/>
      <c r="K17" s="37"/>
      <c r="L17" s="37"/>
      <c r="M17" s="37"/>
    </row>
    <row r="18" spans="1:13" ht="17" x14ac:dyDescent="0.2">
      <c r="A18" s="12" t="s">
        <v>4</v>
      </c>
      <c r="B18" s="9">
        <v>453100</v>
      </c>
      <c r="C18" s="24" t="s">
        <v>18</v>
      </c>
      <c r="D18" s="25">
        <v>450000</v>
      </c>
      <c r="E18" s="32"/>
      <c r="F18" s="32"/>
      <c r="G18" s="32"/>
      <c r="I18" s="34"/>
      <c r="J18" s="35"/>
      <c r="K18" s="37"/>
      <c r="L18" s="37"/>
      <c r="M18" s="37"/>
    </row>
    <row r="19" spans="1:13" ht="18" thickBot="1" x14ac:dyDescent="0.25">
      <c r="A19" s="13" t="s">
        <v>5</v>
      </c>
      <c r="B19" s="10">
        <v>117100</v>
      </c>
      <c r="C19" s="26" t="s">
        <v>23</v>
      </c>
      <c r="D19" s="27">
        <f>SUM(D17-B17)-(D18-B18)</f>
        <v>3100</v>
      </c>
      <c r="E19" s="32"/>
      <c r="F19" s="32"/>
      <c r="G19" s="32"/>
      <c r="I19" s="34"/>
      <c r="J19" s="35"/>
      <c r="K19" s="37"/>
      <c r="L19" s="37"/>
      <c r="M19" s="37"/>
    </row>
    <row r="20" spans="1:13" ht="17" hidden="1" thickBot="1" x14ac:dyDescent="0.25">
      <c r="A20" s="6"/>
      <c r="B20" s="7"/>
      <c r="C20" s="7"/>
      <c r="D20" s="7"/>
      <c r="E20" s="32"/>
      <c r="F20" s="32"/>
      <c r="G20" s="32"/>
      <c r="I20" s="34"/>
      <c r="J20" s="35"/>
      <c r="K20" s="37"/>
      <c r="L20" s="37"/>
      <c r="M20" s="37"/>
    </row>
    <row r="21" spans="1:13" ht="17" x14ac:dyDescent="0.2">
      <c r="A21" s="14" t="s">
        <v>6</v>
      </c>
      <c r="B21" s="29">
        <v>43118</v>
      </c>
      <c r="C21" s="30">
        <v>43132</v>
      </c>
      <c r="D21" s="30">
        <v>43160</v>
      </c>
      <c r="E21" s="30">
        <v>43191</v>
      </c>
      <c r="F21" s="30">
        <v>43221</v>
      </c>
      <c r="G21" s="30">
        <v>43252</v>
      </c>
      <c r="H21" s="30">
        <v>43282</v>
      </c>
      <c r="I21" s="30">
        <v>43313</v>
      </c>
      <c r="J21" s="30">
        <v>43344</v>
      </c>
      <c r="K21" s="30">
        <v>43374</v>
      </c>
      <c r="L21" s="30">
        <v>43405</v>
      </c>
      <c r="M21" s="30">
        <v>43435</v>
      </c>
    </row>
    <row r="22" spans="1:13" ht="17" x14ac:dyDescent="0.2">
      <c r="A22" s="15" t="s">
        <v>7</v>
      </c>
      <c r="B22" s="8">
        <v>751.6</v>
      </c>
      <c r="C22" s="8">
        <v>15000</v>
      </c>
      <c r="D22" s="8">
        <v>0</v>
      </c>
      <c r="E22" s="8">
        <v>0</v>
      </c>
      <c r="F22" s="8">
        <v>0</v>
      </c>
      <c r="G22" s="8">
        <v>0</v>
      </c>
      <c r="H22" s="8">
        <f>445.56+100.73</f>
        <v>546.29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</row>
    <row r="23" spans="1:13" ht="17" x14ac:dyDescent="0.2">
      <c r="A23" s="15" t="s">
        <v>8</v>
      </c>
      <c r="B23" s="8">
        <v>16156.43</v>
      </c>
      <c r="C23" s="8">
        <v>0</v>
      </c>
      <c r="D23" s="8">
        <f>1344.91+961.27</f>
        <v>2306.1800000000003</v>
      </c>
      <c r="E23" s="8">
        <f>1995.87+0.01+3176.76+6887+2328+1262.7</f>
        <v>15650.34</v>
      </c>
      <c r="F23" s="8">
        <v>6825.89</v>
      </c>
      <c r="G23" s="8">
        <f>3732.73+874.94+921.5+2+906.47</f>
        <v>6437.64</v>
      </c>
      <c r="H23" s="8">
        <f>961.27+1358+824.5+611.1+926.35+676.29+1071.85</f>
        <v>6429.3600000000006</v>
      </c>
      <c r="I23" s="8">
        <v>11071.34</v>
      </c>
      <c r="J23" s="8">
        <f>873+873+824.5+7490+7480</f>
        <v>17540.5</v>
      </c>
      <c r="K23" s="8">
        <v>10187.27</v>
      </c>
      <c r="L23" s="8"/>
      <c r="M23" s="8"/>
    </row>
    <row r="24" spans="1:13" ht="17" x14ac:dyDescent="0.2">
      <c r="A24" s="15" t="s">
        <v>9</v>
      </c>
      <c r="B24" s="8">
        <v>0</v>
      </c>
      <c r="C24" s="8">
        <v>0</v>
      </c>
      <c r="D24" s="8">
        <v>2467.0700000000002</v>
      </c>
      <c r="E24" s="8">
        <v>2467.0700000000002</v>
      </c>
      <c r="F24" s="8">
        <v>2467.0700000000002</v>
      </c>
      <c r="G24" s="8">
        <v>0</v>
      </c>
      <c r="H24" s="8">
        <v>0</v>
      </c>
      <c r="I24" s="8">
        <v>2763.39</v>
      </c>
      <c r="J24" s="8">
        <v>2763.39</v>
      </c>
      <c r="K24" s="8">
        <v>2782</v>
      </c>
      <c r="L24" s="8"/>
      <c r="M24" s="8"/>
    </row>
    <row r="25" spans="1:13" ht="17" x14ac:dyDescent="0.2">
      <c r="A25" s="15" t="s">
        <v>10</v>
      </c>
      <c r="B25" s="8">
        <v>3364.64</v>
      </c>
      <c r="C25" s="8">
        <f>79.99+452.95+150+189+150</f>
        <v>1021.9399999999999</v>
      </c>
      <c r="D25" s="8">
        <f>150+961.27+150+271.95+103.09+1112.01+30+30+344.72+150</f>
        <v>3303.04</v>
      </c>
      <c r="E25" s="8">
        <f>150+40.24+271.95+7.65+352.37</f>
        <v>822.21</v>
      </c>
      <c r="F25" s="8">
        <v>6411.64</v>
      </c>
      <c r="G25" s="8">
        <f>5+150+64.37+271.95+150+3838.5+15+30+5912.46+150+38.39+150+150+227.71</f>
        <v>11153.379999999997</v>
      </c>
      <c r="H25" s="8">
        <f>150+33.17+56.85+91.4+821.95+321.95+150+150+150+350+420</f>
        <v>2695.32</v>
      </c>
      <c r="I25" s="8">
        <f>271.95+70.91+75+480+98+16+437.3+171.37+30+129.17+55.99+83.04+88.62+561.3+75+600+137.79+45+120+240+240+240</f>
        <v>4266.4400000000005</v>
      </c>
      <c r="J25" s="8">
        <f>526.61+16+1+58.68+115+16+202.45+271.95+41.28+405+458+40+1000</f>
        <v>3151.9700000000003</v>
      </c>
      <c r="K25" s="8">
        <f>1000+75+79.49+16+308.85+961.27+119.56+329.13</f>
        <v>2889.3</v>
      </c>
      <c r="L25" s="8"/>
      <c r="M25" s="8"/>
    </row>
    <row r="26" spans="1:13" ht="17" x14ac:dyDescent="0.2">
      <c r="A26" s="15" t="s">
        <v>11</v>
      </c>
      <c r="B26" s="8">
        <f t="shared" ref="B26:H26" si="9">SUM(B24:B25)</f>
        <v>3364.64</v>
      </c>
      <c r="C26" s="8">
        <f t="shared" si="9"/>
        <v>1021.9399999999999</v>
      </c>
      <c r="D26" s="8">
        <f t="shared" si="9"/>
        <v>5770.1100000000006</v>
      </c>
      <c r="E26" s="8">
        <f t="shared" si="9"/>
        <v>3289.28</v>
      </c>
      <c r="F26" s="8">
        <f t="shared" si="9"/>
        <v>8878.7100000000009</v>
      </c>
      <c r="G26" s="8">
        <f t="shared" si="9"/>
        <v>11153.379999999997</v>
      </c>
      <c r="H26" s="8">
        <f t="shared" si="9"/>
        <v>2695.32</v>
      </c>
      <c r="I26" s="8">
        <f t="shared" ref="I26:J26" si="10">SUM(I24:I25)</f>
        <v>7029.83</v>
      </c>
      <c r="J26" s="8">
        <f t="shared" si="10"/>
        <v>5915.3600000000006</v>
      </c>
      <c r="K26" s="8">
        <f t="shared" ref="K26:M26" si="11">SUM(K24:K25)</f>
        <v>5671.3</v>
      </c>
      <c r="L26" s="8">
        <f t="shared" si="11"/>
        <v>0</v>
      </c>
      <c r="M26" s="8">
        <f t="shared" si="11"/>
        <v>0</v>
      </c>
    </row>
    <row r="27" spans="1:13" ht="17" x14ac:dyDescent="0.2">
      <c r="A27" s="15" t="s">
        <v>12</v>
      </c>
      <c r="B27" s="8">
        <f>SUM(B22:B23)-(B26)</f>
        <v>13543.39</v>
      </c>
      <c r="C27" s="8">
        <f t="shared" ref="C27:J27" si="12">SUM(C22:C23)-(C26)+B27</f>
        <v>27521.449999999997</v>
      </c>
      <c r="D27" s="8">
        <f t="shared" si="12"/>
        <v>24057.519999999997</v>
      </c>
      <c r="E27" s="8">
        <f t="shared" si="12"/>
        <v>36418.579999999994</v>
      </c>
      <c r="F27" s="8">
        <f t="shared" si="12"/>
        <v>34365.759999999995</v>
      </c>
      <c r="G27" s="8">
        <f t="shared" si="12"/>
        <v>29650.019999999997</v>
      </c>
      <c r="H27" s="8">
        <f t="shared" si="12"/>
        <v>33930.35</v>
      </c>
      <c r="I27" s="8">
        <f t="shared" si="12"/>
        <v>37971.86</v>
      </c>
      <c r="J27" s="8">
        <f t="shared" si="12"/>
        <v>49597</v>
      </c>
      <c r="K27" s="8">
        <f t="shared" ref="K27" si="13">SUM(K22:K23)-(K26)+J27</f>
        <v>54112.97</v>
      </c>
      <c r="L27" s="8">
        <f t="shared" ref="L27" si="14">SUM(L22:L23)-(L26)+K27</f>
        <v>54112.97</v>
      </c>
      <c r="M27" s="8">
        <f t="shared" ref="M27" si="15">SUM(M22:M23)-(M26)+L27</f>
        <v>54112.97</v>
      </c>
    </row>
    <row r="28" spans="1:13" ht="18" thickBot="1" x14ac:dyDescent="0.25">
      <c r="A28" s="16" t="s">
        <v>24</v>
      </c>
      <c r="B28" s="22">
        <f>B27/B19</f>
        <v>0.11565661827497864</v>
      </c>
      <c r="C28" s="22">
        <f>SUM(C27/B19)</f>
        <v>0.23502519214346709</v>
      </c>
      <c r="D28" s="22">
        <f>SUM(D27/B19)</f>
        <v>0.2054442356959863</v>
      </c>
      <c r="E28" s="22">
        <f t="shared" ref="E28:J28" si="16">(SUM($D$17-$B$17)-($D$18-$B$18)+SUM(E27))/$B$19</f>
        <v>0.33747719897523482</v>
      </c>
      <c r="F28" s="22">
        <f t="shared" si="16"/>
        <v>0.31994671221178478</v>
      </c>
      <c r="G28" s="22">
        <f t="shared" si="16"/>
        <v>0.27967566182749781</v>
      </c>
      <c r="H28" s="22">
        <f t="shared" si="16"/>
        <v>0.31622843723313404</v>
      </c>
      <c r="I28" s="22">
        <f t="shared" si="16"/>
        <v>0.35074175918018785</v>
      </c>
      <c r="J28" s="22">
        <f t="shared" si="16"/>
        <v>0.45001707941929975</v>
      </c>
      <c r="K28" s="22">
        <f t="shared" ref="K28:M28" si="17">(SUM($D$17-$B$17)-($D$18-$B$18)+SUM(K27))/$B$19</f>
        <v>0.4885821520068318</v>
      </c>
      <c r="L28" s="22">
        <f t="shared" si="17"/>
        <v>0.4885821520068318</v>
      </c>
      <c r="M28" s="22">
        <f t="shared" si="17"/>
        <v>0.4885821520068318</v>
      </c>
    </row>
    <row r="29" spans="1:13" ht="17" thickBot="1" x14ac:dyDescent="0.25">
      <c r="K29" s="37"/>
      <c r="L29" s="37"/>
      <c r="M29" s="37"/>
    </row>
    <row r="30" spans="1:13" ht="19" thickTop="1" thickBot="1" x14ac:dyDescent="0.25">
      <c r="A30" s="11" t="s">
        <v>1</v>
      </c>
      <c r="B30" s="31" t="s">
        <v>25</v>
      </c>
      <c r="C30" s="36"/>
      <c r="D30" s="36"/>
      <c r="E30" s="39" t="s">
        <v>26</v>
      </c>
      <c r="F30" s="36"/>
      <c r="G30" s="36"/>
      <c r="H30" s="36"/>
      <c r="I30" s="36"/>
      <c r="J30" s="36"/>
      <c r="K30" s="37"/>
      <c r="L30" s="37"/>
      <c r="M30" s="37"/>
    </row>
    <row r="31" spans="1:13" ht="18" thickTop="1" x14ac:dyDescent="0.2">
      <c r="A31" s="12" t="s">
        <v>3</v>
      </c>
      <c r="B31" s="9">
        <v>615000</v>
      </c>
      <c r="C31" s="6" t="s">
        <v>17</v>
      </c>
      <c r="D31" s="23">
        <v>615000</v>
      </c>
      <c r="E31" s="36" t="s">
        <v>27</v>
      </c>
      <c r="F31" s="46">
        <f>3.81+51.91+53.52+46.78+1195.86+287.78+13.14+13.14+13.14+13.14+16.41+16.41+16.41+16.41+16.41+16.41+16.41+16.41+32.85+35.49+41.06+65.7+70.59+110.85+155.99+184.73+273.75+295.56+433.71+128.62+114.95+118.26+45.72+82.27+4096.67+134.59+281.01+71.71+3209.66</f>
        <v>11807.24</v>
      </c>
      <c r="G31" s="41" t="s">
        <v>30</v>
      </c>
      <c r="H31" s="43">
        <v>161900</v>
      </c>
      <c r="I31" s="36"/>
      <c r="J31" s="36"/>
      <c r="K31" s="37"/>
      <c r="L31" s="37"/>
      <c r="M31" s="37"/>
    </row>
    <row r="32" spans="1:13" ht="17" x14ac:dyDescent="0.2">
      <c r="A32" s="12" t="s">
        <v>4</v>
      </c>
      <c r="B32" s="9">
        <v>453100</v>
      </c>
      <c r="C32" s="24" t="s">
        <v>18</v>
      </c>
      <c r="D32" s="25">
        <v>453100</v>
      </c>
      <c r="E32" s="36" t="s">
        <v>28</v>
      </c>
      <c r="F32" s="47">
        <f>10462.44</f>
        <v>10462.44</v>
      </c>
      <c r="G32" s="28" t="s">
        <v>31</v>
      </c>
      <c r="H32" s="44">
        <f>85+27.79+57.25+20.75+78.65+91.68+55.15+11.45+57.03+57.12+59.74+36.03+175.7+66.66+60.05+286.21</f>
        <v>1226.2599999999998</v>
      </c>
      <c r="I32" s="36"/>
      <c r="J32" s="36"/>
      <c r="K32" s="37"/>
      <c r="L32" s="37"/>
      <c r="M32" s="37"/>
    </row>
    <row r="33" spans="1:13" ht="18" thickBot="1" x14ac:dyDescent="0.25">
      <c r="A33" s="13" t="s">
        <v>5</v>
      </c>
      <c r="B33" s="10">
        <v>161900</v>
      </c>
      <c r="C33" s="26" t="s">
        <v>23</v>
      </c>
      <c r="D33" s="27">
        <f>SUM(D31-B31)-(D32-B32)</f>
        <v>0</v>
      </c>
      <c r="E33" s="38" t="s">
        <v>29</v>
      </c>
      <c r="F33" s="48">
        <f>1800+3100.4+4000+4944.96+2500+800-1703.03+750+1850+3000</f>
        <v>21042.33</v>
      </c>
      <c r="G33" s="42" t="s">
        <v>32</v>
      </c>
      <c r="H33" s="45">
        <v>600</v>
      </c>
      <c r="I33" s="36"/>
      <c r="J33" s="36"/>
      <c r="K33" s="37"/>
      <c r="L33" s="37"/>
      <c r="M33" s="37"/>
    </row>
    <row r="34" spans="1:13" ht="17" thickBot="1" x14ac:dyDescent="0.25">
      <c r="A34" s="6"/>
      <c r="B34" s="7"/>
      <c r="C34" s="7"/>
      <c r="D34" s="7"/>
      <c r="E34" s="36"/>
      <c r="F34" s="36"/>
      <c r="G34" s="36"/>
      <c r="H34" s="36"/>
      <c r="I34" s="36"/>
      <c r="J34" s="36"/>
      <c r="K34" s="37"/>
      <c r="L34" s="37"/>
      <c r="M34" s="37"/>
    </row>
    <row r="35" spans="1:13" ht="17" x14ac:dyDescent="0.2">
      <c r="A35" s="14" t="s">
        <v>6</v>
      </c>
      <c r="B35" s="29">
        <v>43118</v>
      </c>
      <c r="C35" s="30">
        <v>43132</v>
      </c>
      <c r="D35" s="30">
        <v>43160</v>
      </c>
      <c r="E35" s="30">
        <v>43191</v>
      </c>
      <c r="F35" s="30">
        <v>43221</v>
      </c>
      <c r="G35" s="30">
        <v>43252</v>
      </c>
      <c r="H35" s="30">
        <v>43282</v>
      </c>
      <c r="I35" s="30">
        <v>43313</v>
      </c>
      <c r="J35" s="30">
        <v>43344</v>
      </c>
      <c r="K35" s="30">
        <v>43374</v>
      </c>
      <c r="L35" s="30">
        <v>43405</v>
      </c>
      <c r="M35" s="30">
        <v>43435</v>
      </c>
    </row>
    <row r="36" spans="1:13" ht="17" x14ac:dyDescent="0.2">
      <c r="A36" s="15" t="s">
        <v>7</v>
      </c>
      <c r="B36" s="8"/>
      <c r="C36" s="8"/>
      <c r="D36" s="8"/>
      <c r="E36" s="8"/>
      <c r="F36" s="8"/>
      <c r="G36" s="8"/>
      <c r="H36" s="8"/>
      <c r="I36" s="8"/>
      <c r="J36" s="8"/>
      <c r="K36" s="8">
        <v>12000</v>
      </c>
      <c r="L36" s="8"/>
      <c r="M36" s="8"/>
    </row>
    <row r="37" spans="1:13" ht="17" x14ac:dyDescent="0.2">
      <c r="A37" s="15" t="s">
        <v>8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ht="17" x14ac:dyDescent="0.2">
      <c r="A38" s="15" t="s">
        <v>9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ht="17" x14ac:dyDescent="0.2">
      <c r="A39" s="15" t="s">
        <v>10</v>
      </c>
      <c r="B39" s="8"/>
      <c r="C39" s="8"/>
      <c r="D39" s="8"/>
      <c r="E39" s="8"/>
      <c r="F39" s="8"/>
      <c r="G39" s="8"/>
      <c r="H39" s="8"/>
      <c r="I39" s="8">
        <v>600</v>
      </c>
      <c r="J39" s="8">
        <f>25+3100.4+57+11.45+55.15+287.78+1195.86+91.68+78.65+20.75+1800+57.25+46.78+27.79+10462.44+53.52+51.91+3.81+85+579</f>
        <v>18091.22</v>
      </c>
      <c r="K39" s="8">
        <f>4000+4944.96+57.03+57.12+675+52.56+131.28+32.85+35.49+41.06+65.7+70.59+110.85+155.99+184.73+273.75+295.56+433.71+2500+128.62+114.95+118.26+800+59.74+45.72+36.03+175.7+66.66+60.05+82.27+4096.67-1703.03+750+1850+3000+134.59+286.21+155.5+281.01+71.71+3209.66</f>
        <v>27938.55</v>
      </c>
      <c r="L39" s="8"/>
      <c r="M39" s="8"/>
    </row>
    <row r="40" spans="1:13" ht="17" x14ac:dyDescent="0.2">
      <c r="A40" s="15" t="s">
        <v>11</v>
      </c>
      <c r="B40" s="8">
        <f t="shared" ref="B40:J40" si="18">SUM(B38:B39)</f>
        <v>0</v>
      </c>
      <c r="C40" s="8">
        <f t="shared" si="18"/>
        <v>0</v>
      </c>
      <c r="D40" s="8">
        <f t="shared" si="18"/>
        <v>0</v>
      </c>
      <c r="E40" s="8">
        <f t="shared" si="18"/>
        <v>0</v>
      </c>
      <c r="F40" s="8">
        <f t="shared" si="18"/>
        <v>0</v>
      </c>
      <c r="G40" s="8">
        <f t="shared" si="18"/>
        <v>0</v>
      </c>
      <c r="H40" s="8">
        <f t="shared" si="18"/>
        <v>0</v>
      </c>
      <c r="I40" s="8">
        <f t="shared" si="18"/>
        <v>600</v>
      </c>
      <c r="J40" s="8">
        <f t="shared" si="18"/>
        <v>18091.22</v>
      </c>
      <c r="K40" s="8">
        <f t="shared" ref="K40:M40" si="19">SUM(K38:K39)</f>
        <v>27938.55</v>
      </c>
      <c r="L40" s="8">
        <f t="shared" si="19"/>
        <v>0</v>
      </c>
      <c r="M40" s="8">
        <f t="shared" si="19"/>
        <v>0</v>
      </c>
    </row>
    <row r="41" spans="1:13" ht="17" x14ac:dyDescent="0.2">
      <c r="A41" s="15" t="s">
        <v>12</v>
      </c>
      <c r="B41" s="8">
        <f>SUM(B36:B37)-(B40)</f>
        <v>0</v>
      </c>
      <c r="C41" s="8">
        <f t="shared" ref="C41:I41" si="20">SUM(C36:C37)-(C40)</f>
        <v>0</v>
      </c>
      <c r="D41" s="8">
        <f t="shared" si="20"/>
        <v>0</v>
      </c>
      <c r="E41" s="8">
        <f t="shared" si="20"/>
        <v>0</v>
      </c>
      <c r="F41" s="8">
        <f t="shared" si="20"/>
        <v>0</v>
      </c>
      <c r="G41" s="8">
        <f t="shared" si="20"/>
        <v>0</v>
      </c>
      <c r="H41" s="8">
        <f t="shared" si="20"/>
        <v>0</v>
      </c>
      <c r="I41" s="8">
        <f t="shared" si="20"/>
        <v>-600</v>
      </c>
      <c r="J41" s="8">
        <f>SUM(J36:J37)-(J40)+I41</f>
        <v>-18691.22</v>
      </c>
      <c r="K41" s="8">
        <f>SUM(K36:K37)-(K40)+J41</f>
        <v>-34629.770000000004</v>
      </c>
      <c r="L41" s="8">
        <f>SUM(L36:L37)-(L40)+K41</f>
        <v>-34629.770000000004</v>
      </c>
      <c r="M41" s="8">
        <f>SUM(M36:M37)-(M40)+L41</f>
        <v>-34629.770000000004</v>
      </c>
    </row>
    <row r="42" spans="1:13" ht="18" thickBot="1" x14ac:dyDescent="0.25">
      <c r="A42" s="16" t="s">
        <v>24</v>
      </c>
      <c r="B42" s="22" t="str">
        <f>IF(B41=0,"",B41/$B$33)</f>
        <v/>
      </c>
      <c r="C42" s="22" t="str">
        <f>IF(C41=0,"",C41/$B$33)</f>
        <v/>
      </c>
      <c r="D42" s="22" t="str">
        <f>IF(D41=0,"",D41/$B$33)</f>
        <v/>
      </c>
      <c r="E42" s="22" t="str">
        <f>IF(E41=0,"",E41/$B$33)</f>
        <v/>
      </c>
      <c r="F42" s="22" t="str">
        <f>IF(F41=0,"",F41/$B$33)</f>
        <v/>
      </c>
      <c r="G42" s="22" t="str">
        <f>IF(G41=0,"",G41/$B$33)</f>
        <v/>
      </c>
      <c r="H42" s="22" t="str">
        <f>IF(H41=0,"",H41/$B$33)</f>
        <v/>
      </c>
      <c r="I42" s="22">
        <f>IF(I41=0,"",I41/$B$33)</f>
        <v>-3.7059913526868438E-3</v>
      </c>
      <c r="J42" s="22">
        <f>IF(J41=0,"",J41/$B$33)</f>
        <v>-0.11544916615194566</v>
      </c>
      <c r="K42" s="22">
        <f t="shared" ref="K42:M42" si="21">IF(K41=0,"",K41/$B$33)</f>
        <v>-0.21389604694255715</v>
      </c>
      <c r="L42" s="22">
        <f t="shared" si="21"/>
        <v>-0.21389604694255715</v>
      </c>
      <c r="M42" s="22">
        <f t="shared" si="21"/>
        <v>-0.21389604694255715</v>
      </c>
    </row>
    <row r="43" spans="1:13" ht="17" thickBot="1" x14ac:dyDescent="0.25">
      <c r="K43" s="37"/>
      <c r="L43" s="37"/>
      <c r="M43" s="37"/>
    </row>
    <row r="44" spans="1:13" s="37" customFormat="1" ht="17" x14ac:dyDescent="0.2">
      <c r="A44" s="17" t="s">
        <v>20</v>
      </c>
      <c r="B44" s="30">
        <v>43101</v>
      </c>
      <c r="C44" s="30">
        <v>43132</v>
      </c>
      <c r="D44" s="30">
        <v>43160</v>
      </c>
      <c r="E44" s="30">
        <v>43191</v>
      </c>
      <c r="F44" s="30">
        <v>43221</v>
      </c>
      <c r="G44" s="30">
        <v>43252</v>
      </c>
      <c r="H44" s="30">
        <v>43282</v>
      </c>
      <c r="I44" s="30">
        <v>43313</v>
      </c>
      <c r="J44" s="30">
        <v>43344</v>
      </c>
      <c r="K44" s="30">
        <v>43374</v>
      </c>
      <c r="L44" s="30">
        <v>43405</v>
      </c>
      <c r="M44" s="30">
        <v>43435</v>
      </c>
    </row>
    <row r="45" spans="1:13" s="37" customFormat="1" ht="17" x14ac:dyDescent="0.2">
      <c r="A45" s="18" t="s">
        <v>14</v>
      </c>
      <c r="B45" s="21">
        <f>SUM($B$5+$B$19)</f>
        <v>233396.08000000002</v>
      </c>
      <c r="C45" s="21">
        <f>SUM($B$5+$B$19)</f>
        <v>233396.08000000002</v>
      </c>
      <c r="D45" s="21">
        <f>SUM($B$5+$B$19)</f>
        <v>233396.08000000002</v>
      </c>
      <c r="E45" s="21">
        <f>SUM($B$5+$B$19)</f>
        <v>233396.08000000002</v>
      </c>
      <c r="F45" s="21">
        <f>SUM($B$5+$B$19)</f>
        <v>233396.08000000002</v>
      </c>
      <c r="G45" s="21">
        <f>SUM($B$5+$B$19)</f>
        <v>233396.08000000002</v>
      </c>
      <c r="H45" s="21">
        <f>SUM($B$5+$B$19)</f>
        <v>233396.08000000002</v>
      </c>
      <c r="I45" s="21">
        <f>SUM($B$5+$B$19)</f>
        <v>233396.08000000002</v>
      </c>
      <c r="J45" s="21">
        <f>SUM($B$5+$B$19+$B$33)</f>
        <v>395296.08</v>
      </c>
      <c r="K45" s="21">
        <f t="shared" ref="K45:M45" si="22">SUM($B$5+$B$19+$B$33)</f>
        <v>395296.08</v>
      </c>
      <c r="L45" s="21">
        <f t="shared" si="22"/>
        <v>395296.08</v>
      </c>
      <c r="M45" s="21">
        <f t="shared" si="22"/>
        <v>395296.08</v>
      </c>
    </row>
    <row r="46" spans="1:13" s="37" customFormat="1" ht="17" x14ac:dyDescent="0.2">
      <c r="A46" s="18" t="s">
        <v>33</v>
      </c>
      <c r="B46" s="21">
        <f>SUM(B13+B27+B41)</f>
        <v>31254.15</v>
      </c>
      <c r="C46" s="21">
        <f>SUM(C13+C27+C41)</f>
        <v>45157.86</v>
      </c>
      <c r="D46" s="21">
        <f>SUM(D13+D27+D41)</f>
        <v>30418.93</v>
      </c>
      <c r="E46" s="21">
        <f>SUM(E13+E27+E41)</f>
        <v>45179.99</v>
      </c>
      <c r="F46" s="21">
        <f>SUM(F13+F27+F41)</f>
        <v>42900.86</v>
      </c>
      <c r="G46" s="21">
        <f>SUM(G13+G27+G41)</f>
        <v>37955.31</v>
      </c>
      <c r="H46" s="21">
        <f>SUM(H13+H27+H41)</f>
        <v>42005.83</v>
      </c>
      <c r="I46" s="21">
        <f>SUM(I13+I27+I41)</f>
        <v>51221.030000000006</v>
      </c>
      <c r="J46" s="21">
        <f>SUM(J13+J27+J41)</f>
        <v>65441.460000000006</v>
      </c>
      <c r="K46" s="21">
        <f t="shared" ref="K46:M46" si="23">SUM(K13+K27+K41)</f>
        <v>59043.880000000005</v>
      </c>
      <c r="L46" s="21">
        <f t="shared" si="23"/>
        <v>59043.880000000005</v>
      </c>
      <c r="M46" s="21">
        <f t="shared" si="23"/>
        <v>59043.880000000005</v>
      </c>
    </row>
    <row r="47" spans="1:13" s="37" customFormat="1" ht="17" x14ac:dyDescent="0.2">
      <c r="A47" s="18" t="s">
        <v>36</v>
      </c>
      <c r="B47" s="21">
        <f>SUM($D$5+$D$19+$D$33)</f>
        <v>30850</v>
      </c>
      <c r="C47" s="21">
        <f>SUM($D$5+$D$19+$D$33)</f>
        <v>30850</v>
      </c>
      <c r="D47" s="21">
        <f>SUM($D$5+$D$19+$D$33)</f>
        <v>30850</v>
      </c>
      <c r="E47" s="21">
        <f>SUM($D$5+$D$19+$D$33)</f>
        <v>30850</v>
      </c>
      <c r="F47" s="21">
        <f>SUM($D$5+$D$19+$D$33)</f>
        <v>30850</v>
      </c>
      <c r="G47" s="21">
        <f>SUM($D$5+$D$19+$D$33)</f>
        <v>30850</v>
      </c>
      <c r="H47" s="21">
        <f>SUM($D$5+$D$19+$D$33)</f>
        <v>30850</v>
      </c>
      <c r="I47" s="21">
        <f>SUM($D$5+$D$19+$D$33)</f>
        <v>30850</v>
      </c>
      <c r="J47" s="21">
        <f>SUM($D$5+$D$19+$D$33)</f>
        <v>30850</v>
      </c>
      <c r="K47" s="21">
        <f t="shared" ref="K47:M47" si="24">SUM($D$5+$D$19+$D$33)</f>
        <v>30850</v>
      </c>
      <c r="L47" s="21">
        <f t="shared" si="24"/>
        <v>30850</v>
      </c>
      <c r="M47" s="21">
        <f t="shared" si="24"/>
        <v>30850</v>
      </c>
    </row>
    <row r="48" spans="1:13" s="37" customFormat="1" ht="18" thickBot="1" x14ac:dyDescent="0.25">
      <c r="A48" s="19" t="s">
        <v>22</v>
      </c>
      <c r="B48" s="22">
        <f>(B46+B47)/B45</f>
        <v>0.26608908770018758</v>
      </c>
      <c r="C48" s="22">
        <f>(C46+C47)/C45</f>
        <v>0.32566039669560859</v>
      </c>
      <c r="D48" s="22">
        <f>(D46+D47)/D45</f>
        <v>0.26251053573821803</v>
      </c>
      <c r="E48" s="22">
        <f>(E46+E47)/E45</f>
        <v>0.3257552140550089</v>
      </c>
      <c r="F48" s="22">
        <f>(F46+F47)/F45</f>
        <v>0.31599014002291725</v>
      </c>
      <c r="G48" s="22">
        <f>(G46+G47)/G45</f>
        <v>0.29480062390079559</v>
      </c>
      <c r="H48" s="22">
        <f>(H46+H47)/H45</f>
        <v>0.31215532840140242</v>
      </c>
      <c r="I48" s="22">
        <f>(I46+I47)/I45</f>
        <v>0.35163842511836529</v>
      </c>
      <c r="J48" s="22">
        <f>(J46+J47)/J45</f>
        <v>0.24359325799537401</v>
      </c>
      <c r="K48" s="22">
        <f t="shared" ref="K48:M48" si="25">(K46+K47)/K45</f>
        <v>0.22740898417206667</v>
      </c>
      <c r="L48" s="22">
        <f t="shared" si="25"/>
        <v>0.22740898417206667</v>
      </c>
      <c r="M48" s="22">
        <f t="shared" si="25"/>
        <v>0.22740898417206667</v>
      </c>
    </row>
    <row r="49" spans="1:13" s="37" customFormat="1" ht="17" thickBot="1" x14ac:dyDescent="0.25"/>
    <row r="50" spans="1:13" s="37" customFormat="1" ht="18" thickBot="1" x14ac:dyDescent="0.25">
      <c r="A50" s="20" t="s">
        <v>21</v>
      </c>
      <c r="B50" s="49">
        <v>1615.64</v>
      </c>
      <c r="C50" s="49">
        <v>0</v>
      </c>
      <c r="D50" s="49">
        <v>0</v>
      </c>
      <c r="E50" s="49">
        <v>0</v>
      </c>
      <c r="F50" s="49">
        <v>1808.39</v>
      </c>
      <c r="G50" s="49">
        <v>0</v>
      </c>
      <c r="H50" s="49">
        <v>0</v>
      </c>
      <c r="I50" s="49">
        <v>0</v>
      </c>
      <c r="J50" s="56">
        <v>1000</v>
      </c>
      <c r="K50" s="56">
        <v>1000</v>
      </c>
      <c r="L50" s="56"/>
      <c r="M50" s="56"/>
    </row>
    <row r="51" spans="1:13" customFormat="1" ht="18" thickBot="1" x14ac:dyDescent="0.25">
      <c r="A51" s="50" t="s">
        <v>34</v>
      </c>
      <c r="B51" s="51">
        <v>0</v>
      </c>
      <c r="C51" s="51">
        <v>0</v>
      </c>
      <c r="D51" s="51">
        <v>0</v>
      </c>
      <c r="E51" s="51">
        <v>0</v>
      </c>
      <c r="F51" s="51">
        <v>0</v>
      </c>
      <c r="G51" s="51">
        <v>0</v>
      </c>
      <c r="H51" s="51">
        <v>0</v>
      </c>
      <c r="I51" s="52">
        <v>18450</v>
      </c>
      <c r="J51" s="59">
        <v>2976.07</v>
      </c>
      <c r="K51" s="59">
        <v>0</v>
      </c>
      <c r="L51" s="59"/>
      <c r="M51" s="59"/>
    </row>
    <row r="52" spans="1:13" customFormat="1" ht="18" thickBot="1" x14ac:dyDescent="0.25">
      <c r="A52" s="50" t="s">
        <v>37</v>
      </c>
      <c r="B52" s="51">
        <v>0</v>
      </c>
      <c r="C52" s="51">
        <v>0</v>
      </c>
      <c r="D52" s="51">
        <v>0</v>
      </c>
      <c r="E52" s="51">
        <v>0</v>
      </c>
      <c r="F52" s="51">
        <v>0</v>
      </c>
      <c r="G52" s="51">
        <v>0</v>
      </c>
      <c r="H52" s="51">
        <v>0</v>
      </c>
      <c r="I52" s="52">
        <v>0</v>
      </c>
      <c r="J52" s="59">
        <v>0</v>
      </c>
      <c r="K52" s="59">
        <v>7614</v>
      </c>
      <c r="L52" s="59"/>
      <c r="M52" s="59"/>
    </row>
    <row r="53" spans="1:13" customFormat="1" ht="17" thickBot="1" x14ac:dyDescent="0.25">
      <c r="A53" s="53" t="s">
        <v>12</v>
      </c>
      <c r="B53" s="54"/>
      <c r="C53" s="54"/>
      <c r="D53" s="54"/>
      <c r="E53" s="54"/>
      <c r="F53" s="54"/>
      <c r="G53" s="54"/>
      <c r="H53" s="54"/>
      <c r="I53" s="57">
        <f>(I13+I27+I41)-SUM(B51:I51)</f>
        <v>32771.030000000006</v>
      </c>
      <c r="J53" s="57">
        <f>(J13+J27+J41)-SUM(B51:J51)</f>
        <v>44015.390000000007</v>
      </c>
      <c r="K53" s="57">
        <f>K46-SUM(B51:K51)-SUM(B52:K52)</f>
        <v>30003.810000000005</v>
      </c>
      <c r="L53" s="57">
        <f>SUM(L46-L51)</f>
        <v>59043.880000000005</v>
      </c>
      <c r="M53" s="57">
        <f>SUM(M46-M51)</f>
        <v>59043.880000000005</v>
      </c>
    </row>
    <row r="54" spans="1:13" customFormat="1" ht="17" thickBot="1" x14ac:dyDescent="0.25">
      <c r="A54" s="53" t="s">
        <v>35</v>
      </c>
      <c r="B54" s="54"/>
      <c r="C54" s="54"/>
      <c r="D54" s="54"/>
      <c r="E54" s="54"/>
      <c r="F54" s="54"/>
      <c r="G54" s="54"/>
      <c r="H54" s="54"/>
      <c r="I54" s="55">
        <f>SUM($D$3-$D$4)+($D$17-$D$18)+($D$31-$D$32)</f>
        <v>425650</v>
      </c>
      <c r="J54" s="58">
        <f>SUM($D$3-$D$4)+($D$17-$D$18)+($D$31-$D$32)</f>
        <v>425650</v>
      </c>
      <c r="K54" s="58">
        <f t="shared" ref="K54:M54" si="26">SUM($D$3-$D$4)+($D$17-$D$18)+($D$31-$D$32)</f>
        <v>425650</v>
      </c>
      <c r="L54" s="58">
        <f t="shared" si="26"/>
        <v>425650</v>
      </c>
      <c r="M54" s="58">
        <f t="shared" si="26"/>
        <v>425650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2017</vt:lpstr>
      <vt:lpstr>2018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2018-01-17T05:42:14Z</dcterms:created>
  <dcterms:modified xsi:type="dcterms:W3CDTF">2018-10-30T03:21:52Z</dcterms:modified>
  <cp:category/>
  <cp:contentStatus/>
</cp:coreProperties>
</file>